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defaultThemeVersion="124226"/>
  <xr:revisionPtr revIDLastSave="0" documentId="13_ncr:1_{259CE0DD-BF80-45AE-9C7B-46022AC9C62B}" xr6:coauthVersionLast="33" xr6:coauthVersionMax="33" xr10:uidLastSave="{00000000-0000-0000-0000-000000000000}"/>
  <bookViews>
    <workbookView xWindow="1680" yWindow="300" windowWidth="14880" windowHeight="7815" activeTab="4" xr2:uid="{00000000-000D-0000-FFFF-FFFF00000000}"/>
  </bookViews>
  <sheets>
    <sheet name="CA_Calculator" sheetId="83" r:id="rId1"/>
    <sheet name="TL_Tactica" sheetId="102" r:id="rId2"/>
    <sheet name="CAPITAN" sheetId="76" r:id="rId3"/>
    <sheet name="ENTRENADOR" sheetId="85" r:id="rId4"/>
    <sheet name="PLANTILLA" sheetId="32" r:id="rId5"/>
    <sheet name="PLANNING" sheetId="115" r:id="rId6"/>
    <sheet name="Evaluacion" sheetId="94" r:id="rId7"/>
    <sheet name="Eva_sinFORMA" sheetId="113" r:id="rId8"/>
    <sheet name="ENTRENAMIENTO_Rendimiento" sheetId="86" r:id="rId9"/>
    <sheet name="Resumen_Rend" sheetId="96" r:id="rId10"/>
    <sheet name="352" sheetId="105" r:id="rId11"/>
    <sheet name="541" sheetId="106" r:id="rId12"/>
    <sheet name="DEF" sheetId="108" r:id="rId13"/>
    <sheet name="JUG" sheetId="107" r:id="rId14"/>
    <sheet name="PAS" sheetId="110" r:id="rId15"/>
    <sheet name="LAT" sheetId="111" r:id="rId16"/>
    <sheet name="Hall_of_Fame" sheetId="49" r:id="rId17"/>
    <sheet name="Estadio" sheetId="3" r:id="rId18"/>
  </sheets>
  <definedNames>
    <definedName name="_xlnm._FilterDatabase" localSheetId="4" hidden="1">PLANTILLA!$A$3:$AN$29</definedName>
  </definedNames>
  <calcPr calcId="179017"/>
</workbook>
</file>

<file path=xl/calcChain.xml><?xml version="1.0" encoding="utf-8"?>
<calcChain xmlns="http://schemas.openxmlformats.org/spreadsheetml/2006/main">
  <c r="AS19" i="32" l="1"/>
  <c r="Z19" i="32"/>
  <c r="AS21" i="32"/>
  <c r="Z21" i="32"/>
  <c r="Z22" i="32"/>
  <c r="Z13" i="32"/>
  <c r="AS17" i="32"/>
  <c r="Z17" i="32"/>
  <c r="Z15" i="32"/>
  <c r="Z14" i="32"/>
  <c r="Z18" i="32"/>
  <c r="Z16" i="32"/>
  <c r="O7" i="76" l="1"/>
  <c r="P7" i="76"/>
  <c r="Q7" i="76"/>
  <c r="R7" i="76"/>
  <c r="S7" i="76"/>
  <c r="K9" i="102"/>
  <c r="L9" i="102"/>
  <c r="M9" i="102"/>
  <c r="N9" i="102"/>
  <c r="U28" i="115" l="1"/>
  <c r="U29" i="115"/>
  <c r="U30" i="115"/>
  <c r="U31" i="115"/>
  <c r="U32" i="115"/>
  <c r="U27" i="115"/>
  <c r="T28" i="115"/>
  <c r="T29" i="115"/>
  <c r="T30" i="115"/>
  <c r="T31" i="115"/>
  <c r="T32" i="115"/>
  <c r="T27" i="115"/>
  <c r="F27" i="115"/>
  <c r="F28" i="115"/>
  <c r="F29" i="115"/>
  <c r="F30" i="115"/>
  <c r="F31" i="115"/>
  <c r="F32" i="115"/>
  <c r="E28" i="115"/>
  <c r="E29" i="115"/>
  <c r="E30" i="115"/>
  <c r="E31" i="115"/>
  <c r="E32" i="115"/>
  <c r="E27" i="115"/>
  <c r="U15" i="115"/>
  <c r="U14" i="115"/>
  <c r="T15" i="115"/>
  <c r="T14" i="115"/>
  <c r="U11" i="115"/>
  <c r="T11" i="115"/>
  <c r="T12" i="115"/>
  <c r="U12" i="115"/>
  <c r="T13" i="115"/>
  <c r="U13" i="115"/>
  <c r="U10" i="115"/>
  <c r="T10" i="115"/>
  <c r="AC34" i="115"/>
  <c r="AC33" i="115"/>
  <c r="AC32" i="115"/>
  <c r="AC31" i="115"/>
  <c r="AC30" i="115"/>
  <c r="AC29" i="115"/>
  <c r="AC28" i="115"/>
  <c r="AC27" i="115"/>
  <c r="AC23" i="115"/>
  <c r="AC24" i="115"/>
  <c r="AC25" i="115"/>
  <c r="AC26" i="115"/>
  <c r="AC22" i="115"/>
  <c r="AC21" i="115"/>
  <c r="V22" i="115"/>
  <c r="W22" i="115"/>
  <c r="X22" i="115"/>
  <c r="Y22" i="115"/>
  <c r="Z22" i="115"/>
  <c r="AA22" i="115"/>
  <c r="V23" i="115"/>
  <c r="W23" i="115"/>
  <c r="X23" i="115"/>
  <c r="Y23" i="115"/>
  <c r="Z23" i="115"/>
  <c r="AA23" i="115"/>
  <c r="V24" i="115"/>
  <c r="W24" i="115"/>
  <c r="X24" i="115"/>
  <c r="Y24" i="115"/>
  <c r="Z24" i="115"/>
  <c r="AA24" i="115"/>
  <c r="V25" i="115"/>
  <c r="W25" i="115"/>
  <c r="X25" i="115"/>
  <c r="Y25" i="115"/>
  <c r="Z25" i="115"/>
  <c r="AA25" i="115"/>
  <c r="V26" i="115"/>
  <c r="W26" i="115"/>
  <c r="X26" i="115"/>
  <c r="Y26" i="115"/>
  <c r="Z26" i="115"/>
  <c r="AA26" i="115"/>
  <c r="X27" i="115"/>
  <c r="AA27" i="115"/>
  <c r="X28" i="115"/>
  <c r="AA28" i="115"/>
  <c r="X29" i="115"/>
  <c r="AA29" i="115"/>
  <c r="X30" i="115"/>
  <c r="AA30" i="115"/>
  <c r="X31" i="115"/>
  <c r="AA31" i="115"/>
  <c r="X32" i="115"/>
  <c r="AA32" i="115"/>
  <c r="V33" i="115"/>
  <c r="W33" i="115"/>
  <c r="X33" i="115"/>
  <c r="Y33" i="115"/>
  <c r="Z33" i="115"/>
  <c r="AA33" i="115"/>
  <c r="V34" i="115"/>
  <c r="W34" i="115"/>
  <c r="X34" i="115"/>
  <c r="Y34" i="115"/>
  <c r="Z34" i="115"/>
  <c r="AA34" i="115"/>
  <c r="W21" i="115"/>
  <c r="V21" i="115"/>
  <c r="O34" i="115"/>
  <c r="O33" i="115"/>
  <c r="N34" i="115"/>
  <c r="N33" i="115"/>
  <c r="N26" i="115"/>
  <c r="O26" i="115" s="1"/>
  <c r="N25" i="115"/>
  <c r="O25" i="115" s="1"/>
  <c r="N24" i="115"/>
  <c r="O24" i="115" s="1"/>
  <c r="N23" i="115"/>
  <c r="O23" i="115" s="1"/>
  <c r="O22" i="115"/>
  <c r="N22" i="115"/>
  <c r="O21" i="115"/>
  <c r="N21" i="115"/>
  <c r="AC14" i="115"/>
  <c r="AC15" i="115"/>
  <c r="AD15" i="115" s="1"/>
  <c r="AC13" i="115"/>
  <c r="AC12" i="115"/>
  <c r="AC11" i="115"/>
  <c r="AD11" i="115" s="1"/>
  <c r="AC10" i="115"/>
  <c r="AA13" i="115" l="1"/>
  <c r="X13" i="115"/>
  <c r="AA12" i="115"/>
  <c r="X12" i="115"/>
  <c r="AA14" i="115"/>
  <c r="X14" i="115"/>
  <c r="AA10" i="115"/>
  <c r="X10" i="115"/>
  <c r="X15" i="115"/>
  <c r="AA11" i="115"/>
  <c r="AA15" i="115"/>
  <c r="K34" i="115" l="1"/>
  <c r="J34" i="115"/>
  <c r="H34" i="115"/>
  <c r="G34" i="115"/>
  <c r="K26" i="115"/>
  <c r="J26" i="115"/>
  <c r="G26" i="115"/>
  <c r="K25" i="115"/>
  <c r="J25" i="115"/>
  <c r="G25" i="115"/>
  <c r="K24" i="115"/>
  <c r="J24" i="115"/>
  <c r="G24" i="115"/>
  <c r="K23" i="115"/>
  <c r="J23" i="115"/>
  <c r="G23" i="115"/>
  <c r="N27" i="115"/>
  <c r="N28" i="115"/>
  <c r="O28" i="115"/>
  <c r="N29" i="115"/>
  <c r="N30" i="115"/>
  <c r="AD30" i="115" s="1"/>
  <c r="N31" i="115"/>
  <c r="AD31" i="115" s="1"/>
  <c r="N32" i="115"/>
  <c r="O32" i="115"/>
  <c r="G22" i="115"/>
  <c r="J22" i="115"/>
  <c r="K22" i="115"/>
  <c r="I27" i="115"/>
  <c r="L27" i="115"/>
  <c r="I28" i="115"/>
  <c r="J28" i="115"/>
  <c r="Y28" i="115" s="1"/>
  <c r="L28" i="115"/>
  <c r="I29" i="115"/>
  <c r="L29" i="115"/>
  <c r="I30" i="115"/>
  <c r="L30" i="115"/>
  <c r="I31" i="115"/>
  <c r="L31" i="115"/>
  <c r="M31" i="115"/>
  <c r="I32" i="115"/>
  <c r="L32" i="115"/>
  <c r="G33" i="115"/>
  <c r="H33" i="115"/>
  <c r="J33" i="115"/>
  <c r="K33" i="115"/>
  <c r="K21" i="115"/>
  <c r="Z21" i="115" s="1"/>
  <c r="A22" i="115"/>
  <c r="B22" i="115"/>
  <c r="R22" i="115" s="1"/>
  <c r="A23" i="115"/>
  <c r="B23" i="115"/>
  <c r="R23" i="115" s="1"/>
  <c r="A24" i="115"/>
  <c r="B24" i="115"/>
  <c r="R24" i="115" s="1"/>
  <c r="A25" i="115"/>
  <c r="B25" i="115"/>
  <c r="R25" i="115" s="1"/>
  <c r="A26" i="115"/>
  <c r="B26" i="115"/>
  <c r="R26" i="115" s="1"/>
  <c r="A27" i="115"/>
  <c r="B27" i="115"/>
  <c r="A28" i="115"/>
  <c r="B28" i="115"/>
  <c r="R28" i="115" s="1"/>
  <c r="A29" i="115"/>
  <c r="B29" i="115"/>
  <c r="R29" i="115" s="1"/>
  <c r="A30" i="115"/>
  <c r="B30" i="115"/>
  <c r="A31" i="115"/>
  <c r="B31" i="115"/>
  <c r="A32" i="115"/>
  <c r="B32" i="115"/>
  <c r="A33" i="115"/>
  <c r="B33" i="115"/>
  <c r="D33" i="115"/>
  <c r="S33" i="115" s="1"/>
  <c r="A34" i="115"/>
  <c r="B34" i="115"/>
  <c r="R34" i="115" s="1"/>
  <c r="D34" i="115"/>
  <c r="S34" i="115" s="1"/>
  <c r="D21" i="115"/>
  <c r="B21" i="115"/>
  <c r="R21" i="115" s="1"/>
  <c r="A21" i="115"/>
  <c r="R33" i="115"/>
  <c r="AD32" i="115"/>
  <c r="R32" i="115"/>
  <c r="R31" i="115"/>
  <c r="R30" i="115"/>
  <c r="AD29" i="115"/>
  <c r="AD28" i="115"/>
  <c r="R27" i="115"/>
  <c r="AD27" i="115"/>
  <c r="S26" i="115"/>
  <c r="S25" i="115"/>
  <c r="AG24" i="115"/>
  <c r="AG25" i="115" s="1"/>
  <c r="S24" i="115"/>
  <c r="S23" i="115"/>
  <c r="S22" i="115"/>
  <c r="N15" i="115"/>
  <c r="N11" i="115"/>
  <c r="O11" i="115" s="1"/>
  <c r="N12" i="115"/>
  <c r="AD12" i="115" s="1"/>
  <c r="O29" i="115" s="1"/>
  <c r="N13" i="115"/>
  <c r="AD13" i="115" s="1"/>
  <c r="O30" i="115" s="1"/>
  <c r="N14" i="115"/>
  <c r="AD14" i="115" s="1"/>
  <c r="O31" i="115" s="1"/>
  <c r="N10" i="115"/>
  <c r="AD10" i="115" s="1"/>
  <c r="O27" i="115" s="1"/>
  <c r="AC5" i="115"/>
  <c r="AD5" i="115" s="1"/>
  <c r="AC6" i="115"/>
  <c r="AD6" i="115" s="1"/>
  <c r="AC7" i="115"/>
  <c r="AD24" i="115" s="1"/>
  <c r="AC8" i="115"/>
  <c r="AD8" i="115" s="1"/>
  <c r="AC9" i="115"/>
  <c r="AD26" i="115" s="1"/>
  <c r="AC16" i="115"/>
  <c r="AD16" i="115" s="1"/>
  <c r="AC17" i="115"/>
  <c r="AD17" i="115" s="1"/>
  <c r="AC4" i="115"/>
  <c r="AD4" i="115" s="1"/>
  <c r="V5" i="115"/>
  <c r="W5" i="115"/>
  <c r="X5" i="115"/>
  <c r="Y5" i="115"/>
  <c r="Z5" i="115"/>
  <c r="AA5" i="115"/>
  <c r="AB5" i="115"/>
  <c r="V6" i="115"/>
  <c r="W6" i="115"/>
  <c r="X6" i="115"/>
  <c r="Y6" i="115"/>
  <c r="Z6" i="115"/>
  <c r="AA6" i="115"/>
  <c r="AB6" i="115"/>
  <c r="V7" i="115"/>
  <c r="W7" i="115"/>
  <c r="X7" i="115"/>
  <c r="Y7" i="115"/>
  <c r="Z7" i="115"/>
  <c r="AA7" i="115"/>
  <c r="AB7" i="115"/>
  <c r="V8" i="115"/>
  <c r="W8" i="115"/>
  <c r="X8" i="115"/>
  <c r="Y8" i="115"/>
  <c r="Z8" i="115"/>
  <c r="AA8" i="115"/>
  <c r="AB8" i="115"/>
  <c r="V9" i="115"/>
  <c r="W9" i="115"/>
  <c r="X9" i="115"/>
  <c r="Y9" i="115"/>
  <c r="Z9" i="115"/>
  <c r="AA9" i="115"/>
  <c r="AB9" i="115"/>
  <c r="AB13" i="115"/>
  <c r="M30" i="115" s="1"/>
  <c r="V16" i="115"/>
  <c r="W16" i="115"/>
  <c r="X16" i="115"/>
  <c r="Y16" i="115"/>
  <c r="Z16" i="115"/>
  <c r="AA16" i="115"/>
  <c r="AB16" i="115"/>
  <c r="V17" i="115"/>
  <c r="W17" i="115"/>
  <c r="X17" i="115"/>
  <c r="Y17" i="115"/>
  <c r="Z17" i="115"/>
  <c r="AA17" i="115"/>
  <c r="AB17" i="115"/>
  <c r="W4" i="115"/>
  <c r="X4" i="115"/>
  <c r="I21" i="115" s="1"/>
  <c r="X21" i="115" s="1"/>
  <c r="Y4" i="115"/>
  <c r="J21" i="115" s="1"/>
  <c r="Y21" i="115" s="1"/>
  <c r="Z4" i="115"/>
  <c r="AA4" i="115"/>
  <c r="L21" i="115" s="1"/>
  <c r="AA21" i="115" s="1"/>
  <c r="AB4" i="115"/>
  <c r="V4" i="115"/>
  <c r="AG7" i="115"/>
  <c r="AG8" i="115" s="1"/>
  <c r="G11" i="115"/>
  <c r="V11" i="115" s="1"/>
  <c r="G28" i="115" s="1"/>
  <c r="V28" i="115" s="1"/>
  <c r="H11" i="115"/>
  <c r="W11" i="115" s="1"/>
  <c r="H28" i="115" s="1"/>
  <c r="W28" i="115" s="1"/>
  <c r="I11" i="115"/>
  <c r="J11" i="115"/>
  <c r="Y11" i="115" s="1"/>
  <c r="K11" i="115"/>
  <c r="Z11" i="115" s="1"/>
  <c r="K28" i="115" s="1"/>
  <c r="Z28" i="115" s="1"/>
  <c r="L11" i="115"/>
  <c r="M11" i="115"/>
  <c r="AB11" i="115" s="1"/>
  <c r="M28" i="115" s="1"/>
  <c r="G12" i="115"/>
  <c r="V12" i="115" s="1"/>
  <c r="G29" i="115" s="1"/>
  <c r="V29" i="115" s="1"/>
  <c r="H12" i="115"/>
  <c r="W12" i="115" s="1"/>
  <c r="H29" i="115" s="1"/>
  <c r="W29" i="115" s="1"/>
  <c r="I12" i="115"/>
  <c r="J12" i="115"/>
  <c r="Y12" i="115" s="1"/>
  <c r="J29" i="115" s="1"/>
  <c r="Y29" i="115" s="1"/>
  <c r="K12" i="115"/>
  <c r="Z12" i="115" s="1"/>
  <c r="K29" i="115" s="1"/>
  <c r="Z29" i="115" s="1"/>
  <c r="L12" i="115"/>
  <c r="M12" i="115"/>
  <c r="AB12" i="115" s="1"/>
  <c r="M29" i="115" s="1"/>
  <c r="G13" i="115"/>
  <c r="V13" i="115" s="1"/>
  <c r="G30" i="115" s="1"/>
  <c r="V30" i="115" s="1"/>
  <c r="H13" i="115"/>
  <c r="W13" i="115" s="1"/>
  <c r="H30" i="115" s="1"/>
  <c r="W30" i="115" s="1"/>
  <c r="J13" i="115"/>
  <c r="Y13" i="115" s="1"/>
  <c r="J30" i="115" s="1"/>
  <c r="Y30" i="115" s="1"/>
  <c r="K13" i="115"/>
  <c r="Z13" i="115" s="1"/>
  <c r="K30" i="115" s="1"/>
  <c r="Z30" i="115" s="1"/>
  <c r="L13" i="115"/>
  <c r="M13" i="115"/>
  <c r="G14" i="115"/>
  <c r="V14" i="115" s="1"/>
  <c r="G31" i="115" s="1"/>
  <c r="V31" i="115" s="1"/>
  <c r="H14" i="115"/>
  <c r="W14" i="115" s="1"/>
  <c r="H31" i="115" s="1"/>
  <c r="W31" i="115" s="1"/>
  <c r="J14" i="115"/>
  <c r="Y14" i="115" s="1"/>
  <c r="J31" i="115" s="1"/>
  <c r="Y31" i="115" s="1"/>
  <c r="K14" i="115"/>
  <c r="Z14" i="115" s="1"/>
  <c r="K31" i="115" s="1"/>
  <c r="Z31" i="115" s="1"/>
  <c r="L14" i="115"/>
  <c r="M14" i="115"/>
  <c r="AB14" i="115" s="1"/>
  <c r="G15" i="115"/>
  <c r="V15" i="115" s="1"/>
  <c r="G32" i="115" s="1"/>
  <c r="V32" i="115" s="1"/>
  <c r="H15" i="115"/>
  <c r="W15" i="115" s="1"/>
  <c r="H32" i="115" s="1"/>
  <c r="W32" i="115" s="1"/>
  <c r="J15" i="115"/>
  <c r="Y15" i="115" s="1"/>
  <c r="J32" i="115" s="1"/>
  <c r="Y32" i="115" s="1"/>
  <c r="K15" i="115"/>
  <c r="Z15" i="115" s="1"/>
  <c r="K32" i="115" s="1"/>
  <c r="Z32" i="115" s="1"/>
  <c r="L15" i="115"/>
  <c r="M15" i="115"/>
  <c r="AB15" i="115" s="1"/>
  <c r="M32" i="115" s="1"/>
  <c r="H10" i="115"/>
  <c r="W10" i="115" s="1"/>
  <c r="H27" i="115" s="1"/>
  <c r="W27" i="115" s="1"/>
  <c r="J10" i="115"/>
  <c r="Y10" i="115" s="1"/>
  <c r="J27" i="115" s="1"/>
  <c r="Y27" i="115" s="1"/>
  <c r="K10" i="115"/>
  <c r="Z10" i="115" s="1"/>
  <c r="K27" i="115" s="1"/>
  <c r="Z27" i="115" s="1"/>
  <c r="L10" i="115"/>
  <c r="M10" i="115"/>
  <c r="AB10" i="115" s="1"/>
  <c r="M27" i="115" s="1"/>
  <c r="G10" i="115"/>
  <c r="V10" i="115" s="1"/>
  <c r="G27" i="115" s="1"/>
  <c r="V27" i="115" s="1"/>
  <c r="C11" i="115"/>
  <c r="C28" i="115" s="1"/>
  <c r="D11" i="115"/>
  <c r="D28" i="115" s="1"/>
  <c r="S28" i="115" s="1"/>
  <c r="C12" i="115"/>
  <c r="C29" i="115" s="1"/>
  <c r="D12" i="115"/>
  <c r="S12" i="115" s="1"/>
  <c r="C13" i="115"/>
  <c r="C30" i="115" s="1"/>
  <c r="D13" i="115"/>
  <c r="S13" i="115" s="1"/>
  <c r="C14" i="115"/>
  <c r="C31" i="115" s="1"/>
  <c r="D14" i="115"/>
  <c r="S14" i="115" s="1"/>
  <c r="C15" i="115"/>
  <c r="C32" i="115" s="1"/>
  <c r="D15" i="115"/>
  <c r="S15" i="115" s="1"/>
  <c r="D10" i="115"/>
  <c r="S10" i="115" s="1"/>
  <c r="C10" i="115"/>
  <c r="C27" i="115" s="1"/>
  <c r="R5" i="115"/>
  <c r="S5" i="115"/>
  <c r="R6" i="115"/>
  <c r="S6" i="115"/>
  <c r="R7" i="115"/>
  <c r="S7" i="115"/>
  <c r="R8" i="115"/>
  <c r="S8" i="115"/>
  <c r="R9" i="115"/>
  <c r="S9" i="115"/>
  <c r="R10" i="115"/>
  <c r="R11" i="115"/>
  <c r="S11" i="115"/>
  <c r="R12" i="115"/>
  <c r="R13" i="115"/>
  <c r="R14" i="115"/>
  <c r="R15" i="115"/>
  <c r="R16" i="115"/>
  <c r="S16" i="115"/>
  <c r="R17" i="115"/>
  <c r="S17" i="115"/>
  <c r="R4" i="115"/>
  <c r="O14" i="115"/>
  <c r="O12" i="115" l="1"/>
  <c r="D31" i="115"/>
  <c r="S31" i="115" s="1"/>
  <c r="D29" i="115"/>
  <c r="S29" i="115" s="1"/>
  <c r="D27" i="115"/>
  <c r="S27" i="115" s="1"/>
  <c r="D32" i="115"/>
  <c r="S32" i="115" s="1"/>
  <c r="D30" i="115"/>
  <c r="S30" i="115" s="1"/>
  <c r="AD34" i="115"/>
  <c r="AD33" i="115"/>
  <c r="AD25" i="115"/>
  <c r="AD7" i="115"/>
  <c r="AD21" i="115"/>
  <c r="AD23" i="115"/>
  <c r="AD9" i="115"/>
  <c r="O19" i="115" s="1"/>
  <c r="AD22" i="115"/>
  <c r="O13" i="115"/>
  <c r="O15" i="115"/>
  <c r="O2" i="115" s="1"/>
  <c r="AC2" i="115"/>
  <c r="N2" i="115"/>
  <c r="AD2" i="115" l="1"/>
  <c r="AD19" i="115"/>
  <c r="AC19" i="115"/>
  <c r="N19" i="115"/>
  <c r="S14" i="86"/>
  <c r="Z14" i="86" s="1"/>
  <c r="Y24" i="86"/>
  <c r="V12" i="86"/>
  <c r="A6" i="86"/>
  <c r="C6" i="86"/>
  <c r="D6" i="86"/>
  <c r="P6" i="86" s="1"/>
  <c r="G6" i="86"/>
  <c r="H6" i="86"/>
  <c r="R6" i="86" s="1"/>
  <c r="I6" i="86"/>
  <c r="S6" i="86" s="1"/>
  <c r="J6" i="86"/>
  <c r="K6" i="86"/>
  <c r="L6" i="86"/>
  <c r="M6" i="86"/>
  <c r="N6" i="86"/>
  <c r="A7" i="86"/>
  <c r="C7" i="86"/>
  <c r="D7" i="86"/>
  <c r="P7" i="86" s="1"/>
  <c r="F7" i="86"/>
  <c r="G7" i="86"/>
  <c r="H7" i="86"/>
  <c r="I7" i="86"/>
  <c r="J7" i="86"/>
  <c r="T7" i="86" s="1"/>
  <c r="K7" i="86"/>
  <c r="L7" i="86"/>
  <c r="V7" i="86" s="1"/>
  <c r="M7" i="86"/>
  <c r="W7" i="86" s="1"/>
  <c r="AD7" i="86" s="1"/>
  <c r="N7" i="86"/>
  <c r="O7" i="86"/>
  <c r="Y7" i="86" s="1"/>
  <c r="R7" i="86"/>
  <c r="A8" i="86"/>
  <c r="C8" i="86"/>
  <c r="D8" i="86"/>
  <c r="P8" i="86" s="1"/>
  <c r="G8" i="86"/>
  <c r="H8" i="86"/>
  <c r="R8" i="86" s="1"/>
  <c r="I8" i="86"/>
  <c r="S8" i="86" s="1"/>
  <c r="N8" i="86"/>
  <c r="X8" i="86" s="1"/>
  <c r="AE8" i="86" s="1"/>
  <c r="A9" i="86"/>
  <c r="C9" i="86"/>
  <c r="D9" i="86"/>
  <c r="P9" i="86" s="1"/>
  <c r="F9" i="86"/>
  <c r="G9" i="86"/>
  <c r="H9" i="86"/>
  <c r="I9" i="86"/>
  <c r="S9" i="86" s="1"/>
  <c r="Z9" i="86" s="1"/>
  <c r="J9" i="86"/>
  <c r="L9" i="86"/>
  <c r="V9" i="86" s="1"/>
  <c r="M9" i="86"/>
  <c r="N9" i="86"/>
  <c r="X9" i="86" s="1"/>
  <c r="R9" i="86"/>
  <c r="A10" i="86"/>
  <c r="C10" i="86"/>
  <c r="D10" i="86"/>
  <c r="P10" i="86" s="1"/>
  <c r="G10" i="86"/>
  <c r="H10" i="86"/>
  <c r="R10" i="86" s="1"/>
  <c r="I10" i="86"/>
  <c r="S10" i="86" s="1"/>
  <c r="K10" i="86"/>
  <c r="M10" i="86"/>
  <c r="W10" i="86" s="1"/>
  <c r="N10" i="86"/>
  <c r="X10" i="86" s="1"/>
  <c r="O10" i="86"/>
  <c r="Y10" i="86" s="1"/>
  <c r="AF10" i="86" s="1"/>
  <c r="A11" i="86"/>
  <c r="C11" i="86"/>
  <c r="D11" i="86"/>
  <c r="P11" i="86" s="1"/>
  <c r="G11" i="86"/>
  <c r="H11" i="86"/>
  <c r="I11" i="86"/>
  <c r="S11" i="86" s="1"/>
  <c r="K11" i="86"/>
  <c r="U11" i="86" s="1"/>
  <c r="L11" i="86"/>
  <c r="V11" i="86" s="1"/>
  <c r="M11" i="86"/>
  <c r="N11" i="86"/>
  <c r="X11" i="86" s="1"/>
  <c r="O11" i="86"/>
  <c r="Y11" i="86" s="1"/>
  <c r="R11" i="86"/>
  <c r="A12" i="86"/>
  <c r="C12" i="86"/>
  <c r="D12" i="86"/>
  <c r="P12" i="86" s="1"/>
  <c r="F12" i="86"/>
  <c r="G12" i="86"/>
  <c r="H12" i="86"/>
  <c r="R12" i="86" s="1"/>
  <c r="I12" i="86"/>
  <c r="S12" i="86" s="1"/>
  <c r="K12" i="86"/>
  <c r="U12" i="86" s="1"/>
  <c r="L12" i="86"/>
  <c r="N12" i="86"/>
  <c r="X12" i="86" s="1"/>
  <c r="A13" i="86"/>
  <c r="C13" i="86"/>
  <c r="D13" i="86"/>
  <c r="P13" i="86" s="1"/>
  <c r="G13" i="86"/>
  <c r="H13" i="86"/>
  <c r="R13" i="86" s="1"/>
  <c r="I13" i="86"/>
  <c r="S13" i="86" s="1"/>
  <c r="Z13" i="86" s="1"/>
  <c r="J13" i="86"/>
  <c r="T13" i="86" s="1"/>
  <c r="L13" i="86"/>
  <c r="M13" i="86"/>
  <c r="W13" i="86" s="1"/>
  <c r="N13" i="86"/>
  <c r="X13" i="86" s="1"/>
  <c r="O13" i="86"/>
  <c r="Y13" i="86" s="1"/>
  <c r="A14" i="86"/>
  <c r="C14" i="86"/>
  <c r="D14" i="86"/>
  <c r="P14" i="86" s="1"/>
  <c r="F14" i="86"/>
  <c r="G14" i="86"/>
  <c r="H14" i="86"/>
  <c r="I14" i="86"/>
  <c r="J14" i="86"/>
  <c r="T14" i="86" s="1"/>
  <c r="K14" i="86"/>
  <c r="U14" i="86" s="1"/>
  <c r="L14" i="86"/>
  <c r="M14" i="86"/>
  <c r="W14" i="86" s="1"/>
  <c r="N14" i="86"/>
  <c r="X14" i="86" s="1"/>
  <c r="O14" i="86"/>
  <c r="Y14" i="86" s="1"/>
  <c r="R14" i="86"/>
  <c r="A15" i="86"/>
  <c r="C15" i="86"/>
  <c r="D15" i="86"/>
  <c r="G15" i="86"/>
  <c r="H15" i="86"/>
  <c r="R15" i="86" s="1"/>
  <c r="I15" i="86"/>
  <c r="S15" i="86" s="1"/>
  <c r="Z15" i="86" s="1"/>
  <c r="J15" i="86"/>
  <c r="T15" i="86" s="1"/>
  <c r="AA15" i="86" s="1"/>
  <c r="K15" i="86"/>
  <c r="U15" i="86" s="1"/>
  <c r="L15" i="86"/>
  <c r="M15" i="86"/>
  <c r="N15" i="86"/>
  <c r="X15" i="86" s="1"/>
  <c r="O15" i="86"/>
  <c r="Y15" i="86" s="1"/>
  <c r="P15" i="86"/>
  <c r="A16" i="86"/>
  <c r="C16" i="86"/>
  <c r="D16" i="86"/>
  <c r="P16" i="86" s="1"/>
  <c r="F16" i="86"/>
  <c r="G16" i="86"/>
  <c r="H16" i="86"/>
  <c r="R16" i="86" s="1"/>
  <c r="I16" i="86"/>
  <c r="S16" i="86" s="1"/>
  <c r="J16" i="86"/>
  <c r="T16" i="86" s="1"/>
  <c r="AA16" i="86" s="1"/>
  <c r="L16" i="86"/>
  <c r="V16" i="86" s="1"/>
  <c r="AC16" i="86" s="1"/>
  <c r="M16" i="86"/>
  <c r="W16" i="86" s="1"/>
  <c r="N16" i="86"/>
  <c r="X16" i="86" s="1"/>
  <c r="O16" i="86"/>
  <c r="A17" i="86"/>
  <c r="C17" i="86"/>
  <c r="D17" i="86"/>
  <c r="P17" i="86" s="1"/>
  <c r="G17" i="86"/>
  <c r="H17" i="86"/>
  <c r="R17" i="86" s="1"/>
  <c r="I17" i="86"/>
  <c r="J17" i="86"/>
  <c r="T17" i="86" s="1"/>
  <c r="AA17" i="86" s="1"/>
  <c r="L17" i="86"/>
  <c r="M17" i="86"/>
  <c r="W17" i="86" s="1"/>
  <c r="N17" i="86"/>
  <c r="X17" i="86" s="1"/>
  <c r="O17" i="86"/>
  <c r="Y17" i="86" s="1"/>
  <c r="A18" i="86"/>
  <c r="C18" i="86"/>
  <c r="D18" i="86"/>
  <c r="P18" i="86" s="1"/>
  <c r="F18" i="86"/>
  <c r="G18" i="86"/>
  <c r="H18" i="86"/>
  <c r="R18" i="86" s="1"/>
  <c r="I18" i="86"/>
  <c r="S18" i="86" s="1"/>
  <c r="J18" i="86"/>
  <c r="T18" i="86" s="1"/>
  <c r="L18" i="86"/>
  <c r="M18" i="86"/>
  <c r="W18" i="86" s="1"/>
  <c r="AD18" i="86" s="1"/>
  <c r="N18" i="86"/>
  <c r="O18" i="86"/>
  <c r="A19" i="86"/>
  <c r="C19" i="86"/>
  <c r="D19" i="86"/>
  <c r="P19" i="86" s="1"/>
  <c r="G19" i="86"/>
  <c r="H19" i="86"/>
  <c r="R19" i="86" s="1"/>
  <c r="I19" i="86"/>
  <c r="J19" i="86"/>
  <c r="T19" i="86" s="1"/>
  <c r="L19" i="86"/>
  <c r="V19" i="86" s="1"/>
  <c r="M19" i="86"/>
  <c r="N19" i="86"/>
  <c r="X19" i="86" s="1"/>
  <c r="AE19" i="86" s="1"/>
  <c r="O19" i="86"/>
  <c r="Y19" i="86" s="1"/>
  <c r="AF19" i="86" s="1"/>
  <c r="A20" i="86"/>
  <c r="C20" i="86"/>
  <c r="D20" i="86"/>
  <c r="P20" i="86" s="1"/>
  <c r="F20" i="86"/>
  <c r="G20" i="86"/>
  <c r="H20" i="86"/>
  <c r="R20" i="86" s="1"/>
  <c r="I20" i="86"/>
  <c r="J20" i="86"/>
  <c r="T20" i="86" s="1"/>
  <c r="L20" i="86"/>
  <c r="V20" i="86" s="1"/>
  <c r="AC20" i="86" s="1"/>
  <c r="M20" i="86"/>
  <c r="W20" i="86" s="1"/>
  <c r="N20" i="86"/>
  <c r="X20" i="86" s="1"/>
  <c r="O20" i="86"/>
  <c r="Y20" i="86" s="1"/>
  <c r="A21" i="86"/>
  <c r="C21" i="86"/>
  <c r="D21" i="86"/>
  <c r="P21" i="86" s="1"/>
  <c r="G21" i="86"/>
  <c r="H21" i="86"/>
  <c r="R21" i="86" s="1"/>
  <c r="I21" i="86"/>
  <c r="S21" i="86" s="1"/>
  <c r="J21" i="86"/>
  <c r="T21" i="86" s="1"/>
  <c r="L21" i="86"/>
  <c r="M21" i="86"/>
  <c r="W21" i="86" s="1"/>
  <c r="N21" i="86"/>
  <c r="X21" i="86" s="1"/>
  <c r="O21" i="86"/>
  <c r="Y21" i="86" s="1"/>
  <c r="A22" i="86"/>
  <c r="C22" i="86"/>
  <c r="D22" i="86"/>
  <c r="P22" i="86" s="1"/>
  <c r="F22" i="86"/>
  <c r="G22" i="86"/>
  <c r="H22" i="86"/>
  <c r="R22" i="86" s="1"/>
  <c r="I22" i="86"/>
  <c r="S22" i="86" s="1"/>
  <c r="J22" i="86"/>
  <c r="L22" i="86"/>
  <c r="M22" i="86"/>
  <c r="N22" i="86"/>
  <c r="X22" i="86" s="1"/>
  <c r="O22" i="86"/>
  <c r="Y22" i="86" s="1"/>
  <c r="A23" i="86"/>
  <c r="C23" i="86"/>
  <c r="D23" i="86"/>
  <c r="P23" i="86" s="1"/>
  <c r="G23" i="86"/>
  <c r="H23" i="86"/>
  <c r="R23" i="86" s="1"/>
  <c r="I23" i="86"/>
  <c r="L23" i="86"/>
  <c r="V23" i="86" s="1"/>
  <c r="M23" i="86"/>
  <c r="W23" i="86" s="1"/>
  <c r="AD23" i="86" s="1"/>
  <c r="N23" i="86"/>
  <c r="X23" i="86" s="1"/>
  <c r="O23" i="86"/>
  <c r="A24" i="86"/>
  <c r="C24" i="86"/>
  <c r="D24" i="86"/>
  <c r="P24" i="86" s="1"/>
  <c r="F24" i="86"/>
  <c r="G24" i="86"/>
  <c r="H24" i="86"/>
  <c r="I24" i="86"/>
  <c r="L24" i="86"/>
  <c r="V24" i="86" s="1"/>
  <c r="N24" i="86"/>
  <c r="X24" i="86" s="1"/>
  <c r="AE24" i="86" s="1"/>
  <c r="O24" i="86"/>
  <c r="R24" i="86"/>
  <c r="A25" i="86"/>
  <c r="C25" i="86"/>
  <c r="D25" i="86"/>
  <c r="P25" i="86" s="1"/>
  <c r="G25" i="86"/>
  <c r="H25" i="86"/>
  <c r="R25" i="86" s="1"/>
  <c r="I25" i="86"/>
  <c r="J25" i="86"/>
  <c r="K25" i="86"/>
  <c r="L25" i="86"/>
  <c r="V25" i="86" s="1"/>
  <c r="M25" i="86"/>
  <c r="W25" i="86" s="1"/>
  <c r="N25" i="86"/>
  <c r="X25" i="86" s="1"/>
  <c r="AE25" i="86" s="1"/>
  <c r="O25" i="86"/>
  <c r="Y25" i="86" s="1"/>
  <c r="A26" i="86"/>
  <c r="C26" i="86"/>
  <c r="D26" i="86"/>
  <c r="P26" i="86" s="1"/>
  <c r="F26" i="86"/>
  <c r="G26" i="86"/>
  <c r="H26" i="86"/>
  <c r="R26" i="86" s="1"/>
  <c r="I26" i="86"/>
  <c r="S26" i="86" s="1"/>
  <c r="Z26" i="86" s="1"/>
  <c r="K26" i="86"/>
  <c r="M26" i="86"/>
  <c r="W26" i="86" s="1"/>
  <c r="N26" i="86"/>
  <c r="X26" i="86" s="1"/>
  <c r="A27" i="86"/>
  <c r="C27" i="86"/>
  <c r="D27" i="86"/>
  <c r="P27" i="86" s="1"/>
  <c r="G27" i="86"/>
  <c r="H27" i="86"/>
  <c r="I27" i="86"/>
  <c r="S27" i="86" s="1"/>
  <c r="K27" i="86"/>
  <c r="M27" i="86"/>
  <c r="W27" i="86" s="1"/>
  <c r="N27" i="86"/>
  <c r="X27" i="86" s="1"/>
  <c r="O27" i="86"/>
  <c r="Y27" i="86" s="1"/>
  <c r="R27" i="86"/>
  <c r="A4" i="113"/>
  <c r="B4" i="113"/>
  <c r="D4" i="113"/>
  <c r="F4" i="113"/>
  <c r="G4" i="113"/>
  <c r="S4" i="113" s="1"/>
  <c r="H4" i="113"/>
  <c r="I4" i="113"/>
  <c r="J4" i="113"/>
  <c r="AG4" i="113" s="1"/>
  <c r="K4" i="113"/>
  <c r="L4" i="113"/>
  <c r="M4" i="113"/>
  <c r="N4" i="113"/>
  <c r="R4" i="113"/>
  <c r="BC4" i="113"/>
  <c r="A5" i="113"/>
  <c r="B5" i="113"/>
  <c r="D5" i="113"/>
  <c r="F5" i="113"/>
  <c r="G5" i="113"/>
  <c r="T5" i="113" s="1"/>
  <c r="V5" i="113" s="1"/>
  <c r="H5" i="113"/>
  <c r="I5" i="113"/>
  <c r="J5" i="113"/>
  <c r="K5" i="113"/>
  <c r="L5" i="113"/>
  <c r="M5" i="113"/>
  <c r="BL5" i="113"/>
  <c r="A6" i="113"/>
  <c r="B6" i="113"/>
  <c r="D6" i="113"/>
  <c r="S6" i="113"/>
  <c r="F6" i="113"/>
  <c r="G6" i="113"/>
  <c r="H6" i="113"/>
  <c r="I6" i="113"/>
  <c r="AT6" i="113" s="1"/>
  <c r="AV6" i="113" s="1"/>
  <c r="J6" i="113"/>
  <c r="K6" i="113"/>
  <c r="L6" i="113"/>
  <c r="BJ6" i="113" s="1"/>
  <c r="M6" i="113"/>
  <c r="N6" i="113"/>
  <c r="A7" i="113"/>
  <c r="B7" i="113"/>
  <c r="D7" i="113"/>
  <c r="F7" i="113"/>
  <c r="G7" i="113"/>
  <c r="H7" i="113"/>
  <c r="M7" i="113"/>
  <c r="A8" i="113"/>
  <c r="B8" i="113"/>
  <c r="D8" i="113"/>
  <c r="F8" i="113"/>
  <c r="G8" i="113"/>
  <c r="H8" i="113"/>
  <c r="I8" i="113"/>
  <c r="K8" i="113"/>
  <c r="L8" i="113"/>
  <c r="M8" i="113"/>
  <c r="A9" i="113"/>
  <c r="B9" i="113"/>
  <c r="D9" i="113"/>
  <c r="F9" i="113"/>
  <c r="G9" i="113"/>
  <c r="S9" i="113" s="1"/>
  <c r="H9" i="113"/>
  <c r="J9" i="113"/>
  <c r="L9" i="113"/>
  <c r="BE9" i="113" s="1"/>
  <c r="M9" i="113"/>
  <c r="N9" i="113"/>
  <c r="A10" i="113"/>
  <c r="B10" i="113"/>
  <c r="D10" i="113"/>
  <c r="F10" i="113"/>
  <c r="G10" i="113"/>
  <c r="H10" i="113"/>
  <c r="J10" i="113"/>
  <c r="K10" i="113"/>
  <c r="L10" i="113"/>
  <c r="M10" i="113"/>
  <c r="AR10" i="113" s="1"/>
  <c r="N10" i="113"/>
  <c r="S10" i="113" s="1"/>
  <c r="A11" i="113"/>
  <c r="B11" i="113"/>
  <c r="D11" i="113"/>
  <c r="F11" i="113"/>
  <c r="G11" i="113"/>
  <c r="H11" i="113"/>
  <c r="J11" i="113"/>
  <c r="K11" i="113"/>
  <c r="M11" i="113"/>
  <c r="A12" i="113"/>
  <c r="B12" i="113"/>
  <c r="D12" i="113"/>
  <c r="E12" i="113"/>
  <c r="G12" i="113"/>
  <c r="H12" i="113"/>
  <c r="I12" i="113"/>
  <c r="R12" i="113" s="1"/>
  <c r="K12" i="113"/>
  <c r="L12" i="113"/>
  <c r="M12" i="113"/>
  <c r="N12" i="113"/>
  <c r="A13" i="113"/>
  <c r="B13" i="113"/>
  <c r="D13" i="113"/>
  <c r="E13" i="113"/>
  <c r="G13" i="113"/>
  <c r="H13" i="113"/>
  <c r="I13" i="113"/>
  <c r="J13" i="113"/>
  <c r="K13" i="113"/>
  <c r="L13" i="113"/>
  <c r="M13" i="113"/>
  <c r="Q13" i="113" s="1"/>
  <c r="N13" i="113"/>
  <c r="A14" i="113"/>
  <c r="B14" i="113"/>
  <c r="D14" i="113"/>
  <c r="E14" i="113"/>
  <c r="S14" i="113" s="1"/>
  <c r="G14" i="113"/>
  <c r="H14" i="113"/>
  <c r="I14" i="113"/>
  <c r="R14" i="113" s="1"/>
  <c r="J14" i="113"/>
  <c r="K14" i="113"/>
  <c r="L14" i="113"/>
  <c r="M14" i="113"/>
  <c r="N14" i="113"/>
  <c r="A15" i="113"/>
  <c r="B15" i="113"/>
  <c r="D15" i="113"/>
  <c r="E15" i="113"/>
  <c r="G15" i="113"/>
  <c r="H15" i="113"/>
  <c r="I15" i="113"/>
  <c r="K15" i="113"/>
  <c r="L15" i="113"/>
  <c r="M15" i="113"/>
  <c r="N15" i="113"/>
  <c r="A16" i="113"/>
  <c r="B16" i="113"/>
  <c r="D16" i="113"/>
  <c r="E16" i="113"/>
  <c r="G16" i="113"/>
  <c r="H16" i="113"/>
  <c r="I16" i="113"/>
  <c r="R16" i="113" s="1"/>
  <c r="K16" i="113"/>
  <c r="L16" i="113"/>
  <c r="M16" i="113"/>
  <c r="N16" i="113"/>
  <c r="A17" i="113"/>
  <c r="B17" i="113"/>
  <c r="D17" i="113"/>
  <c r="E17" i="113"/>
  <c r="G17" i="113"/>
  <c r="H17" i="113"/>
  <c r="I17" i="113"/>
  <c r="K17" i="113"/>
  <c r="L17" i="113"/>
  <c r="M17" i="113"/>
  <c r="N17" i="113"/>
  <c r="A18" i="113"/>
  <c r="B18" i="113"/>
  <c r="D18" i="113"/>
  <c r="E18" i="113"/>
  <c r="G18" i="113"/>
  <c r="H18" i="113"/>
  <c r="I18" i="113"/>
  <c r="K18" i="113"/>
  <c r="L18" i="113"/>
  <c r="M18" i="113"/>
  <c r="N18" i="113"/>
  <c r="A19" i="113"/>
  <c r="B19" i="113"/>
  <c r="D19" i="113"/>
  <c r="E19" i="113"/>
  <c r="G19" i="113"/>
  <c r="H19" i="113"/>
  <c r="I19" i="113"/>
  <c r="K19" i="113"/>
  <c r="L19" i="113"/>
  <c r="M19" i="113"/>
  <c r="N19" i="113"/>
  <c r="A20" i="113"/>
  <c r="B20" i="113"/>
  <c r="D20" i="113"/>
  <c r="E20" i="113"/>
  <c r="G20" i="113"/>
  <c r="H20" i="113"/>
  <c r="I20" i="113"/>
  <c r="O20" i="113" s="1"/>
  <c r="K20" i="113"/>
  <c r="L20" i="113"/>
  <c r="M20" i="113"/>
  <c r="N20" i="113"/>
  <c r="A21" i="113"/>
  <c r="B21" i="113"/>
  <c r="D21" i="113"/>
  <c r="E21" i="113"/>
  <c r="G21" i="113"/>
  <c r="S21" i="113" s="1"/>
  <c r="H21" i="113"/>
  <c r="I21" i="113"/>
  <c r="K21" i="113"/>
  <c r="L21" i="113"/>
  <c r="M21" i="113"/>
  <c r="N21" i="113"/>
  <c r="A22" i="113"/>
  <c r="B22" i="113"/>
  <c r="D22" i="113"/>
  <c r="S22" i="113"/>
  <c r="F22" i="113"/>
  <c r="G22" i="113"/>
  <c r="H22" i="113"/>
  <c r="K22" i="113"/>
  <c r="L22" i="113"/>
  <c r="M22" i="113"/>
  <c r="N22" i="113"/>
  <c r="A23" i="113"/>
  <c r="B23" i="113"/>
  <c r="D23" i="113"/>
  <c r="F23" i="113"/>
  <c r="G23" i="113"/>
  <c r="H23" i="113"/>
  <c r="K23" i="113"/>
  <c r="M23" i="113"/>
  <c r="N23" i="113"/>
  <c r="A24" i="113"/>
  <c r="B24" i="113"/>
  <c r="D24" i="113"/>
  <c r="F24" i="113"/>
  <c r="G24" i="113"/>
  <c r="H24" i="113"/>
  <c r="I24" i="113"/>
  <c r="J24" i="113"/>
  <c r="K24" i="113"/>
  <c r="L24" i="113"/>
  <c r="O24" i="113" s="1"/>
  <c r="M24" i="113"/>
  <c r="N24" i="113"/>
  <c r="R24" i="113" s="1"/>
  <c r="A25" i="113"/>
  <c r="B25" i="113"/>
  <c r="D25" i="113"/>
  <c r="F25" i="113"/>
  <c r="G25" i="113"/>
  <c r="H25" i="113"/>
  <c r="J25" i="113"/>
  <c r="L25" i="113"/>
  <c r="M25" i="113"/>
  <c r="A26" i="113"/>
  <c r="B26" i="113"/>
  <c r="D26" i="113"/>
  <c r="F26" i="113"/>
  <c r="G26" i="113"/>
  <c r="H26" i="113"/>
  <c r="J26" i="113"/>
  <c r="L26" i="113"/>
  <c r="M26" i="113"/>
  <c r="N26" i="113"/>
  <c r="S26" i="113" s="1"/>
  <c r="D3" i="113"/>
  <c r="A4" i="94"/>
  <c r="B4" i="94"/>
  <c r="D4" i="94"/>
  <c r="F4" i="94"/>
  <c r="H4" i="94" s="1"/>
  <c r="I4" i="94"/>
  <c r="J4" i="94"/>
  <c r="K4" i="94"/>
  <c r="L4" i="94"/>
  <c r="M4" i="94"/>
  <c r="N4" i="94"/>
  <c r="O4" i="94"/>
  <c r="P4" i="94"/>
  <c r="Q4" i="94"/>
  <c r="A5" i="94"/>
  <c r="B5" i="94"/>
  <c r="D5" i="94"/>
  <c r="F5" i="94"/>
  <c r="I5" i="94"/>
  <c r="BN5" i="94" s="1"/>
  <c r="J5" i="94"/>
  <c r="K5" i="94"/>
  <c r="L5" i="94"/>
  <c r="M5" i="94"/>
  <c r="N5" i="94"/>
  <c r="O5" i="94"/>
  <c r="P5" i="94"/>
  <c r="A6" i="94"/>
  <c r="B6" i="94"/>
  <c r="D6" i="94"/>
  <c r="F6" i="94"/>
  <c r="H6" i="94" s="1"/>
  <c r="I6" i="94"/>
  <c r="J6" i="94"/>
  <c r="K6" i="94"/>
  <c r="L6" i="94"/>
  <c r="M6" i="94"/>
  <c r="N6" i="94"/>
  <c r="BH6" i="94" s="1"/>
  <c r="O6" i="94"/>
  <c r="P6" i="94"/>
  <c r="Q6" i="94"/>
  <c r="A7" i="94"/>
  <c r="B7" i="94"/>
  <c r="D7" i="94"/>
  <c r="F7" i="94"/>
  <c r="G7" i="94" s="1"/>
  <c r="I7" i="94"/>
  <c r="J7" i="94"/>
  <c r="K7" i="94"/>
  <c r="P7" i="94"/>
  <c r="A8" i="94"/>
  <c r="B8" i="94"/>
  <c r="D8" i="94"/>
  <c r="F8" i="94"/>
  <c r="G8" i="94" s="1"/>
  <c r="I8" i="94"/>
  <c r="J8" i="94"/>
  <c r="K8" i="94"/>
  <c r="L8" i="94"/>
  <c r="N8" i="94"/>
  <c r="BW8" i="94" s="1"/>
  <c r="O8" i="94"/>
  <c r="BN8" i="94" s="1"/>
  <c r="P8" i="94"/>
  <c r="A9" i="94"/>
  <c r="B9" i="94"/>
  <c r="D9" i="94"/>
  <c r="F9" i="94"/>
  <c r="I9" i="94"/>
  <c r="J9" i="94"/>
  <c r="K9" i="94"/>
  <c r="M9" i="94"/>
  <c r="CK9" i="94" s="1"/>
  <c r="O9" i="94"/>
  <c r="P9" i="94"/>
  <c r="Q9" i="94"/>
  <c r="A10" i="94"/>
  <c r="B10" i="94"/>
  <c r="D10" i="94"/>
  <c r="F10" i="94"/>
  <c r="G10" i="94" s="1"/>
  <c r="I10" i="94"/>
  <c r="J10" i="94"/>
  <c r="K10" i="94"/>
  <c r="M10" i="94"/>
  <c r="N10" i="94"/>
  <c r="O10" i="94"/>
  <c r="P10" i="94"/>
  <c r="Q10" i="94"/>
  <c r="A11" i="94"/>
  <c r="B11" i="94"/>
  <c r="D11" i="94"/>
  <c r="F11" i="94"/>
  <c r="G11" i="94" s="1"/>
  <c r="I11" i="94"/>
  <c r="J11" i="94"/>
  <c r="K11" i="94"/>
  <c r="M11" i="94"/>
  <c r="N11" i="94"/>
  <c r="P11" i="94"/>
  <c r="A12" i="94"/>
  <c r="B12" i="94"/>
  <c r="D12" i="94"/>
  <c r="E12" i="94"/>
  <c r="F12" i="94"/>
  <c r="H12" i="94" s="1"/>
  <c r="J12" i="94"/>
  <c r="K12" i="94"/>
  <c r="L12" i="94"/>
  <c r="N12" i="94"/>
  <c r="O12" i="94"/>
  <c r="P12" i="94"/>
  <c r="Q12" i="94"/>
  <c r="A13" i="94"/>
  <c r="B13" i="94"/>
  <c r="D13" i="94"/>
  <c r="E13" i="94"/>
  <c r="F13" i="94"/>
  <c r="G13" i="94" s="1"/>
  <c r="J13" i="94"/>
  <c r="K13" i="94"/>
  <c r="L13" i="94"/>
  <c r="M13" i="94"/>
  <c r="N13" i="94"/>
  <c r="O13" i="94"/>
  <c r="P13" i="94"/>
  <c r="Q13" i="94"/>
  <c r="A14" i="94"/>
  <c r="B14" i="94"/>
  <c r="D14" i="94"/>
  <c r="E14" i="94"/>
  <c r="V14" i="94" s="1"/>
  <c r="F14" i="94"/>
  <c r="G14" i="94" s="1"/>
  <c r="J14" i="94"/>
  <c r="K14" i="94"/>
  <c r="L14" i="94"/>
  <c r="U14" i="94" s="1"/>
  <c r="M14" i="94"/>
  <c r="N14" i="94"/>
  <c r="O14" i="94"/>
  <c r="P14" i="94"/>
  <c r="T14" i="94" s="1"/>
  <c r="Q14" i="94"/>
  <c r="A15" i="94"/>
  <c r="B15" i="94"/>
  <c r="D15" i="94"/>
  <c r="E15" i="94"/>
  <c r="F15" i="94"/>
  <c r="G15" i="94" s="1"/>
  <c r="J15" i="94"/>
  <c r="K15" i="94"/>
  <c r="L15" i="94"/>
  <c r="N15" i="94"/>
  <c r="O15" i="94"/>
  <c r="P15" i="94"/>
  <c r="Q15" i="94"/>
  <c r="U15" i="94"/>
  <c r="A16" i="94"/>
  <c r="B16" i="94"/>
  <c r="D16" i="94"/>
  <c r="E16" i="94"/>
  <c r="F16" i="94"/>
  <c r="J16" i="94"/>
  <c r="K16" i="94"/>
  <c r="L16" i="94"/>
  <c r="N16" i="94"/>
  <c r="O16" i="94"/>
  <c r="P16" i="94"/>
  <c r="T16" i="94" s="1"/>
  <c r="Q16" i="94"/>
  <c r="A17" i="94"/>
  <c r="B17" i="94"/>
  <c r="D17" i="94"/>
  <c r="E17" i="94"/>
  <c r="F17" i="94"/>
  <c r="J17" i="94"/>
  <c r="K17" i="94"/>
  <c r="L17" i="94"/>
  <c r="N17" i="94"/>
  <c r="O17" i="94"/>
  <c r="P17" i="94"/>
  <c r="Q17" i="94"/>
  <c r="A18" i="94"/>
  <c r="B18" i="94"/>
  <c r="D18" i="94"/>
  <c r="E18" i="94"/>
  <c r="F18" i="94"/>
  <c r="G18" i="94" s="1"/>
  <c r="J18" i="94"/>
  <c r="K18" i="94"/>
  <c r="L18" i="94"/>
  <c r="N18" i="94"/>
  <c r="O18" i="94"/>
  <c r="P18" i="94"/>
  <c r="Q18" i="94"/>
  <c r="A19" i="94"/>
  <c r="B19" i="94"/>
  <c r="D19" i="94"/>
  <c r="E19" i="94"/>
  <c r="F19" i="94"/>
  <c r="G19" i="94" s="1"/>
  <c r="J19" i="94"/>
  <c r="K19" i="94"/>
  <c r="L19" i="94"/>
  <c r="N19" i="94"/>
  <c r="O19" i="94"/>
  <c r="P19" i="94"/>
  <c r="Q19" i="94"/>
  <c r="A20" i="94"/>
  <c r="B20" i="94"/>
  <c r="D20" i="94"/>
  <c r="E20" i="94"/>
  <c r="F20" i="94"/>
  <c r="J20" i="94"/>
  <c r="K20" i="94"/>
  <c r="L20" i="94"/>
  <c r="N20" i="94"/>
  <c r="O20" i="94"/>
  <c r="P20" i="94"/>
  <c r="Q20" i="94"/>
  <c r="A21" i="94"/>
  <c r="B21" i="94"/>
  <c r="D21" i="94"/>
  <c r="E21" i="94"/>
  <c r="F21" i="94"/>
  <c r="J21" i="94"/>
  <c r="K21" i="94"/>
  <c r="L21" i="94"/>
  <c r="N21" i="94"/>
  <c r="O21" i="94"/>
  <c r="R21" i="94" s="1"/>
  <c r="P21" i="94"/>
  <c r="Q21" i="94"/>
  <c r="T21" i="94" s="1"/>
  <c r="A22" i="94"/>
  <c r="B22" i="94"/>
  <c r="D22" i="94"/>
  <c r="F22" i="94"/>
  <c r="H22" i="94" s="1"/>
  <c r="G22" i="94"/>
  <c r="I22" i="94"/>
  <c r="J22" i="94"/>
  <c r="K22" i="94"/>
  <c r="N22" i="94"/>
  <c r="O22" i="94"/>
  <c r="P22" i="94"/>
  <c r="Q22" i="94"/>
  <c r="A23" i="94"/>
  <c r="B23" i="94"/>
  <c r="D23" i="94"/>
  <c r="F23" i="94"/>
  <c r="H23" i="94" s="1"/>
  <c r="I23" i="94"/>
  <c r="J23" i="94"/>
  <c r="K23" i="94"/>
  <c r="N23" i="94"/>
  <c r="P23" i="94"/>
  <c r="Q23" i="94"/>
  <c r="T23" i="94"/>
  <c r="A24" i="94"/>
  <c r="B24" i="94"/>
  <c r="D24" i="94"/>
  <c r="F24" i="94"/>
  <c r="G24" i="94" s="1"/>
  <c r="I24" i="94"/>
  <c r="J24" i="94"/>
  <c r="K24" i="94"/>
  <c r="L24" i="94"/>
  <c r="AQ24" i="94" s="1"/>
  <c r="AS24" i="94" s="1"/>
  <c r="M24" i="94"/>
  <c r="N24" i="94"/>
  <c r="O24" i="94"/>
  <c r="P24" i="94"/>
  <c r="Q24" i="94"/>
  <c r="A25" i="94"/>
  <c r="B25" i="94"/>
  <c r="D25" i="94"/>
  <c r="F25" i="94"/>
  <c r="H25" i="94" s="1"/>
  <c r="I25" i="94"/>
  <c r="J25" i="94"/>
  <c r="K25" i="94"/>
  <c r="M25" i="94"/>
  <c r="O25" i="94"/>
  <c r="P25" i="94"/>
  <c r="A26" i="94"/>
  <c r="B26" i="94"/>
  <c r="D26" i="94"/>
  <c r="F26" i="94"/>
  <c r="G26" i="94" s="1"/>
  <c r="I26" i="94"/>
  <c r="J26" i="94"/>
  <c r="K26" i="94"/>
  <c r="M26" i="94"/>
  <c r="AK26" i="94" s="1"/>
  <c r="O26" i="94"/>
  <c r="BI26" i="94" s="1"/>
  <c r="P26" i="94"/>
  <c r="S26" i="94" s="1"/>
  <c r="Q26" i="94"/>
  <c r="V26" i="94" s="1"/>
  <c r="CK26" i="94"/>
  <c r="D3" i="94"/>
  <c r="A4" i="76"/>
  <c r="B4" i="76"/>
  <c r="C4" i="76"/>
  <c r="G4" i="76" s="1"/>
  <c r="H4" i="76" s="1"/>
  <c r="D4" i="76"/>
  <c r="E4" i="76" s="1"/>
  <c r="A5" i="76"/>
  <c r="B5" i="76"/>
  <c r="C5" i="76"/>
  <c r="D5" i="76"/>
  <c r="E5" i="76" s="1"/>
  <c r="F5" i="76" s="1"/>
  <c r="G5" i="76"/>
  <c r="A6" i="76"/>
  <c r="B6" i="76"/>
  <c r="C6" i="76"/>
  <c r="G6" i="76" s="1"/>
  <c r="D6" i="76"/>
  <c r="E6" i="76" s="1"/>
  <c r="F6" i="76" s="1"/>
  <c r="A7" i="76"/>
  <c r="B7" i="76"/>
  <c r="C7" i="76"/>
  <c r="G7" i="76" s="1"/>
  <c r="D7" i="76"/>
  <c r="E7" i="76" s="1"/>
  <c r="F7" i="76" s="1"/>
  <c r="A8" i="76"/>
  <c r="B8" i="76"/>
  <c r="C8" i="76"/>
  <c r="D8" i="76"/>
  <c r="E8" i="76" s="1"/>
  <c r="G8" i="76"/>
  <c r="H8" i="76" s="1"/>
  <c r="A9" i="76"/>
  <c r="B9" i="76"/>
  <c r="C9" i="76"/>
  <c r="G9" i="76" s="1"/>
  <c r="D9" i="76"/>
  <c r="E9" i="76" s="1"/>
  <c r="F9" i="76" s="1"/>
  <c r="A10" i="76"/>
  <c r="B10" i="76"/>
  <c r="C10" i="76"/>
  <c r="G10" i="76" s="1"/>
  <c r="D10" i="76"/>
  <c r="E10" i="76" s="1"/>
  <c r="F10" i="76" s="1"/>
  <c r="A11" i="76"/>
  <c r="B11" i="76"/>
  <c r="C11" i="76"/>
  <c r="D11" i="76"/>
  <c r="E11" i="76" s="1"/>
  <c r="G11" i="76"/>
  <c r="H11" i="76" s="1"/>
  <c r="A12" i="76"/>
  <c r="B12" i="76"/>
  <c r="C12" i="76"/>
  <c r="G12" i="76" s="1"/>
  <c r="D12" i="76"/>
  <c r="E12" i="76" s="1"/>
  <c r="F12" i="76" s="1"/>
  <c r="A13" i="76"/>
  <c r="B13" i="76"/>
  <c r="C13" i="76"/>
  <c r="G13" i="76" s="1"/>
  <c r="D13" i="76"/>
  <c r="E13" i="76" s="1"/>
  <c r="F13" i="76" s="1"/>
  <c r="A14" i="76"/>
  <c r="B14" i="76"/>
  <c r="C14" i="76"/>
  <c r="G14" i="76" s="1"/>
  <c r="D14" i="76"/>
  <c r="E14" i="76" s="1"/>
  <c r="F14" i="76" s="1"/>
  <c r="A15" i="76"/>
  <c r="B15" i="76"/>
  <c r="C15" i="76"/>
  <c r="G15" i="76" s="1"/>
  <c r="H15" i="76" s="1"/>
  <c r="D15" i="76"/>
  <c r="E15" i="76" s="1"/>
  <c r="A16" i="76"/>
  <c r="B16" i="76"/>
  <c r="C16" i="76"/>
  <c r="G16" i="76" s="1"/>
  <c r="D16" i="76"/>
  <c r="E16" i="76" s="1"/>
  <c r="F16" i="76" s="1"/>
  <c r="A17" i="76"/>
  <c r="B17" i="76"/>
  <c r="C17" i="76"/>
  <c r="G17" i="76" s="1"/>
  <c r="D17" i="76"/>
  <c r="E17" i="76" s="1"/>
  <c r="F17" i="76" s="1"/>
  <c r="A18" i="76"/>
  <c r="B18" i="76"/>
  <c r="C18" i="76"/>
  <c r="G18" i="76" s="1"/>
  <c r="D18" i="76"/>
  <c r="E18" i="76" s="1"/>
  <c r="F18" i="76" s="1"/>
  <c r="A19" i="76"/>
  <c r="B19" i="76"/>
  <c r="C19" i="76"/>
  <c r="D19" i="76"/>
  <c r="E19" i="76" s="1"/>
  <c r="G19" i="76"/>
  <c r="H19" i="76" s="1"/>
  <c r="A20" i="76"/>
  <c r="B20" i="76"/>
  <c r="C20" i="76"/>
  <c r="G20" i="76" s="1"/>
  <c r="D20" i="76"/>
  <c r="E20" i="76" s="1"/>
  <c r="F20" i="76" s="1"/>
  <c r="A21" i="76"/>
  <c r="B21" i="76"/>
  <c r="C21" i="76"/>
  <c r="G21" i="76" s="1"/>
  <c r="D21" i="76"/>
  <c r="E21" i="76" s="1"/>
  <c r="F21" i="76" s="1"/>
  <c r="A22" i="76"/>
  <c r="B22" i="76"/>
  <c r="C22" i="76"/>
  <c r="G22" i="76" s="1"/>
  <c r="D22" i="76"/>
  <c r="E22" i="76" s="1"/>
  <c r="F22" i="76" s="1"/>
  <c r="A23" i="76"/>
  <c r="B23" i="76"/>
  <c r="C23" i="76"/>
  <c r="G23" i="76" s="1"/>
  <c r="H23" i="76" s="1"/>
  <c r="D23" i="76"/>
  <c r="E23" i="76" s="1"/>
  <c r="A24" i="76"/>
  <c r="B24" i="76"/>
  <c r="C24" i="76"/>
  <c r="G24" i="76" s="1"/>
  <c r="D24" i="76"/>
  <c r="E24" i="76" s="1"/>
  <c r="F24" i="76" s="1"/>
  <c r="A25" i="76"/>
  <c r="B25" i="76"/>
  <c r="C25" i="76"/>
  <c r="G25" i="76" s="1"/>
  <c r="D25" i="76"/>
  <c r="E25" i="76" s="1"/>
  <c r="F25" i="76" s="1"/>
  <c r="A26" i="76"/>
  <c r="B26" i="76"/>
  <c r="C26" i="76"/>
  <c r="G26" i="76" s="1"/>
  <c r="D26" i="76"/>
  <c r="E26" i="76" s="1"/>
  <c r="F26" i="76" s="1"/>
  <c r="A3" i="102"/>
  <c r="C3" i="102"/>
  <c r="D3" i="102"/>
  <c r="A4" i="102"/>
  <c r="C4" i="102"/>
  <c r="A5" i="102"/>
  <c r="C5" i="102"/>
  <c r="D5" i="102"/>
  <c r="A6" i="102"/>
  <c r="C6" i="102"/>
  <c r="A7" i="102"/>
  <c r="C7" i="102"/>
  <c r="A8" i="102"/>
  <c r="C8" i="102"/>
  <c r="D8" i="102"/>
  <c r="A9" i="102"/>
  <c r="C9" i="102"/>
  <c r="D9" i="102"/>
  <c r="A10" i="102"/>
  <c r="C10" i="102"/>
  <c r="A11" i="102"/>
  <c r="C11" i="102"/>
  <c r="D11" i="102"/>
  <c r="A12" i="102"/>
  <c r="C12" i="102"/>
  <c r="D12" i="102"/>
  <c r="A13" i="102"/>
  <c r="C13" i="102"/>
  <c r="D13" i="102"/>
  <c r="A14" i="102"/>
  <c r="C14" i="102"/>
  <c r="D14" i="102"/>
  <c r="A15" i="102"/>
  <c r="C15" i="102"/>
  <c r="D15" i="102"/>
  <c r="A16" i="102"/>
  <c r="C16" i="102"/>
  <c r="D16" i="102"/>
  <c r="A17" i="102"/>
  <c r="C17" i="102"/>
  <c r="D17" i="102"/>
  <c r="A18" i="102"/>
  <c r="C18" i="102"/>
  <c r="D18" i="102"/>
  <c r="A19" i="102"/>
  <c r="C19" i="102"/>
  <c r="D19" i="102"/>
  <c r="A20" i="102"/>
  <c r="C20" i="102"/>
  <c r="D20" i="102"/>
  <c r="A21" i="102"/>
  <c r="C21" i="102"/>
  <c r="D21" i="102"/>
  <c r="A22" i="102"/>
  <c r="C22" i="102"/>
  <c r="D22" i="102"/>
  <c r="A23" i="102"/>
  <c r="C23" i="102"/>
  <c r="D23" i="102"/>
  <c r="A24" i="102"/>
  <c r="C24" i="102"/>
  <c r="A25" i="102"/>
  <c r="C25" i="102"/>
  <c r="D25" i="102"/>
  <c r="A3" i="83"/>
  <c r="A4" i="83"/>
  <c r="A5" i="83"/>
  <c r="A6" i="83"/>
  <c r="A7" i="83"/>
  <c r="A8" i="83"/>
  <c r="A9" i="83"/>
  <c r="A10" i="83"/>
  <c r="A11" i="83"/>
  <c r="A12" i="83"/>
  <c r="A13" i="83"/>
  <c r="A14" i="83"/>
  <c r="A15" i="83"/>
  <c r="A16" i="83"/>
  <c r="A17" i="83"/>
  <c r="A18" i="83"/>
  <c r="A19" i="83"/>
  <c r="A20" i="83"/>
  <c r="A21" i="83"/>
  <c r="A22" i="83"/>
  <c r="A23" i="83"/>
  <c r="A24" i="83"/>
  <c r="A25" i="83"/>
  <c r="AR26" i="113" l="1"/>
  <c r="AK22" i="113"/>
  <c r="R21" i="113"/>
  <c r="O15" i="113"/>
  <c r="BM9" i="113"/>
  <c r="AH6" i="113"/>
  <c r="AF5" i="113"/>
  <c r="AU4" i="113"/>
  <c r="BO8" i="113"/>
  <c r="BY6" i="113"/>
  <c r="U5" i="113"/>
  <c r="AM4" i="113"/>
  <c r="AO4" i="113" s="1"/>
  <c r="AW9" i="113"/>
  <c r="AF6" i="113"/>
  <c r="AP5" i="113"/>
  <c r="AG9" i="113"/>
  <c r="U6" i="113"/>
  <c r="P4" i="113"/>
  <c r="AD10" i="113"/>
  <c r="R12" i="94"/>
  <c r="AI8" i="94"/>
  <c r="T15" i="94"/>
  <c r="T17" i="94"/>
  <c r="BV26" i="94"/>
  <c r="CD26" i="94"/>
  <c r="AF24" i="94"/>
  <c r="V9" i="94"/>
  <c r="W9" i="94" s="1"/>
  <c r="AO6" i="94"/>
  <c r="AB6" i="94"/>
  <c r="AH26" i="94"/>
  <c r="BS10" i="94"/>
  <c r="Y4" i="94"/>
  <c r="H26" i="94"/>
  <c r="W10" i="94"/>
  <c r="H7" i="94"/>
  <c r="R6" i="94"/>
  <c r="W4" i="94"/>
  <c r="V23" i="94"/>
  <c r="CI8" i="94"/>
  <c r="AD11" i="94"/>
  <c r="R19" i="113"/>
  <c r="V17" i="94"/>
  <c r="F19" i="76"/>
  <c r="J19" i="76" s="1"/>
  <c r="I19" i="76"/>
  <c r="I24" i="76"/>
  <c r="H24" i="76"/>
  <c r="J24" i="76" s="1"/>
  <c r="F15" i="76"/>
  <c r="J15" i="76" s="1"/>
  <c r="I15" i="76"/>
  <c r="I9" i="76"/>
  <c r="H9" i="76"/>
  <c r="J9" i="76" s="1"/>
  <c r="I20" i="76"/>
  <c r="H20" i="76"/>
  <c r="J20" i="76" s="1"/>
  <c r="F11" i="76"/>
  <c r="I11" i="76"/>
  <c r="F23" i="76"/>
  <c r="I23" i="76"/>
  <c r="I16" i="76"/>
  <c r="H16" i="76"/>
  <c r="J16" i="76" s="1"/>
  <c r="F8" i="76"/>
  <c r="J8" i="76" s="1"/>
  <c r="I8" i="76"/>
  <c r="I12" i="76"/>
  <c r="H12" i="76"/>
  <c r="J12" i="76" s="1"/>
  <c r="Q23" i="113"/>
  <c r="S23" i="113"/>
  <c r="BS4" i="113"/>
  <c r="CB4" i="113"/>
  <c r="O4" i="113"/>
  <c r="AL4" i="113" s="1"/>
  <c r="V13" i="86"/>
  <c r="AC13" i="86" s="1"/>
  <c r="S23" i="94"/>
  <c r="S7" i="86"/>
  <c r="Z7" i="86" s="1"/>
  <c r="S24" i="94"/>
  <c r="CA26" i="94"/>
  <c r="H24" i="94"/>
  <c r="BZ26" i="113"/>
  <c r="S24" i="113"/>
  <c r="V14" i="86"/>
  <c r="AC14" i="86" s="1"/>
  <c r="V22" i="94"/>
  <c r="W22" i="94" s="1"/>
  <c r="AO22" i="94"/>
  <c r="CA10" i="94"/>
  <c r="BN10" i="94"/>
  <c r="BC8" i="94"/>
  <c r="CE8" i="94"/>
  <c r="CG8" i="94" s="1"/>
  <c r="AP24" i="113"/>
  <c r="AD24" i="113"/>
  <c r="BC24" i="113"/>
  <c r="CA24" i="113"/>
  <c r="CC24" i="113" s="1"/>
  <c r="AJ8" i="113"/>
  <c r="AT8" i="113"/>
  <c r="AV8" i="113" s="1"/>
  <c r="T8" i="113"/>
  <c r="V8" i="113" s="1"/>
  <c r="AA8" i="113"/>
  <c r="AC8" i="113" s="1"/>
  <c r="J11" i="76"/>
  <c r="I5" i="76"/>
  <c r="CA24" i="94"/>
  <c r="S22" i="94"/>
  <c r="V10" i="94"/>
  <c r="BE5" i="94"/>
  <c r="AG6" i="113"/>
  <c r="BR6" i="113"/>
  <c r="J23" i="76"/>
  <c r="BL26" i="94"/>
  <c r="U20" i="94"/>
  <c r="T4" i="94"/>
  <c r="V4" i="94"/>
  <c r="V17" i="86"/>
  <c r="AC17" i="86" s="1"/>
  <c r="W24" i="94"/>
  <c r="AA24" i="94"/>
  <c r="AC24" i="94" s="1"/>
  <c r="BR5" i="94"/>
  <c r="AL5" i="94"/>
  <c r="BB26" i="94"/>
  <c r="BD26" i="94" s="1"/>
  <c r="G25" i="94"/>
  <c r="V24" i="94"/>
  <c r="V16" i="94"/>
  <c r="AB8" i="113"/>
  <c r="U27" i="86"/>
  <c r="AB27" i="86" s="1"/>
  <c r="X18" i="86"/>
  <c r="AE18" i="86" s="1"/>
  <c r="AD9" i="86"/>
  <c r="W9" i="86"/>
  <c r="BR4" i="94"/>
  <c r="P24" i="113"/>
  <c r="S13" i="113"/>
  <c r="BQ5" i="113"/>
  <c r="AE15" i="86"/>
  <c r="AE10" i="86"/>
  <c r="AC9" i="86"/>
  <c r="S19" i="86"/>
  <c r="Z19" i="86" s="1"/>
  <c r="Y16" i="86"/>
  <c r="AF16" i="86" s="1"/>
  <c r="CA10" i="113"/>
  <c r="CC10" i="113" s="1"/>
  <c r="BG8" i="113"/>
  <c r="Z27" i="86"/>
  <c r="Z23" i="86"/>
  <c r="AE22" i="86"/>
  <c r="AE16" i="86"/>
  <c r="AE12" i="86"/>
  <c r="AC11" i="86"/>
  <c r="X6" i="86"/>
  <c r="AE6" i="86" s="1"/>
  <c r="V21" i="86"/>
  <c r="AC21" i="86" s="1"/>
  <c r="BH22" i="94"/>
  <c r="T19" i="94"/>
  <c r="V19" i="94"/>
  <c r="CB10" i="94"/>
  <c r="T6" i="94"/>
  <c r="G4" i="94"/>
  <c r="BJ26" i="113"/>
  <c r="P23" i="113"/>
  <c r="Q20" i="113"/>
  <c r="S20" i="113"/>
  <c r="S18" i="113"/>
  <c r="Q16" i="113"/>
  <c r="O6" i="113"/>
  <c r="AL6" i="113" s="1"/>
  <c r="BB6" i="113"/>
  <c r="BA5" i="113"/>
  <c r="AA25" i="86"/>
  <c r="W6" i="86"/>
  <c r="AD6" i="86" s="1"/>
  <c r="V18" i="86"/>
  <c r="AC18" i="86" s="1"/>
  <c r="W15" i="86"/>
  <c r="AD15" i="86" s="1"/>
  <c r="CE22" i="94"/>
  <c r="CG22" i="94" s="1"/>
  <c r="U17" i="94"/>
  <c r="AL11" i="94"/>
  <c r="CI10" i="94"/>
  <c r="H10" i="94"/>
  <c r="AP6" i="94"/>
  <c r="BZ25" i="113"/>
  <c r="AL24" i="113"/>
  <c r="BM11" i="113"/>
  <c r="BW9" i="113"/>
  <c r="AR8" i="113"/>
  <c r="R6" i="113"/>
  <c r="AU5" i="113"/>
  <c r="BJ5" i="113"/>
  <c r="AF27" i="86"/>
  <c r="Z25" i="86"/>
  <c r="AF23" i="86"/>
  <c r="T9" i="86"/>
  <c r="AA9" i="86" s="1"/>
  <c r="X7" i="86"/>
  <c r="AE7" i="86" s="1"/>
  <c r="V6" i="86"/>
  <c r="AC6" i="86" s="1"/>
  <c r="V15" i="86"/>
  <c r="AC15" i="86" s="1"/>
  <c r="AT11" i="94"/>
  <c r="AU10" i="94"/>
  <c r="AW10" i="94" s="1"/>
  <c r="BM6" i="94"/>
  <c r="BB5" i="94"/>
  <c r="BD5" i="94" s="1"/>
  <c r="AG26" i="113"/>
  <c r="O16" i="113"/>
  <c r="R15" i="113"/>
  <c r="BN10" i="113"/>
  <c r="BR9" i="113"/>
  <c r="AY8" i="113"/>
  <c r="BQ6" i="113"/>
  <c r="BT4" i="113"/>
  <c r="AE27" i="86"/>
  <c r="AE23" i="86"/>
  <c r="Z18" i="86"/>
  <c r="U10" i="86"/>
  <c r="AB10" i="86" s="1"/>
  <c r="U6" i="86"/>
  <c r="AB6" i="86" s="1"/>
  <c r="U25" i="86"/>
  <c r="AB25" i="86" s="1"/>
  <c r="S23" i="86"/>
  <c r="V20" i="94"/>
  <c r="W20" i="94" s="1"/>
  <c r="R17" i="94"/>
  <c r="CH5" i="94"/>
  <c r="CJ5" i="94" s="1"/>
  <c r="BC10" i="113"/>
  <c r="CE9" i="113"/>
  <c r="BX8" i="113"/>
  <c r="AD27" i="86"/>
  <c r="AF25" i="86"/>
  <c r="AF24" i="86"/>
  <c r="AE20" i="86"/>
  <c r="AE13" i="86"/>
  <c r="Z10" i="86"/>
  <c r="T6" i="86"/>
  <c r="AA6" i="86" s="1"/>
  <c r="U26" i="86"/>
  <c r="AB26" i="86" s="1"/>
  <c r="T25" i="86"/>
  <c r="S24" i="86"/>
  <c r="Z24" i="86" s="1"/>
  <c r="W22" i="86"/>
  <c r="AD22" i="86" s="1"/>
  <c r="S20" i="86"/>
  <c r="Z20" i="86" s="1"/>
  <c r="T22" i="86"/>
  <c r="AA22" i="86" s="1"/>
  <c r="BL10" i="94"/>
  <c r="CI6" i="94"/>
  <c r="U6" i="94"/>
  <c r="BE4" i="94"/>
  <c r="AN24" i="113"/>
  <c r="Q19" i="113"/>
  <c r="S19" i="113"/>
  <c r="S17" i="113"/>
  <c r="O14" i="113"/>
  <c r="O12" i="113"/>
  <c r="AH11" i="113"/>
  <c r="Q10" i="113"/>
  <c r="X5" i="113"/>
  <c r="AA5" i="113"/>
  <c r="AC5" i="113" s="1"/>
  <c r="AY4" i="113"/>
  <c r="AC23" i="86"/>
  <c r="AD20" i="86"/>
  <c r="AD17" i="86"/>
  <c r="AD14" i="86"/>
  <c r="AD13" i="86"/>
  <c r="Z12" i="86"/>
  <c r="AF11" i="86"/>
  <c r="AE9" i="86"/>
  <c r="AA7" i="86"/>
  <c r="Z6" i="86"/>
  <c r="W11" i="86"/>
  <c r="AD11" i="86" s="1"/>
  <c r="U7" i="86"/>
  <c r="AB7" i="86" s="1"/>
  <c r="S25" i="86"/>
  <c r="Y23" i="86"/>
  <c r="V22" i="86"/>
  <c r="AC22" i="86" s="1"/>
  <c r="W19" i="86"/>
  <c r="AD19" i="86" s="1"/>
  <c r="S17" i="86"/>
  <c r="Z17" i="86" s="1"/>
  <c r="Y18" i="86"/>
  <c r="AF18" i="86" s="1"/>
  <c r="AF15" i="86"/>
  <c r="AF17" i="86"/>
  <c r="AF21" i="86"/>
  <c r="AF13" i="86"/>
  <c r="AE17" i="86"/>
  <c r="AE14" i="86"/>
  <c r="AB15" i="86"/>
  <c r="AA20" i="86"/>
  <c r="AA19" i="86"/>
  <c r="AA21" i="86"/>
  <c r="AA18" i="86"/>
  <c r="AA14" i="86"/>
  <c r="AA13" i="86"/>
  <c r="Z21" i="86"/>
  <c r="AF20" i="86"/>
  <c r="Z16" i="86"/>
  <c r="AF14" i="86"/>
  <c r="Z22" i="86"/>
  <c r="AD25" i="86"/>
  <c r="AE21" i="86"/>
  <c r="AC19" i="86"/>
  <c r="AE26" i="86"/>
  <c r="AC25" i="86"/>
  <c r="AC24" i="86"/>
  <c r="AF22" i="86"/>
  <c r="AD21" i="86"/>
  <c r="AD16" i="86"/>
  <c r="AB14" i="86"/>
  <c r="AD26" i="86"/>
  <c r="AE11" i="86"/>
  <c r="AC7" i="86"/>
  <c r="AB11" i="86"/>
  <c r="AD10" i="86"/>
  <c r="AC12" i="86"/>
  <c r="AB12" i="86"/>
  <c r="AF7" i="86"/>
  <c r="Z11" i="86"/>
  <c r="Z8" i="86"/>
  <c r="CG26" i="113"/>
  <c r="AK26" i="113"/>
  <c r="Z26" i="113"/>
  <c r="CB24" i="113"/>
  <c r="AF24" i="113"/>
  <c r="Q12" i="113"/>
  <c r="BX10" i="113"/>
  <c r="AG10" i="113"/>
  <c r="BW10" i="113"/>
  <c r="BP8" i="113"/>
  <c r="CE8" i="113"/>
  <c r="BT6" i="113"/>
  <c r="AN6" i="113"/>
  <c r="BT5" i="113"/>
  <c r="BF5" i="113"/>
  <c r="AM5" i="113"/>
  <c r="AO5" i="113" s="1"/>
  <c r="Z5" i="113"/>
  <c r="AR5" i="113"/>
  <c r="BK4" i="113"/>
  <c r="Q4" i="113"/>
  <c r="AA4" i="113"/>
  <c r="AC4" i="113" s="1"/>
  <c r="BO24" i="113"/>
  <c r="AA24" i="113"/>
  <c r="AC24" i="113" s="1"/>
  <c r="BM10" i="113"/>
  <c r="BC9" i="113"/>
  <c r="AX9" i="113"/>
  <c r="AZ9" i="113" s="1"/>
  <c r="BP5" i="113"/>
  <c r="AY5" i="113"/>
  <c r="AJ5" i="113"/>
  <c r="W5" i="113"/>
  <c r="Y5" i="113" s="1"/>
  <c r="BN5" i="113"/>
  <c r="AP26" i="113"/>
  <c r="BN24" i="113"/>
  <c r="BW24" i="113"/>
  <c r="BE10" i="113"/>
  <c r="W8" i="113"/>
  <c r="Y8" i="113" s="1"/>
  <c r="BL6" i="113"/>
  <c r="X6" i="113"/>
  <c r="CG5" i="113"/>
  <c r="BO5" i="113"/>
  <c r="AX5" i="113"/>
  <c r="AZ5" i="113" s="1"/>
  <c r="AI5" i="113"/>
  <c r="AN4" i="113"/>
  <c r="CE5" i="113"/>
  <c r="BM26" i="113"/>
  <c r="BB24" i="113"/>
  <c r="S15" i="113"/>
  <c r="BO9" i="113"/>
  <c r="CG6" i="113"/>
  <c r="BI6" i="113"/>
  <c r="BY5" i="113"/>
  <c r="BK5" i="113"/>
  <c r="AQ5" i="113"/>
  <c r="AS5" i="113" s="1"/>
  <c r="AE5" i="113"/>
  <c r="CA4" i="113"/>
  <c r="CC4" i="113" s="1"/>
  <c r="AE4" i="113"/>
  <c r="BO25" i="113"/>
  <c r="AT24" i="113"/>
  <c r="AV24" i="113" s="1"/>
  <c r="O18" i="113"/>
  <c r="R13" i="113"/>
  <c r="BZ10" i="113"/>
  <c r="AX10" i="113"/>
  <c r="AZ10" i="113" s="1"/>
  <c r="AQ9" i="113"/>
  <c r="AS9" i="113" s="1"/>
  <c r="Q9" i="113"/>
  <c r="CB6" i="113"/>
  <c r="BD6" i="113"/>
  <c r="BW5" i="113"/>
  <c r="BI5" i="113"/>
  <c r="AB5" i="113"/>
  <c r="AT5" i="113"/>
  <c r="AV5" i="113" s="1"/>
  <c r="W4" i="113"/>
  <c r="Y4" i="113" s="1"/>
  <c r="BE25" i="113"/>
  <c r="S16" i="113"/>
  <c r="AP11" i="113"/>
  <c r="BY10" i="113"/>
  <c r="AK10" i="113"/>
  <c r="BV5" i="113"/>
  <c r="BG5" i="113"/>
  <c r="AN5" i="113"/>
  <c r="T24" i="113"/>
  <c r="V24" i="113" s="1"/>
  <c r="U24" i="113"/>
  <c r="BY26" i="113"/>
  <c r="AY26" i="113"/>
  <c r="CE26" i="113"/>
  <c r="Z25" i="113"/>
  <c r="CD24" i="113"/>
  <c r="CF24" i="113" s="1"/>
  <c r="BR24" i="113"/>
  <c r="BD24" i="113"/>
  <c r="AQ24" i="113"/>
  <c r="AS24" i="113" s="1"/>
  <c r="AE24" i="113"/>
  <c r="AH23" i="113"/>
  <c r="BS22" i="113"/>
  <c r="O21" i="113"/>
  <c r="AR25" i="113"/>
  <c r="BO22" i="113"/>
  <c r="AY22" i="113"/>
  <c r="AR22" i="113"/>
  <c r="R17" i="113"/>
  <c r="T4" i="113"/>
  <c r="V4" i="113" s="1"/>
  <c r="U4" i="113"/>
  <c r="BY25" i="113"/>
  <c r="AD26" i="113"/>
  <c r="BW26" i="113"/>
  <c r="BC26" i="113"/>
  <c r="BW25" i="113"/>
  <c r="BM25" i="113"/>
  <c r="AQ25" i="113"/>
  <c r="AS25" i="113" s="1"/>
  <c r="AG25" i="113"/>
  <c r="BZ24" i="113"/>
  <c r="BL24" i="113"/>
  <c r="AY24" i="113"/>
  <c r="AM24" i="113"/>
  <c r="AO24" i="113" s="1"/>
  <c r="Z24" i="113"/>
  <c r="AK24" i="113"/>
  <c r="AB24" i="113"/>
  <c r="AJ24" i="113"/>
  <c r="AR24" i="113"/>
  <c r="BP24" i="113"/>
  <c r="BA24" i="113"/>
  <c r="BQ24" i="113"/>
  <c r="BU24" i="113"/>
  <c r="CE22" i="113"/>
  <c r="AQ26" i="113"/>
  <c r="AS26" i="113" s="1"/>
  <c r="BO26" i="113"/>
  <c r="BT26" i="113"/>
  <c r="AX26" i="113"/>
  <c r="AZ26" i="113" s="1"/>
  <c r="CG25" i="113"/>
  <c r="AP25" i="113"/>
  <c r="BK24" i="113"/>
  <c r="AX24" i="113"/>
  <c r="AZ24" i="113" s="1"/>
  <c r="X24" i="113"/>
  <c r="Q24" i="113"/>
  <c r="BJ22" i="113"/>
  <c r="BD22" i="113"/>
  <c r="AH22" i="113"/>
  <c r="BN22" i="113"/>
  <c r="CA22" i="113"/>
  <c r="CC22" i="113" s="1"/>
  <c r="BX22" i="113"/>
  <c r="BT25" i="113"/>
  <c r="CB25" i="113"/>
  <c r="BC25" i="113"/>
  <c r="BR26" i="113"/>
  <c r="BH26" i="113"/>
  <c r="AW26" i="113"/>
  <c r="Q26" i="113"/>
  <c r="CE25" i="113"/>
  <c r="BJ25" i="113"/>
  <c r="AY25" i="113"/>
  <c r="AD25" i="113"/>
  <c r="BH25" i="113"/>
  <c r="BV24" i="113"/>
  <c r="BJ24" i="113"/>
  <c r="AI24" i="113"/>
  <c r="W24" i="113"/>
  <c r="Y24" i="113" s="1"/>
  <c r="BY24" i="113"/>
  <c r="BY22" i="113"/>
  <c r="BI22" i="113"/>
  <c r="AQ22" i="113"/>
  <c r="AS22" i="113" s="1"/>
  <c r="CB26" i="113"/>
  <c r="P26" i="113"/>
  <c r="AX25" i="113"/>
  <c r="AZ25" i="113" s="1"/>
  <c r="BT24" i="113"/>
  <c r="BG24" i="113"/>
  <c r="AU24" i="113"/>
  <c r="AH24" i="113"/>
  <c r="BX24" i="113"/>
  <c r="BI24" i="113"/>
  <c r="BE22" i="113"/>
  <c r="Q15" i="113"/>
  <c r="BE26" i="113"/>
  <c r="BR25" i="113"/>
  <c r="AW25" i="113"/>
  <c r="CE24" i="113"/>
  <c r="BS24" i="113"/>
  <c r="BF24" i="113"/>
  <c r="BH24" i="113"/>
  <c r="CG24" i="113"/>
  <c r="AG24" i="113"/>
  <c r="AW24" i="113"/>
  <c r="BM24" i="113"/>
  <c r="Q22" i="113"/>
  <c r="BE24" i="113"/>
  <c r="R20" i="113"/>
  <c r="Q18" i="113"/>
  <c r="AK23" i="113"/>
  <c r="P22" i="113"/>
  <c r="CD22" i="113"/>
  <c r="CF22" i="113" s="1"/>
  <c r="O19" i="113"/>
  <c r="BT22" i="113"/>
  <c r="Q17" i="113"/>
  <c r="R18" i="113"/>
  <c r="O17" i="113"/>
  <c r="S12" i="113"/>
  <c r="CG11" i="113"/>
  <c r="Q21" i="113"/>
  <c r="BW11" i="113"/>
  <c r="AD11" i="113"/>
  <c r="BR11" i="113"/>
  <c r="BZ11" i="113"/>
  <c r="Z11" i="113"/>
  <c r="AW11" i="113"/>
  <c r="BH11" i="113"/>
  <c r="AX22" i="113"/>
  <c r="AZ22" i="113" s="1"/>
  <c r="BC11" i="113"/>
  <c r="Q14" i="113"/>
  <c r="O13" i="113"/>
  <c r="CB22" i="113"/>
  <c r="AG11" i="113"/>
  <c r="CG10" i="113"/>
  <c r="AP10" i="113"/>
  <c r="AY9" i="113"/>
  <c r="BJ8" i="113"/>
  <c r="AQ8" i="113"/>
  <c r="AS8" i="113" s="1"/>
  <c r="P6" i="113"/>
  <c r="T6" i="113"/>
  <c r="V6" i="113" s="1"/>
  <c r="BE4" i="113"/>
  <c r="BU4" i="113"/>
  <c r="Z4" i="113"/>
  <c r="AH4" i="113"/>
  <c r="AP4" i="113"/>
  <c r="AX4" i="113"/>
  <c r="AZ4" i="113" s="1"/>
  <c r="BF4" i="113"/>
  <c r="BN4" i="113"/>
  <c r="BV4" i="113"/>
  <c r="CD4" i="113"/>
  <c r="CF4" i="113" s="1"/>
  <c r="BX4" i="113"/>
  <c r="AK4" i="113"/>
  <c r="BA4" i="113"/>
  <c r="BI4" i="113"/>
  <c r="BQ4" i="113"/>
  <c r="BY4" i="113"/>
  <c r="BJ10" i="113"/>
  <c r="BZ6" i="113"/>
  <c r="AK6" i="113"/>
  <c r="CD5" i="113"/>
  <c r="CF5" i="113" s="1"/>
  <c r="CA5" i="113"/>
  <c r="CC5" i="113" s="1"/>
  <c r="BL4" i="113"/>
  <c r="AF4" i="113"/>
  <c r="CD10" i="113"/>
  <c r="CF10" i="113" s="1"/>
  <c r="BS10" i="113"/>
  <c r="BI10" i="113"/>
  <c r="BD10" i="113"/>
  <c r="Z10" i="113"/>
  <c r="AH10" i="113"/>
  <c r="P9" i="113"/>
  <c r="U8" i="113"/>
  <c r="BA8" i="113"/>
  <c r="BQ8" i="113"/>
  <c r="BU8" i="113"/>
  <c r="W6" i="113"/>
  <c r="Y6" i="113" s="1"/>
  <c r="AE6" i="113"/>
  <c r="AM6" i="113"/>
  <c r="AO6" i="113" s="1"/>
  <c r="AU6" i="113"/>
  <c r="BC6" i="113"/>
  <c r="BK6" i="113"/>
  <c r="BS6" i="113"/>
  <c r="CA6" i="113"/>
  <c r="CC6" i="113" s="1"/>
  <c r="BE6" i="113"/>
  <c r="BU6" i="113"/>
  <c r="Z6" i="113"/>
  <c r="AP6" i="113"/>
  <c r="AX6" i="113"/>
  <c r="AZ6" i="113" s="1"/>
  <c r="BF6" i="113"/>
  <c r="BV6" i="113"/>
  <c r="AA6" i="113"/>
  <c r="AC6" i="113" s="1"/>
  <c r="AI6" i="113"/>
  <c r="AQ6" i="113"/>
  <c r="AS6" i="113" s="1"/>
  <c r="BG6" i="113"/>
  <c r="BO6" i="113"/>
  <c r="BW6" i="113"/>
  <c r="AB6" i="113"/>
  <c r="AJ6" i="113"/>
  <c r="BP6" i="113"/>
  <c r="BX5" i="113"/>
  <c r="BS5" i="113"/>
  <c r="BD5" i="113"/>
  <c r="BR10" i="113"/>
  <c r="BH10" i="113"/>
  <c r="AW10" i="113"/>
  <c r="P10" i="113"/>
  <c r="AY10" i="113"/>
  <c r="CE10" i="113"/>
  <c r="BZ9" i="113"/>
  <c r="BJ9" i="113"/>
  <c r="AD9" i="113"/>
  <c r="AK9" i="113"/>
  <c r="BT9" i="113"/>
  <c r="CB9" i="113"/>
  <c r="Z9" i="113"/>
  <c r="AP9" i="113"/>
  <c r="AR9" i="113"/>
  <c r="BH9" i="113"/>
  <c r="CG9" i="113"/>
  <c r="BB8" i="113"/>
  <c r="AI8" i="113"/>
  <c r="BA6" i="113"/>
  <c r="AD6" i="113"/>
  <c r="Q6" i="113"/>
  <c r="CD6" i="113"/>
  <c r="CF6" i="113" s="1"/>
  <c r="AY6" i="113"/>
  <c r="CE6" i="113"/>
  <c r="AR6" i="113"/>
  <c r="AH5" i="113"/>
  <c r="BH5" i="113"/>
  <c r="AD5" i="113"/>
  <c r="BR5" i="113"/>
  <c r="BZ5" i="113"/>
  <c r="BC5" i="113"/>
  <c r="AG5" i="113"/>
  <c r="AW5" i="113"/>
  <c r="BM5" i="113"/>
  <c r="BD4" i="113"/>
  <c r="X4" i="113"/>
  <c r="AQ4" i="113"/>
  <c r="AS4" i="113" s="1"/>
  <c r="BT10" i="113"/>
  <c r="CB10" i="113"/>
  <c r="AQ10" i="113"/>
  <c r="AS10" i="113" s="1"/>
  <c r="BO10" i="113"/>
  <c r="BY8" i="113"/>
  <c r="O8" i="113"/>
  <c r="AL8" i="113" s="1"/>
  <c r="BT8" i="113"/>
  <c r="CB8" i="113"/>
  <c r="BE8" i="113"/>
  <c r="AX8" i="113"/>
  <c r="AZ8" i="113" s="1"/>
  <c r="CA8" i="113"/>
  <c r="CC8" i="113" s="1"/>
  <c r="BI8" i="113"/>
  <c r="BS8" i="113"/>
  <c r="BD8" i="113"/>
  <c r="AH8" i="113"/>
  <c r="BN8" i="113"/>
  <c r="BY9" i="113"/>
  <c r="CD8" i="113"/>
  <c r="CF8" i="113" s="1"/>
  <c r="BV8" i="113"/>
  <c r="BF8" i="113"/>
  <c r="BX6" i="113"/>
  <c r="BH6" i="113"/>
  <c r="BU5" i="113"/>
  <c r="BE5" i="113"/>
  <c r="BZ4" i="113"/>
  <c r="BR4" i="113"/>
  <c r="BJ4" i="113"/>
  <c r="BB4" i="113"/>
  <c r="AT4" i="113"/>
  <c r="AV4" i="113" s="1"/>
  <c r="AD4" i="113"/>
  <c r="CB5" i="113"/>
  <c r="CG4" i="113"/>
  <c r="BL8" i="113"/>
  <c r="AN8" i="113"/>
  <c r="AF8" i="113"/>
  <c r="X8" i="113"/>
  <c r="BN6" i="113"/>
  <c r="O5" i="113"/>
  <c r="AL5" i="113" s="1"/>
  <c r="BP4" i="113"/>
  <c r="BH4" i="113"/>
  <c r="AR4" i="113"/>
  <c r="AJ4" i="113"/>
  <c r="AB4" i="113"/>
  <c r="BK8" i="113"/>
  <c r="AU8" i="113"/>
  <c r="AM8" i="113"/>
  <c r="AO8" i="113" s="1"/>
  <c r="AE8" i="113"/>
  <c r="BM6" i="113"/>
  <c r="AW6" i="113"/>
  <c r="BB5" i="113"/>
  <c r="CE4" i="113"/>
  <c r="BW4" i="113"/>
  <c r="BO4" i="113"/>
  <c r="BG4" i="113"/>
  <c r="AI4" i="113"/>
  <c r="BM4" i="113"/>
  <c r="AW4" i="113"/>
  <c r="AA8" i="94"/>
  <c r="AC8" i="94" s="1"/>
  <c r="AT4" i="94"/>
  <c r="BF8" i="94"/>
  <c r="CD4" i="94"/>
  <c r="BA26" i="94"/>
  <c r="AT25" i="94"/>
  <c r="BP24" i="94"/>
  <c r="AJ24" i="94"/>
  <c r="AU22" i="94"/>
  <c r="AW22" i="94" s="1"/>
  <c r="V21" i="94"/>
  <c r="W14" i="94"/>
  <c r="CK11" i="94"/>
  <c r="BG11" i="94"/>
  <c r="BB9" i="94"/>
  <c r="BD9" i="94" s="1"/>
  <c r="CC6" i="94"/>
  <c r="AJ6" i="94"/>
  <c r="CE6" i="94"/>
  <c r="CG6" i="94" s="1"/>
  <c r="BJ5" i="94"/>
  <c r="Y5" i="94"/>
  <c r="CK4" i="94"/>
  <c r="BK4" i="94"/>
  <c r="AM4" i="94"/>
  <c r="AK24" i="94"/>
  <c r="BS26" i="94"/>
  <c r="AD26" i="94"/>
  <c r="BV25" i="94"/>
  <c r="BO24" i="94"/>
  <c r="AE24" i="94"/>
  <c r="AG24" i="94" s="1"/>
  <c r="BX24" i="94"/>
  <c r="AV10" i="94"/>
  <c r="BG10" i="94"/>
  <c r="AD9" i="94"/>
  <c r="AY8" i="94"/>
  <c r="BY6" i="94"/>
  <c r="BI5" i="94"/>
  <c r="R5" i="94"/>
  <c r="AP5" i="94" s="1"/>
  <c r="X5" i="94"/>
  <c r="Z5" i="94" s="1"/>
  <c r="CH4" i="94"/>
  <c r="CJ4" i="94" s="1"/>
  <c r="BJ4" i="94"/>
  <c r="AL4" i="94"/>
  <c r="CI4" i="94"/>
  <c r="AN24" i="94"/>
  <c r="AO4" i="94"/>
  <c r="BQ26" i="94"/>
  <c r="AT26" i="94"/>
  <c r="AD25" i="94"/>
  <c r="BN24" i="94"/>
  <c r="AB24" i="94"/>
  <c r="T22" i="94"/>
  <c r="W18" i="94"/>
  <c r="H13" i="94"/>
  <c r="U12" i="94"/>
  <c r="CA11" i="94"/>
  <c r="CE10" i="94"/>
  <c r="CG10" i="94" s="1"/>
  <c r="AX8" i="94"/>
  <c r="AZ8" i="94" s="1"/>
  <c r="H8" i="94"/>
  <c r="BX6" i="94"/>
  <c r="BF5" i="94"/>
  <c r="CA4" i="94"/>
  <c r="BG4" i="94"/>
  <c r="AE4" i="94"/>
  <c r="AG4" i="94" s="1"/>
  <c r="CA25" i="94"/>
  <c r="BN26" i="94"/>
  <c r="BK24" i="94"/>
  <c r="AL23" i="94"/>
  <c r="H19" i="94"/>
  <c r="H18" i="94"/>
  <c r="H14" i="94"/>
  <c r="CD10" i="94"/>
  <c r="AH10" i="94"/>
  <c r="AQ8" i="94"/>
  <c r="AS8" i="94" s="1"/>
  <c r="BS6" i="94"/>
  <c r="S6" i="94"/>
  <c r="BZ4" i="94"/>
  <c r="AD4" i="94"/>
  <c r="AH4" i="94"/>
  <c r="BC25" i="94"/>
  <c r="BW24" i="94"/>
  <c r="BO4" i="94"/>
  <c r="AO26" i="94"/>
  <c r="U21" i="94"/>
  <c r="T9" i="94"/>
  <c r="AM8" i="94"/>
  <c r="AU6" i="94"/>
  <c r="AW6" i="94" s="1"/>
  <c r="BZ5" i="94"/>
  <c r="AX5" i="94"/>
  <c r="AZ5" i="94" s="1"/>
  <c r="BU4" i="94"/>
  <c r="BB4" i="94"/>
  <c r="BD4" i="94" s="1"/>
  <c r="AX4" i="94"/>
  <c r="AZ4" i="94" s="1"/>
  <c r="BX26" i="94"/>
  <c r="CF6" i="94"/>
  <c r="BI25" i="94"/>
  <c r="CD24" i="94"/>
  <c r="AX24" i="94"/>
  <c r="AZ24" i="94" s="1"/>
  <c r="Y24" i="94"/>
  <c r="BX22" i="94"/>
  <c r="BC22" i="94"/>
  <c r="T20" i="94"/>
  <c r="W19" i="94"/>
  <c r="BO8" i="94"/>
  <c r="BI6" i="94"/>
  <c r="G6" i="94"/>
  <c r="BY5" i="94"/>
  <c r="BS4" i="94"/>
  <c r="AU4" i="94"/>
  <c r="AW4" i="94" s="1"/>
  <c r="X4" i="94"/>
  <c r="Z4" i="94" s="1"/>
  <c r="R18" i="94"/>
  <c r="U13" i="94"/>
  <c r="BL5" i="94"/>
  <c r="CK5" i="94"/>
  <c r="AH5" i="94"/>
  <c r="BV5" i="94"/>
  <c r="CD5" i="94"/>
  <c r="BG5" i="94"/>
  <c r="CA5" i="94"/>
  <c r="AD5" i="94"/>
  <c r="AK5" i="94"/>
  <c r="AT5" i="94"/>
  <c r="BQ5" i="94"/>
  <c r="BA5" i="94"/>
  <c r="BG26" i="94"/>
  <c r="BN25" i="94"/>
  <c r="BL24" i="94"/>
  <c r="AY24" i="94"/>
  <c r="AM24" i="94"/>
  <c r="CH24" i="94"/>
  <c r="CJ24" i="94" s="1"/>
  <c r="BM22" i="94"/>
  <c r="R20" i="94"/>
  <c r="AV26" i="94"/>
  <c r="AK25" i="94"/>
  <c r="BA25" i="94"/>
  <c r="AV25" i="94"/>
  <c r="BI24" i="94"/>
  <c r="BB24" i="94"/>
  <c r="BD24" i="94" s="1"/>
  <c r="CC24" i="94"/>
  <c r="U19" i="94"/>
  <c r="H15" i="94"/>
  <c r="W15" i="94"/>
  <c r="W26" i="94"/>
  <c r="CF26" i="94"/>
  <c r="AU26" i="94"/>
  <c r="AW26" i="94" s="1"/>
  <c r="BL25" i="94"/>
  <c r="BB25" i="94"/>
  <c r="BD25" i="94" s="1"/>
  <c r="BV24" i="94"/>
  <c r="BH24" i="94"/>
  <c r="AV24" i="94"/>
  <c r="AI24" i="94"/>
  <c r="X24" i="94"/>
  <c r="Z24" i="94" s="1"/>
  <c r="T26" i="94"/>
  <c r="CD25" i="94"/>
  <c r="CI24" i="94"/>
  <c r="BC26" i="94"/>
  <c r="CC25" i="94"/>
  <c r="BX25" i="94"/>
  <c r="CF25" i="94"/>
  <c r="CF24" i="94"/>
  <c r="BT24" i="94"/>
  <c r="BG24" i="94"/>
  <c r="AU24" i="94"/>
  <c r="AW24" i="94" s="1"/>
  <c r="AH24" i="94"/>
  <c r="AV22" i="94"/>
  <c r="BW22" i="94"/>
  <c r="T13" i="94"/>
  <c r="T12" i="94"/>
  <c r="CI26" i="94"/>
  <c r="CC26" i="94"/>
  <c r="CK25" i="94"/>
  <c r="BS25" i="94"/>
  <c r="CE24" i="94"/>
  <c r="CG24" i="94" s="1"/>
  <c r="BS24" i="94"/>
  <c r="BF24" i="94"/>
  <c r="AR24" i="94"/>
  <c r="T24" i="94"/>
  <c r="U24" i="94"/>
  <c r="BY24" i="94"/>
  <c r="BJ24" i="94"/>
  <c r="BZ24" i="94"/>
  <c r="BE24" i="94"/>
  <c r="BU24" i="94"/>
  <c r="AO23" i="94"/>
  <c r="G23" i="94"/>
  <c r="CI22" i="94"/>
  <c r="U18" i="94"/>
  <c r="R16" i="94"/>
  <c r="U16" i="94"/>
  <c r="CI25" i="94"/>
  <c r="BQ25" i="94"/>
  <c r="BG25" i="94"/>
  <c r="AU25" i="94"/>
  <c r="AW25" i="94" s="1"/>
  <c r="AH25" i="94"/>
  <c r="CB24" i="94"/>
  <c r="BC24" i="94"/>
  <c r="R24" i="94"/>
  <c r="AP24" i="94" s="1"/>
  <c r="AT24" i="94"/>
  <c r="BR24" i="94"/>
  <c r="AO24" i="94"/>
  <c r="BM24" i="94"/>
  <c r="CK24" i="94"/>
  <c r="W23" i="94"/>
  <c r="BB22" i="94"/>
  <c r="BD22" i="94" s="1"/>
  <c r="BI22" i="94"/>
  <c r="BS22" i="94"/>
  <c r="CC22" i="94"/>
  <c r="BN22" i="94"/>
  <c r="CF22" i="94"/>
  <c r="G21" i="94"/>
  <c r="W21" i="94"/>
  <c r="H21" i="94"/>
  <c r="T18" i="94"/>
  <c r="G17" i="94"/>
  <c r="W17" i="94"/>
  <c r="H17" i="94"/>
  <c r="V15" i="94"/>
  <c r="V12" i="94"/>
  <c r="CA6" i="94"/>
  <c r="BL6" i="94"/>
  <c r="AH6" i="94"/>
  <c r="BV6" i="94"/>
  <c r="CD6" i="94"/>
  <c r="BG6" i="94"/>
  <c r="AD6" i="94"/>
  <c r="AT6" i="94"/>
  <c r="BQ6" i="94"/>
  <c r="CK6" i="94"/>
  <c r="BA6" i="94"/>
  <c r="AK6" i="94"/>
  <c r="G9" i="94"/>
  <c r="H9" i="94"/>
  <c r="AL24" i="94"/>
  <c r="AD24" i="94"/>
  <c r="AL22" i="94"/>
  <c r="BR22" i="94"/>
  <c r="R19" i="94"/>
  <c r="R15" i="94"/>
  <c r="S10" i="94"/>
  <c r="CH10" i="94"/>
  <c r="CJ10" i="94" s="1"/>
  <c r="CF10" i="94"/>
  <c r="T10" i="94"/>
  <c r="BC10" i="94"/>
  <c r="BQ24" i="94"/>
  <c r="BA24" i="94"/>
  <c r="CB22" i="94"/>
  <c r="CH22" i="94"/>
  <c r="CJ22" i="94" s="1"/>
  <c r="H20" i="94"/>
  <c r="G20" i="94"/>
  <c r="V18" i="94"/>
  <c r="G16" i="94"/>
  <c r="W16" i="94"/>
  <c r="H16" i="94"/>
  <c r="CC9" i="94"/>
  <c r="AO9" i="94"/>
  <c r="V13" i="94"/>
  <c r="W13" i="94" s="1"/>
  <c r="AK9" i="94"/>
  <c r="BA9" i="94"/>
  <c r="BQ9" i="94"/>
  <c r="AU9" i="94"/>
  <c r="AW9" i="94" s="1"/>
  <c r="BC9" i="94"/>
  <c r="BS9" i="94"/>
  <c r="CA9" i="94"/>
  <c r="CI9" i="94"/>
  <c r="AV9" i="94"/>
  <c r="BL9" i="94"/>
  <c r="BG9" i="94"/>
  <c r="BV9" i="94"/>
  <c r="BX9" i="94"/>
  <c r="AH9" i="94"/>
  <c r="BN9" i="94"/>
  <c r="CD9" i="94"/>
  <c r="CF9" i="94"/>
  <c r="AT9" i="94"/>
  <c r="R14" i="94"/>
  <c r="G12" i="94"/>
  <c r="W12" i="94"/>
  <c r="BB8" i="94"/>
  <c r="BD8" i="94" s="1"/>
  <c r="CC8" i="94"/>
  <c r="BX8" i="94"/>
  <c r="CF8" i="94"/>
  <c r="BI8" i="94"/>
  <c r="AU8" i="94"/>
  <c r="AW8" i="94" s="1"/>
  <c r="R8" i="94"/>
  <c r="AP8" i="94" s="1"/>
  <c r="R13" i="94"/>
  <c r="H11" i="94"/>
  <c r="BS8" i="94"/>
  <c r="X8" i="94"/>
  <c r="Z8" i="94" s="1"/>
  <c r="Y8" i="94"/>
  <c r="BW10" i="94"/>
  <c r="AK10" i="94"/>
  <c r="BA10" i="94"/>
  <c r="BQ10" i="94"/>
  <c r="AL10" i="94"/>
  <c r="BR10" i="94"/>
  <c r="AO10" i="94"/>
  <c r="BM10" i="94"/>
  <c r="S9" i="94"/>
  <c r="BJ8" i="94"/>
  <c r="AE6" i="94"/>
  <c r="AG6" i="94" s="1"/>
  <c r="AM6" i="94"/>
  <c r="BK6" i="94"/>
  <c r="AF6" i="94"/>
  <c r="AN6" i="94"/>
  <c r="BT6" i="94"/>
  <c r="Y6" i="94"/>
  <c r="BE6" i="94"/>
  <c r="BU6" i="94"/>
  <c r="AX6" i="94"/>
  <c r="AZ6" i="94" s="1"/>
  <c r="BF6" i="94"/>
  <c r="AA6" i="94"/>
  <c r="AC6" i="94" s="1"/>
  <c r="AI6" i="94"/>
  <c r="AQ6" i="94"/>
  <c r="AS6" i="94" s="1"/>
  <c r="AY6" i="94"/>
  <c r="BO6" i="94"/>
  <c r="BJ6" i="94"/>
  <c r="BZ6" i="94"/>
  <c r="AL8" i="94"/>
  <c r="BR8" i="94"/>
  <c r="AF8" i="94"/>
  <c r="AN8" i="94"/>
  <c r="AV8" i="94"/>
  <c r="BT8" i="94"/>
  <c r="CB8" i="94"/>
  <c r="BM8" i="94"/>
  <c r="AB8" i="94"/>
  <c r="AJ8" i="94"/>
  <c r="AR8" i="94"/>
  <c r="BH8" i="94"/>
  <c r="BP8" i="94"/>
  <c r="H5" i="94"/>
  <c r="G5" i="94"/>
  <c r="CC4" i="94"/>
  <c r="R4" i="94"/>
  <c r="AP4" i="94" s="1"/>
  <c r="BN4" i="94"/>
  <c r="BX4" i="94"/>
  <c r="CF4" i="94"/>
  <c r="BI4" i="94"/>
  <c r="BX10" i="94"/>
  <c r="BH10" i="94"/>
  <c r="BI10" i="94"/>
  <c r="BB10" i="94"/>
  <c r="BD10" i="94" s="1"/>
  <c r="CC10" i="94"/>
  <c r="BI9" i="94"/>
  <c r="BK8" i="94"/>
  <c r="AE8" i="94"/>
  <c r="AG8" i="94" s="1"/>
  <c r="AR6" i="94"/>
  <c r="BM4" i="94"/>
  <c r="BW4" i="94"/>
  <c r="CE4" i="94"/>
  <c r="CG4" i="94" s="1"/>
  <c r="BH4" i="94"/>
  <c r="CB4" i="94"/>
  <c r="AH11" i="94"/>
  <c r="BV11" i="94"/>
  <c r="CD11" i="94"/>
  <c r="AK11" i="94"/>
  <c r="BA11" i="94"/>
  <c r="BQ11" i="94"/>
  <c r="BL11" i="94"/>
  <c r="BV10" i="94"/>
  <c r="BY8" i="94"/>
  <c r="CH8" i="94"/>
  <c r="CJ8" i="94" s="1"/>
  <c r="BP6" i="94"/>
  <c r="CB5" i="94"/>
  <c r="BM5" i="94"/>
  <c r="BW5" i="94"/>
  <c r="CE5" i="94"/>
  <c r="CG5" i="94" s="1"/>
  <c r="BH5" i="94"/>
  <c r="BC4" i="94"/>
  <c r="W6" i="94"/>
  <c r="V6" i="94"/>
  <c r="CK10" i="94"/>
  <c r="CH6" i="94"/>
  <c r="CJ6" i="94" s="1"/>
  <c r="BR6" i="94"/>
  <c r="BB6" i="94"/>
  <c r="BD6" i="94" s="1"/>
  <c r="AL6" i="94"/>
  <c r="CI5" i="94"/>
  <c r="BS5" i="94"/>
  <c r="BK5" i="94"/>
  <c r="BC5" i="94"/>
  <c r="AU5" i="94"/>
  <c r="AW5" i="94" s="1"/>
  <c r="AM5" i="94"/>
  <c r="AE5" i="94"/>
  <c r="AG5" i="94" s="1"/>
  <c r="BT4" i="94"/>
  <c r="BL4" i="94"/>
  <c r="AV4" i="94"/>
  <c r="AN4" i="94"/>
  <c r="AF4" i="94"/>
  <c r="AT10" i="94"/>
  <c r="AD10" i="94"/>
  <c r="BU8" i="94"/>
  <c r="BE8" i="94"/>
  <c r="BW6" i="94"/>
  <c r="CF5" i="94"/>
  <c r="BX5" i="94"/>
  <c r="BP5" i="94"/>
  <c r="AR5" i="94"/>
  <c r="AJ5" i="94"/>
  <c r="AB5" i="94"/>
  <c r="BY4" i="94"/>
  <c r="BQ4" i="94"/>
  <c r="BA4" i="94"/>
  <c r="AK4" i="94"/>
  <c r="U4" i="94"/>
  <c r="BN6" i="94"/>
  <c r="BO5" i="94"/>
  <c r="AY5" i="94"/>
  <c r="AQ5" i="94"/>
  <c r="AS5" i="94" s="1"/>
  <c r="AI5" i="94"/>
  <c r="AA5" i="94"/>
  <c r="AC5" i="94" s="1"/>
  <c r="BP4" i="94"/>
  <c r="AR4" i="94"/>
  <c r="AJ4" i="94"/>
  <c r="AB4" i="94"/>
  <c r="AY4" i="94"/>
  <c r="AQ4" i="94"/>
  <c r="AS4" i="94" s="1"/>
  <c r="AI4" i="94"/>
  <c r="AA4" i="94"/>
  <c r="AC4" i="94" s="1"/>
  <c r="S4" i="94"/>
  <c r="BZ8" i="94"/>
  <c r="CB6" i="94"/>
  <c r="AV6" i="94"/>
  <c r="X6" i="94"/>
  <c r="Z6" i="94" s="1"/>
  <c r="CC5" i="94"/>
  <c r="BU5" i="94"/>
  <c r="BV4" i="94"/>
  <c r="BF4" i="94"/>
  <c r="BC6" i="94"/>
  <c r="BT5" i="94"/>
  <c r="AV5" i="94"/>
  <c r="AN5" i="94"/>
  <c r="AF5" i="94"/>
  <c r="H5" i="76"/>
  <c r="J5" i="76" s="1"/>
  <c r="H21" i="76"/>
  <c r="J21" i="76" s="1"/>
  <c r="I21" i="76"/>
  <c r="H25" i="76"/>
  <c r="J25" i="76" s="1"/>
  <c r="I25" i="76"/>
  <c r="H6" i="76"/>
  <c r="J6" i="76" s="1"/>
  <c r="I6" i="76"/>
  <c r="I26" i="76"/>
  <c r="H26" i="76"/>
  <c r="J26" i="76" s="1"/>
  <c r="I22" i="76"/>
  <c r="H22" i="76"/>
  <c r="J22" i="76" s="1"/>
  <c r="I18" i="76"/>
  <c r="H18" i="76"/>
  <c r="J18" i="76" s="1"/>
  <c r="H14" i="76"/>
  <c r="J14" i="76" s="1"/>
  <c r="I14" i="76"/>
  <c r="I10" i="76"/>
  <c r="H10" i="76"/>
  <c r="J10" i="76" s="1"/>
  <c r="I7" i="76"/>
  <c r="H7" i="76"/>
  <c r="J7" i="76" s="1"/>
  <c r="F4" i="76"/>
  <c r="J4" i="76" s="1"/>
  <c r="I4" i="76"/>
  <c r="H17" i="76"/>
  <c r="J17" i="76" s="1"/>
  <c r="I17" i="76"/>
  <c r="H13" i="76"/>
  <c r="J13" i="76" s="1"/>
  <c r="I13" i="76"/>
  <c r="V28" i="32"/>
  <c r="T28" i="32"/>
  <c r="AC2" i="32"/>
  <c r="AA2" i="32"/>
  <c r="V2" i="32"/>
  <c r="T2" i="32"/>
  <c r="Q2" i="32"/>
  <c r="M2" i="32"/>
  <c r="I2" i="32"/>
  <c r="A5" i="86"/>
  <c r="A4" i="86"/>
  <c r="F5" i="86"/>
  <c r="G5" i="86"/>
  <c r="G4" i="86"/>
  <c r="C5" i="86"/>
  <c r="D5" i="86"/>
  <c r="H5" i="86"/>
  <c r="R5" i="86" s="1"/>
  <c r="I5" i="86"/>
  <c r="S5" i="86" s="1"/>
  <c r="J5" i="86"/>
  <c r="T5" i="86" s="1"/>
  <c r="K5" i="86"/>
  <c r="U5" i="86" s="1"/>
  <c r="L5" i="86"/>
  <c r="V5" i="86" s="1"/>
  <c r="M5" i="86"/>
  <c r="W5" i="86" s="1"/>
  <c r="N5" i="86"/>
  <c r="X5" i="86" s="1"/>
  <c r="O5" i="86"/>
  <c r="Y5" i="86" s="1"/>
  <c r="E3" i="113"/>
  <c r="E3" i="94"/>
  <c r="A2" i="83"/>
  <c r="C2" i="102"/>
  <c r="A2" i="102"/>
  <c r="U14" i="32"/>
  <c r="AV14" i="32"/>
  <c r="AW14" i="32"/>
  <c r="AX14" i="32"/>
  <c r="AY14" i="32"/>
  <c r="AZ14" i="32"/>
  <c r="BA14" i="32"/>
  <c r="BB14" i="32"/>
  <c r="BC14" i="32"/>
  <c r="BD14" i="32"/>
  <c r="BE14" i="32"/>
  <c r="BF14" i="32"/>
  <c r="AV15" i="32"/>
  <c r="AW15" i="32"/>
  <c r="AX15" i="32"/>
  <c r="AY15" i="32"/>
  <c r="AZ15" i="32"/>
  <c r="BA15" i="32"/>
  <c r="BB15" i="32"/>
  <c r="BC15" i="32"/>
  <c r="BD15" i="32"/>
  <c r="BE15" i="32"/>
  <c r="BF15" i="32"/>
  <c r="AV16" i="32"/>
  <c r="AW16" i="32"/>
  <c r="AX16" i="32"/>
  <c r="AY16" i="32"/>
  <c r="AZ16" i="32"/>
  <c r="BA16" i="32"/>
  <c r="BB16" i="32"/>
  <c r="BC16" i="32"/>
  <c r="BD16" i="32"/>
  <c r="BE16" i="32"/>
  <c r="BF16" i="32"/>
  <c r="AV17" i="32"/>
  <c r="AW17" i="32"/>
  <c r="AX17" i="32"/>
  <c r="AY17" i="32"/>
  <c r="AZ17" i="32"/>
  <c r="BA17" i="32"/>
  <c r="BB17" i="32"/>
  <c r="BC17" i="32"/>
  <c r="BD17" i="32"/>
  <c r="BE17" i="32"/>
  <c r="BF17" i="32"/>
  <c r="AV18" i="32"/>
  <c r="AW18" i="32"/>
  <c r="AX18" i="32"/>
  <c r="AY18" i="32"/>
  <c r="AZ18" i="32"/>
  <c r="BA18" i="32"/>
  <c r="BB18" i="32"/>
  <c r="BC18" i="32"/>
  <c r="BD18" i="32"/>
  <c r="BE18" i="32"/>
  <c r="BF18" i="32"/>
  <c r="AQ14" i="32"/>
  <c r="W14" i="32"/>
  <c r="R14" i="32"/>
  <c r="S14" i="32"/>
  <c r="P14" i="32"/>
  <c r="N14" i="32"/>
  <c r="J14" i="32"/>
  <c r="B12" i="102" s="1"/>
  <c r="K14" i="32"/>
  <c r="L14" i="32"/>
  <c r="I13" i="94" l="1"/>
  <c r="BF13" i="94" s="1"/>
  <c r="F13" i="113"/>
  <c r="AL13" i="113" s="1"/>
  <c r="B12" i="83"/>
  <c r="C12" i="83"/>
  <c r="AH14" i="32"/>
  <c r="AG14" i="32"/>
  <c r="AF14" i="32"/>
  <c r="AK14" i="32"/>
  <c r="G12" i="102" s="1"/>
  <c r="AI14" i="32"/>
  <c r="E12" i="102" s="1"/>
  <c r="AM14" i="32"/>
  <c r="AJ14" i="32"/>
  <c r="F12" i="102" s="1"/>
  <c r="AN14" i="32"/>
  <c r="AL14" i="32"/>
  <c r="H12" i="102" s="1"/>
  <c r="U15" i="32"/>
  <c r="AQ15" i="32"/>
  <c r="W15" i="32"/>
  <c r="R15" i="32"/>
  <c r="S15" i="32"/>
  <c r="P15" i="32"/>
  <c r="N15" i="32"/>
  <c r="J15" i="32"/>
  <c r="B13" i="102" s="1"/>
  <c r="K15" i="32"/>
  <c r="L15" i="32"/>
  <c r="I15" i="115" l="1"/>
  <c r="K18" i="86"/>
  <c r="J17" i="113"/>
  <c r="M17" i="94"/>
  <c r="K19" i="86"/>
  <c r="U19" i="86" s="1"/>
  <c r="AB19" i="86" s="1"/>
  <c r="J18" i="113"/>
  <c r="M18" i="94"/>
  <c r="I10" i="115"/>
  <c r="K13" i="86"/>
  <c r="U13" i="86" s="1"/>
  <c r="AB13" i="86" s="1"/>
  <c r="J12" i="113"/>
  <c r="M12" i="94"/>
  <c r="I14" i="115"/>
  <c r="J16" i="113"/>
  <c r="M16" i="94"/>
  <c r="K17" i="86"/>
  <c r="U17" i="86" s="1"/>
  <c r="AB17" i="86" s="1"/>
  <c r="K22" i="86"/>
  <c r="U22" i="86" s="1"/>
  <c r="AB22" i="86" s="1"/>
  <c r="M21" i="94"/>
  <c r="J21" i="113"/>
  <c r="M19" i="94"/>
  <c r="J19" i="113"/>
  <c r="K20" i="86"/>
  <c r="U20" i="86" s="1"/>
  <c r="AB20" i="86" s="1"/>
  <c r="I13" i="115"/>
  <c r="K16" i="86"/>
  <c r="U16" i="86" s="1"/>
  <c r="AB16" i="86" s="1"/>
  <c r="J15" i="113"/>
  <c r="M15" i="94"/>
  <c r="J20" i="113"/>
  <c r="K21" i="86"/>
  <c r="M20" i="94"/>
  <c r="CF13" i="94"/>
  <c r="CE13" i="94"/>
  <c r="CG13" i="94" s="1"/>
  <c r="BN13" i="94"/>
  <c r="BY13" i="94"/>
  <c r="BG13" i="94"/>
  <c r="BT13" i="94"/>
  <c r="AJ13" i="94"/>
  <c r="BR13" i="94"/>
  <c r="CK13" i="94"/>
  <c r="BB13" i="94"/>
  <c r="BD13" i="94" s="1"/>
  <c r="AL13" i="94"/>
  <c r="BW13" i="94"/>
  <c r="AH13" i="94"/>
  <c r="CD13" i="94"/>
  <c r="BK13" i="94"/>
  <c r="Y13" i="94"/>
  <c r="AP13" i="94"/>
  <c r="AM13" i="94"/>
  <c r="AN13" i="94"/>
  <c r="BO13" i="94"/>
  <c r="AR13" i="94"/>
  <c r="CA13" i="94"/>
  <c r="CB13" i="94"/>
  <c r="BP13" i="94"/>
  <c r="BJ13" i="94"/>
  <c r="AF13" i="94"/>
  <c r="BZ13" i="94"/>
  <c r="AK13" i="94"/>
  <c r="CI13" i="94"/>
  <c r="AT13" i="94"/>
  <c r="BS13" i="94"/>
  <c r="AD13" i="94"/>
  <c r="BA13" i="94"/>
  <c r="BL13" i="94"/>
  <c r="AE13" i="94"/>
  <c r="AG13" i="94" s="1"/>
  <c r="BU13" i="94"/>
  <c r="BC13" i="94"/>
  <c r="AX13" i="94"/>
  <c r="AZ13" i="94" s="1"/>
  <c r="BH13" i="94"/>
  <c r="X13" i="94"/>
  <c r="Z13" i="94" s="1"/>
  <c r="AA13" i="94"/>
  <c r="AC13" i="94" s="1"/>
  <c r="AQ13" i="94"/>
  <c r="AS13" i="94" s="1"/>
  <c r="CC13" i="94"/>
  <c r="BX13" i="94"/>
  <c r="AU13" i="94"/>
  <c r="AW13" i="94" s="1"/>
  <c r="BE13" i="94"/>
  <c r="S13" i="94"/>
  <c r="BV13" i="94"/>
  <c r="CH13" i="94"/>
  <c r="CJ13" i="94" s="1"/>
  <c r="BI13" i="94"/>
  <c r="I14" i="94"/>
  <c r="X14" i="94" s="1"/>
  <c r="Z14" i="94" s="1"/>
  <c r="F14" i="113"/>
  <c r="BQ13" i="94"/>
  <c r="AO13" i="94"/>
  <c r="BM13" i="94"/>
  <c r="AV13" i="94"/>
  <c r="AI13" i="94"/>
  <c r="AY13" i="94"/>
  <c r="AB13" i="94"/>
  <c r="AK13" i="113"/>
  <c r="BI13" i="113"/>
  <c r="AW13" i="113"/>
  <c r="AX13" i="113"/>
  <c r="AZ13" i="113" s="1"/>
  <c r="BX13" i="113"/>
  <c r="CA13" i="113"/>
  <c r="CC13" i="113" s="1"/>
  <c r="P13" i="113"/>
  <c r="BN13" i="113"/>
  <c r="CB13" i="113"/>
  <c r="AE13" i="113"/>
  <c r="AP13" i="113"/>
  <c r="BD13" i="113"/>
  <c r="BP13" i="113"/>
  <c r="AR13" i="113"/>
  <c r="BE13" i="113"/>
  <c r="BS13" i="113"/>
  <c r="CD13" i="113"/>
  <c r="CF13" i="113" s="1"/>
  <c r="AH13" i="113"/>
  <c r="BH13" i="113"/>
  <c r="BF13" i="113"/>
  <c r="AU13" i="113"/>
  <c r="T13" i="113"/>
  <c r="V13" i="113" s="1"/>
  <c r="AG13" i="113"/>
  <c r="BT13" i="113"/>
  <c r="AQ13" i="113"/>
  <c r="AS13" i="113" s="1"/>
  <c r="BM13" i="113"/>
  <c r="BK13" i="113"/>
  <c r="CE13" i="113"/>
  <c r="AF13" i="113"/>
  <c r="AA13" i="113"/>
  <c r="AC13" i="113" s="1"/>
  <c r="BC13" i="113"/>
  <c r="AN13" i="113"/>
  <c r="AJ13" i="113"/>
  <c r="BJ13" i="113"/>
  <c r="BO13" i="113"/>
  <c r="AT13" i="113"/>
  <c r="AV13" i="113" s="1"/>
  <c r="BW13" i="113"/>
  <c r="AI13" i="113"/>
  <c r="AB13" i="113"/>
  <c r="Z13" i="113"/>
  <c r="BL13" i="113"/>
  <c r="X13" i="113"/>
  <c r="BZ13" i="113"/>
  <c r="CG13" i="113"/>
  <c r="BG13" i="113"/>
  <c r="U13" i="113"/>
  <c r="AM13" i="113"/>
  <c r="AO13" i="113" s="1"/>
  <c r="AY13" i="113"/>
  <c r="BU13" i="113"/>
  <c r="AD13" i="113"/>
  <c r="BA13" i="113"/>
  <c r="BR13" i="113"/>
  <c r="BQ13" i="113"/>
  <c r="BY13" i="113"/>
  <c r="W13" i="113"/>
  <c r="Y13" i="113" s="1"/>
  <c r="BB13" i="113"/>
  <c r="BV13" i="113"/>
  <c r="D12" i="83"/>
  <c r="F12" i="83" s="1"/>
  <c r="B13" i="83"/>
  <c r="C13" i="83"/>
  <c r="Z2" i="32"/>
  <c r="AF15" i="32"/>
  <c r="AX20" i="32"/>
  <c r="BF20" i="32"/>
  <c r="BA20" i="32"/>
  <c r="BB20" i="32"/>
  <c r="AY20" i="32"/>
  <c r="BC20" i="32"/>
  <c r="AZ20" i="32"/>
  <c r="AW20" i="32"/>
  <c r="BE20" i="32"/>
  <c r="AV20" i="32"/>
  <c r="BD20" i="32"/>
  <c r="BA19" i="32"/>
  <c r="BD19" i="32"/>
  <c r="AZ19" i="32"/>
  <c r="BB19" i="32"/>
  <c r="BE19" i="32"/>
  <c r="AX19" i="32"/>
  <c r="BC19" i="32"/>
  <c r="AV19" i="32"/>
  <c r="AW19" i="32"/>
  <c r="BF19" i="32"/>
  <c r="AY19" i="32"/>
  <c r="BC21" i="32"/>
  <c r="AX21" i="32"/>
  <c r="BF21" i="32"/>
  <c r="AY21" i="32"/>
  <c r="AV21" i="32"/>
  <c r="BD21" i="32"/>
  <c r="AW21" i="32"/>
  <c r="BE21" i="32"/>
  <c r="AZ21" i="32"/>
  <c r="BA21" i="32"/>
  <c r="BB21" i="32"/>
  <c r="AZ22" i="32"/>
  <c r="BC22" i="32"/>
  <c r="AW22" i="32"/>
  <c r="AY22" i="32"/>
  <c r="BA22" i="32"/>
  <c r="BD22" i="32"/>
  <c r="BE22" i="32"/>
  <c r="BB22" i="32"/>
  <c r="AV22" i="32"/>
  <c r="AX22" i="32"/>
  <c r="BF22" i="32"/>
  <c r="AK15" i="32"/>
  <c r="G13" i="102" s="1"/>
  <c r="AL15" i="32"/>
  <c r="H13" i="102" s="1"/>
  <c r="AJ15" i="32"/>
  <c r="F13" i="102" s="1"/>
  <c r="AN15" i="32"/>
  <c r="AM15" i="32"/>
  <c r="AI15" i="32"/>
  <c r="E13" i="102" s="1"/>
  <c r="AH15" i="32"/>
  <c r="AG15" i="32"/>
  <c r="U17" i="32"/>
  <c r="AQ17" i="32"/>
  <c r="W17" i="32"/>
  <c r="R17" i="32"/>
  <c r="S17" i="32"/>
  <c r="P17" i="32"/>
  <c r="N17" i="32"/>
  <c r="J17" i="32"/>
  <c r="B15" i="102" s="1"/>
  <c r="K17" i="32"/>
  <c r="L17" i="32"/>
  <c r="U21" i="86" l="1"/>
  <c r="AB21" i="86" s="1"/>
  <c r="U18" i="86"/>
  <c r="AB18" i="86" s="1"/>
  <c r="CD14" i="94"/>
  <c r="AT14" i="94"/>
  <c r="BR14" i="94"/>
  <c r="BU14" i="94"/>
  <c r="BQ14" i="94"/>
  <c r="BS14" i="94"/>
  <c r="BZ14" i="94"/>
  <c r="BV14" i="94"/>
  <c r="S14" i="94"/>
  <c r="AD14" i="94"/>
  <c r="CB14" i="94"/>
  <c r="AN14" i="94"/>
  <c r="AA14" i="94"/>
  <c r="AC14" i="94" s="1"/>
  <c r="CF14" i="94"/>
  <c r="BP14" i="94"/>
  <c r="BM14" i="94"/>
  <c r="BI14" i="94"/>
  <c r="BE14" i="94"/>
  <c r="AK14" i="94"/>
  <c r="BC14" i="94"/>
  <c r="AO14" i="94"/>
  <c r="BY14" i="94"/>
  <c r="CC14" i="94"/>
  <c r="AM14" i="94"/>
  <c r="AX14" i="94"/>
  <c r="AZ14" i="94" s="1"/>
  <c r="BK14" i="94"/>
  <c r="AV14" i="94"/>
  <c r="BF14" i="94"/>
  <c r="AL14" i="94"/>
  <c r="CA14" i="94"/>
  <c r="BG14" i="94"/>
  <c r="AU14" i="94"/>
  <c r="AW14" i="94" s="1"/>
  <c r="AB14" i="94"/>
  <c r="BH14" i="94"/>
  <c r="AQ14" i="94"/>
  <c r="AS14" i="94" s="1"/>
  <c r="BA14" i="94"/>
  <c r="AP14" i="94"/>
  <c r="BJ14" i="94"/>
  <c r="AH14" i="94"/>
  <c r="CK14" i="94"/>
  <c r="BX14" i="94"/>
  <c r="CH14" i="94"/>
  <c r="CJ14" i="94" s="1"/>
  <c r="AR14" i="94"/>
  <c r="AE14" i="94"/>
  <c r="AG14" i="94" s="1"/>
  <c r="BL14" i="94"/>
  <c r="BT14" i="94"/>
  <c r="BN14" i="94"/>
  <c r="CE14" i="94"/>
  <c r="CG14" i="94" s="1"/>
  <c r="BO14" i="94"/>
  <c r="AY14" i="94"/>
  <c r="AJ14" i="94"/>
  <c r="Y14" i="94"/>
  <c r="CI14" i="94"/>
  <c r="BW14" i="94"/>
  <c r="BB14" i="94"/>
  <c r="BD14" i="94" s="1"/>
  <c r="AI14" i="94"/>
  <c r="AF14" i="94"/>
  <c r="I16" i="94"/>
  <c r="BB16" i="94" s="1"/>
  <c r="BD16" i="94" s="1"/>
  <c r="F16" i="113"/>
  <c r="AT14" i="113"/>
  <c r="AV14" i="113" s="1"/>
  <c r="BB14" i="113"/>
  <c r="X14" i="113"/>
  <c r="AF14" i="113"/>
  <c r="AN14" i="113"/>
  <c r="BL14" i="113"/>
  <c r="BU14" i="113"/>
  <c r="U14" i="113"/>
  <c r="AI14" i="113"/>
  <c r="AU14" i="113"/>
  <c r="BH14" i="113"/>
  <c r="BV14" i="113"/>
  <c r="CG14" i="113"/>
  <c r="W14" i="113"/>
  <c r="Y14" i="113" s="1"/>
  <c r="AJ14" i="113"/>
  <c r="AX14" i="113"/>
  <c r="AZ14" i="113" s="1"/>
  <c r="AK14" i="113"/>
  <c r="AY14" i="113"/>
  <c r="BK14" i="113"/>
  <c r="AA14" i="113"/>
  <c r="AC14" i="113" s="1"/>
  <c r="AM14" i="113"/>
  <c r="AO14" i="113" s="1"/>
  <c r="BY14" i="113"/>
  <c r="AB14" i="113"/>
  <c r="AP14" i="113"/>
  <c r="BA14" i="113"/>
  <c r="BO14" i="113"/>
  <c r="CA14" i="113"/>
  <c r="CC14" i="113" s="1"/>
  <c r="AQ14" i="113"/>
  <c r="AS14" i="113" s="1"/>
  <c r="BC14" i="113"/>
  <c r="BP14" i="113"/>
  <c r="T14" i="113"/>
  <c r="V14" i="113" s="1"/>
  <c r="BG14" i="113"/>
  <c r="AE14" i="113"/>
  <c r="AR14" i="113"/>
  <c r="BF14" i="113"/>
  <c r="BQ14" i="113"/>
  <c r="CE14" i="113"/>
  <c r="AD14" i="113"/>
  <c r="AL14" i="113"/>
  <c r="BN14" i="113"/>
  <c r="CB14" i="113"/>
  <c r="BR14" i="113"/>
  <c r="BE14" i="113"/>
  <c r="BZ14" i="113"/>
  <c r="BJ14" i="113"/>
  <c r="AG14" i="113"/>
  <c r="AW14" i="113"/>
  <c r="BX14" i="113"/>
  <c r="P14" i="113"/>
  <c r="BI14" i="113"/>
  <c r="BM14" i="113"/>
  <c r="Z14" i="113"/>
  <c r="BW14" i="113"/>
  <c r="BS14" i="113"/>
  <c r="BD14" i="113"/>
  <c r="CD14" i="113"/>
  <c r="CF14" i="113" s="1"/>
  <c r="AH14" i="113"/>
  <c r="BT14" i="113"/>
  <c r="E12" i="83"/>
  <c r="D13" i="83"/>
  <c r="F13" i="83" s="1"/>
  <c r="B15" i="83"/>
  <c r="C15" i="83"/>
  <c r="AF17" i="32"/>
  <c r="AJ17" i="32"/>
  <c r="F15" i="102" s="1"/>
  <c r="AI17" i="32"/>
  <c r="E15" i="102" s="1"/>
  <c r="AN17" i="32"/>
  <c r="AL17" i="32"/>
  <c r="H15" i="102" s="1"/>
  <c r="AM17" i="32"/>
  <c r="AK17" i="32"/>
  <c r="G15" i="102" s="1"/>
  <c r="AH17" i="32"/>
  <c r="AG17" i="32"/>
  <c r="AT16" i="94" l="1"/>
  <c r="AB16" i="94"/>
  <c r="AM16" i="94"/>
  <c r="BS16" i="94"/>
  <c r="BF16" i="94"/>
  <c r="AN16" i="94"/>
  <c r="BY16" i="94"/>
  <c r="BV16" i="94"/>
  <c r="CF16" i="94"/>
  <c r="AA16" i="94"/>
  <c r="AC16" i="94" s="1"/>
  <c r="BA16" i="94"/>
  <c r="BJ16" i="94"/>
  <c r="BM16" i="94"/>
  <c r="BT16" i="94"/>
  <c r="BK16" i="94"/>
  <c r="AL16" i="94"/>
  <c r="BP16" i="94"/>
  <c r="CI16" i="94"/>
  <c r="AK16" i="94"/>
  <c r="BG16" i="94"/>
  <c r="AQ16" i="94"/>
  <c r="AS16" i="94" s="1"/>
  <c r="CB16" i="94"/>
  <c r="AO16" i="94"/>
  <c r="AY16" i="94"/>
  <c r="AV16" i="94"/>
  <c r="BW16" i="94"/>
  <c r="BH16" i="94"/>
  <c r="CC16" i="94"/>
  <c r="AP16" i="94"/>
  <c r="AI16" i="94"/>
  <c r="CD16" i="94"/>
  <c r="X16" i="94"/>
  <c r="Z16" i="94" s="1"/>
  <c r="BZ16" i="94"/>
  <c r="BQ16" i="94"/>
  <c r="AR16" i="94"/>
  <c r="AH16" i="94"/>
  <c r="BN16" i="94"/>
  <c r="AU16" i="94"/>
  <c r="AW16" i="94" s="1"/>
  <c r="CE16" i="94"/>
  <c r="CG16" i="94" s="1"/>
  <c r="BO16" i="94"/>
  <c r="Y16" i="94"/>
  <c r="BU16" i="94"/>
  <c r="BR16" i="94"/>
  <c r="CA16" i="94"/>
  <c r="AF16" i="94"/>
  <c r="BI16" i="94"/>
  <c r="S16" i="94"/>
  <c r="CH16" i="94"/>
  <c r="CJ16" i="94" s="1"/>
  <c r="BL16" i="94"/>
  <c r="BC16" i="94"/>
  <c r="BE16" i="94"/>
  <c r="AJ16" i="94"/>
  <c r="AE16" i="94"/>
  <c r="AG16" i="94" s="1"/>
  <c r="AX16" i="94"/>
  <c r="AZ16" i="94" s="1"/>
  <c r="CK16" i="94"/>
  <c r="BX16" i="94"/>
  <c r="AD16" i="94"/>
  <c r="BJ16" i="113"/>
  <c r="AF16" i="113"/>
  <c r="AQ16" i="113"/>
  <c r="AS16" i="113" s="1"/>
  <c r="BE16" i="113"/>
  <c r="BQ16" i="113"/>
  <c r="AG16" i="113"/>
  <c r="BF16" i="113"/>
  <c r="BT16" i="113"/>
  <c r="CE16" i="113"/>
  <c r="AH16" i="113"/>
  <c r="AK16" i="113"/>
  <c r="AX16" i="113"/>
  <c r="AZ16" i="113" s="1"/>
  <c r="BL16" i="113"/>
  <c r="BW16" i="113"/>
  <c r="AA16" i="113"/>
  <c r="AC16" i="113" s="1"/>
  <c r="BA16" i="113"/>
  <c r="BN16" i="113"/>
  <c r="CB16" i="113"/>
  <c r="X16" i="113"/>
  <c r="BD16" i="113"/>
  <c r="BM16" i="113"/>
  <c r="AI16" i="113"/>
  <c r="BO16" i="113"/>
  <c r="AN16" i="113"/>
  <c r="BV16" i="113"/>
  <c r="AY16" i="113"/>
  <c r="Z16" i="113"/>
  <c r="AP16" i="113"/>
  <c r="AW16" i="113"/>
  <c r="BI16" i="113"/>
  <c r="BY16" i="113"/>
  <c r="AR16" i="113"/>
  <c r="BR16" i="113"/>
  <c r="AT16" i="113"/>
  <c r="AV16" i="113" s="1"/>
  <c r="AJ16" i="113"/>
  <c r="BZ16" i="113"/>
  <c r="BB16" i="113"/>
  <c r="P16" i="113"/>
  <c r="BC16" i="113"/>
  <c r="W16" i="113"/>
  <c r="Y16" i="113" s="1"/>
  <c r="CG16" i="113"/>
  <c r="AE16" i="113"/>
  <c r="U16" i="113"/>
  <c r="BH16" i="113"/>
  <c r="AL16" i="113"/>
  <c r="BU16" i="113"/>
  <c r="CD16" i="113"/>
  <c r="CF16" i="113" s="1"/>
  <c r="AM16" i="113"/>
  <c r="AO16" i="113" s="1"/>
  <c r="BK16" i="113"/>
  <c r="T16" i="113"/>
  <c r="V16" i="113" s="1"/>
  <c r="BG16" i="113"/>
  <c r="BX16" i="113"/>
  <c r="AB16" i="113"/>
  <c r="AU16" i="113"/>
  <c r="BS16" i="113"/>
  <c r="CA16" i="113"/>
  <c r="CC16" i="113" s="1"/>
  <c r="AD16" i="113"/>
  <c r="BP16" i="113"/>
  <c r="E13" i="83"/>
  <c r="D15" i="83"/>
  <c r="E15" i="83" s="1"/>
  <c r="U16" i="32"/>
  <c r="F15" i="83" l="1"/>
  <c r="AQ16" i="32"/>
  <c r="W16" i="32"/>
  <c r="R16" i="32"/>
  <c r="S16" i="32"/>
  <c r="P16" i="32"/>
  <c r="N16" i="32"/>
  <c r="J16" i="32"/>
  <c r="B14" i="102" s="1"/>
  <c r="K16" i="32"/>
  <c r="L16" i="32"/>
  <c r="I15" i="94" l="1"/>
  <c r="BG15" i="94" s="1"/>
  <c r="F15" i="113"/>
  <c r="C14" i="83"/>
  <c r="B14" i="83"/>
  <c r="AG16" i="32"/>
  <c r="AL16" i="32"/>
  <c r="H14" i="102" s="1"/>
  <c r="AM16" i="32"/>
  <c r="AK16" i="32"/>
  <c r="G14" i="102" s="1"/>
  <c r="AI16" i="32"/>
  <c r="E14" i="102" s="1"/>
  <c r="AN16" i="32"/>
  <c r="AJ16" i="32"/>
  <c r="F14" i="102" s="1"/>
  <c r="AH16" i="32"/>
  <c r="AF16" i="32"/>
  <c r="BF13" i="32"/>
  <c r="BE13" i="32"/>
  <c r="BD13" i="32"/>
  <c r="BC13" i="32"/>
  <c r="BB13" i="32"/>
  <c r="BA13" i="32"/>
  <c r="BX15" i="94" l="1"/>
  <c r="CC15" i="94"/>
  <c r="BM15" i="94"/>
  <c r="AT15" i="94"/>
  <c r="BF15" i="94"/>
  <c r="S15" i="94"/>
  <c r="BA15" i="94"/>
  <c r="CE15" i="94"/>
  <c r="CG15" i="94" s="1"/>
  <c r="BH15" i="94"/>
  <c r="AD15" i="94"/>
  <c r="AN15" i="94"/>
  <c r="AF15" i="94"/>
  <c r="AB15" i="94"/>
  <c r="AH15" i="94"/>
  <c r="BP15" i="94"/>
  <c r="CA15" i="94"/>
  <c r="BC15" i="94"/>
  <c r="BL15" i="94"/>
  <c r="X15" i="94"/>
  <c r="Z15" i="94" s="1"/>
  <c r="AX15" i="94"/>
  <c r="AZ15" i="94" s="1"/>
  <c r="BO15" i="94"/>
  <c r="AA15" i="94"/>
  <c r="AC15" i="94" s="1"/>
  <c r="AL15" i="94"/>
  <c r="BE15" i="94"/>
  <c r="BB15" i="94"/>
  <c r="BD15" i="94" s="1"/>
  <c r="AQ15" i="94"/>
  <c r="AS15" i="94" s="1"/>
  <c r="CI15" i="94"/>
  <c r="AP15" i="94"/>
  <c r="BT15" i="94"/>
  <c r="AM15" i="94"/>
  <c r="AR15" i="94"/>
  <c r="AJ15" i="94"/>
  <c r="AU15" i="94"/>
  <c r="AW15" i="94" s="1"/>
  <c r="BI15" i="94"/>
  <c r="AO15" i="94"/>
  <c r="BJ15" i="94"/>
  <c r="CF15" i="94"/>
  <c r="CB15" i="94"/>
  <c r="AI15" i="94"/>
  <c r="BU15" i="94"/>
  <c r="CH15" i="94"/>
  <c r="CJ15" i="94" s="1"/>
  <c r="BK15" i="94"/>
  <c r="BQ15" i="94"/>
  <c r="BW15" i="94"/>
  <c r="AV15" i="94"/>
  <c r="BR15" i="94"/>
  <c r="BY15" i="94"/>
  <c r="BS15" i="94"/>
  <c r="AK15" i="94"/>
  <c r="CD15" i="94"/>
  <c r="BZ15" i="94"/>
  <c r="CK15" i="94"/>
  <c r="BN15" i="94"/>
  <c r="Y15" i="94"/>
  <c r="BV15" i="94"/>
  <c r="AE15" i="94"/>
  <c r="AG15" i="94" s="1"/>
  <c r="AY15" i="94"/>
  <c r="BE15" i="113"/>
  <c r="BU15" i="113"/>
  <c r="AA15" i="113"/>
  <c r="AC15" i="113" s="1"/>
  <c r="AI15" i="113"/>
  <c r="AQ15" i="113"/>
  <c r="AS15" i="113" s="1"/>
  <c r="BG15" i="113"/>
  <c r="BO15" i="113"/>
  <c r="AB15" i="113"/>
  <c r="AJ15" i="113"/>
  <c r="BP15" i="113"/>
  <c r="AE15" i="113"/>
  <c r="BD15" i="113"/>
  <c r="AF15" i="113"/>
  <c r="AT15" i="113"/>
  <c r="AV15" i="113" s="1"/>
  <c r="BF15" i="113"/>
  <c r="BS15" i="113"/>
  <c r="CG15" i="113"/>
  <c r="AH15" i="113"/>
  <c r="AU15" i="113"/>
  <c r="BI15" i="113"/>
  <c r="BT15" i="113"/>
  <c r="W15" i="113"/>
  <c r="Y15" i="113" s="1"/>
  <c r="BJ15" i="113"/>
  <c r="BV15" i="113"/>
  <c r="Z15" i="113"/>
  <c r="AM15" i="113"/>
  <c r="AO15" i="113" s="1"/>
  <c r="BA15" i="113"/>
  <c r="BL15" i="113"/>
  <c r="BZ15" i="113"/>
  <c r="AD15" i="113"/>
  <c r="AP15" i="113"/>
  <c r="BC15" i="113"/>
  <c r="BQ15" i="113"/>
  <c r="CB15" i="113"/>
  <c r="AN15" i="113"/>
  <c r="BB15" i="113"/>
  <c r="BK15" i="113"/>
  <c r="BN15" i="113"/>
  <c r="CA15" i="113"/>
  <c r="CC15" i="113" s="1"/>
  <c r="BR15" i="113"/>
  <c r="BY15" i="113"/>
  <c r="X15" i="113"/>
  <c r="AX15" i="113"/>
  <c r="AZ15" i="113" s="1"/>
  <c r="P15" i="113"/>
  <c r="AG15" i="113"/>
  <c r="CD15" i="113"/>
  <c r="CF15" i="113" s="1"/>
  <c r="AW15" i="113"/>
  <c r="BM15" i="113"/>
  <c r="BX15" i="113"/>
  <c r="BW15" i="113"/>
  <c r="AK15" i="113"/>
  <c r="BH15" i="113"/>
  <c r="CE15" i="113"/>
  <c r="AY15" i="113"/>
  <c r="T15" i="113"/>
  <c r="V15" i="113" s="1"/>
  <c r="AL15" i="113"/>
  <c r="AR15" i="113"/>
  <c r="U15" i="113"/>
  <c r="D14" i="83"/>
  <c r="AY13" i="32"/>
  <c r="AZ13" i="32"/>
  <c r="AX13" i="32"/>
  <c r="AW13" i="32"/>
  <c r="AV13" i="32"/>
  <c r="E14" i="83" l="1"/>
  <c r="F14" i="83"/>
  <c r="U18" i="32"/>
  <c r="AQ18" i="32"/>
  <c r="W18" i="32"/>
  <c r="R18" i="32"/>
  <c r="S18" i="32"/>
  <c r="P18" i="32"/>
  <c r="N18" i="32"/>
  <c r="J18" i="32"/>
  <c r="B16" i="102" s="1"/>
  <c r="K18" i="32"/>
  <c r="L18" i="32"/>
  <c r="U22" i="32"/>
  <c r="AQ22" i="32"/>
  <c r="W22" i="32"/>
  <c r="R22" i="32"/>
  <c r="S22" i="32"/>
  <c r="P22" i="32"/>
  <c r="N22" i="32"/>
  <c r="J22" i="32"/>
  <c r="B20" i="102" s="1"/>
  <c r="K22" i="32"/>
  <c r="L22" i="32"/>
  <c r="U21" i="32"/>
  <c r="AQ21" i="32"/>
  <c r="W21" i="32"/>
  <c r="R21" i="32"/>
  <c r="S21" i="32"/>
  <c r="P21" i="32"/>
  <c r="N21" i="32"/>
  <c r="J21" i="32"/>
  <c r="B19" i="102" s="1"/>
  <c r="K21" i="32"/>
  <c r="L21" i="32"/>
  <c r="AQ19" i="32"/>
  <c r="AQ20" i="32"/>
  <c r="U20" i="32"/>
  <c r="W20" i="32"/>
  <c r="R20" i="32"/>
  <c r="S20" i="32"/>
  <c r="P20" i="32"/>
  <c r="N20" i="32"/>
  <c r="J20" i="32"/>
  <c r="B18" i="102" s="1"/>
  <c r="K20" i="32"/>
  <c r="L20" i="32"/>
  <c r="I17" i="94" l="1"/>
  <c r="BX17" i="94" s="1"/>
  <c r="F17" i="113"/>
  <c r="I19" i="94"/>
  <c r="AO19" i="94" s="1"/>
  <c r="F19" i="113"/>
  <c r="I20" i="94"/>
  <c r="AB20" i="94" s="1"/>
  <c r="F20" i="113"/>
  <c r="I21" i="94"/>
  <c r="BE21" i="94" s="1"/>
  <c r="F21" i="113"/>
  <c r="B16" i="83"/>
  <c r="C16" i="83"/>
  <c r="C18" i="83"/>
  <c r="B18" i="83"/>
  <c r="C19" i="83"/>
  <c r="B19" i="83"/>
  <c r="B20" i="83"/>
  <c r="C20" i="83"/>
  <c r="AF21" i="32"/>
  <c r="AF22" i="32"/>
  <c r="AG20" i="32"/>
  <c r="AG18" i="32"/>
  <c r="AI18" i="32"/>
  <c r="E16" i="102" s="1"/>
  <c r="AL18" i="32"/>
  <c r="H16" i="102" s="1"/>
  <c r="AK18" i="32"/>
  <c r="G16" i="102" s="1"/>
  <c r="AN18" i="32"/>
  <c r="AM18" i="32"/>
  <c r="AJ18" i="32"/>
  <c r="F16" i="102" s="1"/>
  <c r="AH18" i="32"/>
  <c r="AF18" i="32"/>
  <c r="AN22" i="32"/>
  <c r="AM22" i="32"/>
  <c r="AL22" i="32"/>
  <c r="H20" i="102" s="1"/>
  <c r="AK22" i="32"/>
  <c r="G20" i="102" s="1"/>
  <c r="AJ22" i="32"/>
  <c r="F20" i="102" s="1"/>
  <c r="AI22" i="32"/>
  <c r="E20" i="102" s="1"/>
  <c r="AH22" i="32"/>
  <c r="AG22" i="32"/>
  <c r="AN21" i="32"/>
  <c r="AL21" i="32"/>
  <c r="H19" i="102" s="1"/>
  <c r="AM21" i="32"/>
  <c r="AK21" i="32"/>
  <c r="G19" i="102" s="1"/>
  <c r="AJ21" i="32"/>
  <c r="F19" i="102" s="1"/>
  <c r="AI21" i="32"/>
  <c r="E19" i="102" s="1"/>
  <c r="AH21" i="32"/>
  <c r="AG21" i="32"/>
  <c r="AN20" i="32"/>
  <c r="AM20" i="32"/>
  <c r="AL20" i="32"/>
  <c r="H18" i="102" s="1"/>
  <c r="AK20" i="32"/>
  <c r="G18" i="102" s="1"/>
  <c r="AI20" i="32"/>
  <c r="E18" i="102" s="1"/>
  <c r="AJ20" i="32"/>
  <c r="F18" i="102" s="1"/>
  <c r="AH20" i="32"/>
  <c r="AF20" i="32"/>
  <c r="U19" i="32"/>
  <c r="W19" i="32"/>
  <c r="R19" i="32"/>
  <c r="S19" i="32"/>
  <c r="P19" i="32"/>
  <c r="N19" i="32"/>
  <c r="J19" i="32"/>
  <c r="B17" i="102" s="1"/>
  <c r="K19" i="32"/>
  <c r="L19" i="32"/>
  <c r="AQ13" i="32"/>
  <c r="W13" i="32"/>
  <c r="U13" i="32"/>
  <c r="R13" i="32"/>
  <c r="S13" i="32"/>
  <c r="P13" i="32"/>
  <c r="N13" i="32"/>
  <c r="J13" i="32"/>
  <c r="B11" i="102" s="1"/>
  <c r="K13" i="32"/>
  <c r="L13" i="32"/>
  <c r="X4" i="32"/>
  <c r="G23" i="49"/>
  <c r="BE19" i="94" l="1"/>
  <c r="BK19" i="94"/>
  <c r="BI19" i="94"/>
  <c r="BN19" i="94"/>
  <c r="AH19" i="94"/>
  <c r="CH19" i="94"/>
  <c r="CJ19" i="94" s="1"/>
  <c r="Y19" i="94"/>
  <c r="BF19" i="94"/>
  <c r="BM19" i="94"/>
  <c r="AI19" i="94"/>
  <c r="CE19" i="94"/>
  <c r="CG19" i="94" s="1"/>
  <c r="AR19" i="94"/>
  <c r="BY19" i="94"/>
  <c r="AB19" i="94"/>
  <c r="BJ19" i="94"/>
  <c r="S19" i="94"/>
  <c r="CI19" i="94"/>
  <c r="AV19" i="94"/>
  <c r="AF19" i="94"/>
  <c r="AM19" i="94"/>
  <c r="BZ19" i="94"/>
  <c r="BW19" i="94"/>
  <c r="BB19" i="94"/>
  <c r="BD19" i="94" s="1"/>
  <c r="AE19" i="94"/>
  <c r="AG19" i="94" s="1"/>
  <c r="AY19" i="94"/>
  <c r="AT19" i="94"/>
  <c r="BL19" i="94"/>
  <c r="CB19" i="94"/>
  <c r="AA19" i="94"/>
  <c r="AC19" i="94" s="1"/>
  <c r="BP19" i="94"/>
  <c r="CC19" i="94"/>
  <c r="BU19" i="94"/>
  <c r="BQ19" i="94"/>
  <c r="CA19" i="94"/>
  <c r="AU19" i="94"/>
  <c r="AW19" i="94" s="1"/>
  <c r="AP19" i="94"/>
  <c r="AJ19" i="94"/>
  <c r="AX19" i="94"/>
  <c r="AZ19" i="94" s="1"/>
  <c r="CF19" i="94"/>
  <c r="BX19" i="94"/>
  <c r="BA19" i="94"/>
  <c r="BH19" i="94"/>
  <c r="BT19" i="94"/>
  <c r="BG19" i="94"/>
  <c r="BO19" i="94"/>
  <c r="BC19" i="94"/>
  <c r="AQ19" i="94"/>
  <c r="AS19" i="94" s="1"/>
  <c r="AN19" i="94"/>
  <c r="X19" i="94"/>
  <c r="Z19" i="94" s="1"/>
  <c r="BR19" i="94"/>
  <c r="CK19" i="94"/>
  <c r="BT20" i="94"/>
  <c r="AK19" i="94"/>
  <c r="AD19" i="94"/>
  <c r="AL19" i="94"/>
  <c r="CD19" i="94"/>
  <c r="AX20" i="94"/>
  <c r="AZ20" i="94" s="1"/>
  <c r="Y20" i="94"/>
  <c r="AY20" i="94"/>
  <c r="BV19" i="94"/>
  <c r="BQ20" i="94"/>
  <c r="CH20" i="94"/>
  <c r="CJ20" i="94" s="1"/>
  <c r="BE20" i="94"/>
  <c r="BO20" i="94"/>
  <c r="BS19" i="94"/>
  <c r="BI20" i="94"/>
  <c r="CF20" i="94"/>
  <c r="AV20" i="94"/>
  <c r="CI17" i="94"/>
  <c r="AL20" i="94"/>
  <c r="BB20" i="94"/>
  <c r="BD20" i="94" s="1"/>
  <c r="AF20" i="94"/>
  <c r="BK20" i="94"/>
  <c r="AI20" i="94"/>
  <c r="AD20" i="94"/>
  <c r="BJ20" i="94"/>
  <c r="BC20" i="94"/>
  <c r="AE17" i="94"/>
  <c r="AG17" i="94" s="1"/>
  <c r="BS20" i="94"/>
  <c r="BG20" i="94"/>
  <c r="CI20" i="94"/>
  <c r="CH17" i="94"/>
  <c r="CJ17" i="94" s="1"/>
  <c r="BG17" i="94"/>
  <c r="AR17" i="94"/>
  <c r="AH21" i="94"/>
  <c r="AP17" i="94"/>
  <c r="AK21" i="94"/>
  <c r="AX17" i="94"/>
  <c r="AZ17" i="94" s="1"/>
  <c r="AI17" i="94"/>
  <c r="BU17" i="94"/>
  <c r="AT21" i="94"/>
  <c r="X21" i="94"/>
  <c r="Z21" i="94" s="1"/>
  <c r="BI21" i="94"/>
  <c r="BC21" i="94"/>
  <c r="AX21" i="94"/>
  <c r="AZ21" i="94" s="1"/>
  <c r="CH21" i="94"/>
  <c r="CJ21" i="94" s="1"/>
  <c r="BY21" i="94"/>
  <c r="AE21" i="94"/>
  <c r="AG21" i="94" s="1"/>
  <c r="AP21" i="94"/>
  <c r="BG21" i="94"/>
  <c r="CB21" i="94"/>
  <c r="AM21" i="94"/>
  <c r="BU21" i="94"/>
  <c r="CA17" i="94"/>
  <c r="AJ17" i="94"/>
  <c r="Y21" i="94"/>
  <c r="AA21" i="94"/>
  <c r="AC21" i="94" s="1"/>
  <c r="AB21" i="94"/>
  <c r="AY17" i="94"/>
  <c r="BR17" i="94"/>
  <c r="BR21" i="94"/>
  <c r="BB21" i="94"/>
  <c r="BD21" i="94" s="1"/>
  <c r="AV21" i="94"/>
  <c r="AP20" i="94"/>
  <c r="BM20" i="94"/>
  <c r="CC20" i="94"/>
  <c r="AT20" i="94"/>
  <c r="AM20" i="94"/>
  <c r="BA20" i="94"/>
  <c r="BZ20" i="94"/>
  <c r="AN20" i="94"/>
  <c r="BT21" i="94"/>
  <c r="BL21" i="94"/>
  <c r="BM21" i="94"/>
  <c r="BP21" i="94"/>
  <c r="BZ21" i="94"/>
  <c r="AD21" i="94"/>
  <c r="CC21" i="94"/>
  <c r="BA17" i="94"/>
  <c r="AM17" i="94"/>
  <c r="BH17" i="94"/>
  <c r="AB17" i="94"/>
  <c r="BJ17" i="94"/>
  <c r="AD17" i="94"/>
  <c r="AN17" i="94"/>
  <c r="BA21" i="113"/>
  <c r="BQ21" i="113"/>
  <c r="AT21" i="113"/>
  <c r="AV21" i="113" s="1"/>
  <c r="BB21" i="113"/>
  <c r="BU21" i="113"/>
  <c r="AB21" i="113"/>
  <c r="AR21" i="113"/>
  <c r="BX21" i="113"/>
  <c r="P21" i="113"/>
  <c r="AF21" i="113"/>
  <c r="BL21" i="113"/>
  <c r="X21" i="113"/>
  <c r="AN21" i="113"/>
  <c r="BD21" i="113"/>
  <c r="AI21" i="113"/>
  <c r="BG21" i="113"/>
  <c r="AJ21" i="113"/>
  <c r="BN21" i="113"/>
  <c r="AA21" i="113"/>
  <c r="AC21" i="113" s="1"/>
  <c r="BP21" i="113"/>
  <c r="T21" i="113"/>
  <c r="V21" i="113" s="1"/>
  <c r="AX21" i="113"/>
  <c r="AZ21" i="113" s="1"/>
  <c r="BV21" i="113"/>
  <c r="CD21" i="113"/>
  <c r="CF21" i="113" s="1"/>
  <c r="Z21" i="113"/>
  <c r="AY21" i="113"/>
  <c r="BW21" i="113"/>
  <c r="AH21" i="113"/>
  <c r="BF21" i="113"/>
  <c r="CE21" i="113"/>
  <c r="BM21" i="113"/>
  <c r="W21" i="113"/>
  <c r="Y21" i="113" s="1"/>
  <c r="AK21" i="113"/>
  <c r="BE21" i="113"/>
  <c r="CG21" i="113"/>
  <c r="BH21" i="113"/>
  <c r="CA21" i="113"/>
  <c r="CC21" i="113" s="1"/>
  <c r="CB21" i="113"/>
  <c r="AD21" i="113"/>
  <c r="AE21" i="113"/>
  <c r="BT21" i="113"/>
  <c r="BR21" i="113"/>
  <c r="AQ21" i="113"/>
  <c r="AS21" i="113" s="1"/>
  <c r="BK21" i="113"/>
  <c r="BY21" i="113"/>
  <c r="AG21" i="113"/>
  <c r="BZ21" i="113"/>
  <c r="U21" i="113"/>
  <c r="BO21" i="113"/>
  <c r="AU21" i="113"/>
  <c r="BS21" i="113"/>
  <c r="BC21" i="113"/>
  <c r="AP21" i="113"/>
  <c r="BI21" i="113"/>
  <c r="AM21" i="113"/>
  <c r="AO21" i="113" s="1"/>
  <c r="BJ21" i="113"/>
  <c r="AW21" i="113"/>
  <c r="AL21" i="113"/>
  <c r="AU20" i="94"/>
  <c r="AW20" i="94" s="1"/>
  <c r="BR20" i="94"/>
  <c r="BY20" i="94"/>
  <c r="AR20" i="94"/>
  <c r="BP20" i="94"/>
  <c r="BV20" i="94"/>
  <c r="AO20" i="94"/>
  <c r="BK21" i="94"/>
  <c r="BA21" i="94"/>
  <c r="AR21" i="94"/>
  <c r="AI21" i="94"/>
  <c r="AN21" i="94"/>
  <c r="AJ21" i="94"/>
  <c r="BF21" i="94"/>
  <c r="BS21" i="94"/>
  <c r="CE17" i="94"/>
  <c r="CG17" i="94" s="1"/>
  <c r="AQ17" i="94"/>
  <c r="AS17" i="94" s="1"/>
  <c r="S17" i="94"/>
  <c r="AA17" i="94"/>
  <c r="AC17" i="94" s="1"/>
  <c r="CC17" i="94"/>
  <c r="AO17" i="94"/>
  <c r="BS17" i="94"/>
  <c r="Z20" i="113"/>
  <c r="AP20" i="113"/>
  <c r="AX20" i="113"/>
  <c r="AZ20" i="113" s="1"/>
  <c r="AQ20" i="113"/>
  <c r="AS20" i="113" s="1"/>
  <c r="BO20" i="113"/>
  <c r="BW20" i="113"/>
  <c r="AD20" i="113"/>
  <c r="BJ20" i="113"/>
  <c r="BR20" i="113"/>
  <c r="BZ20" i="113"/>
  <c r="W20" i="113"/>
  <c r="Y20" i="113" s="1"/>
  <c r="AU20" i="113"/>
  <c r="BK20" i="113"/>
  <c r="CA20" i="113"/>
  <c r="CC20" i="113" s="1"/>
  <c r="CB20" i="113"/>
  <c r="U20" i="113"/>
  <c r="AN20" i="113"/>
  <c r="BD20" i="113"/>
  <c r="BT20" i="113"/>
  <c r="BS20" i="113"/>
  <c r="AW20" i="113"/>
  <c r="BU20" i="113"/>
  <c r="BA20" i="113"/>
  <c r="BY20" i="113"/>
  <c r="BC20" i="113"/>
  <c r="AK20" i="113"/>
  <c r="BE20" i="113"/>
  <c r="CG20" i="113"/>
  <c r="AG20" i="113"/>
  <c r="BI20" i="113"/>
  <c r="BM20" i="113"/>
  <c r="AM20" i="113"/>
  <c r="AO20" i="113" s="1"/>
  <c r="BQ20" i="113"/>
  <c r="BF20" i="113"/>
  <c r="AT20" i="113"/>
  <c r="AV20" i="113" s="1"/>
  <c r="CD20" i="113"/>
  <c r="CF20" i="113" s="1"/>
  <c r="BV20" i="113"/>
  <c r="BB20" i="113"/>
  <c r="AY20" i="113"/>
  <c r="BN20" i="113"/>
  <c r="AH20" i="113"/>
  <c r="AA20" i="113"/>
  <c r="AC20" i="113" s="1"/>
  <c r="X20" i="113"/>
  <c r="CE20" i="113"/>
  <c r="AL20" i="113"/>
  <c r="AI20" i="113"/>
  <c r="AF20" i="113"/>
  <c r="AR20" i="113"/>
  <c r="BG20" i="113"/>
  <c r="P20" i="113"/>
  <c r="AJ20" i="113"/>
  <c r="BL20" i="113"/>
  <c r="T20" i="113"/>
  <c r="V20" i="113" s="1"/>
  <c r="AB20" i="113"/>
  <c r="BP20" i="113"/>
  <c r="AE20" i="113"/>
  <c r="BH20" i="113"/>
  <c r="BX20" i="113"/>
  <c r="I18" i="94"/>
  <c r="AL18" i="94" s="1"/>
  <c r="F18" i="113"/>
  <c r="AH17" i="94"/>
  <c r="CB17" i="94"/>
  <c r="BT17" i="94"/>
  <c r="BF17" i="94"/>
  <c r="CD17" i="94"/>
  <c r="BK17" i="94"/>
  <c r="AU21" i="94"/>
  <c r="AW21" i="94" s="1"/>
  <c r="BW20" i="94"/>
  <c r="BH20" i="94"/>
  <c r="AE20" i="94"/>
  <c r="AG20" i="94" s="1"/>
  <c r="BU20" i="94"/>
  <c r="AK20" i="94"/>
  <c r="AH20" i="94"/>
  <c r="AA20" i="94"/>
  <c r="AC20" i="94" s="1"/>
  <c r="AL21" i="94"/>
  <c r="CI21" i="94"/>
  <c r="AQ21" i="94"/>
  <c r="AS21" i="94" s="1"/>
  <c r="BW21" i="94"/>
  <c r="CD21" i="94"/>
  <c r="BX21" i="94"/>
  <c r="CF21" i="94"/>
  <c r="X17" i="94"/>
  <c r="Z17" i="94" s="1"/>
  <c r="BM17" i="94"/>
  <c r="BE17" i="94"/>
  <c r="AV17" i="94"/>
  <c r="CK17" i="94"/>
  <c r="BQ17" i="94"/>
  <c r="BC17" i="94"/>
  <c r="W19" i="113"/>
  <c r="Y19" i="113" s="1"/>
  <c r="AF19" i="113"/>
  <c r="AN19" i="113"/>
  <c r="BL19" i="113"/>
  <c r="AI19" i="113"/>
  <c r="AY19" i="113"/>
  <c r="BG19" i="113"/>
  <c r="CE19" i="113"/>
  <c r="AB19" i="113"/>
  <c r="AK19" i="113"/>
  <c r="BA19" i="113"/>
  <c r="BI19" i="113"/>
  <c r="BQ19" i="113"/>
  <c r="BJ19" i="113"/>
  <c r="AT19" i="113"/>
  <c r="AV19" i="113" s="1"/>
  <c r="BP19" i="113"/>
  <c r="AA19" i="113"/>
  <c r="AC19" i="113" s="1"/>
  <c r="AX19" i="113"/>
  <c r="AZ19" i="113" s="1"/>
  <c r="CD19" i="113"/>
  <c r="CF19" i="113" s="1"/>
  <c r="BB19" i="113"/>
  <c r="BF19" i="113"/>
  <c r="T19" i="113"/>
  <c r="V19" i="113" s="1"/>
  <c r="BN19" i="113"/>
  <c r="BV19" i="113"/>
  <c r="AH19" i="113"/>
  <c r="BX19" i="113"/>
  <c r="AJ19" i="113"/>
  <c r="BZ19" i="113"/>
  <c r="AR19" i="113"/>
  <c r="P19" i="113"/>
  <c r="AD19" i="113"/>
  <c r="AG19" i="113"/>
  <c r="BH19" i="113"/>
  <c r="BE19" i="113"/>
  <c r="AE19" i="113"/>
  <c r="BU19" i="113"/>
  <c r="AW19" i="113"/>
  <c r="AQ19" i="113"/>
  <c r="AS19" i="113" s="1"/>
  <c r="BS19" i="113"/>
  <c r="X19" i="113"/>
  <c r="CA19" i="113"/>
  <c r="CC19" i="113" s="1"/>
  <c r="BM19" i="113"/>
  <c r="BO19" i="113"/>
  <c r="BK19" i="113"/>
  <c r="Z19" i="113"/>
  <c r="BY19" i="113"/>
  <c r="AU19" i="113"/>
  <c r="BW19" i="113"/>
  <c r="U19" i="113"/>
  <c r="AM19" i="113"/>
  <c r="AO19" i="113" s="1"/>
  <c r="CB19" i="113"/>
  <c r="CG19" i="113"/>
  <c r="BT19" i="113"/>
  <c r="AP19" i="113"/>
  <c r="BC19" i="113"/>
  <c r="BR19" i="113"/>
  <c r="BD19" i="113"/>
  <c r="AL19" i="113"/>
  <c r="I12" i="94"/>
  <c r="AQ12" i="94" s="1"/>
  <c r="AS12" i="94" s="1"/>
  <c r="F12" i="113"/>
  <c r="CE20" i="94"/>
  <c r="CG20" i="94" s="1"/>
  <c r="BL20" i="94"/>
  <c r="BN20" i="94"/>
  <c r="BF20" i="94"/>
  <c r="S20" i="94"/>
  <c r="CK20" i="94"/>
  <c r="AJ20" i="94"/>
  <c r="CE21" i="94"/>
  <c r="CG21" i="94" s="1"/>
  <c r="S21" i="94"/>
  <c r="BH21" i="94"/>
  <c r="BQ21" i="94"/>
  <c r="BO21" i="94"/>
  <c r="AF21" i="94"/>
  <c r="BN21" i="94"/>
  <c r="BP17" i="94"/>
  <c r="AL17" i="94"/>
  <c r="AF17" i="94"/>
  <c r="BN17" i="94"/>
  <c r="BV17" i="94"/>
  <c r="BB17" i="94"/>
  <c r="BD17" i="94" s="1"/>
  <c r="AU17" i="94"/>
  <c r="AW17" i="94" s="1"/>
  <c r="X20" i="94"/>
  <c r="Z20" i="94" s="1"/>
  <c r="CB20" i="94"/>
  <c r="BX20" i="94"/>
  <c r="AQ20" i="94"/>
  <c r="AS20" i="94" s="1"/>
  <c r="CD20" i="94"/>
  <c r="CA20" i="94"/>
  <c r="BJ21" i="94"/>
  <c r="CK21" i="94"/>
  <c r="CA21" i="94"/>
  <c r="AO21" i="94"/>
  <c r="AY21" i="94"/>
  <c r="BV21" i="94"/>
  <c r="BW17" i="94"/>
  <c r="Y17" i="94"/>
  <c r="BO17" i="94"/>
  <c r="BY17" i="94"/>
  <c r="BL17" i="94"/>
  <c r="BI17" i="94"/>
  <c r="AK17" i="94"/>
  <c r="CF17" i="94"/>
  <c r="Z17" i="113"/>
  <c r="AP17" i="113"/>
  <c r="BZ17" i="113"/>
  <c r="AK17" i="113"/>
  <c r="AW17" i="113"/>
  <c r="BH17" i="113"/>
  <c r="BR17" i="113"/>
  <c r="T17" i="113"/>
  <c r="V17" i="113" s="1"/>
  <c r="AD17" i="113"/>
  <c r="AG17" i="113"/>
  <c r="BM17" i="113"/>
  <c r="BI17" i="113"/>
  <c r="BO17" i="113"/>
  <c r="AQ17" i="113"/>
  <c r="AS17" i="113" s="1"/>
  <c r="BT17" i="113"/>
  <c r="BW17" i="113"/>
  <c r="CG17" i="113"/>
  <c r="BY17" i="113"/>
  <c r="CE17" i="113"/>
  <c r="U17" i="113"/>
  <c r="X17" i="113"/>
  <c r="AY17" i="113"/>
  <c r="AI17" i="113"/>
  <c r="BK17" i="113"/>
  <c r="BG17" i="113"/>
  <c r="BQ17" i="113"/>
  <c r="BS17" i="113"/>
  <c r="AN17" i="113"/>
  <c r="BF17" i="113"/>
  <c r="AB17" i="113"/>
  <c r="BL17" i="113"/>
  <c r="BA17" i="113"/>
  <c r="CD17" i="113"/>
  <c r="CF17" i="113" s="1"/>
  <c r="AH17" i="113"/>
  <c r="AM17" i="113"/>
  <c r="AO17" i="113" s="1"/>
  <c r="BV17" i="113"/>
  <c r="BU17" i="113"/>
  <c r="P17" i="113"/>
  <c r="BN17" i="113"/>
  <c r="AX17" i="113"/>
  <c r="AZ17" i="113" s="1"/>
  <c r="BE17" i="113"/>
  <c r="BD17" i="113"/>
  <c r="W17" i="113"/>
  <c r="Y17" i="113" s="1"/>
  <c r="AJ17" i="113"/>
  <c r="BB17" i="113"/>
  <c r="BX17" i="113"/>
  <c r="CA17" i="113"/>
  <c r="CC17" i="113" s="1"/>
  <c r="AE17" i="113"/>
  <c r="AT17" i="113"/>
  <c r="AV17" i="113" s="1"/>
  <c r="AF17" i="113"/>
  <c r="AR17" i="113"/>
  <c r="CB17" i="113"/>
  <c r="BP17" i="113"/>
  <c r="BJ17" i="113"/>
  <c r="AU17" i="113"/>
  <c r="AA17" i="113"/>
  <c r="AC17" i="113" s="1"/>
  <c r="BC17" i="113"/>
  <c r="AL17" i="113"/>
  <c r="AT17" i="94"/>
  <c r="BZ17" i="94"/>
  <c r="D20" i="83"/>
  <c r="E20" i="83" s="1"/>
  <c r="AA12" i="94"/>
  <c r="AC12" i="94" s="1"/>
  <c r="D16" i="83"/>
  <c r="E16" i="83" s="1"/>
  <c r="B17" i="83"/>
  <c r="C17" i="83"/>
  <c r="D19" i="83"/>
  <c r="C11" i="83"/>
  <c r="B11" i="83"/>
  <c r="D18" i="83"/>
  <c r="AF13" i="32"/>
  <c r="AF19" i="32"/>
  <c r="AN19" i="32"/>
  <c r="AI19" i="32"/>
  <c r="E17" i="102" s="1"/>
  <c r="AM19" i="32"/>
  <c r="AL19" i="32"/>
  <c r="H17" i="102" s="1"/>
  <c r="AK19" i="32"/>
  <c r="G17" i="102" s="1"/>
  <c r="AJ19" i="32"/>
  <c r="F17" i="102" s="1"/>
  <c r="AH19" i="32"/>
  <c r="AG19" i="32"/>
  <c r="AI13" i="32"/>
  <c r="E11" i="102" s="1"/>
  <c r="AN13" i="32"/>
  <c r="AL13" i="32"/>
  <c r="H11" i="102" s="1"/>
  <c r="AJ13" i="32"/>
  <c r="F11" i="102" s="1"/>
  <c r="AM13" i="32"/>
  <c r="AK13" i="32"/>
  <c r="G11" i="102" s="1"/>
  <c r="AH13" i="32"/>
  <c r="AG13" i="32"/>
  <c r="F20" i="83" l="1"/>
  <c r="BJ12" i="94"/>
  <c r="BV18" i="94"/>
  <c r="BL18" i="94"/>
  <c r="AK12" i="94"/>
  <c r="BI18" i="94"/>
  <c r="AT12" i="94"/>
  <c r="CC12" i="94"/>
  <c r="BP18" i="94"/>
  <c r="AF18" i="94"/>
  <c r="BW12" i="94"/>
  <c r="BU12" i="94"/>
  <c r="CF12" i="94"/>
  <c r="BX12" i="94"/>
  <c r="AV18" i="94"/>
  <c r="BI12" i="94"/>
  <c r="AY18" i="94"/>
  <c r="CB18" i="94"/>
  <c r="CD12" i="94"/>
  <c r="AE12" i="94"/>
  <c r="AG12" i="94" s="1"/>
  <c r="BK18" i="94"/>
  <c r="BX18" i="94"/>
  <c r="BH18" i="94"/>
  <c r="BH12" i="94"/>
  <c r="BP12" i="94"/>
  <c r="BF18" i="94"/>
  <c r="BB18" i="94"/>
  <c r="BD18" i="94" s="1"/>
  <c r="BM18" i="94"/>
  <c r="AD12" i="94"/>
  <c r="AI12" i="94"/>
  <c r="BO18" i="94"/>
  <c r="BS18" i="94"/>
  <c r="S18" i="94"/>
  <c r="BE18" i="94"/>
  <c r="AX18" i="94"/>
  <c r="AZ18" i="94" s="1"/>
  <c r="AJ18" i="94"/>
  <c r="AM18" i="94"/>
  <c r="AH12" i="94"/>
  <c r="BG12" i="94"/>
  <c r="BM12" i="94"/>
  <c r="CK12" i="94"/>
  <c r="AF12" i="94"/>
  <c r="BT12" i="94"/>
  <c r="AR12" i="94"/>
  <c r="Y12" i="94"/>
  <c r="CE18" i="94"/>
  <c r="CG18" i="94" s="1"/>
  <c r="BC18" i="94"/>
  <c r="AT18" i="94"/>
  <c r="AK18" i="94"/>
  <c r="BC12" i="94"/>
  <c r="BF12" i="94"/>
  <c r="CF18" i="94"/>
  <c r="CD18" i="94"/>
  <c r="AN18" i="94"/>
  <c r="AR18" i="94"/>
  <c r="CI18" i="94"/>
  <c r="BA18" i="94"/>
  <c r="BQ18" i="94"/>
  <c r="BR12" i="94"/>
  <c r="AV12" i="94"/>
  <c r="BA12" i="94"/>
  <c r="AX12" i="94"/>
  <c r="AZ12" i="94" s="1"/>
  <c r="X12" i="94"/>
  <c r="Z12" i="94" s="1"/>
  <c r="BS12" i="94"/>
  <c r="AB12" i="94"/>
  <c r="AA18" i="94"/>
  <c r="AC18" i="94" s="1"/>
  <c r="CA12" i="94"/>
  <c r="BB12" i="94"/>
  <c r="BD12" i="94" s="1"/>
  <c r="BG18" i="94"/>
  <c r="CH18" i="94"/>
  <c r="CJ18" i="94" s="1"/>
  <c r="AI18" i="94"/>
  <c r="BZ18" i="94"/>
  <c r="AU18" i="94"/>
  <c r="AW18" i="94" s="1"/>
  <c r="BU18" i="94"/>
  <c r="Y18" i="94"/>
  <c r="CH12" i="94"/>
  <c r="CJ12" i="94" s="1"/>
  <c r="AL12" i="94"/>
  <c r="CE12" i="94"/>
  <c r="CG12" i="94" s="1"/>
  <c r="BY12" i="94"/>
  <c r="BE12" i="94"/>
  <c r="BK12" i="94"/>
  <c r="BO12" i="94"/>
  <c r="AO18" i="94"/>
  <c r="CA18" i="94"/>
  <c r="CB12" i="94"/>
  <c r="AJ12" i="94"/>
  <c r="AP18" i="94"/>
  <c r="BW18" i="94"/>
  <c r="AB18" i="94"/>
  <c r="BN18" i="94"/>
  <c r="AH18" i="94"/>
  <c r="BY18" i="94"/>
  <c r="X18" i="94"/>
  <c r="Z18" i="94" s="1"/>
  <c r="BR18" i="94"/>
  <c r="AP12" i="94"/>
  <c r="CI12" i="94"/>
  <c r="S12" i="94"/>
  <c r="AO12" i="94"/>
  <c r="BZ12" i="94"/>
  <c r="AU12" i="94"/>
  <c r="AW12" i="94" s="1"/>
  <c r="AY12" i="94"/>
  <c r="AD18" i="94"/>
  <c r="BT18" i="94"/>
  <c r="AQ18" i="94"/>
  <c r="AS18" i="94" s="1"/>
  <c r="AE18" i="94"/>
  <c r="AG18" i="94" s="1"/>
  <c r="CC18" i="94"/>
  <c r="BJ18" i="94"/>
  <c r="CK18" i="94"/>
  <c r="BQ12" i="94"/>
  <c r="BL12" i="94"/>
  <c r="BN12" i="94"/>
  <c r="BV12" i="94"/>
  <c r="AN12" i="94"/>
  <c r="AM12" i="94"/>
  <c r="AE12" i="113"/>
  <c r="AN12" i="113"/>
  <c r="BD12" i="113"/>
  <c r="BL12" i="113"/>
  <c r="AF12" i="113"/>
  <c r="BE12" i="113"/>
  <c r="BU12" i="113"/>
  <c r="W12" i="113"/>
  <c r="Y12" i="113" s="1"/>
  <c r="AH12" i="113"/>
  <c r="BF12" i="113"/>
  <c r="BN12" i="113"/>
  <c r="BV12" i="113"/>
  <c r="X12" i="113"/>
  <c r="AI12" i="113"/>
  <c r="BG12" i="113"/>
  <c r="Z12" i="113"/>
  <c r="AR12" i="113"/>
  <c r="BH12" i="113"/>
  <c r="BX12" i="113"/>
  <c r="AA12" i="113"/>
  <c r="AC12" i="113" s="1"/>
  <c r="BI12" i="113"/>
  <c r="BY12" i="113"/>
  <c r="AB12" i="113"/>
  <c r="AT12" i="113"/>
  <c r="AV12" i="113" s="1"/>
  <c r="BJ12" i="113"/>
  <c r="AU12" i="113"/>
  <c r="BK12" i="113"/>
  <c r="CA12" i="113"/>
  <c r="CC12" i="113" s="1"/>
  <c r="AJ12" i="113"/>
  <c r="BP12" i="113"/>
  <c r="AK12" i="113"/>
  <c r="BA12" i="113"/>
  <c r="BQ12" i="113"/>
  <c r="CG12" i="113"/>
  <c r="AM12" i="113"/>
  <c r="AO12" i="113" s="1"/>
  <c r="BC12" i="113"/>
  <c r="BS12" i="113"/>
  <c r="BR12" i="113"/>
  <c r="AL12" i="113"/>
  <c r="BB12" i="113"/>
  <c r="U12" i="113"/>
  <c r="CD12" i="113"/>
  <c r="CF12" i="113" s="1"/>
  <c r="AD12" i="113"/>
  <c r="CE12" i="113"/>
  <c r="CB12" i="113"/>
  <c r="P12" i="113"/>
  <c r="AP12" i="113"/>
  <c r="AG12" i="113"/>
  <c r="BO12" i="113"/>
  <c r="AW12" i="113"/>
  <c r="BZ12" i="113"/>
  <c r="BT12" i="113"/>
  <c r="AY12" i="113"/>
  <c r="BM12" i="113"/>
  <c r="AQ12" i="113"/>
  <c r="AS12" i="113" s="1"/>
  <c r="BW12" i="113"/>
  <c r="T12" i="113"/>
  <c r="V12" i="113" s="1"/>
  <c r="AX12" i="113"/>
  <c r="AZ12" i="113" s="1"/>
  <c r="Z18" i="113"/>
  <c r="AP18" i="113"/>
  <c r="AQ18" i="113"/>
  <c r="AS18" i="113" s="1"/>
  <c r="CE18" i="113"/>
  <c r="AG18" i="113"/>
  <c r="AR18" i="113"/>
  <c r="BC18" i="113"/>
  <c r="BM18" i="113"/>
  <c r="BW18" i="113"/>
  <c r="BY18" i="113"/>
  <c r="AB18" i="113"/>
  <c r="AM18" i="113"/>
  <c r="AO18" i="113" s="1"/>
  <c r="AW18" i="113"/>
  <c r="BH18" i="113"/>
  <c r="BR18" i="113"/>
  <c r="CA18" i="113"/>
  <c r="CC18" i="113" s="1"/>
  <c r="AA18" i="113"/>
  <c r="AC18" i="113" s="1"/>
  <c r="BD18" i="113"/>
  <c r="CB18" i="113"/>
  <c r="AI18" i="113"/>
  <c r="BJ18" i="113"/>
  <c r="BO18" i="113"/>
  <c r="X18" i="113"/>
  <c r="AY18" i="113"/>
  <c r="BZ18" i="113"/>
  <c r="P18" i="113"/>
  <c r="BS18" i="113"/>
  <c r="BX18" i="113"/>
  <c r="AD18" i="113"/>
  <c r="CG18" i="113"/>
  <c r="AN18" i="113"/>
  <c r="AT18" i="113"/>
  <c r="AV18" i="113" s="1"/>
  <c r="BG18" i="113"/>
  <c r="BQ18" i="113"/>
  <c r="U18" i="113"/>
  <c r="AK18" i="113"/>
  <c r="BV18" i="113"/>
  <c r="BU18" i="113"/>
  <c r="AH18" i="113"/>
  <c r="T18" i="113"/>
  <c r="V18" i="113" s="1"/>
  <c r="BA18" i="113"/>
  <c r="BL18" i="113"/>
  <c r="BN18" i="113"/>
  <c r="BP18" i="113"/>
  <c r="W18" i="113"/>
  <c r="Y18" i="113" s="1"/>
  <c r="BB18" i="113"/>
  <c r="BI18" i="113"/>
  <c r="AL18" i="113"/>
  <c r="BE18" i="113"/>
  <c r="CD18" i="113"/>
  <c r="CF18" i="113" s="1"/>
  <c r="AF18" i="113"/>
  <c r="BK18" i="113"/>
  <c r="AU18" i="113"/>
  <c r="AX18" i="113"/>
  <c r="AZ18" i="113" s="1"/>
  <c r="AJ18" i="113"/>
  <c r="BT18" i="113"/>
  <c r="BF18" i="113"/>
  <c r="AE18" i="113"/>
  <c r="D11" i="83"/>
  <c r="E11" i="83" s="1"/>
  <c r="F16" i="83"/>
  <c r="D17" i="83"/>
  <c r="E17" i="83" s="1"/>
  <c r="E19" i="83"/>
  <c r="F19" i="83"/>
  <c r="E18" i="83"/>
  <c r="F18" i="83"/>
  <c r="Q34" i="49"/>
  <c r="F11" i="83" l="1"/>
  <c r="F17" i="83"/>
  <c r="T33" i="49"/>
  <c r="T17" i="49"/>
  <c r="AD4" i="32" l="1"/>
  <c r="D2" i="102" l="1"/>
  <c r="AD26" i="32"/>
  <c r="AD12" i="32"/>
  <c r="AD9" i="32"/>
  <c r="AD6" i="32"/>
  <c r="Q8" i="94" l="1"/>
  <c r="O9" i="86"/>
  <c r="N8" i="113"/>
  <c r="D7" i="102"/>
  <c r="Q5" i="94"/>
  <c r="N5" i="113"/>
  <c r="O6" i="86"/>
  <c r="Y6" i="86" s="1"/>
  <c r="AF6" i="86" s="1"/>
  <c r="D4" i="102"/>
  <c r="O12" i="86"/>
  <c r="Q11" i="94"/>
  <c r="N11" i="113"/>
  <c r="D10" i="102"/>
  <c r="O26" i="86"/>
  <c r="Y26" i="86" s="1"/>
  <c r="AF26" i="86" s="1"/>
  <c r="D24" i="102"/>
  <c r="Q25" i="94"/>
  <c r="N25" i="113"/>
  <c r="AD8" i="32"/>
  <c r="S8" i="113" l="1"/>
  <c r="AK8" i="113"/>
  <c r="P8" i="113"/>
  <c r="R8" i="113"/>
  <c r="Q8" i="113"/>
  <c r="S25" i="113"/>
  <c r="AK25" i="113"/>
  <c r="Q25" i="113"/>
  <c r="P25" i="113"/>
  <c r="V25" i="94"/>
  <c r="AO25" i="94"/>
  <c r="T25" i="94"/>
  <c r="S25" i="94"/>
  <c r="W25" i="94"/>
  <c r="V5" i="94"/>
  <c r="U5" i="94"/>
  <c r="S5" i="94"/>
  <c r="W5" i="94"/>
  <c r="AO5" i="94"/>
  <c r="T5" i="94"/>
  <c r="S11" i="113"/>
  <c r="Q11" i="113"/>
  <c r="AK11" i="113"/>
  <c r="P11" i="113"/>
  <c r="AO11" i="94"/>
  <c r="V11" i="94"/>
  <c r="S11" i="94"/>
  <c r="T11" i="94"/>
  <c r="W11" i="94"/>
  <c r="Y9" i="86"/>
  <c r="AF9" i="86" s="1"/>
  <c r="AK5" i="113"/>
  <c r="S5" i="113"/>
  <c r="Q5" i="113"/>
  <c r="R5" i="113"/>
  <c r="P5" i="113"/>
  <c r="AD2" i="32"/>
  <c r="N7" i="113"/>
  <c r="O8" i="86"/>
  <c r="Q7" i="94"/>
  <c r="D6" i="102"/>
  <c r="AF12" i="86"/>
  <c r="Y12" i="86"/>
  <c r="V8" i="94"/>
  <c r="W8" i="94" s="1"/>
  <c r="S8" i="94"/>
  <c r="U8" i="94"/>
  <c r="T8" i="94"/>
  <c r="AO8" i="94"/>
  <c r="Z23" i="32"/>
  <c r="Z24" i="32"/>
  <c r="Z9" i="32"/>
  <c r="Z8" i="32"/>
  <c r="Z4" i="32"/>
  <c r="S7" i="113" l="1"/>
  <c r="AK7" i="113"/>
  <c r="Q7" i="113"/>
  <c r="P7" i="113"/>
  <c r="M7" i="94"/>
  <c r="J7" i="113"/>
  <c r="K8" i="86"/>
  <c r="U8" i="86" s="1"/>
  <c r="AB8" i="86" s="1"/>
  <c r="J8" i="113"/>
  <c r="M8" i="94"/>
  <c r="K9" i="86"/>
  <c r="U9" i="86" s="1"/>
  <c r="AB9" i="86" s="1"/>
  <c r="J23" i="113"/>
  <c r="M23" i="94"/>
  <c r="K24" i="86"/>
  <c r="U24" i="86" s="1"/>
  <c r="AB24" i="86" s="1"/>
  <c r="T7" i="94"/>
  <c r="V7" i="94"/>
  <c r="S7" i="94"/>
  <c r="AO7" i="94"/>
  <c r="W7" i="94"/>
  <c r="J22" i="113"/>
  <c r="M22" i="94"/>
  <c r="K23" i="86"/>
  <c r="U23" i="86" s="1"/>
  <c r="AB23" i="86" s="1"/>
  <c r="Y8" i="86"/>
  <c r="AF8" i="86" s="1"/>
  <c r="AA27" i="32"/>
  <c r="AA26" i="32"/>
  <c r="AA10" i="32"/>
  <c r="AA8" i="32"/>
  <c r="AA4" i="32"/>
  <c r="BC8" i="113" l="1"/>
  <c r="BH8" i="113"/>
  <c r="BR8" i="113"/>
  <c r="CG8" i="113"/>
  <c r="AG8" i="113"/>
  <c r="AW8" i="113"/>
  <c r="BM8" i="113"/>
  <c r="BZ8" i="113"/>
  <c r="AD8" i="113"/>
  <c r="Z8" i="113"/>
  <c r="BW8" i="113"/>
  <c r="AP8" i="113"/>
  <c r="L27" i="86"/>
  <c r="K26" i="113"/>
  <c r="N26" i="94"/>
  <c r="BH7" i="113"/>
  <c r="Z7" i="113"/>
  <c r="AW7" i="113"/>
  <c r="AD7" i="113"/>
  <c r="CG7" i="113"/>
  <c r="AG7" i="113"/>
  <c r="BW7" i="113"/>
  <c r="BC7" i="113"/>
  <c r="BM7" i="113"/>
  <c r="AP7" i="113"/>
  <c r="BZ7" i="113"/>
  <c r="BR7" i="113"/>
  <c r="BG7" i="94"/>
  <c r="BL7" i="94"/>
  <c r="CK7" i="94"/>
  <c r="AT7" i="94"/>
  <c r="AD7" i="94"/>
  <c r="AH7" i="94"/>
  <c r="BQ7" i="94"/>
  <c r="BA7" i="94"/>
  <c r="CD7" i="94"/>
  <c r="CA7" i="94"/>
  <c r="AK7" i="94"/>
  <c r="BV7" i="94"/>
  <c r="AK22" i="94"/>
  <c r="BQ22" i="94"/>
  <c r="BV22" i="94"/>
  <c r="BG22" i="94"/>
  <c r="AH22" i="94"/>
  <c r="CK22" i="94"/>
  <c r="BA22" i="94"/>
  <c r="BL22" i="94"/>
  <c r="CD22" i="94"/>
  <c r="CA22" i="94"/>
  <c r="AT22" i="94"/>
  <c r="AD22" i="94"/>
  <c r="BG23" i="94"/>
  <c r="BQ23" i="94"/>
  <c r="AT23" i="94"/>
  <c r="CK23" i="94"/>
  <c r="BV23" i="94"/>
  <c r="BL23" i="94"/>
  <c r="CD23" i="94"/>
  <c r="CA23" i="94"/>
  <c r="AK23" i="94"/>
  <c r="AD23" i="94"/>
  <c r="BA23" i="94"/>
  <c r="AH23" i="94"/>
  <c r="N7" i="94"/>
  <c r="K7" i="113"/>
  <c r="L8" i="86"/>
  <c r="CG22" i="113"/>
  <c r="AP22" i="113"/>
  <c r="BR22" i="113"/>
  <c r="BC22" i="113"/>
  <c r="BZ22" i="113"/>
  <c r="BM22" i="113"/>
  <c r="AD22" i="113"/>
  <c r="BW22" i="113"/>
  <c r="Z22" i="113"/>
  <c r="BH22" i="113"/>
  <c r="AW22" i="113"/>
  <c r="AG22" i="113"/>
  <c r="BH23" i="113"/>
  <c r="CG23" i="113"/>
  <c r="AG23" i="113"/>
  <c r="Z23" i="113"/>
  <c r="BR23" i="113"/>
  <c r="BW23" i="113"/>
  <c r="BZ23" i="113"/>
  <c r="AD23" i="113"/>
  <c r="BM23" i="113"/>
  <c r="AP23" i="113"/>
  <c r="BC23" i="113"/>
  <c r="AW23" i="113"/>
  <c r="N9" i="94"/>
  <c r="L10" i="86"/>
  <c r="K9" i="113"/>
  <c r="L26" i="86"/>
  <c r="K25" i="113"/>
  <c r="N25" i="94"/>
  <c r="BA8" i="94"/>
  <c r="AD8" i="94"/>
  <c r="BV8" i="94"/>
  <c r="AT8" i="94"/>
  <c r="AH8" i="94"/>
  <c r="CK8" i="94"/>
  <c r="BG8" i="94"/>
  <c r="AK8" i="94"/>
  <c r="BQ8" i="94"/>
  <c r="CD8" i="94"/>
  <c r="BL8" i="94"/>
  <c r="CA8" i="94"/>
  <c r="Y27" i="32"/>
  <c r="Y26" i="32"/>
  <c r="Y10" i="32"/>
  <c r="Y23" i="32"/>
  <c r="Y24" i="32"/>
  <c r="Y8" i="32"/>
  <c r="Y11" i="32"/>
  <c r="I22" i="113" l="1"/>
  <c r="J23" i="86"/>
  <c r="T23" i="86" s="1"/>
  <c r="AA23" i="86" s="1"/>
  <c r="L22" i="94"/>
  <c r="AL7" i="94"/>
  <c r="BX26" i="113"/>
  <c r="BN26" i="113"/>
  <c r="BD26" i="113"/>
  <c r="AH26" i="113"/>
  <c r="CD26" i="113"/>
  <c r="CF26" i="113" s="1"/>
  <c r="BI26" i="113"/>
  <c r="CA26" i="113"/>
  <c r="CC26" i="113" s="1"/>
  <c r="BS26" i="113"/>
  <c r="J10" i="86"/>
  <c r="I9" i="113"/>
  <c r="L9" i="94"/>
  <c r="I26" i="113"/>
  <c r="J27" i="86"/>
  <c r="L26" i="94"/>
  <c r="V27" i="86"/>
  <c r="AC27" i="86" s="1"/>
  <c r="BN9" i="113"/>
  <c r="BS9" i="113"/>
  <c r="CD9" i="113"/>
  <c r="CF9" i="113" s="1"/>
  <c r="BD9" i="113"/>
  <c r="BX9" i="113"/>
  <c r="CA9" i="113"/>
  <c r="CC9" i="113" s="1"/>
  <c r="AH9" i="113"/>
  <c r="BI9" i="113"/>
  <c r="V10" i="86"/>
  <c r="AC10" i="86" s="1"/>
  <c r="BN25" i="113"/>
  <c r="AH25" i="113"/>
  <c r="CD25" i="113"/>
  <c r="CF25" i="113" s="1"/>
  <c r="BX25" i="113"/>
  <c r="BI25" i="113"/>
  <c r="BD25" i="113"/>
  <c r="BS25" i="113"/>
  <c r="CA25" i="113"/>
  <c r="CC25" i="113" s="1"/>
  <c r="J26" i="86"/>
  <c r="T26" i="86" s="1"/>
  <c r="AA26" i="86" s="1"/>
  <c r="I25" i="113"/>
  <c r="L25" i="94"/>
  <c r="CE25" i="94"/>
  <c r="CG25" i="94" s="1"/>
  <c r="BW25" i="94"/>
  <c r="CH25" i="94"/>
  <c r="CJ25" i="94" s="1"/>
  <c r="AL25" i="94"/>
  <c r="BR25" i="94"/>
  <c r="BH25" i="94"/>
  <c r="BM25" i="94"/>
  <c r="CB25" i="94"/>
  <c r="J11" i="86"/>
  <c r="T11" i="86" s="1"/>
  <c r="AA11" i="86" s="1"/>
  <c r="I10" i="113"/>
  <c r="L10" i="94"/>
  <c r="L7" i="94"/>
  <c r="I7" i="113"/>
  <c r="J8" i="86"/>
  <c r="T8" i="86" s="1"/>
  <c r="AA8" i="86" s="1"/>
  <c r="V8" i="86"/>
  <c r="AC8" i="86" s="1"/>
  <c r="AL26" i="94"/>
  <c r="CH26" i="94"/>
  <c r="CJ26" i="94" s="1"/>
  <c r="CE26" i="94"/>
  <c r="CG26" i="94" s="1"/>
  <c r="CB26" i="94"/>
  <c r="BR26" i="94"/>
  <c r="BH26" i="94"/>
  <c r="BW26" i="94"/>
  <c r="BM26" i="94"/>
  <c r="AC26" i="86"/>
  <c r="V26" i="86"/>
  <c r="BM9" i="94"/>
  <c r="BH9" i="94"/>
  <c r="AL9" i="94"/>
  <c r="CH9" i="94"/>
  <c r="CJ9" i="94" s="1"/>
  <c r="CE9" i="94"/>
  <c r="CG9" i="94" s="1"/>
  <c r="BR9" i="94"/>
  <c r="CB9" i="94"/>
  <c r="BW9" i="94"/>
  <c r="I23" i="113"/>
  <c r="J24" i="86"/>
  <c r="L23" i="94"/>
  <c r="AH7" i="113"/>
  <c r="Y12" i="32"/>
  <c r="BJ10" i="94" l="1"/>
  <c r="AX10" i="94"/>
  <c r="AZ10" i="94" s="1"/>
  <c r="BP10" i="94"/>
  <c r="AA10" i="94"/>
  <c r="AC10" i="94" s="1"/>
  <c r="BZ10" i="94"/>
  <c r="AM10" i="94"/>
  <c r="AF10" i="94"/>
  <c r="AI10" i="94"/>
  <c r="BE10" i="94"/>
  <c r="AN10" i="94"/>
  <c r="AQ10" i="94"/>
  <c r="AS10" i="94" s="1"/>
  <c r="BU10" i="94"/>
  <c r="AE10" i="94"/>
  <c r="AG10" i="94" s="1"/>
  <c r="AY10" i="94"/>
  <c r="BF10" i="94"/>
  <c r="BT10" i="94"/>
  <c r="BO10" i="94"/>
  <c r="AB10" i="94"/>
  <c r="AJ10" i="94"/>
  <c r="BY10" i="94"/>
  <c r="R10" i="94"/>
  <c r="AP10" i="94" s="1"/>
  <c r="Y10" i="94"/>
  <c r="U10" i="94"/>
  <c r="AR10" i="94"/>
  <c r="BK10" i="94"/>
  <c r="X10" i="94"/>
  <c r="Z10" i="94" s="1"/>
  <c r="BU9" i="94"/>
  <c r="Y9" i="94"/>
  <c r="AN9" i="94"/>
  <c r="AB9" i="94"/>
  <c r="U9" i="94"/>
  <c r="AA9" i="94"/>
  <c r="AC9" i="94" s="1"/>
  <c r="R9" i="94"/>
  <c r="AP9" i="94" s="1"/>
  <c r="X9" i="94"/>
  <c r="Z9" i="94" s="1"/>
  <c r="BY9" i="94"/>
  <c r="AI9" i="94"/>
  <c r="AX9" i="94"/>
  <c r="AZ9" i="94" s="1"/>
  <c r="BP9" i="94"/>
  <c r="AM9" i="94"/>
  <c r="AY9" i="94"/>
  <c r="AJ9" i="94"/>
  <c r="AR9" i="94"/>
  <c r="AE9" i="94"/>
  <c r="AG9" i="94" s="1"/>
  <c r="BE9" i="94"/>
  <c r="BK9" i="94"/>
  <c r="BJ9" i="94"/>
  <c r="AF9" i="94"/>
  <c r="BZ9" i="94"/>
  <c r="BF9" i="94"/>
  <c r="BT9" i="94"/>
  <c r="AQ9" i="94"/>
  <c r="AS9" i="94" s="1"/>
  <c r="BO9" i="94"/>
  <c r="BB10" i="113"/>
  <c r="AI10" i="113"/>
  <c r="BQ10" i="113"/>
  <c r="BG10" i="113"/>
  <c r="AB10" i="113"/>
  <c r="X10" i="113"/>
  <c r="AJ10" i="113"/>
  <c r="AM10" i="113"/>
  <c r="AO10" i="113" s="1"/>
  <c r="T10" i="113"/>
  <c r="V10" i="113" s="1"/>
  <c r="AF10" i="113"/>
  <c r="AT10" i="113"/>
  <c r="AV10" i="113" s="1"/>
  <c r="BU10" i="113"/>
  <c r="U10" i="113"/>
  <c r="AN10" i="113"/>
  <c r="BP10" i="113"/>
  <c r="BA10" i="113"/>
  <c r="BL10" i="113"/>
  <c r="W10" i="113"/>
  <c r="Y10" i="113" s="1"/>
  <c r="BK10" i="113"/>
  <c r="AE10" i="113"/>
  <c r="AA10" i="113"/>
  <c r="AC10" i="113" s="1"/>
  <c r="BF10" i="113"/>
  <c r="O10" i="113"/>
  <c r="AL10" i="113" s="1"/>
  <c r="R10" i="113"/>
  <c r="AU10" i="113"/>
  <c r="BV10" i="113"/>
  <c r="AA9" i="113"/>
  <c r="AC9" i="113" s="1"/>
  <c r="BK9" i="113"/>
  <c r="W9" i="113"/>
  <c r="Y9" i="113" s="1"/>
  <c r="AM9" i="113"/>
  <c r="AO9" i="113" s="1"/>
  <c r="AI9" i="113"/>
  <c r="BU9" i="113"/>
  <c r="BV9" i="113"/>
  <c r="AB9" i="113"/>
  <c r="AT9" i="113"/>
  <c r="AV9" i="113" s="1"/>
  <c r="T9" i="113"/>
  <c r="V9" i="113" s="1"/>
  <c r="AE9" i="113"/>
  <c r="X9" i="113"/>
  <c r="AJ9" i="113"/>
  <c r="O9" i="113"/>
  <c r="AL9" i="113" s="1"/>
  <c r="BG9" i="113"/>
  <c r="AU9" i="113"/>
  <c r="AF9" i="113"/>
  <c r="BP9" i="113"/>
  <c r="U9" i="113"/>
  <c r="AN9" i="113"/>
  <c r="BA9" i="113"/>
  <c r="BB9" i="113"/>
  <c r="BL9" i="113"/>
  <c r="BQ9" i="113"/>
  <c r="BF9" i="113"/>
  <c r="R9" i="113"/>
  <c r="T10" i="86"/>
  <c r="AA10" i="86" s="1"/>
  <c r="BF25" i="94"/>
  <c r="X25" i="94"/>
  <c r="Z25" i="94" s="1"/>
  <c r="BU25" i="94"/>
  <c r="BJ25" i="94"/>
  <c r="AX25" i="94"/>
  <c r="AZ25" i="94" s="1"/>
  <c r="R25" i="94"/>
  <c r="AP25" i="94" s="1"/>
  <c r="AF25" i="94"/>
  <c r="BT25" i="94"/>
  <c r="BZ25" i="94"/>
  <c r="BE25" i="94"/>
  <c r="AN25" i="94"/>
  <c r="AA25" i="94"/>
  <c r="AC25" i="94" s="1"/>
  <c r="BK25" i="94"/>
  <c r="Y25" i="94"/>
  <c r="AQ25" i="94"/>
  <c r="AS25" i="94" s="1"/>
  <c r="AB25" i="94"/>
  <c r="AY25" i="94"/>
  <c r="AI25" i="94"/>
  <c r="AJ25" i="94"/>
  <c r="AM25" i="94"/>
  <c r="BY25" i="94"/>
  <c r="BP25" i="94"/>
  <c r="AE25" i="94"/>
  <c r="AG25" i="94" s="1"/>
  <c r="BO25" i="94"/>
  <c r="AR25" i="94"/>
  <c r="U25" i="94"/>
  <c r="BE26" i="94"/>
  <c r="AR26" i="94"/>
  <c r="BJ26" i="94"/>
  <c r="BZ26" i="94"/>
  <c r="AM26" i="94"/>
  <c r="AA26" i="94"/>
  <c r="AC26" i="94" s="1"/>
  <c r="R26" i="94"/>
  <c r="AP26" i="94" s="1"/>
  <c r="X26" i="94"/>
  <c r="Z26" i="94" s="1"/>
  <c r="AI26" i="94"/>
  <c r="AX26" i="94"/>
  <c r="AZ26" i="94" s="1"/>
  <c r="Y26" i="94"/>
  <c r="AQ26" i="94"/>
  <c r="AS26" i="94" s="1"/>
  <c r="BT26" i="94"/>
  <c r="U26" i="94"/>
  <c r="AE26" i="94"/>
  <c r="AG26" i="94" s="1"/>
  <c r="AY26" i="94"/>
  <c r="BK26" i="94"/>
  <c r="BY26" i="94"/>
  <c r="BO26" i="94"/>
  <c r="AJ26" i="94"/>
  <c r="AF26" i="94"/>
  <c r="BP26" i="94"/>
  <c r="BU26" i="94"/>
  <c r="AN26" i="94"/>
  <c r="AB26" i="94"/>
  <c r="BF26" i="94"/>
  <c r="AN22" i="94"/>
  <c r="U22" i="94"/>
  <c r="AA22" i="94"/>
  <c r="AC22" i="94" s="1"/>
  <c r="BO22" i="94"/>
  <c r="BY22" i="94"/>
  <c r="AE22" i="94"/>
  <c r="AG22" i="94" s="1"/>
  <c r="AY22" i="94"/>
  <c r="AF22" i="94"/>
  <c r="AM22" i="94"/>
  <c r="BZ22" i="94"/>
  <c r="BE22" i="94"/>
  <c r="X22" i="94"/>
  <c r="Z22" i="94" s="1"/>
  <c r="BP22" i="94"/>
  <c r="AJ22" i="94"/>
  <c r="Y22" i="94"/>
  <c r="AX22" i="94"/>
  <c r="AZ22" i="94" s="1"/>
  <c r="BU22" i="94"/>
  <c r="AB22" i="94"/>
  <c r="BK22" i="94"/>
  <c r="AQ22" i="94"/>
  <c r="AS22" i="94" s="1"/>
  <c r="BF22" i="94"/>
  <c r="BJ22" i="94"/>
  <c r="BT22" i="94"/>
  <c r="R22" i="94"/>
  <c r="AP22" i="94" s="1"/>
  <c r="AR22" i="94"/>
  <c r="AI22" i="94"/>
  <c r="BQ7" i="113"/>
  <c r="BK7" i="113"/>
  <c r="R7" i="113"/>
  <c r="AT7" i="113"/>
  <c r="AV7" i="113" s="1"/>
  <c r="X7" i="113"/>
  <c r="AN7" i="113"/>
  <c r="BF7" i="113"/>
  <c r="BB7" i="113"/>
  <c r="BU7" i="113"/>
  <c r="BV7" i="113"/>
  <c r="BG7" i="113"/>
  <c r="AB7" i="113"/>
  <c r="W7" i="113"/>
  <c r="Y7" i="113" s="1"/>
  <c r="AA7" i="113"/>
  <c r="AC7" i="113" s="1"/>
  <c r="T7" i="113"/>
  <c r="V7" i="113" s="1"/>
  <c r="AJ7" i="113"/>
  <c r="AE7" i="113"/>
  <c r="BL7" i="113"/>
  <c r="U7" i="113"/>
  <c r="BA7" i="113"/>
  <c r="AU7" i="113"/>
  <c r="AM7" i="113"/>
  <c r="AO7" i="113" s="1"/>
  <c r="AF7" i="113"/>
  <c r="AI7" i="113"/>
  <c r="BP7" i="113"/>
  <c r="AI25" i="113"/>
  <c r="O25" i="113"/>
  <c r="AL25" i="113" s="1"/>
  <c r="BF25" i="113"/>
  <c r="BP25" i="113"/>
  <c r="AU25" i="113"/>
  <c r="BB25" i="113"/>
  <c r="BV25" i="113"/>
  <c r="AM25" i="113"/>
  <c r="AO25" i="113" s="1"/>
  <c r="BK25" i="113"/>
  <c r="X25" i="113"/>
  <c r="AA25" i="113"/>
  <c r="AC25" i="113" s="1"/>
  <c r="AT25" i="113"/>
  <c r="AV25" i="113" s="1"/>
  <c r="BA25" i="113"/>
  <c r="T25" i="113"/>
  <c r="V25" i="113" s="1"/>
  <c r="AF25" i="113"/>
  <c r="U25" i="113"/>
  <c r="AN25" i="113"/>
  <c r="AE25" i="113"/>
  <c r="BL25" i="113"/>
  <c r="BU25" i="113"/>
  <c r="BQ25" i="113"/>
  <c r="AJ25" i="113"/>
  <c r="BG25" i="113"/>
  <c r="W25" i="113"/>
  <c r="Y25" i="113" s="1"/>
  <c r="AB25" i="113"/>
  <c r="R25" i="113"/>
  <c r="T27" i="86"/>
  <c r="AA27" i="86" s="1"/>
  <c r="Y2" i="32"/>
  <c r="J12" i="86"/>
  <c r="L11" i="94"/>
  <c r="I11" i="113"/>
  <c r="U23" i="94"/>
  <c r="AF23" i="94"/>
  <c r="X23" i="94"/>
  <c r="Z23" i="94" s="1"/>
  <c r="AE23" i="94"/>
  <c r="AG23" i="94" s="1"/>
  <c r="AJ23" i="94"/>
  <c r="AX23" i="94"/>
  <c r="AZ23" i="94" s="1"/>
  <c r="AY23" i="94"/>
  <c r="BY23" i="94"/>
  <c r="BU23" i="94"/>
  <c r="BP23" i="94"/>
  <c r="BE23" i="94"/>
  <c r="AN23" i="94"/>
  <c r="BO23" i="94"/>
  <c r="AA23" i="94"/>
  <c r="AC23" i="94" s="1"/>
  <c r="AR23" i="94"/>
  <c r="BZ23" i="94"/>
  <c r="AQ23" i="94"/>
  <c r="AS23" i="94" s="1"/>
  <c r="Y23" i="94"/>
  <c r="BT23" i="94"/>
  <c r="AB23" i="94"/>
  <c r="AI23" i="94"/>
  <c r="AM23" i="94"/>
  <c r="BK23" i="94"/>
  <c r="BJ23" i="94"/>
  <c r="BF23" i="94"/>
  <c r="T24" i="86"/>
  <c r="AA24" i="86" s="1"/>
  <c r="AU23" i="113"/>
  <c r="BV23" i="113"/>
  <c r="X23" i="113"/>
  <c r="R23" i="113"/>
  <c r="BG23" i="113"/>
  <c r="BQ23" i="113"/>
  <c r="U23" i="113"/>
  <c r="AE23" i="113"/>
  <c r="AA23" i="113"/>
  <c r="AC23" i="113" s="1"/>
  <c r="AN23" i="113"/>
  <c r="AJ23" i="113"/>
  <c r="BU23" i="113"/>
  <c r="AT23" i="113"/>
  <c r="AV23" i="113" s="1"/>
  <c r="AB23" i="113"/>
  <c r="BA23" i="113"/>
  <c r="BK23" i="113"/>
  <c r="W23" i="113"/>
  <c r="Y23" i="113" s="1"/>
  <c r="BB23" i="113"/>
  <c r="BP23" i="113"/>
  <c r="AM23" i="113"/>
  <c r="AO23" i="113" s="1"/>
  <c r="AI23" i="113"/>
  <c r="BF23" i="113"/>
  <c r="BL23" i="113"/>
  <c r="AF23" i="113"/>
  <c r="T23" i="113"/>
  <c r="V23" i="113" s="1"/>
  <c r="AA7" i="94"/>
  <c r="AC7" i="94" s="1"/>
  <c r="Y7" i="94"/>
  <c r="BP7" i="94"/>
  <c r="AB7" i="94"/>
  <c r="AJ7" i="94"/>
  <c r="BT7" i="94"/>
  <c r="AY7" i="94"/>
  <c r="BO7" i="94"/>
  <c r="AN7" i="94"/>
  <c r="BF7" i="94"/>
  <c r="AQ7" i="94"/>
  <c r="AS7" i="94" s="1"/>
  <c r="U7" i="94"/>
  <c r="AE7" i="94"/>
  <c r="AG7" i="94" s="1"/>
  <c r="BY7" i="94"/>
  <c r="AM7" i="94"/>
  <c r="AR7" i="94"/>
  <c r="BK7" i="94"/>
  <c r="BZ7" i="94"/>
  <c r="AI7" i="94"/>
  <c r="BE7" i="94"/>
  <c r="BJ7" i="94"/>
  <c r="X7" i="94"/>
  <c r="Z7" i="94" s="1"/>
  <c r="BU7" i="94"/>
  <c r="AF7" i="94"/>
  <c r="AX7" i="94"/>
  <c r="AZ7" i="94" s="1"/>
  <c r="AJ26" i="113"/>
  <c r="AT26" i="113"/>
  <c r="AV26" i="113" s="1"/>
  <c r="BA26" i="113"/>
  <c r="BB26" i="113"/>
  <c r="BP26" i="113"/>
  <c r="U26" i="113"/>
  <c r="BV26" i="113"/>
  <c r="O26" i="113"/>
  <c r="AL26" i="113" s="1"/>
  <c r="AA26" i="113"/>
  <c r="AC26" i="113" s="1"/>
  <c r="AB26" i="113"/>
  <c r="AI26" i="113"/>
  <c r="BU26" i="113"/>
  <c r="BG26" i="113"/>
  <c r="BQ26" i="113"/>
  <c r="X26" i="113"/>
  <c r="W26" i="113"/>
  <c r="Y26" i="113" s="1"/>
  <c r="BF26" i="113"/>
  <c r="T26" i="113"/>
  <c r="V26" i="113" s="1"/>
  <c r="AE26" i="113"/>
  <c r="AM26" i="113"/>
  <c r="AO26" i="113" s="1"/>
  <c r="BL26" i="113"/>
  <c r="R26" i="113"/>
  <c r="BK26" i="113"/>
  <c r="AF26" i="113"/>
  <c r="AN26" i="113"/>
  <c r="AU26" i="113"/>
  <c r="BP22" i="113"/>
  <c r="AB22" i="113"/>
  <c r="BF22" i="113"/>
  <c r="AI22" i="113"/>
  <c r="T22" i="113"/>
  <c r="V22" i="113" s="1"/>
  <c r="AE22" i="113"/>
  <c r="AM22" i="113"/>
  <c r="AO22" i="113" s="1"/>
  <c r="BL22" i="113"/>
  <c r="W22" i="113"/>
  <c r="Y22" i="113" s="1"/>
  <c r="BB22" i="113"/>
  <c r="R22" i="113"/>
  <c r="AN22" i="113"/>
  <c r="O22" i="113"/>
  <c r="AL22" i="113" s="1"/>
  <c r="AU22" i="113"/>
  <c r="AA22" i="113"/>
  <c r="AC22" i="113" s="1"/>
  <c r="AF22" i="113"/>
  <c r="BA22" i="113"/>
  <c r="BG22" i="113"/>
  <c r="BK22" i="113"/>
  <c r="X22" i="113"/>
  <c r="BQ22" i="113"/>
  <c r="AT22" i="113"/>
  <c r="AV22" i="113" s="1"/>
  <c r="BU22" i="113"/>
  <c r="AJ22" i="113"/>
  <c r="BV22" i="113"/>
  <c r="U22" i="113"/>
  <c r="B21" i="3"/>
  <c r="B20" i="3"/>
  <c r="B19" i="3"/>
  <c r="B18" i="3"/>
  <c r="C16" i="3"/>
  <c r="C18" i="3" s="1"/>
  <c r="T12" i="86" l="1"/>
  <c r="AA12" i="86" s="1"/>
  <c r="AI11" i="94"/>
  <c r="BO11" i="94"/>
  <c r="BZ11" i="94"/>
  <c r="AF11" i="94"/>
  <c r="AJ11" i="94"/>
  <c r="AN11" i="94"/>
  <c r="BJ11" i="94"/>
  <c r="BT11" i="94"/>
  <c r="AY11" i="94"/>
  <c r="AQ11" i="94"/>
  <c r="AS11" i="94" s="1"/>
  <c r="BU11" i="94"/>
  <c r="AX11" i="94"/>
  <c r="AZ11" i="94" s="1"/>
  <c r="BP11" i="94"/>
  <c r="AM11" i="94"/>
  <c r="BF11" i="94"/>
  <c r="AE11" i="94"/>
  <c r="AG11" i="94" s="1"/>
  <c r="BK11" i="94"/>
  <c r="Y11" i="94"/>
  <c r="BY11" i="94"/>
  <c r="BE11" i="94"/>
  <c r="AB11" i="94"/>
  <c r="U11" i="94"/>
  <c r="AR11" i="94"/>
  <c r="AA11" i="94"/>
  <c r="AC11" i="94" s="1"/>
  <c r="X11" i="94"/>
  <c r="Z11" i="94" s="1"/>
  <c r="AE11" i="113"/>
  <c r="R11" i="113"/>
  <c r="W11" i="113"/>
  <c r="Y11" i="113" s="1"/>
  <c r="AJ11" i="113"/>
  <c r="BK11" i="113"/>
  <c r="BP11" i="113"/>
  <c r="BV11" i="113"/>
  <c r="BA11" i="113"/>
  <c r="AT11" i="113"/>
  <c r="AV11" i="113" s="1"/>
  <c r="AF11" i="113"/>
  <c r="BB11" i="113"/>
  <c r="T11" i="113"/>
  <c r="V11" i="113" s="1"/>
  <c r="AM11" i="113"/>
  <c r="AO11" i="113" s="1"/>
  <c r="BQ11" i="113"/>
  <c r="BU11" i="113"/>
  <c r="AB11" i="113"/>
  <c r="BF11" i="113"/>
  <c r="X11" i="113"/>
  <c r="BL11" i="113"/>
  <c r="AU11" i="113"/>
  <c r="AA11" i="113"/>
  <c r="AC11" i="113" s="1"/>
  <c r="BG11" i="113"/>
  <c r="U11" i="113"/>
  <c r="AI11" i="113"/>
  <c r="AN11" i="113"/>
  <c r="D16" i="3"/>
  <c r="C21" i="3"/>
  <c r="C19" i="3"/>
  <c r="C20" i="3"/>
  <c r="E16" i="3" l="1"/>
  <c r="D18" i="3"/>
  <c r="D20" i="3"/>
  <c r="D21" i="3"/>
  <c r="D19" i="3"/>
  <c r="P4" i="32"/>
  <c r="I3" i="94" l="1"/>
  <c r="F3" i="113"/>
  <c r="F16" i="3"/>
  <c r="E18" i="3"/>
  <c r="E20" i="3"/>
  <c r="E21" i="3"/>
  <c r="E19" i="3"/>
  <c r="G16" i="3" l="1"/>
  <c r="F21" i="3"/>
  <c r="F18" i="3"/>
  <c r="F20" i="3"/>
  <c r="F19" i="3"/>
  <c r="H16" i="3" l="1"/>
  <c r="G19" i="3"/>
  <c r="G21" i="3"/>
  <c r="G18" i="3"/>
  <c r="G20" i="3"/>
  <c r="L12" i="111"/>
  <c r="R12" i="111" s="1"/>
  <c r="A12" i="111"/>
  <c r="B12" i="111"/>
  <c r="C12" i="111"/>
  <c r="E12" i="111"/>
  <c r="F12" i="111"/>
  <c r="G12" i="111"/>
  <c r="H12" i="111"/>
  <c r="I12" i="111"/>
  <c r="J12" i="111"/>
  <c r="K12" i="111"/>
  <c r="S12" i="111"/>
  <c r="W12" i="111"/>
  <c r="L7" i="110"/>
  <c r="U7" i="110" s="1"/>
  <c r="N23" i="110"/>
  <c r="T23" i="110"/>
  <c r="U23" i="110"/>
  <c r="V23" i="110"/>
  <c r="W23" i="110"/>
  <c r="X23" i="110"/>
  <c r="A7" i="110"/>
  <c r="B7" i="110"/>
  <c r="C7" i="110"/>
  <c r="E7" i="110"/>
  <c r="F7" i="110"/>
  <c r="G7" i="110"/>
  <c r="H7" i="110"/>
  <c r="I7" i="110"/>
  <c r="J7" i="110"/>
  <c r="K7" i="110"/>
  <c r="L7" i="107"/>
  <c r="T7" i="107" s="1"/>
  <c r="M23" i="107"/>
  <c r="N23" i="107"/>
  <c r="P23" i="107"/>
  <c r="Q23" i="107"/>
  <c r="R23" i="107"/>
  <c r="S23" i="107"/>
  <c r="T23" i="107"/>
  <c r="U23" i="107"/>
  <c r="V23" i="107"/>
  <c r="W23" i="107"/>
  <c r="X23" i="107"/>
  <c r="M7" i="107"/>
  <c r="Q7" i="107"/>
  <c r="R7" i="107"/>
  <c r="S7" i="107"/>
  <c r="U7" i="107"/>
  <c r="Z7" i="107" s="1"/>
  <c r="V7" i="107"/>
  <c r="A7" i="107"/>
  <c r="B7" i="107"/>
  <c r="C7" i="107"/>
  <c r="E7" i="107"/>
  <c r="F7" i="107"/>
  <c r="G7" i="107"/>
  <c r="H7" i="107"/>
  <c r="I7" i="107"/>
  <c r="J7" i="107"/>
  <c r="K7" i="107"/>
  <c r="L9" i="108"/>
  <c r="P9" i="108" s="1"/>
  <c r="A9" i="108"/>
  <c r="B9" i="108"/>
  <c r="C9" i="108"/>
  <c r="E9" i="108"/>
  <c r="F9" i="108"/>
  <c r="G9" i="108"/>
  <c r="H9" i="108"/>
  <c r="I9" i="108"/>
  <c r="J9" i="108"/>
  <c r="K9" i="108"/>
  <c r="T7" i="110" l="1"/>
  <c r="T9" i="108"/>
  <c r="W7" i="110"/>
  <c r="Z7" i="110" s="1"/>
  <c r="N9" i="108"/>
  <c r="S9" i="108"/>
  <c r="U12" i="111"/>
  <c r="Z12" i="111" s="1"/>
  <c r="R9" i="108"/>
  <c r="Q9" i="108"/>
  <c r="X7" i="107"/>
  <c r="P7" i="107"/>
  <c r="N12" i="111"/>
  <c r="O9" i="108"/>
  <c r="W7" i="107"/>
  <c r="N7" i="107"/>
  <c r="X7" i="110"/>
  <c r="V9" i="108"/>
  <c r="U9" i="108"/>
  <c r="Z9" i="108" s="1"/>
  <c r="N7" i="110"/>
  <c r="X12" i="111"/>
  <c r="M12" i="111"/>
  <c r="V12" i="111"/>
  <c r="I16" i="3"/>
  <c r="H19" i="3"/>
  <c r="H21" i="3"/>
  <c r="H18" i="3"/>
  <c r="H20" i="3"/>
  <c r="Y12" i="111"/>
  <c r="AA12" i="111" s="1"/>
  <c r="V7" i="110"/>
  <c r="AA7" i="107"/>
  <c r="Y7" i="107"/>
  <c r="L13" i="111"/>
  <c r="L12" i="110"/>
  <c r="L15" i="107"/>
  <c r="L19" i="108"/>
  <c r="N19" i="108" s="1"/>
  <c r="L15" i="111"/>
  <c r="L15" i="110"/>
  <c r="L17" i="107"/>
  <c r="L10" i="108"/>
  <c r="L17" i="111"/>
  <c r="L13" i="110"/>
  <c r="L18" i="107"/>
  <c r="L18" i="108"/>
  <c r="N18" i="108" s="1"/>
  <c r="L19" i="111"/>
  <c r="L18" i="110"/>
  <c r="L16" i="107"/>
  <c r="L4" i="108"/>
  <c r="N4" i="108" s="1"/>
  <c r="L9" i="111"/>
  <c r="L9" i="110"/>
  <c r="L8" i="107"/>
  <c r="L13" i="108"/>
  <c r="N13" i="108" s="1"/>
  <c r="L6" i="111"/>
  <c r="L10" i="110"/>
  <c r="L10" i="107"/>
  <c r="L14" i="108"/>
  <c r="L16" i="111"/>
  <c r="L4" i="110"/>
  <c r="L6" i="107"/>
  <c r="L17" i="108"/>
  <c r="N17" i="108" s="1"/>
  <c r="L4" i="111"/>
  <c r="L16" i="110"/>
  <c r="L12" i="107"/>
  <c r="L6" i="108"/>
  <c r="N6" i="108" s="1"/>
  <c r="L8" i="111"/>
  <c r="L11" i="110"/>
  <c r="L11" i="107"/>
  <c r="L5" i="108"/>
  <c r="N5" i="108" s="1"/>
  <c r="L7" i="108"/>
  <c r="N7" i="108" s="1"/>
  <c r="L8" i="108"/>
  <c r="L11" i="111"/>
  <c r="L6" i="110"/>
  <c r="L4" i="107"/>
  <c r="L15" i="108"/>
  <c r="N15" i="108" s="1"/>
  <c r="Y14" i="111"/>
  <c r="L14" i="111"/>
  <c r="L5" i="110"/>
  <c r="L5" i="107"/>
  <c r="Z12" i="108"/>
  <c r="L12" i="108"/>
  <c r="L10" i="111"/>
  <c r="L8" i="110"/>
  <c r="L9" i="107"/>
  <c r="L16" i="108"/>
  <c r="N16" i="108" s="1"/>
  <c r="L5" i="111"/>
  <c r="Z19" i="110"/>
  <c r="L19" i="110"/>
  <c r="L13" i="107"/>
  <c r="L7" i="111"/>
  <c r="Z17" i="110"/>
  <c r="Y17" i="110"/>
  <c r="L17" i="110"/>
  <c r="L14" i="107"/>
  <c r="L11" i="108"/>
  <c r="L18" i="111"/>
  <c r="Y18" i="111" s="1"/>
  <c r="Z14" i="110"/>
  <c r="Y14" i="110"/>
  <c r="Z19" i="107"/>
  <c r="Y19" i="107"/>
  <c r="M23" i="111"/>
  <c r="N23" i="111"/>
  <c r="R23" i="111"/>
  <c r="S23" i="111"/>
  <c r="U23" i="111"/>
  <c r="V23" i="111"/>
  <c r="W23" i="111"/>
  <c r="X23" i="111"/>
  <c r="A20" i="111"/>
  <c r="B20" i="111"/>
  <c r="C20" i="111"/>
  <c r="A15" i="111"/>
  <c r="B15" i="111"/>
  <c r="C15" i="111"/>
  <c r="A4" i="111"/>
  <c r="B4" i="111"/>
  <c r="C4" i="111"/>
  <c r="A7" i="111"/>
  <c r="B7" i="111"/>
  <c r="C7" i="111"/>
  <c r="A5" i="111"/>
  <c r="B5" i="111"/>
  <c r="C5" i="111"/>
  <c r="A21" i="111"/>
  <c r="B21" i="111"/>
  <c r="C21" i="111"/>
  <c r="A8" i="111"/>
  <c r="B8" i="111"/>
  <c r="C8" i="111"/>
  <c r="A9" i="111"/>
  <c r="B9" i="111"/>
  <c r="C9" i="111"/>
  <c r="A6" i="111"/>
  <c r="B6" i="111"/>
  <c r="C6" i="111"/>
  <c r="A11" i="111"/>
  <c r="B11" i="111"/>
  <c r="C11" i="111"/>
  <c r="A10" i="111"/>
  <c r="B10" i="111"/>
  <c r="C10" i="111"/>
  <c r="A19" i="111"/>
  <c r="B19" i="111"/>
  <c r="C19" i="111"/>
  <c r="A14" i="111"/>
  <c r="B14" i="111"/>
  <c r="C14" i="111"/>
  <c r="A22" i="111"/>
  <c r="B22" i="111"/>
  <c r="C22" i="111"/>
  <c r="A23" i="111"/>
  <c r="B23" i="111"/>
  <c r="C23" i="111"/>
  <c r="A16" i="111"/>
  <c r="B16" i="111"/>
  <c r="C16" i="111"/>
  <c r="A13" i="111"/>
  <c r="B13" i="111"/>
  <c r="C13" i="111"/>
  <c r="A17" i="111"/>
  <c r="B17" i="111"/>
  <c r="C17" i="111"/>
  <c r="E20" i="111"/>
  <c r="G20" i="111"/>
  <c r="H20" i="111"/>
  <c r="J20" i="111"/>
  <c r="E15" i="111"/>
  <c r="G15" i="111"/>
  <c r="E4" i="111"/>
  <c r="F4" i="111"/>
  <c r="G4" i="111"/>
  <c r="H4" i="111"/>
  <c r="E7" i="111"/>
  <c r="G7" i="111"/>
  <c r="E5" i="111"/>
  <c r="G5" i="111"/>
  <c r="H5" i="111"/>
  <c r="E21" i="111"/>
  <c r="G21" i="111"/>
  <c r="E8" i="111"/>
  <c r="F8" i="111"/>
  <c r="G8" i="111"/>
  <c r="H8" i="111"/>
  <c r="E9" i="111"/>
  <c r="G9" i="111"/>
  <c r="E6" i="111"/>
  <c r="G6" i="111"/>
  <c r="E11" i="111"/>
  <c r="F11" i="111"/>
  <c r="G11" i="111"/>
  <c r="E10" i="111"/>
  <c r="G10" i="111"/>
  <c r="H10" i="111"/>
  <c r="E19" i="111"/>
  <c r="F19" i="111"/>
  <c r="G19" i="111"/>
  <c r="J19" i="111"/>
  <c r="E14" i="111"/>
  <c r="G14" i="111"/>
  <c r="E22" i="111"/>
  <c r="G22" i="111"/>
  <c r="E23" i="111"/>
  <c r="G23" i="111"/>
  <c r="H23" i="111"/>
  <c r="E16" i="111"/>
  <c r="G16" i="111"/>
  <c r="E13" i="111"/>
  <c r="F13" i="111"/>
  <c r="G13" i="111"/>
  <c r="H13" i="111"/>
  <c r="J13" i="111"/>
  <c r="E17" i="111"/>
  <c r="F17" i="111"/>
  <c r="G17" i="111"/>
  <c r="F18" i="111"/>
  <c r="G18" i="111"/>
  <c r="C18" i="111"/>
  <c r="B18" i="111"/>
  <c r="A18" i="111"/>
  <c r="E3" i="111"/>
  <c r="D3" i="111"/>
  <c r="C3" i="111"/>
  <c r="B3" i="111"/>
  <c r="A20" i="110"/>
  <c r="B20" i="110"/>
  <c r="C20" i="110"/>
  <c r="E20" i="110"/>
  <c r="G20" i="110"/>
  <c r="H20" i="110"/>
  <c r="J20" i="110"/>
  <c r="A15" i="110"/>
  <c r="B15" i="110"/>
  <c r="C15" i="110"/>
  <c r="E15" i="110"/>
  <c r="G15" i="110"/>
  <c r="A16" i="110"/>
  <c r="B16" i="110"/>
  <c r="C16" i="110"/>
  <c r="E16" i="110"/>
  <c r="F16" i="110"/>
  <c r="G16" i="110"/>
  <c r="H16" i="110"/>
  <c r="A17" i="110"/>
  <c r="B17" i="110"/>
  <c r="C17" i="110"/>
  <c r="E17" i="110"/>
  <c r="G17" i="110"/>
  <c r="A19" i="110"/>
  <c r="B19" i="110"/>
  <c r="C19" i="110"/>
  <c r="E19" i="110"/>
  <c r="G19" i="110"/>
  <c r="H19" i="110"/>
  <c r="A21" i="110"/>
  <c r="B21" i="110"/>
  <c r="C21" i="110"/>
  <c r="E21" i="110"/>
  <c r="G21" i="110"/>
  <c r="A11" i="110"/>
  <c r="B11" i="110"/>
  <c r="C11" i="110"/>
  <c r="E11" i="110"/>
  <c r="F11" i="110"/>
  <c r="G11" i="110"/>
  <c r="H11" i="110"/>
  <c r="A9" i="110"/>
  <c r="B9" i="110"/>
  <c r="C9" i="110"/>
  <c r="E9" i="110"/>
  <c r="G9" i="110"/>
  <c r="A10" i="110"/>
  <c r="B10" i="110"/>
  <c r="C10" i="110"/>
  <c r="E10" i="110"/>
  <c r="G10" i="110"/>
  <c r="A6" i="110"/>
  <c r="B6" i="110"/>
  <c r="C6" i="110"/>
  <c r="E6" i="110"/>
  <c r="F6" i="110"/>
  <c r="G6" i="110"/>
  <c r="A8" i="110"/>
  <c r="B8" i="110"/>
  <c r="C8" i="110"/>
  <c r="E8" i="110"/>
  <c r="G8" i="110"/>
  <c r="H8" i="110"/>
  <c r="A18" i="110"/>
  <c r="B18" i="110"/>
  <c r="C18" i="110"/>
  <c r="E18" i="110"/>
  <c r="F18" i="110"/>
  <c r="G18" i="110"/>
  <c r="J18" i="110"/>
  <c r="A5" i="110"/>
  <c r="B5" i="110"/>
  <c r="C5" i="110"/>
  <c r="E5" i="110"/>
  <c r="G5" i="110"/>
  <c r="A22" i="110"/>
  <c r="B22" i="110"/>
  <c r="C22" i="110"/>
  <c r="E22" i="110"/>
  <c r="G22" i="110"/>
  <c r="A23" i="110"/>
  <c r="B23" i="110"/>
  <c r="C23" i="110"/>
  <c r="E23" i="110"/>
  <c r="G23" i="110"/>
  <c r="H23" i="110"/>
  <c r="A4" i="110"/>
  <c r="B4" i="110"/>
  <c r="C4" i="110"/>
  <c r="E4" i="110"/>
  <c r="G4" i="110"/>
  <c r="A12" i="110"/>
  <c r="B12" i="110"/>
  <c r="C12" i="110"/>
  <c r="E12" i="110"/>
  <c r="F12" i="110"/>
  <c r="G12" i="110"/>
  <c r="H12" i="110"/>
  <c r="J12" i="110"/>
  <c r="A13" i="110"/>
  <c r="B13" i="110"/>
  <c r="C13" i="110"/>
  <c r="E13" i="110"/>
  <c r="F13" i="110"/>
  <c r="G13" i="110"/>
  <c r="F14" i="110"/>
  <c r="G14" i="110"/>
  <c r="C14" i="110"/>
  <c r="B14" i="110"/>
  <c r="A14" i="110"/>
  <c r="E3" i="110"/>
  <c r="D3" i="110"/>
  <c r="C3" i="110"/>
  <c r="B3" i="110"/>
  <c r="E20" i="107"/>
  <c r="G20" i="107"/>
  <c r="H20" i="107"/>
  <c r="J20" i="107"/>
  <c r="E17" i="107"/>
  <c r="G17" i="107"/>
  <c r="E12" i="107"/>
  <c r="F12" i="107"/>
  <c r="G12" i="107"/>
  <c r="H12" i="107"/>
  <c r="E14" i="107"/>
  <c r="G14" i="107"/>
  <c r="E13" i="107"/>
  <c r="G13" i="107"/>
  <c r="H13" i="107"/>
  <c r="E21" i="107"/>
  <c r="G21" i="107"/>
  <c r="E11" i="107"/>
  <c r="F11" i="107"/>
  <c r="G11" i="107"/>
  <c r="H11" i="107"/>
  <c r="E8" i="107"/>
  <c r="G8" i="107"/>
  <c r="E10" i="107"/>
  <c r="G10" i="107"/>
  <c r="E4" i="107"/>
  <c r="F4" i="107"/>
  <c r="G4" i="107"/>
  <c r="E9" i="107"/>
  <c r="G9" i="107"/>
  <c r="H9" i="107"/>
  <c r="E16" i="107"/>
  <c r="F16" i="107"/>
  <c r="G16" i="107"/>
  <c r="J16" i="107"/>
  <c r="E5" i="107"/>
  <c r="G5" i="107"/>
  <c r="E22" i="107"/>
  <c r="G22" i="107"/>
  <c r="E23" i="107"/>
  <c r="G23" i="107"/>
  <c r="H23" i="107"/>
  <c r="E6" i="107"/>
  <c r="G6" i="107"/>
  <c r="E15" i="107"/>
  <c r="F15" i="107"/>
  <c r="G15" i="107"/>
  <c r="H15" i="107"/>
  <c r="J15" i="107"/>
  <c r="E18" i="107"/>
  <c r="F18" i="107"/>
  <c r="G18" i="107"/>
  <c r="F19" i="107"/>
  <c r="G19" i="107"/>
  <c r="A15" i="107"/>
  <c r="A18" i="107"/>
  <c r="B18" i="107"/>
  <c r="C18" i="107"/>
  <c r="B20" i="107"/>
  <c r="C20" i="107"/>
  <c r="B17" i="107"/>
  <c r="C17" i="107"/>
  <c r="B12" i="107"/>
  <c r="C12" i="107"/>
  <c r="B14" i="107"/>
  <c r="C14" i="107"/>
  <c r="B13" i="107"/>
  <c r="C13" i="107"/>
  <c r="B21" i="107"/>
  <c r="C21" i="107"/>
  <c r="B11" i="107"/>
  <c r="C11" i="107"/>
  <c r="B8" i="107"/>
  <c r="C8" i="107"/>
  <c r="B10" i="107"/>
  <c r="C10" i="107"/>
  <c r="B4" i="107"/>
  <c r="C4" i="107"/>
  <c r="B9" i="107"/>
  <c r="C9" i="107"/>
  <c r="B16" i="107"/>
  <c r="C16" i="107"/>
  <c r="B5" i="107"/>
  <c r="C5" i="107"/>
  <c r="B22" i="107"/>
  <c r="C22" i="107"/>
  <c r="B23" i="107"/>
  <c r="C23" i="107"/>
  <c r="B6" i="107"/>
  <c r="C6" i="107"/>
  <c r="B15" i="107"/>
  <c r="C15" i="107"/>
  <c r="C19" i="107"/>
  <c r="B19" i="107"/>
  <c r="A20" i="107"/>
  <c r="A17" i="107"/>
  <c r="A12" i="107"/>
  <c r="A14" i="107"/>
  <c r="A13" i="107"/>
  <c r="A21" i="107"/>
  <c r="A11" i="107"/>
  <c r="A8" i="107"/>
  <c r="A10" i="107"/>
  <c r="A4" i="107"/>
  <c r="A9" i="107"/>
  <c r="A16" i="107"/>
  <c r="A5" i="107"/>
  <c r="A22" i="107"/>
  <c r="A23" i="107"/>
  <c r="A6" i="107"/>
  <c r="A19" i="107"/>
  <c r="N12" i="108"/>
  <c r="N8" i="108"/>
  <c r="N14" i="108"/>
  <c r="N20" i="108"/>
  <c r="N21" i="108"/>
  <c r="N22" i="108"/>
  <c r="N10" i="108"/>
  <c r="N23" i="108"/>
  <c r="A19" i="108"/>
  <c r="A23" i="108"/>
  <c r="A22" i="108"/>
  <c r="A18" i="108"/>
  <c r="A17" i="108"/>
  <c r="A21" i="108"/>
  <c r="A20" i="108"/>
  <c r="A16" i="108"/>
  <c r="A15" i="108"/>
  <c r="A13" i="108"/>
  <c r="A14" i="108"/>
  <c r="A11" i="108"/>
  <c r="A12" i="108"/>
  <c r="A10" i="108"/>
  <c r="A8" i="108"/>
  <c r="A5" i="108"/>
  <c r="A6" i="108"/>
  <c r="A7" i="108"/>
  <c r="A4" i="108"/>
  <c r="Y7" i="110" l="1"/>
  <c r="AA7" i="110" s="1"/>
  <c r="Y9" i="108"/>
  <c r="AA9" i="108" s="1"/>
  <c r="J16" i="3"/>
  <c r="I19" i="3"/>
  <c r="I21" i="3"/>
  <c r="I20" i="3"/>
  <c r="I18" i="3"/>
  <c r="Z18" i="111"/>
  <c r="K16" i="3" l="1"/>
  <c r="J20" i="3"/>
  <c r="J19" i="3"/>
  <c r="J21" i="3"/>
  <c r="J18" i="3"/>
  <c r="AB12" i="32"/>
  <c r="M12" i="86" l="1"/>
  <c r="W12" i="86" s="1"/>
  <c r="AD12" i="86" s="1"/>
  <c r="O11" i="94"/>
  <c r="L11" i="113"/>
  <c r="L16" i="3"/>
  <c r="K18" i="3"/>
  <c r="K20" i="3"/>
  <c r="K19" i="3"/>
  <c r="K21" i="3"/>
  <c r="I6" i="110"/>
  <c r="I11" i="111"/>
  <c r="I4" i="107"/>
  <c r="I22" i="110"/>
  <c r="I22" i="111"/>
  <c r="I22" i="107"/>
  <c r="I14" i="107"/>
  <c r="I7" i="111"/>
  <c r="I17" i="110"/>
  <c r="I15" i="111"/>
  <c r="I17" i="107"/>
  <c r="I15" i="110"/>
  <c r="I10" i="111"/>
  <c r="I8" i="110"/>
  <c r="I9" i="107"/>
  <c r="I6" i="107"/>
  <c r="I16" i="111"/>
  <c r="I4" i="110"/>
  <c r="I18" i="111"/>
  <c r="I14" i="110"/>
  <c r="I19" i="107"/>
  <c r="I8" i="111"/>
  <c r="I11" i="110"/>
  <c r="I11" i="107"/>
  <c r="I8" i="107"/>
  <c r="I9" i="111"/>
  <c r="I9" i="110"/>
  <c r="I18" i="110"/>
  <c r="I16" i="107"/>
  <c r="I19" i="111"/>
  <c r="I5" i="107"/>
  <c r="I5" i="110"/>
  <c r="I14" i="111"/>
  <c r="I15" i="107"/>
  <c r="I12" i="110"/>
  <c r="I13" i="111"/>
  <c r="AX11" i="113" l="1"/>
  <c r="AZ11" i="113" s="1"/>
  <c r="BI11" i="113"/>
  <c r="BT11" i="113"/>
  <c r="BO11" i="113"/>
  <c r="AR11" i="113"/>
  <c r="CA11" i="113"/>
  <c r="CC11" i="113" s="1"/>
  <c r="BJ11" i="113"/>
  <c r="BY11" i="113"/>
  <c r="BS11" i="113"/>
  <c r="CB11" i="113"/>
  <c r="BE11" i="113"/>
  <c r="BN11" i="113"/>
  <c r="O11" i="113"/>
  <c r="AL11" i="113" s="1"/>
  <c r="BD11" i="113"/>
  <c r="CD11" i="113"/>
  <c r="CF11" i="113" s="1"/>
  <c r="AY11" i="113"/>
  <c r="BX11" i="113"/>
  <c r="AQ11" i="113"/>
  <c r="AS11" i="113" s="1"/>
  <c r="CE11" i="113"/>
  <c r="BX11" i="94"/>
  <c r="BS11" i="94"/>
  <c r="BM11" i="94"/>
  <c r="CF11" i="94"/>
  <c r="BH11" i="94"/>
  <c r="R11" i="94"/>
  <c r="AP11" i="94" s="1"/>
  <c r="BB11" i="94"/>
  <c r="BD11" i="94" s="1"/>
  <c r="AU11" i="94"/>
  <c r="AW11" i="94" s="1"/>
  <c r="CE11" i="94"/>
  <c r="CG11" i="94" s="1"/>
  <c r="CB11" i="94"/>
  <c r="CH11" i="94"/>
  <c r="CJ11" i="94" s="1"/>
  <c r="CI11" i="94"/>
  <c r="AV11" i="94"/>
  <c r="BN11" i="94"/>
  <c r="BI11" i="94"/>
  <c r="BW11" i="94"/>
  <c r="CC11" i="94"/>
  <c r="BR11" i="94"/>
  <c r="BC11" i="94"/>
  <c r="M16" i="3"/>
  <c r="L18" i="3"/>
  <c r="L20" i="3"/>
  <c r="L19" i="3"/>
  <c r="L21" i="3"/>
  <c r="I13" i="107"/>
  <c r="I19" i="110"/>
  <c r="I5" i="111"/>
  <c r="AB24" i="32"/>
  <c r="L23" i="113" l="1"/>
  <c r="O23" i="94"/>
  <c r="M24" i="86"/>
  <c r="W24" i="86" s="1"/>
  <c r="AD24" i="86" s="1"/>
  <c r="N16" i="3"/>
  <c r="M20" i="3"/>
  <c r="M18" i="3"/>
  <c r="M19" i="3"/>
  <c r="M21" i="3"/>
  <c r="I23" i="111"/>
  <c r="I23" i="110"/>
  <c r="I23" i="107"/>
  <c r="I10" i="107"/>
  <c r="I10" i="110"/>
  <c r="I6" i="111"/>
  <c r="CF23" i="94" l="1"/>
  <c r="CC23" i="94"/>
  <c r="BW23" i="94"/>
  <c r="BM23" i="94"/>
  <c r="BH23" i="94"/>
  <c r="R23" i="94"/>
  <c r="AP23" i="94" s="1"/>
  <c r="BR23" i="94"/>
  <c r="BX23" i="94"/>
  <c r="AU23" i="94"/>
  <c r="AW23" i="94" s="1"/>
  <c r="CH23" i="94"/>
  <c r="CJ23" i="94" s="1"/>
  <c r="BI23" i="94"/>
  <c r="CI23" i="94"/>
  <c r="BB23" i="94"/>
  <c r="BD23" i="94" s="1"/>
  <c r="BC23" i="94"/>
  <c r="BS23" i="94"/>
  <c r="CE23" i="94"/>
  <c r="CG23" i="94" s="1"/>
  <c r="AV23" i="94"/>
  <c r="CB23" i="94"/>
  <c r="BN23" i="94"/>
  <c r="BT23" i="113"/>
  <c r="AY23" i="113"/>
  <c r="CD23" i="113"/>
  <c r="CF23" i="113" s="1"/>
  <c r="BI23" i="113"/>
  <c r="BE23" i="113"/>
  <c r="CE23" i="113"/>
  <c r="BY23" i="113"/>
  <c r="BD23" i="113"/>
  <c r="AX23" i="113"/>
  <c r="AZ23" i="113" s="1"/>
  <c r="AR23" i="113"/>
  <c r="AQ23" i="113"/>
  <c r="AS23" i="113" s="1"/>
  <c r="BJ23" i="113"/>
  <c r="BO23" i="113"/>
  <c r="CB23" i="113"/>
  <c r="CA23" i="113"/>
  <c r="CC23" i="113" s="1"/>
  <c r="BX23" i="113"/>
  <c r="O23" i="113"/>
  <c r="AL23" i="113" s="1"/>
  <c r="BS23" i="113"/>
  <c r="BN23" i="113"/>
  <c r="O16" i="3"/>
  <c r="N19" i="3"/>
  <c r="N18" i="3"/>
  <c r="N20" i="3"/>
  <c r="N21" i="3"/>
  <c r="AM9" i="32"/>
  <c r="AN9" i="32"/>
  <c r="AM11" i="32"/>
  <c r="AN11" i="32"/>
  <c r="AM7" i="32"/>
  <c r="AN7" i="32"/>
  <c r="AM25" i="32"/>
  <c r="AN25" i="32"/>
  <c r="AM24" i="32"/>
  <c r="AN24" i="32"/>
  <c r="AM10" i="32"/>
  <c r="AN10" i="32"/>
  <c r="AM6" i="32"/>
  <c r="AN6" i="32"/>
  <c r="AM27" i="32"/>
  <c r="AN27" i="32"/>
  <c r="AN4" i="32"/>
  <c r="AM4" i="32"/>
  <c r="AM23" i="32"/>
  <c r="AN23" i="32"/>
  <c r="AN26" i="32"/>
  <c r="AM26" i="32"/>
  <c r="K13" i="110"/>
  <c r="K18" i="107"/>
  <c r="K17" i="111"/>
  <c r="K5" i="111"/>
  <c r="K19" i="110"/>
  <c r="K13" i="107"/>
  <c r="K14" i="111"/>
  <c r="K5" i="107"/>
  <c r="K5" i="110"/>
  <c r="K13" i="111"/>
  <c r="K15" i="107"/>
  <c r="K12" i="110"/>
  <c r="K14" i="107"/>
  <c r="K7" i="111"/>
  <c r="K17" i="110"/>
  <c r="K9" i="107"/>
  <c r="K8" i="110"/>
  <c r="K10" i="111"/>
  <c r="K11" i="107"/>
  <c r="K11" i="110"/>
  <c r="K8" i="111"/>
  <c r="K15" i="110"/>
  <c r="K17" i="107"/>
  <c r="K15" i="111"/>
  <c r="K6" i="111"/>
  <c r="K10" i="110"/>
  <c r="K10" i="107"/>
  <c r="K6" i="110"/>
  <c r="K4" i="107"/>
  <c r="K11" i="111"/>
  <c r="K19" i="111"/>
  <c r="K18" i="110"/>
  <c r="K16" i="107"/>
  <c r="K14" i="110"/>
  <c r="K18" i="111"/>
  <c r="K19" i="107"/>
  <c r="K12" i="107"/>
  <c r="K4" i="111"/>
  <c r="K16" i="110"/>
  <c r="K8" i="107"/>
  <c r="K9" i="111"/>
  <c r="K9" i="110"/>
  <c r="K16" i="111"/>
  <c r="K4" i="110"/>
  <c r="K6" i="107"/>
  <c r="P16" i="3" l="1"/>
  <c r="O19" i="3"/>
  <c r="O21" i="3"/>
  <c r="O18" i="3"/>
  <c r="O20" i="3"/>
  <c r="Q16" i="3" l="1"/>
  <c r="P19" i="3"/>
  <c r="P21" i="3"/>
  <c r="P18" i="3"/>
  <c r="P20" i="3"/>
  <c r="A18" i="85"/>
  <c r="R16" i="3" l="1"/>
  <c r="Q19" i="3"/>
  <c r="Q21" i="3"/>
  <c r="Q18" i="3"/>
  <c r="Q20" i="3"/>
  <c r="I4" i="111"/>
  <c r="I16" i="110"/>
  <c r="I12" i="107"/>
  <c r="I17" i="111"/>
  <c r="I13" i="110"/>
  <c r="I18" i="107"/>
  <c r="O13" i="85"/>
  <c r="S16" i="3" l="1"/>
  <c r="R19" i="3"/>
  <c r="R21" i="3"/>
  <c r="R18" i="3"/>
  <c r="R20" i="3"/>
  <c r="O6" i="76"/>
  <c r="V6" i="76" s="1"/>
  <c r="P6" i="76"/>
  <c r="W6" i="76" s="1"/>
  <c r="O4" i="76"/>
  <c r="V4" i="76" s="1"/>
  <c r="P4" i="76"/>
  <c r="W4" i="76" s="1"/>
  <c r="V7" i="76"/>
  <c r="O11" i="76"/>
  <c r="V11" i="76" s="1"/>
  <c r="P11" i="76"/>
  <c r="W11" i="76" s="1"/>
  <c r="O8" i="76"/>
  <c r="V8" i="76" s="1"/>
  <c r="O10" i="76"/>
  <c r="V10" i="76" s="1"/>
  <c r="R10" i="76"/>
  <c r="Y10" i="76" s="1"/>
  <c r="O5" i="76"/>
  <c r="V5" i="76" s="1"/>
  <c r="P5" i="76"/>
  <c r="W5" i="76" s="1"/>
  <c r="O9" i="76"/>
  <c r="V9" i="76" s="1"/>
  <c r="R9" i="76"/>
  <c r="Y9" i="76" s="1"/>
  <c r="O13" i="76"/>
  <c r="V13" i="76" s="1"/>
  <c r="O12" i="76"/>
  <c r="V12" i="76" s="1"/>
  <c r="R12" i="76"/>
  <c r="Y12" i="76" s="1"/>
  <c r="D3" i="76"/>
  <c r="C3" i="76"/>
  <c r="G3" i="76" s="1"/>
  <c r="R3" i="76" s="1"/>
  <c r="B3" i="76"/>
  <c r="A3" i="76"/>
  <c r="O3" i="76" s="1"/>
  <c r="V3" i="76" s="1"/>
  <c r="N11" i="102"/>
  <c r="N3" i="102"/>
  <c r="N8" i="102"/>
  <c r="N7" i="102"/>
  <c r="N10" i="102"/>
  <c r="N5" i="102"/>
  <c r="N2" i="102"/>
  <c r="M4" i="102"/>
  <c r="N4" i="102"/>
  <c r="N6" i="102"/>
  <c r="H5" i="83"/>
  <c r="M5" i="83" s="1"/>
  <c r="M4" i="83"/>
  <c r="H6" i="83"/>
  <c r="T16" i="3" l="1"/>
  <c r="S18" i="3"/>
  <c r="S20" i="3"/>
  <c r="S19" i="3"/>
  <c r="S21" i="3"/>
  <c r="F7" i="111"/>
  <c r="F17" i="110"/>
  <c r="F14" i="107"/>
  <c r="F9" i="111"/>
  <c r="F9" i="110"/>
  <c r="F8" i="107"/>
  <c r="F10" i="107"/>
  <c r="F10" i="110"/>
  <c r="F6" i="111"/>
  <c r="S4" i="76"/>
  <c r="Z4" i="76" s="1"/>
  <c r="R4" i="76"/>
  <c r="Y4" i="76" s="1"/>
  <c r="S5" i="76"/>
  <c r="Z5" i="76" s="1"/>
  <c r="R5" i="76"/>
  <c r="Y5" i="76" s="1"/>
  <c r="S6" i="76"/>
  <c r="Z6" i="76" s="1"/>
  <c r="R6" i="76"/>
  <c r="Y6" i="76" s="1"/>
  <c r="S13" i="76"/>
  <c r="Z13" i="76" s="1"/>
  <c r="R13" i="76"/>
  <c r="Y13" i="76" s="1"/>
  <c r="S8" i="76"/>
  <c r="Z8" i="76" s="1"/>
  <c r="R8" i="76"/>
  <c r="Y8" i="76" s="1"/>
  <c r="S11" i="76"/>
  <c r="Z11" i="76" s="1"/>
  <c r="R11" i="76"/>
  <c r="Y11" i="76" s="1"/>
  <c r="Z7" i="76"/>
  <c r="Y7" i="76"/>
  <c r="P18" i="76"/>
  <c r="Y3" i="76"/>
  <c r="Q12" i="76"/>
  <c r="X12" i="76" s="1"/>
  <c r="P12" i="76"/>
  <c r="W12" i="76" s="1"/>
  <c r="Q9" i="76"/>
  <c r="X9" i="76" s="1"/>
  <c r="P9" i="76"/>
  <c r="W9" i="76" s="1"/>
  <c r="Q8" i="76"/>
  <c r="X8" i="76" s="1"/>
  <c r="P8" i="76"/>
  <c r="W8" i="76" s="1"/>
  <c r="X7" i="76"/>
  <c r="W7" i="76"/>
  <c r="Q13" i="76"/>
  <c r="X13" i="76" s="1"/>
  <c r="P13" i="76"/>
  <c r="W13" i="76" s="1"/>
  <c r="Q10" i="76"/>
  <c r="X10" i="76" s="1"/>
  <c r="P10" i="76"/>
  <c r="W10" i="76" s="1"/>
  <c r="M3" i="83"/>
  <c r="H3" i="83"/>
  <c r="Q5" i="76"/>
  <c r="X5" i="76" s="1"/>
  <c r="H4" i="83"/>
  <c r="U16" i="3" l="1"/>
  <c r="T18" i="3"/>
  <c r="T20" i="3"/>
  <c r="T21" i="3"/>
  <c r="T19" i="3"/>
  <c r="Q6" i="76"/>
  <c r="X6" i="76" s="1"/>
  <c r="S10" i="76"/>
  <c r="Z10" i="76" s="1"/>
  <c r="S12" i="76"/>
  <c r="Z12" i="76" s="1"/>
  <c r="S9" i="76"/>
  <c r="Z9" i="76" s="1"/>
  <c r="Q4" i="76"/>
  <c r="X4" i="76" s="1"/>
  <c r="Q11" i="76"/>
  <c r="X11" i="76" s="1"/>
  <c r="V16" i="3" l="1"/>
  <c r="U18" i="3"/>
  <c r="U20" i="3"/>
  <c r="U21" i="3"/>
  <c r="U19" i="3"/>
  <c r="AM12" i="32"/>
  <c r="AN12" i="32"/>
  <c r="AM8" i="32"/>
  <c r="AN8" i="32"/>
  <c r="K22" i="110"/>
  <c r="K22" i="107"/>
  <c r="K22" i="111"/>
  <c r="K21" i="110"/>
  <c r="K21" i="107"/>
  <c r="K21" i="111"/>
  <c r="J7" i="111"/>
  <c r="J17" i="110"/>
  <c r="J14" i="107"/>
  <c r="T8" i="49"/>
  <c r="W16" i="3" l="1"/>
  <c r="V21" i="3"/>
  <c r="V18" i="3"/>
  <c r="V20" i="3"/>
  <c r="V19" i="3"/>
  <c r="X16" i="3" l="1"/>
  <c r="W19" i="3"/>
  <c r="W21" i="3"/>
  <c r="W18" i="3"/>
  <c r="W20" i="3"/>
  <c r="AB8" i="32"/>
  <c r="AB2" i="32" l="1"/>
  <c r="M8" i="86"/>
  <c r="O7" i="94"/>
  <c r="L7" i="113"/>
  <c r="Y16" i="3"/>
  <c r="X19" i="3"/>
  <c r="X21" i="3"/>
  <c r="X18" i="3"/>
  <c r="X20" i="3"/>
  <c r="I20" i="107"/>
  <c r="I20" i="110"/>
  <c r="I20" i="111"/>
  <c r="I21" i="111"/>
  <c r="I21" i="110"/>
  <c r="I21" i="107"/>
  <c r="BJ7" i="113" l="1"/>
  <c r="AQ7" i="113"/>
  <c r="AS7" i="113" s="1"/>
  <c r="AX7" i="113"/>
  <c r="AZ7" i="113" s="1"/>
  <c r="BE7" i="113"/>
  <c r="BO7" i="113"/>
  <c r="BT7" i="113"/>
  <c r="CE7" i="113"/>
  <c r="BY7" i="113"/>
  <c r="AY7" i="113"/>
  <c r="O7" i="113"/>
  <c r="AL7" i="113" s="1"/>
  <c r="CB7" i="113"/>
  <c r="AR7" i="113"/>
  <c r="BI7" i="113"/>
  <c r="BS7" i="113"/>
  <c r="CA7" i="113"/>
  <c r="CC7" i="113" s="1"/>
  <c r="CD7" i="113"/>
  <c r="CF7" i="113" s="1"/>
  <c r="BD7" i="113"/>
  <c r="BN7" i="113"/>
  <c r="BX7" i="113"/>
  <c r="W8" i="86"/>
  <c r="AD8" i="86" s="1"/>
  <c r="BX7" i="94"/>
  <c r="AU7" i="94"/>
  <c r="AW7" i="94" s="1"/>
  <c r="AV7" i="94"/>
  <c r="CF7" i="94"/>
  <c r="R7" i="94"/>
  <c r="AP7" i="94" s="1"/>
  <c r="BB7" i="94"/>
  <c r="BD7" i="94" s="1"/>
  <c r="BC7" i="94"/>
  <c r="BI7" i="94"/>
  <c r="BN7" i="94"/>
  <c r="CI7" i="94"/>
  <c r="CC7" i="94"/>
  <c r="BS7" i="94"/>
  <c r="BW7" i="94"/>
  <c r="BM7" i="94"/>
  <c r="CB7" i="94"/>
  <c r="BR7" i="94"/>
  <c r="BH7" i="94"/>
  <c r="CH7" i="94"/>
  <c r="CJ7" i="94" s="1"/>
  <c r="CE7" i="94"/>
  <c r="CG7" i="94" s="1"/>
  <c r="Z16" i="3"/>
  <c r="Y19" i="3"/>
  <c r="Y18" i="3"/>
  <c r="Y21" i="3"/>
  <c r="Y20" i="3"/>
  <c r="F20" i="107"/>
  <c r="F20" i="110"/>
  <c r="F20" i="111"/>
  <c r="F14" i="111"/>
  <c r="F5" i="107"/>
  <c r="F5" i="110"/>
  <c r="F23" i="111"/>
  <c r="F23" i="110"/>
  <c r="F23" i="107"/>
  <c r="F15" i="110"/>
  <c r="F17" i="107"/>
  <c r="F15" i="111"/>
  <c r="F9" i="107"/>
  <c r="F10" i="111"/>
  <c r="F8" i="110"/>
  <c r="F5" i="111"/>
  <c r="F13" i="107"/>
  <c r="F19" i="110"/>
  <c r="F22" i="110"/>
  <c r="F22" i="107"/>
  <c r="F22" i="111"/>
  <c r="F21" i="110"/>
  <c r="F21" i="107"/>
  <c r="F21" i="111"/>
  <c r="F16" i="111"/>
  <c r="F4" i="110"/>
  <c r="F6" i="107"/>
  <c r="AA16" i="3" l="1"/>
  <c r="Z18" i="3"/>
  <c r="Z19" i="3"/>
  <c r="Z21" i="3"/>
  <c r="Z20" i="3"/>
  <c r="E14" i="110"/>
  <c r="E19" i="107"/>
  <c r="E18" i="111"/>
  <c r="H14" i="107"/>
  <c r="H7" i="111"/>
  <c r="H17" i="110"/>
  <c r="H6" i="107"/>
  <c r="H16" i="111"/>
  <c r="H4" i="110"/>
  <c r="N13" i="85"/>
  <c r="V2" i="85"/>
  <c r="AB16" i="3" l="1"/>
  <c r="AA18" i="3"/>
  <c r="AA20" i="3"/>
  <c r="AA19" i="3"/>
  <c r="AA21" i="3"/>
  <c r="AC16" i="3" l="1"/>
  <c r="AB21" i="3"/>
  <c r="AB18" i="3"/>
  <c r="AB20" i="3"/>
  <c r="AB19" i="3"/>
  <c r="J11" i="107"/>
  <c r="J8" i="111"/>
  <c r="J11" i="110"/>
  <c r="M3" i="102"/>
  <c r="J13" i="107"/>
  <c r="J5" i="111"/>
  <c r="J19" i="110"/>
  <c r="M11" i="102"/>
  <c r="J6" i="110"/>
  <c r="J4" i="107"/>
  <c r="J11" i="111"/>
  <c r="J9" i="111"/>
  <c r="J9" i="110"/>
  <c r="J8" i="107"/>
  <c r="M8" i="102"/>
  <c r="J16" i="111"/>
  <c r="J4" i="110"/>
  <c r="J6" i="107"/>
  <c r="M2" i="102"/>
  <c r="J18" i="111"/>
  <c r="J14" i="110"/>
  <c r="J19" i="107"/>
  <c r="J5" i="107"/>
  <c r="J5" i="110"/>
  <c r="J14" i="111"/>
  <c r="M5" i="102"/>
  <c r="J6" i="111"/>
  <c r="J10" i="107"/>
  <c r="J10" i="110"/>
  <c r="M7" i="102"/>
  <c r="J15" i="110"/>
  <c r="J17" i="107"/>
  <c r="J15" i="111"/>
  <c r="J4" i="111"/>
  <c r="J16" i="110"/>
  <c r="J12" i="107"/>
  <c r="J10" i="111"/>
  <c r="J9" i="107"/>
  <c r="J8" i="110"/>
  <c r="M10" i="102"/>
  <c r="J13" i="110"/>
  <c r="J18" i="107"/>
  <c r="J17" i="111"/>
  <c r="M6" i="102"/>
  <c r="AD16" i="3" l="1"/>
  <c r="AC18" i="3"/>
  <c r="AC20" i="3"/>
  <c r="AC19" i="3"/>
  <c r="AC21" i="3"/>
  <c r="H17" i="111"/>
  <c r="H13" i="110"/>
  <c r="H18" i="107"/>
  <c r="H15" i="111"/>
  <c r="H15" i="110"/>
  <c r="H17" i="107"/>
  <c r="H8" i="107"/>
  <c r="H9" i="111"/>
  <c r="H9" i="110"/>
  <c r="H16" i="107"/>
  <c r="H19" i="111"/>
  <c r="H18" i="110"/>
  <c r="H5" i="110"/>
  <c r="H14" i="111"/>
  <c r="H5" i="107"/>
  <c r="H14" i="110"/>
  <c r="H19" i="107"/>
  <c r="H18" i="111"/>
  <c r="H10" i="110"/>
  <c r="H6" i="111"/>
  <c r="H10" i="107"/>
  <c r="H21" i="111"/>
  <c r="H21" i="110"/>
  <c r="H21" i="107"/>
  <c r="H11" i="111"/>
  <c r="H6" i="110"/>
  <c r="H4" i="107"/>
  <c r="AD18" i="3" l="1"/>
  <c r="AD20" i="3"/>
  <c r="AD19" i="3"/>
  <c r="AD21" i="3"/>
  <c r="H22" i="111"/>
  <c r="H22" i="110"/>
  <c r="H22" i="107"/>
  <c r="J5" i="32"/>
  <c r="J6" i="32"/>
  <c r="J7" i="32"/>
  <c r="J8" i="32"/>
  <c r="J9" i="32"/>
  <c r="J23" i="32"/>
  <c r="J24" i="32"/>
  <c r="J10" i="32"/>
  <c r="J11" i="32"/>
  <c r="J25" i="32"/>
  <c r="J12" i="32"/>
  <c r="J26" i="32"/>
  <c r="J27" i="32"/>
  <c r="J4" i="32"/>
  <c r="C3" i="83" l="1"/>
  <c r="B3" i="83"/>
  <c r="B3" i="102"/>
  <c r="B6" i="102"/>
  <c r="B6" i="83"/>
  <c r="C6" i="83"/>
  <c r="D6" i="83" s="1"/>
  <c r="C9" i="83"/>
  <c r="D9" i="83" s="1"/>
  <c r="B9" i="102"/>
  <c r="L10" i="102" s="1"/>
  <c r="B9" i="83"/>
  <c r="C21" i="83"/>
  <c r="B21" i="102"/>
  <c r="B21" i="83"/>
  <c r="B7" i="83"/>
  <c r="B7" i="102"/>
  <c r="C7" i="83"/>
  <c r="D7" i="83" s="1"/>
  <c r="C5" i="83"/>
  <c r="D5" i="83" s="1"/>
  <c r="B5" i="83"/>
  <c r="B5" i="102"/>
  <c r="C8" i="83"/>
  <c r="B8" i="102"/>
  <c r="L8" i="102" s="1"/>
  <c r="B8" i="83"/>
  <c r="B22" i="102"/>
  <c r="B22" i="83"/>
  <c r="C22" i="83"/>
  <c r="D22" i="83" s="1"/>
  <c r="B25" i="102"/>
  <c r="C25" i="83"/>
  <c r="B25" i="83"/>
  <c r="C24" i="83"/>
  <c r="B24" i="102"/>
  <c r="B24" i="83"/>
  <c r="B10" i="102"/>
  <c r="B10" i="83"/>
  <c r="C10" i="83"/>
  <c r="B23" i="102"/>
  <c r="B23" i="83"/>
  <c r="C23" i="83"/>
  <c r="D23" i="83" s="1"/>
  <c r="B4" i="83"/>
  <c r="C4" i="83"/>
  <c r="D4" i="83" s="1"/>
  <c r="B4" i="102"/>
  <c r="B2" i="102"/>
  <c r="L2" i="102" s="1"/>
  <c r="B2" i="83"/>
  <c r="C2" i="83"/>
  <c r="L3" i="102"/>
  <c r="L7" i="102"/>
  <c r="AG12" i="32"/>
  <c r="AH12" i="32"/>
  <c r="AF12" i="32"/>
  <c r="AL12" i="32"/>
  <c r="H10" i="102" s="1"/>
  <c r="AH8" i="32"/>
  <c r="AF8" i="32"/>
  <c r="AG8" i="32"/>
  <c r="AL8" i="32"/>
  <c r="H6" i="102" s="1"/>
  <c r="AK27" i="32"/>
  <c r="G25" i="102" s="1"/>
  <c r="AG27" i="32"/>
  <c r="AL27" i="32"/>
  <c r="H25" i="102" s="1"/>
  <c r="AJ27" i="32"/>
  <c r="F25" i="102" s="1"/>
  <c r="AI27" i="32"/>
  <c r="E25" i="102" s="1"/>
  <c r="AH27" i="32"/>
  <c r="AF27" i="32"/>
  <c r="AK26" i="32"/>
  <c r="G24" i="102" s="1"/>
  <c r="AG26" i="32"/>
  <c r="AJ26" i="32"/>
  <c r="F24" i="102" s="1"/>
  <c r="AH26" i="32"/>
  <c r="AI26" i="32"/>
  <c r="E24" i="102" s="1"/>
  <c r="AL26" i="32"/>
  <c r="H24" i="102" s="1"/>
  <c r="AF26" i="32"/>
  <c r="AH10" i="32"/>
  <c r="AF10" i="32"/>
  <c r="AL10" i="32"/>
  <c r="H8" i="102" s="1"/>
  <c r="AJ10" i="32"/>
  <c r="F8" i="102" s="1"/>
  <c r="AI10" i="32"/>
  <c r="E8" i="102" s="1"/>
  <c r="AG10" i="32"/>
  <c r="AK10" i="32"/>
  <c r="G8" i="102" s="1"/>
  <c r="AF5" i="32"/>
  <c r="AH5" i="32"/>
  <c r="AG5" i="32"/>
  <c r="AH25" i="32"/>
  <c r="AF25" i="32"/>
  <c r="AK25" i="32"/>
  <c r="G23" i="102" s="1"/>
  <c r="AL25" i="32"/>
  <c r="H23" i="102" s="1"/>
  <c r="AJ25" i="32"/>
  <c r="F23" i="102" s="1"/>
  <c r="AI25" i="32"/>
  <c r="E23" i="102" s="1"/>
  <c r="AG25" i="32"/>
  <c r="AI23" i="32"/>
  <c r="E21" i="102" s="1"/>
  <c r="AK23" i="32"/>
  <c r="G21" i="102" s="1"/>
  <c r="AG23" i="32"/>
  <c r="AJ23" i="32"/>
  <c r="F21" i="102" s="1"/>
  <c r="AF23" i="32"/>
  <c r="AL23" i="32"/>
  <c r="H21" i="102" s="1"/>
  <c r="AH23" i="32"/>
  <c r="AL24" i="32"/>
  <c r="H22" i="102" s="1"/>
  <c r="AK24" i="32"/>
  <c r="G22" i="102" s="1"/>
  <c r="AJ24" i="32"/>
  <c r="F22" i="102" s="1"/>
  <c r="AH24" i="32"/>
  <c r="AF24" i="32"/>
  <c r="AI24" i="32"/>
  <c r="E22" i="102" s="1"/>
  <c r="AG24" i="32"/>
  <c r="AK9" i="32"/>
  <c r="G7" i="102" s="1"/>
  <c r="AG9" i="32"/>
  <c r="AF9" i="32"/>
  <c r="AJ9" i="32"/>
  <c r="F7" i="102" s="1"/>
  <c r="AH9" i="32"/>
  <c r="AI9" i="32"/>
  <c r="E7" i="102" s="1"/>
  <c r="AL9" i="32"/>
  <c r="H7" i="102" s="1"/>
  <c r="AL11" i="32"/>
  <c r="H9" i="102" s="1"/>
  <c r="AJ11" i="32"/>
  <c r="F9" i="102" s="1"/>
  <c r="AI11" i="32"/>
  <c r="E9" i="102" s="1"/>
  <c r="AG11" i="32"/>
  <c r="AK11" i="32"/>
  <c r="G9" i="102" s="1"/>
  <c r="AH11" i="32"/>
  <c r="AF11" i="32"/>
  <c r="AJ7" i="32"/>
  <c r="F5" i="102" s="1"/>
  <c r="AG7" i="32"/>
  <c r="AF7" i="32"/>
  <c r="AK7" i="32"/>
  <c r="G5" i="102" s="1"/>
  <c r="AH7" i="32"/>
  <c r="AL7" i="32"/>
  <c r="H5" i="102" s="1"/>
  <c r="AI7" i="32"/>
  <c r="E5" i="102" s="1"/>
  <c r="AH6" i="32"/>
  <c r="AF6" i="32"/>
  <c r="AI6" i="32"/>
  <c r="E4" i="102" s="1"/>
  <c r="AG6" i="32"/>
  <c r="AL6" i="32"/>
  <c r="H4" i="102" s="1"/>
  <c r="AK6" i="32"/>
  <c r="G4" i="102" s="1"/>
  <c r="AJ6" i="32"/>
  <c r="F4" i="102" s="1"/>
  <c r="AF4" i="32"/>
  <c r="AI4" i="32"/>
  <c r="E2" i="102" s="1"/>
  <c r="AG4" i="32"/>
  <c r="AH4" i="32"/>
  <c r="AL4" i="32"/>
  <c r="H2" i="102" s="1"/>
  <c r="AK4" i="32"/>
  <c r="G2" i="102" s="1"/>
  <c r="AJ4" i="32"/>
  <c r="F2" i="102" s="1"/>
  <c r="L11" i="102"/>
  <c r="L4" i="102"/>
  <c r="L6" i="102"/>
  <c r="L5" i="102"/>
  <c r="D24" i="83" l="1"/>
  <c r="D8" i="83"/>
  <c r="D25" i="83"/>
  <c r="D21" i="83"/>
  <c r="D10" i="83"/>
  <c r="D3" i="83"/>
  <c r="D2" i="83"/>
  <c r="I5" i="83" l="1"/>
  <c r="N5" i="83" s="1"/>
  <c r="I6" i="83"/>
  <c r="I3" i="83"/>
  <c r="N3" i="83"/>
  <c r="N4" i="83"/>
  <c r="I4" i="83"/>
  <c r="M25" i="96"/>
  <c r="M19" i="96"/>
  <c r="AA19" i="111"/>
  <c r="AA22" i="111"/>
  <c r="AA23" i="111"/>
  <c r="AH4" i="111"/>
  <c r="AA18" i="110"/>
  <c r="AA23" i="110"/>
  <c r="AA22" i="110"/>
  <c r="AH4" i="110"/>
  <c r="AA22" i="107"/>
  <c r="AA23" i="107"/>
  <c r="AH4" i="107"/>
  <c r="BG27" i="86"/>
  <c r="BH27" i="86"/>
  <c r="BC8" i="86"/>
  <c r="BG24" i="86"/>
  <c r="BG8" i="86" s="1"/>
  <c r="BH24" i="86"/>
  <c r="BH8" i="86" s="1"/>
  <c r="AY24" i="86"/>
  <c r="AY8" i="86" s="1"/>
  <c r="AY5" i="86"/>
  <c r="BC5" i="86"/>
  <c r="BD5" i="86"/>
  <c r="AI6" i="86"/>
  <c r="AI7" i="86"/>
  <c r="B15" i="108"/>
  <c r="AH4" i="108"/>
  <c r="B16" i="108"/>
  <c r="B14" i="108"/>
  <c r="AA20" i="108"/>
  <c r="AA21" i="108"/>
  <c r="AA17" i="108"/>
  <c r="AA18" i="108"/>
  <c r="AA22" i="108"/>
  <c r="AA23" i="108"/>
  <c r="AA19" i="108"/>
  <c r="C5" i="106"/>
  <c r="AG27" i="96" l="1"/>
  <c r="AG21" i="96"/>
  <c r="AG15" i="96"/>
  <c r="AG9" i="96"/>
  <c r="AE27" i="96"/>
  <c r="AE21" i="96"/>
  <c r="AE15" i="96"/>
  <c r="AE9" i="96"/>
  <c r="AC25" i="96"/>
  <c r="AC13" i="96"/>
  <c r="AC19" i="96"/>
  <c r="AC7" i="96"/>
  <c r="AA25" i="96"/>
  <c r="AA24" i="96"/>
  <c r="AA19" i="96"/>
  <c r="AA18" i="96"/>
  <c r="AA13" i="96"/>
  <c r="AA12" i="96"/>
  <c r="AA7" i="96"/>
  <c r="AA6" i="96"/>
  <c r="Y25" i="96"/>
  <c r="Y24" i="96"/>
  <c r="Y19" i="96"/>
  <c r="Y18" i="96"/>
  <c r="Y13" i="96"/>
  <c r="Y12" i="96"/>
  <c r="Y7" i="96"/>
  <c r="Y6" i="96"/>
  <c r="W23" i="96"/>
  <c r="W17" i="96"/>
  <c r="W11" i="96"/>
  <c r="W5" i="96"/>
  <c r="U22" i="96"/>
  <c r="S22" i="96"/>
  <c r="Q22" i="96"/>
  <c r="U16" i="96"/>
  <c r="S16" i="96"/>
  <c r="Q16" i="96"/>
  <c r="U10" i="96"/>
  <c r="S10" i="96"/>
  <c r="Q10" i="96"/>
  <c r="U4" i="96"/>
  <c r="S4" i="96"/>
  <c r="Q4" i="96"/>
  <c r="U3" i="96"/>
  <c r="S3" i="96"/>
  <c r="Q3" i="96"/>
  <c r="N10" i="110" l="1"/>
  <c r="W10" i="110"/>
  <c r="Q9" i="107"/>
  <c r="Q10" i="108"/>
  <c r="AI19" i="86"/>
  <c r="AW5" i="86" s="1"/>
  <c r="T9" i="107" l="1"/>
  <c r="X9" i="107"/>
  <c r="W9" i="107"/>
  <c r="P9" i="107"/>
  <c r="S9" i="107"/>
  <c r="V9" i="107"/>
  <c r="N9" i="107"/>
  <c r="AI5" i="86"/>
  <c r="AS19" i="86"/>
  <c r="BG5" i="86" s="1"/>
  <c r="U10" i="110"/>
  <c r="X10" i="110"/>
  <c r="T10" i="110"/>
  <c r="V10" i="110"/>
  <c r="R9" i="107"/>
  <c r="M9" i="107"/>
  <c r="U9" i="107"/>
  <c r="S10" i="108"/>
  <c r="O10" i="108"/>
  <c r="P10" i="108"/>
  <c r="V10" i="108"/>
  <c r="R10" i="108"/>
  <c r="T10" i="108"/>
  <c r="U10" i="108"/>
  <c r="AS5" i="86"/>
  <c r="AM5" i="32" l="1"/>
  <c r="AN5" i="32"/>
  <c r="AL5" i="32"/>
  <c r="H3" i="102" s="1"/>
  <c r="AI5" i="32"/>
  <c r="E3" i="102" s="1"/>
  <c r="AJ5" i="32"/>
  <c r="F3" i="102" s="1"/>
  <c r="AK5" i="32"/>
  <c r="G3" i="102" s="1"/>
  <c r="K20" i="111"/>
  <c r="K20" i="110"/>
  <c r="K20" i="107"/>
  <c r="K23" i="107"/>
  <c r="K23" i="110"/>
  <c r="K23" i="111"/>
  <c r="Z10" i="110"/>
  <c r="Y10" i="110"/>
  <c r="Z9" i="107"/>
  <c r="Y9" i="107"/>
  <c r="Z10" i="108"/>
  <c r="AA10" i="108" s="1"/>
  <c r="Y10" i="108"/>
  <c r="AK8" i="32" l="1"/>
  <c r="G6" i="102" s="1"/>
  <c r="AI8" i="32"/>
  <c r="E6" i="102" s="1"/>
  <c r="AJ8" i="32"/>
  <c r="F6" i="102" s="1"/>
  <c r="AI12" i="32"/>
  <c r="E10" i="102" s="1"/>
  <c r="AK12" i="32"/>
  <c r="G10" i="102" s="1"/>
  <c r="AJ12" i="32"/>
  <c r="F10" i="102" s="1"/>
  <c r="J23" i="111"/>
  <c r="J23" i="110"/>
  <c r="J23" i="107"/>
  <c r="J22" i="110"/>
  <c r="J22" i="107"/>
  <c r="J22" i="111"/>
  <c r="J21" i="110"/>
  <c r="J21" i="107"/>
  <c r="J21" i="111"/>
  <c r="AA9" i="107"/>
  <c r="AA10" i="110"/>
  <c r="N3" i="113"/>
  <c r="M3" i="113"/>
  <c r="L3" i="113"/>
  <c r="K3" i="113"/>
  <c r="I3" i="113"/>
  <c r="H3" i="113"/>
  <c r="G3" i="113"/>
  <c r="B3" i="113"/>
  <c r="A3" i="113"/>
  <c r="P3" i="113" l="1"/>
  <c r="S3" i="113"/>
  <c r="U3" i="113"/>
  <c r="BJ3" i="113"/>
  <c r="BP3" i="113"/>
  <c r="BB3" i="113"/>
  <c r="AB3" i="113"/>
  <c r="BU3" i="113"/>
  <c r="AK3" i="113"/>
  <c r="AJ3" i="113"/>
  <c r="BV3" i="113"/>
  <c r="BN3" i="113"/>
  <c r="R3" i="113"/>
  <c r="AT3" i="113"/>
  <c r="AV3" i="113" s="1"/>
  <c r="AR3" i="113"/>
  <c r="BK3" i="113"/>
  <c r="BG3" i="113"/>
  <c r="AU3" i="113"/>
  <c r="AM3" i="113"/>
  <c r="AO3" i="113" s="1"/>
  <c r="AI3" i="113"/>
  <c r="AE3" i="113"/>
  <c r="AA3" i="113"/>
  <c r="AC3" i="113" s="1"/>
  <c r="W3" i="113"/>
  <c r="Y3" i="113" s="1"/>
  <c r="CE3" i="113"/>
  <c r="AY3" i="113"/>
  <c r="X3" i="113"/>
  <c r="AH3" i="113"/>
  <c r="AN3" i="113"/>
  <c r="AX3" i="113"/>
  <c r="AZ3" i="113" s="1"/>
  <c r="BD3" i="113"/>
  <c r="BI3" i="113"/>
  <c r="BT3" i="113"/>
  <c r="BY3" i="113"/>
  <c r="CD3" i="113"/>
  <c r="CF3" i="113" s="1"/>
  <c r="BX3" i="113"/>
  <c r="T3" i="113"/>
  <c r="V3" i="113" s="1"/>
  <c r="BO3" i="113"/>
  <c r="AQ3" i="113"/>
  <c r="AS3" i="113" s="1"/>
  <c r="O3" i="113"/>
  <c r="AL3" i="113" s="1"/>
  <c r="BE3" i="113"/>
  <c r="CA3" i="113"/>
  <c r="CC3" i="113" s="1"/>
  <c r="BS3" i="113"/>
  <c r="Q3" i="113"/>
  <c r="AF3" i="113"/>
  <c r="BA3" i="113"/>
  <c r="BF3" i="113"/>
  <c r="BL3" i="113"/>
  <c r="BQ3" i="113"/>
  <c r="CB3" i="113"/>
  <c r="U5" i="32" l="1"/>
  <c r="U6" i="32"/>
  <c r="U7" i="32"/>
  <c r="U8" i="32"/>
  <c r="U9" i="32"/>
  <c r="U23" i="32"/>
  <c r="U24" i="32"/>
  <c r="U10" i="32"/>
  <c r="U11" i="32"/>
  <c r="U25" i="32"/>
  <c r="U12" i="32"/>
  <c r="U26" i="32"/>
  <c r="U27" i="32"/>
  <c r="U4" i="32"/>
  <c r="U28" i="32" l="1"/>
  <c r="J3" i="113"/>
  <c r="BM3" i="113" l="1"/>
  <c r="BZ3" i="113"/>
  <c r="AP3" i="113"/>
  <c r="AW3" i="113"/>
  <c r="BW3" i="113"/>
  <c r="AG3" i="113"/>
  <c r="BR3" i="113"/>
  <c r="BC3" i="113"/>
  <c r="AD3" i="113"/>
  <c r="Z3" i="113"/>
  <c r="CG3" i="113"/>
  <c r="BH3" i="113"/>
  <c r="I13" i="85" l="1"/>
  <c r="J13" i="85"/>
  <c r="T13" i="85"/>
  <c r="U13" i="85" l="1"/>
  <c r="R13" i="85"/>
  <c r="X11" i="107" l="1"/>
  <c r="X4" i="107"/>
  <c r="X8" i="107"/>
  <c r="X22" i="107"/>
  <c r="X21" i="107"/>
  <c r="X14" i="107"/>
  <c r="X13" i="107"/>
  <c r="X20" i="107"/>
  <c r="X17" i="107"/>
  <c r="X10" i="107"/>
  <c r="X19" i="107"/>
  <c r="X16" i="107"/>
  <c r="X15" i="107"/>
  <c r="X12" i="107"/>
  <c r="X18" i="107"/>
  <c r="X5" i="107"/>
  <c r="X6" i="107"/>
  <c r="X16" i="111"/>
  <c r="X13" i="111"/>
  <c r="X15" i="111"/>
  <c r="X5" i="111"/>
  <c r="X20" i="111"/>
  <c r="X19" i="111"/>
  <c r="X9" i="111"/>
  <c r="X7" i="111"/>
  <c r="X4" i="111"/>
  <c r="X18" i="111"/>
  <c r="X8" i="111"/>
  <c r="X21" i="111"/>
  <c r="X10" i="111"/>
  <c r="X11" i="111"/>
  <c r="X14" i="111"/>
  <c r="X17" i="111"/>
  <c r="X6" i="111"/>
  <c r="X22" i="111"/>
  <c r="W16" i="111"/>
  <c r="Y16" i="111" s="1"/>
  <c r="AA16" i="111" s="1"/>
  <c r="W13" i="111"/>
  <c r="W15" i="111"/>
  <c r="W5" i="111"/>
  <c r="W20" i="111"/>
  <c r="W19" i="111"/>
  <c r="W9" i="111"/>
  <c r="W7" i="111"/>
  <c r="W4" i="111"/>
  <c r="W18" i="111"/>
  <c r="W8" i="111"/>
  <c r="W21" i="111"/>
  <c r="W10" i="111"/>
  <c r="W11" i="111"/>
  <c r="W14" i="111"/>
  <c r="Z14" i="111" s="1"/>
  <c r="AA14" i="111" s="1"/>
  <c r="W17" i="111"/>
  <c r="AA17" i="111" s="1"/>
  <c r="W6" i="111"/>
  <c r="W22" i="111"/>
  <c r="V16" i="111"/>
  <c r="V13" i="111"/>
  <c r="V15" i="111"/>
  <c r="V5" i="111"/>
  <c r="V20" i="111"/>
  <c r="V19" i="111"/>
  <c r="V9" i="111"/>
  <c r="V7" i="111"/>
  <c r="V4" i="111"/>
  <c r="V18" i="111"/>
  <c r="V8" i="111"/>
  <c r="V21" i="111"/>
  <c r="V10" i="111"/>
  <c r="V11" i="111"/>
  <c r="V14" i="111"/>
  <c r="V17" i="111"/>
  <c r="V6" i="111"/>
  <c r="V22" i="111"/>
  <c r="U16" i="111"/>
  <c r="U13" i="111"/>
  <c r="U15" i="111"/>
  <c r="U5" i="111"/>
  <c r="U20" i="111"/>
  <c r="U19" i="111"/>
  <c r="U9" i="111"/>
  <c r="U7" i="111"/>
  <c r="U4" i="111"/>
  <c r="U18" i="111"/>
  <c r="U8" i="111"/>
  <c r="U21" i="111"/>
  <c r="U10" i="111"/>
  <c r="U11" i="111"/>
  <c r="U14" i="111"/>
  <c r="U17" i="111"/>
  <c r="U6" i="111"/>
  <c r="U22" i="111"/>
  <c r="S16" i="111"/>
  <c r="S13" i="111"/>
  <c r="S15" i="111"/>
  <c r="S5" i="111"/>
  <c r="S20" i="111"/>
  <c r="S19" i="111"/>
  <c r="S9" i="111"/>
  <c r="S7" i="111"/>
  <c r="S4" i="111"/>
  <c r="S18" i="111"/>
  <c r="S8" i="111"/>
  <c r="S21" i="111"/>
  <c r="S10" i="111"/>
  <c r="S11" i="111"/>
  <c r="S14" i="111"/>
  <c r="S17" i="111"/>
  <c r="S6" i="111"/>
  <c r="S22" i="111"/>
  <c r="R16" i="111"/>
  <c r="R13" i="111"/>
  <c r="R15" i="111"/>
  <c r="R5" i="111"/>
  <c r="R20" i="111"/>
  <c r="AA20" i="111" s="1"/>
  <c r="R19" i="111"/>
  <c r="R9" i="111"/>
  <c r="R7" i="111"/>
  <c r="R4" i="111"/>
  <c r="Z4" i="111" s="1"/>
  <c r="R18" i="111"/>
  <c r="R8" i="111"/>
  <c r="R21" i="111"/>
  <c r="R10" i="111"/>
  <c r="R11" i="111"/>
  <c r="R14" i="111"/>
  <c r="R17" i="111"/>
  <c r="R6" i="111"/>
  <c r="R22" i="111"/>
  <c r="N16" i="111"/>
  <c r="N13" i="111"/>
  <c r="N15" i="111"/>
  <c r="N5" i="111"/>
  <c r="N20" i="111"/>
  <c r="N19" i="111"/>
  <c r="N9" i="111"/>
  <c r="N7" i="111"/>
  <c r="N4" i="111"/>
  <c r="N18" i="111"/>
  <c r="N8" i="111"/>
  <c r="N21" i="111"/>
  <c r="N10" i="111"/>
  <c r="N11" i="111"/>
  <c r="N14" i="111"/>
  <c r="N17" i="111"/>
  <c r="N6" i="111"/>
  <c r="N22" i="111"/>
  <c r="M16" i="111"/>
  <c r="M13" i="111"/>
  <c r="M15" i="111"/>
  <c r="M5" i="111"/>
  <c r="M20" i="111"/>
  <c r="M19" i="111"/>
  <c r="M9" i="111"/>
  <c r="M7" i="111"/>
  <c r="M4" i="111"/>
  <c r="M18" i="111"/>
  <c r="M8" i="111"/>
  <c r="M21" i="111"/>
  <c r="M10" i="111"/>
  <c r="M11" i="111"/>
  <c r="M14" i="111"/>
  <c r="M17" i="111"/>
  <c r="M6" i="111"/>
  <c r="M22" i="111"/>
  <c r="K3" i="111"/>
  <c r="J3" i="111"/>
  <c r="I3" i="111"/>
  <c r="H3" i="111"/>
  <c r="G3" i="111"/>
  <c r="F3" i="111"/>
  <c r="X9" i="110"/>
  <c r="X14" i="110"/>
  <c r="X21" i="110"/>
  <c r="X20" i="110"/>
  <c r="W8" i="110"/>
  <c r="X4" i="110"/>
  <c r="X12" i="110"/>
  <c r="X6" i="110"/>
  <c r="X11" i="110"/>
  <c r="X8" i="110"/>
  <c r="X22" i="110"/>
  <c r="X19" i="110"/>
  <c r="X16" i="110"/>
  <c r="X17" i="110"/>
  <c r="X18" i="110"/>
  <c r="X13" i="110"/>
  <c r="X15" i="110"/>
  <c r="X5" i="110"/>
  <c r="W17" i="110"/>
  <c r="W16" i="110"/>
  <c r="W19" i="110"/>
  <c r="W4" i="110"/>
  <c r="Y4" i="110" s="1"/>
  <c r="AA4" i="110" s="1"/>
  <c r="W12" i="110"/>
  <c r="W6" i="110"/>
  <c r="W11" i="110"/>
  <c r="W22" i="110"/>
  <c r="W21" i="110"/>
  <c r="W14" i="110"/>
  <c r="W20" i="110"/>
  <c r="W18" i="110"/>
  <c r="W13" i="110"/>
  <c r="AA13" i="110" s="1"/>
  <c r="W15" i="110"/>
  <c r="W5" i="110"/>
  <c r="Z5" i="110" s="1"/>
  <c r="V4" i="110"/>
  <c r="V12" i="110"/>
  <c r="V6" i="110"/>
  <c r="V11" i="110"/>
  <c r="V8" i="110"/>
  <c r="V22" i="110"/>
  <c r="V21" i="110"/>
  <c r="AA21" i="110" s="1"/>
  <c r="V19" i="110"/>
  <c r="V14" i="110"/>
  <c r="V16" i="110"/>
  <c r="V17" i="110"/>
  <c r="V9" i="110"/>
  <c r="V18" i="110"/>
  <c r="V13" i="110"/>
  <c r="V15" i="110"/>
  <c r="V5" i="110"/>
  <c r="U4" i="110"/>
  <c r="U12" i="110"/>
  <c r="U6" i="110"/>
  <c r="U11" i="110"/>
  <c r="U8" i="110"/>
  <c r="U22" i="110"/>
  <c r="U21" i="110"/>
  <c r="U19" i="110"/>
  <c r="U14" i="110"/>
  <c r="U16" i="110"/>
  <c r="U17" i="110"/>
  <c r="U9" i="110"/>
  <c r="U20" i="110"/>
  <c r="U18" i="110"/>
  <c r="U13" i="110"/>
  <c r="U15" i="110"/>
  <c r="U5" i="110"/>
  <c r="T4" i="110"/>
  <c r="T12" i="110"/>
  <c r="T6" i="110"/>
  <c r="T11" i="110"/>
  <c r="T8" i="110"/>
  <c r="T22" i="110"/>
  <c r="T21" i="110"/>
  <c r="T19" i="110"/>
  <c r="T14" i="110"/>
  <c r="T16" i="110"/>
  <c r="T17" i="110"/>
  <c r="T9" i="110"/>
  <c r="T20" i="110"/>
  <c r="AA20" i="110" s="1"/>
  <c r="T18" i="110"/>
  <c r="T13" i="110"/>
  <c r="T15" i="110"/>
  <c r="T5" i="110"/>
  <c r="Y5" i="110" s="1"/>
  <c r="N4" i="110"/>
  <c r="N12" i="110"/>
  <c r="N6" i="110"/>
  <c r="N11" i="110"/>
  <c r="N8" i="110"/>
  <c r="N21" i="110"/>
  <c r="N19" i="110"/>
  <c r="N16" i="110"/>
  <c r="N17" i="110"/>
  <c r="N9" i="110"/>
  <c r="N18" i="110"/>
  <c r="N13" i="110"/>
  <c r="N5" i="110"/>
  <c r="K3" i="110"/>
  <c r="J3" i="110"/>
  <c r="I3" i="110"/>
  <c r="H3" i="110"/>
  <c r="G3" i="110"/>
  <c r="F3" i="110"/>
  <c r="Z6" i="111" l="1"/>
  <c r="Y6" i="111"/>
  <c r="Z11" i="111"/>
  <c r="Y11" i="111"/>
  <c r="Z13" i="111"/>
  <c r="Y13" i="111"/>
  <c r="Z15" i="111"/>
  <c r="Y15" i="111"/>
  <c r="Y10" i="111"/>
  <c r="Z10" i="111"/>
  <c r="AA10" i="111" s="1"/>
  <c r="Z8" i="111"/>
  <c r="Y8" i="111"/>
  <c r="Y9" i="111"/>
  <c r="Z9" i="111"/>
  <c r="Y12" i="110"/>
  <c r="Z12" i="110"/>
  <c r="AA12" i="110" s="1"/>
  <c r="Z6" i="110"/>
  <c r="Y6" i="110"/>
  <c r="Y8" i="110"/>
  <c r="Z8" i="110"/>
  <c r="Z9" i="110"/>
  <c r="Y9" i="110"/>
  <c r="Y11" i="110"/>
  <c r="Z11" i="110"/>
  <c r="AA11" i="110" s="1"/>
  <c r="AA5" i="110"/>
  <c r="Z7" i="111"/>
  <c r="Y7" i="111"/>
  <c r="Z5" i="111"/>
  <c r="AA5" i="111" s="1"/>
  <c r="AA14" i="110"/>
  <c r="AA19" i="110"/>
  <c r="AA16" i="110"/>
  <c r="AA15" i="110"/>
  <c r="AA18" i="111"/>
  <c r="AA21" i="111"/>
  <c r="AA4" i="111"/>
  <c r="AA6" i="111"/>
  <c r="AA17" i="110"/>
  <c r="W9" i="110"/>
  <c r="V20" i="110"/>
  <c r="N15" i="110"/>
  <c r="N20" i="110"/>
  <c r="N14" i="110"/>
  <c r="N22" i="110"/>
  <c r="AA8" i="110" l="1"/>
  <c r="AA8" i="111"/>
  <c r="AA15" i="111"/>
  <c r="AA7" i="111"/>
  <c r="AA11" i="111"/>
  <c r="AA13" i="111"/>
  <c r="AA9" i="110"/>
  <c r="AA6" i="110"/>
  <c r="AA9" i="111"/>
  <c r="Z2" i="111"/>
  <c r="Z2" i="110"/>
  <c r="Y2" i="111" l="1"/>
  <c r="Y2" i="110"/>
  <c r="O6" i="108" l="1"/>
  <c r="O16" i="108"/>
  <c r="O18" i="108"/>
  <c r="O19" i="108"/>
  <c r="O23" i="108"/>
  <c r="O12" i="108"/>
  <c r="O15" i="108"/>
  <c r="Q8" i="108"/>
  <c r="O5" i="108"/>
  <c r="O7" i="108"/>
  <c r="R18" i="108"/>
  <c r="R21" i="108"/>
  <c r="O20" i="108"/>
  <c r="O4" i="108"/>
  <c r="O13" i="108"/>
  <c r="R14" i="108"/>
  <c r="V17" i="108"/>
  <c r="R22" i="108"/>
  <c r="R11" i="108"/>
  <c r="S6" i="108"/>
  <c r="S7" i="108"/>
  <c r="Y7" i="108" s="1"/>
  <c r="S5" i="108"/>
  <c r="S13" i="108"/>
  <c r="S15" i="108"/>
  <c r="S16" i="108"/>
  <c r="S4" i="108"/>
  <c r="S18" i="108"/>
  <c r="S11" i="108"/>
  <c r="R6" i="108"/>
  <c r="R7" i="108"/>
  <c r="Z7" i="108" s="1"/>
  <c r="R5" i="108"/>
  <c r="Z5" i="108" s="1"/>
  <c r="R13" i="108"/>
  <c r="R15" i="108"/>
  <c r="R16" i="108"/>
  <c r="R4" i="108"/>
  <c r="R23" i="108"/>
  <c r="Q6" i="108"/>
  <c r="Q7" i="108"/>
  <c r="Q13" i="108"/>
  <c r="Q15" i="108"/>
  <c r="Q16" i="108"/>
  <c r="Q4" i="108"/>
  <c r="Q18" i="108"/>
  <c r="P6" i="108"/>
  <c r="P7" i="108"/>
  <c r="P20" i="108"/>
  <c r="P15" i="108"/>
  <c r="P16" i="108"/>
  <c r="P4" i="108"/>
  <c r="P23" i="108"/>
  <c r="P19" i="108"/>
  <c r="P18" i="108"/>
  <c r="V6" i="108"/>
  <c r="V7" i="108"/>
  <c r="V13" i="108"/>
  <c r="V16" i="108"/>
  <c r="V4" i="108"/>
  <c r="V12" i="108"/>
  <c r="V18" i="108"/>
  <c r="U6" i="108"/>
  <c r="U7" i="108"/>
  <c r="U20" i="108"/>
  <c r="U15" i="108"/>
  <c r="U16" i="108"/>
  <c r="U4" i="108"/>
  <c r="U23" i="108"/>
  <c r="U17" i="108"/>
  <c r="U18" i="108"/>
  <c r="T6" i="108"/>
  <c r="T7" i="108"/>
  <c r="T13" i="108"/>
  <c r="T16" i="108"/>
  <c r="T4" i="108"/>
  <c r="T12" i="108"/>
  <c r="Y12" i="108" s="1"/>
  <c r="T18" i="108"/>
  <c r="K18" i="108"/>
  <c r="I18" i="108"/>
  <c r="H18" i="108"/>
  <c r="G18" i="108"/>
  <c r="F18" i="108"/>
  <c r="E18" i="108"/>
  <c r="C18" i="108"/>
  <c r="B18" i="108"/>
  <c r="K19" i="108"/>
  <c r="J19" i="108"/>
  <c r="I19" i="108"/>
  <c r="H19" i="108"/>
  <c r="G19" i="108"/>
  <c r="F19" i="108"/>
  <c r="E19" i="108"/>
  <c r="C19" i="108"/>
  <c r="B19" i="108"/>
  <c r="K17" i="108"/>
  <c r="J17" i="108"/>
  <c r="I17" i="108"/>
  <c r="H17" i="108"/>
  <c r="G17" i="108"/>
  <c r="F17" i="108"/>
  <c r="E17" i="108"/>
  <c r="C17" i="108"/>
  <c r="B17" i="108"/>
  <c r="K23" i="108"/>
  <c r="I23" i="108"/>
  <c r="H23" i="108"/>
  <c r="G23" i="108"/>
  <c r="F23" i="108"/>
  <c r="E23" i="108"/>
  <c r="C23" i="108"/>
  <c r="B23" i="108"/>
  <c r="K21" i="108"/>
  <c r="I21" i="108"/>
  <c r="H21" i="108"/>
  <c r="G21" i="108"/>
  <c r="F21" i="108"/>
  <c r="E21" i="108"/>
  <c r="C21" i="108"/>
  <c r="B21" i="108"/>
  <c r="K12" i="108"/>
  <c r="I12" i="108"/>
  <c r="H12" i="108"/>
  <c r="G12" i="108"/>
  <c r="F12" i="108"/>
  <c r="E12" i="108"/>
  <c r="C12" i="108"/>
  <c r="B12" i="108"/>
  <c r="K4" i="108"/>
  <c r="I4" i="108"/>
  <c r="H4" i="108"/>
  <c r="G4" i="108"/>
  <c r="F4" i="108"/>
  <c r="E4" i="108"/>
  <c r="C4" i="108"/>
  <c r="B4" i="108"/>
  <c r="K16" i="108"/>
  <c r="I16" i="108"/>
  <c r="H16" i="108"/>
  <c r="G16" i="108"/>
  <c r="F16" i="108"/>
  <c r="E16" i="108"/>
  <c r="C16" i="108"/>
  <c r="K15" i="108"/>
  <c r="I15" i="108"/>
  <c r="H15" i="108"/>
  <c r="G15" i="108"/>
  <c r="F15" i="108"/>
  <c r="E15" i="108"/>
  <c r="C15" i="108"/>
  <c r="K14" i="108"/>
  <c r="I14" i="108"/>
  <c r="H14" i="108"/>
  <c r="G14" i="108"/>
  <c r="F14" i="108"/>
  <c r="E14" i="108"/>
  <c r="C14" i="108"/>
  <c r="K13" i="108"/>
  <c r="I13" i="108"/>
  <c r="H13" i="108"/>
  <c r="G13" i="108"/>
  <c r="F13" i="108"/>
  <c r="E13" i="108"/>
  <c r="C13" i="108"/>
  <c r="B13" i="108"/>
  <c r="K8" i="108"/>
  <c r="I8" i="108"/>
  <c r="H8" i="108"/>
  <c r="G8" i="108"/>
  <c r="F8" i="108"/>
  <c r="E8" i="108"/>
  <c r="C8" i="108"/>
  <c r="B8" i="108"/>
  <c r="K10" i="108"/>
  <c r="I10" i="108"/>
  <c r="H10" i="108"/>
  <c r="G10" i="108"/>
  <c r="F10" i="108"/>
  <c r="E10" i="108"/>
  <c r="C10" i="108"/>
  <c r="B10" i="108"/>
  <c r="K20" i="108"/>
  <c r="I20" i="108"/>
  <c r="H20" i="108"/>
  <c r="G20" i="108"/>
  <c r="F20" i="108"/>
  <c r="E20" i="108"/>
  <c r="C20" i="108"/>
  <c r="B20" i="108"/>
  <c r="K5" i="108"/>
  <c r="I5" i="108"/>
  <c r="H5" i="108"/>
  <c r="G5" i="108"/>
  <c r="F5" i="108"/>
  <c r="E5" i="108"/>
  <c r="C5" i="108"/>
  <c r="B5" i="108"/>
  <c r="K7" i="108"/>
  <c r="I7" i="108"/>
  <c r="H7" i="108"/>
  <c r="G7" i="108"/>
  <c r="F7" i="108"/>
  <c r="E7" i="108"/>
  <c r="C7" i="108"/>
  <c r="B7" i="108"/>
  <c r="K6" i="108"/>
  <c r="I6" i="108"/>
  <c r="H6" i="108"/>
  <c r="G6" i="108"/>
  <c r="F6" i="108"/>
  <c r="E6" i="108"/>
  <c r="C6" i="108"/>
  <c r="B6" i="108"/>
  <c r="K22" i="108"/>
  <c r="I22" i="108"/>
  <c r="H22" i="108"/>
  <c r="G22" i="108"/>
  <c r="F22" i="108"/>
  <c r="E22" i="108"/>
  <c r="C22" i="108"/>
  <c r="B22" i="108"/>
  <c r="K11" i="108"/>
  <c r="I11" i="108"/>
  <c r="H11" i="108"/>
  <c r="G11" i="108"/>
  <c r="F11" i="108"/>
  <c r="E11" i="108"/>
  <c r="C11" i="108"/>
  <c r="B11" i="108"/>
  <c r="K3" i="108"/>
  <c r="J3" i="108"/>
  <c r="I3" i="108"/>
  <c r="H3" i="108"/>
  <c r="G3" i="108"/>
  <c r="F3" i="108"/>
  <c r="E3" i="108"/>
  <c r="D3" i="108"/>
  <c r="C3" i="108"/>
  <c r="B3" i="108"/>
  <c r="Y16" i="108" l="1"/>
  <c r="Z16" i="108"/>
  <c r="Y13" i="108"/>
  <c r="Z13" i="108"/>
  <c r="AA13" i="108" s="1"/>
  <c r="Y4" i="108"/>
  <c r="Z4" i="108"/>
  <c r="AA4" i="108" s="1"/>
  <c r="Z6" i="108"/>
  <c r="AA6" i="108" s="1"/>
  <c r="Z15" i="108"/>
  <c r="AA15" i="108" s="1"/>
  <c r="Y15" i="108"/>
  <c r="Q21" i="108"/>
  <c r="T19" i="108"/>
  <c r="U19" i="108"/>
  <c r="Q19" i="108"/>
  <c r="S19" i="108"/>
  <c r="V19" i="108"/>
  <c r="R19" i="108"/>
  <c r="AA7" i="108"/>
  <c r="T20" i="108"/>
  <c r="U5" i="108"/>
  <c r="V20" i="108"/>
  <c r="P5" i="108"/>
  <c r="Q12" i="108"/>
  <c r="S12" i="108"/>
  <c r="AA12" i="108"/>
  <c r="T17" i="108"/>
  <c r="T5" i="108"/>
  <c r="U21" i="108"/>
  <c r="V5" i="108"/>
  <c r="V11" i="108"/>
  <c r="Q20" i="108"/>
  <c r="R12" i="108"/>
  <c r="S8" i="108"/>
  <c r="Z8" i="108" s="1"/>
  <c r="N11" i="108"/>
  <c r="T23" i="108"/>
  <c r="T15" i="108"/>
  <c r="U12" i="108"/>
  <c r="U13" i="108"/>
  <c r="V23" i="108"/>
  <c r="V15" i="108"/>
  <c r="P11" i="108"/>
  <c r="P12" i="108"/>
  <c r="P13" i="108"/>
  <c r="Q23" i="108"/>
  <c r="Q5" i="108"/>
  <c r="R20" i="108"/>
  <c r="S23" i="108"/>
  <c r="S20" i="108"/>
  <c r="O8" i="108"/>
  <c r="T8" i="108"/>
  <c r="U14" i="108"/>
  <c r="U22" i="108"/>
  <c r="V8" i="108"/>
  <c r="Y8" i="108" s="1"/>
  <c r="P8" i="108"/>
  <c r="Q14" i="108"/>
  <c r="Q22" i="108"/>
  <c r="R8" i="108"/>
  <c r="S21" i="108"/>
  <c r="O21" i="108"/>
  <c r="AA5" i="108"/>
  <c r="T21" i="108"/>
  <c r="V21" i="108"/>
  <c r="P21" i="108"/>
  <c r="S14" i="108"/>
  <c r="S22" i="108"/>
  <c r="O17" i="108"/>
  <c r="O14" i="108"/>
  <c r="O22" i="108"/>
  <c r="T14" i="108"/>
  <c r="T22" i="108"/>
  <c r="U8" i="108"/>
  <c r="V14" i="108"/>
  <c r="V22" i="108"/>
  <c r="P14" i="108"/>
  <c r="P22" i="108"/>
  <c r="O11" i="108"/>
  <c r="P17" i="108"/>
  <c r="Q17" i="108"/>
  <c r="R17" i="108"/>
  <c r="S17" i="108"/>
  <c r="T11" i="108"/>
  <c r="Q11" i="108"/>
  <c r="U11" i="108"/>
  <c r="Y14" i="108" l="1"/>
  <c r="Z14" i="108"/>
  <c r="Z11" i="108"/>
  <c r="Y11" i="108"/>
  <c r="Y2" i="108" s="1"/>
  <c r="AA16" i="108"/>
  <c r="AA14" i="108"/>
  <c r="AA8" i="108" l="1"/>
  <c r="AA11" i="108"/>
  <c r="Z2" i="108"/>
  <c r="R8" i="107"/>
  <c r="R22" i="107"/>
  <c r="R20" i="107"/>
  <c r="R10" i="107"/>
  <c r="R19" i="107"/>
  <c r="R18" i="107"/>
  <c r="U4" i="107"/>
  <c r="U21" i="107"/>
  <c r="U14" i="107"/>
  <c r="U10" i="107"/>
  <c r="U18" i="107"/>
  <c r="U5" i="107"/>
  <c r="U6" i="107"/>
  <c r="V4" i="107"/>
  <c r="V21" i="107"/>
  <c r="V14" i="107"/>
  <c r="V10" i="107"/>
  <c r="V15" i="107"/>
  <c r="V18" i="107"/>
  <c r="V5" i="107"/>
  <c r="V6" i="107"/>
  <c r="N18" i="107"/>
  <c r="R5" i="107"/>
  <c r="W10" i="107"/>
  <c r="P14" i="107"/>
  <c r="Y14" i="107" s="1"/>
  <c r="N8" i="107"/>
  <c r="S6" i="107"/>
  <c r="N21" i="107"/>
  <c r="M20" i="107"/>
  <c r="S14" i="107"/>
  <c r="S13" i="107"/>
  <c r="Z13" i="107" s="1"/>
  <c r="S5" i="107"/>
  <c r="M4" i="107"/>
  <c r="N4" i="107"/>
  <c r="M14" i="107"/>
  <c r="N14" i="107"/>
  <c r="M19" i="107"/>
  <c r="N19" i="107"/>
  <c r="N15" i="107"/>
  <c r="M5" i="107"/>
  <c r="N5" i="107"/>
  <c r="M6" i="107"/>
  <c r="W6" i="107"/>
  <c r="Y6" i="107" s="1"/>
  <c r="AA6" i="107" s="1"/>
  <c r="T4" i="107"/>
  <c r="W4" i="107"/>
  <c r="T22" i="107"/>
  <c r="W22" i="107"/>
  <c r="T14" i="107"/>
  <c r="W14" i="107"/>
  <c r="Q14" i="107"/>
  <c r="Z14" i="107" s="1"/>
  <c r="T13" i="107"/>
  <c r="W13" i="107"/>
  <c r="T20" i="107"/>
  <c r="W20" i="107"/>
  <c r="Q20" i="107"/>
  <c r="W17" i="107"/>
  <c r="T19" i="107"/>
  <c r="AA19" i="107" s="1"/>
  <c r="Q19" i="107"/>
  <c r="T16" i="107"/>
  <c r="T15" i="107"/>
  <c r="W15" i="107"/>
  <c r="W12" i="107"/>
  <c r="T5" i="107"/>
  <c r="Y5" i="107" s="1"/>
  <c r="W5" i="107"/>
  <c r="Z5" i="107" s="1"/>
  <c r="P5" i="107"/>
  <c r="Q6" i="107"/>
  <c r="P6" i="107"/>
  <c r="T6" i="107"/>
  <c r="Z10" i="107" l="1"/>
  <c r="Y10" i="107"/>
  <c r="AA5" i="107"/>
  <c r="Y4" i="107"/>
  <c r="Z4" i="107"/>
  <c r="Y15" i="107"/>
  <c r="Z15" i="107"/>
  <c r="AA15" i="107" s="1"/>
  <c r="M17" i="107"/>
  <c r="R17" i="107"/>
  <c r="W11" i="107"/>
  <c r="R11" i="107"/>
  <c r="T11" i="107"/>
  <c r="N11" i="107"/>
  <c r="Q11" i="107"/>
  <c r="U12" i="107"/>
  <c r="V12" i="107"/>
  <c r="M12" i="107"/>
  <c r="Q12" i="107"/>
  <c r="N12" i="107"/>
  <c r="T12" i="107"/>
  <c r="M22" i="107"/>
  <c r="P22" i="107"/>
  <c r="U22" i="107"/>
  <c r="V22" i="107"/>
  <c r="S22" i="107"/>
  <c r="N22" i="107"/>
  <c r="Q22" i="107"/>
  <c r="S15" i="107"/>
  <c r="Q15" i="107"/>
  <c r="R15" i="107"/>
  <c r="U17" i="107"/>
  <c r="U11" i="107"/>
  <c r="R12" i="107"/>
  <c r="Z12" i="107" s="1"/>
  <c r="P12" i="107"/>
  <c r="M15" i="107"/>
  <c r="S12" i="107"/>
  <c r="U19" i="107"/>
  <c r="V19" i="107"/>
  <c r="W19" i="107"/>
  <c r="S19" i="107"/>
  <c r="P19" i="107"/>
  <c r="S4" i="107"/>
  <c r="P4" i="107"/>
  <c r="R4" i="107"/>
  <c r="Q4" i="107"/>
  <c r="U13" i="107"/>
  <c r="V13" i="107"/>
  <c r="AA13" i="107" s="1"/>
  <c r="M13" i="107"/>
  <c r="P13" i="107"/>
  <c r="N13" i="107"/>
  <c r="Q13" i="107"/>
  <c r="S16" i="107"/>
  <c r="N16" i="107"/>
  <c r="P16" i="107"/>
  <c r="U16" i="107"/>
  <c r="V16" i="107"/>
  <c r="Q16" i="107"/>
  <c r="V17" i="107"/>
  <c r="V11" i="107"/>
  <c r="U15" i="107"/>
  <c r="R16" i="107"/>
  <c r="R13" i="107"/>
  <c r="V20" i="107"/>
  <c r="U20" i="107"/>
  <c r="R6" i="107"/>
  <c r="R14" i="107"/>
  <c r="Q5" i="107"/>
  <c r="P20" i="107"/>
  <c r="N6" i="107"/>
  <c r="S20" i="107"/>
  <c r="V8" i="107"/>
  <c r="U8" i="107"/>
  <c r="R21" i="107"/>
  <c r="W21" i="107"/>
  <c r="M21" i="107"/>
  <c r="Q8" i="107"/>
  <c r="T8" i="107"/>
  <c r="N10" i="107"/>
  <c r="M8" i="107"/>
  <c r="S10" i="107"/>
  <c r="Q10" i="107"/>
  <c r="T10" i="107"/>
  <c r="P8" i="107"/>
  <c r="M10" i="107"/>
  <c r="S17" i="107"/>
  <c r="W18" i="107"/>
  <c r="AA18" i="107" s="1"/>
  <c r="P10" i="107"/>
  <c r="AA10" i="107" s="1"/>
  <c r="Q17" i="107"/>
  <c r="T17" i="107"/>
  <c r="Q21" i="107"/>
  <c r="T21" i="107"/>
  <c r="W8" i="107"/>
  <c r="N17" i="107"/>
  <c r="S8" i="107"/>
  <c r="S18" i="107"/>
  <c r="P17" i="107"/>
  <c r="P21" i="107"/>
  <c r="M18" i="107"/>
  <c r="P15" i="107"/>
  <c r="Q18" i="107"/>
  <c r="T18" i="107"/>
  <c r="P18" i="107"/>
  <c r="W16" i="107"/>
  <c r="M16" i="107"/>
  <c r="P11" i="107"/>
  <c r="M11" i="107"/>
  <c r="S11" i="107"/>
  <c r="S21" i="107"/>
  <c r="AA21" i="107" s="1"/>
  <c r="N20" i="107"/>
  <c r="Y16" i="107" l="1"/>
  <c r="Z16" i="107"/>
  <c r="AA16" i="107" s="1"/>
  <c r="Z8" i="107"/>
  <c r="Y8" i="107"/>
  <c r="Z17" i="107"/>
  <c r="Y17" i="107"/>
  <c r="AA17" i="107" s="1"/>
  <c r="Y11" i="107"/>
  <c r="Z11" i="107"/>
  <c r="AA12" i="107"/>
  <c r="AA14" i="107"/>
  <c r="AA4" i="107"/>
  <c r="F3" i="107"/>
  <c r="G3" i="107"/>
  <c r="H3" i="107"/>
  <c r="I3" i="107"/>
  <c r="J3" i="107"/>
  <c r="K3" i="107"/>
  <c r="B3" i="107"/>
  <c r="C3" i="107"/>
  <c r="D3" i="107"/>
  <c r="E3" i="107"/>
  <c r="AA11" i="107" l="1"/>
  <c r="AA8" i="107"/>
  <c r="AA20" i="107"/>
  <c r="Y2" i="107"/>
  <c r="Z2" i="107"/>
  <c r="C19" i="85" l="1"/>
  <c r="A19" i="85"/>
  <c r="D19" i="85" l="1"/>
  <c r="J11" i="108"/>
  <c r="J4" i="108"/>
  <c r="J22" i="108"/>
  <c r="J20" i="108"/>
  <c r="J16" i="108"/>
  <c r="J21" i="108"/>
  <c r="J13" i="108"/>
  <c r="J8" i="108"/>
  <c r="J18" i="108"/>
  <c r="J6" i="108"/>
  <c r="J5" i="108"/>
  <c r="J12" i="108"/>
  <c r="J7" i="108"/>
  <c r="J14" i="108"/>
  <c r="J15" i="108"/>
  <c r="J10" i="108"/>
  <c r="T16" i="49" l="1"/>
  <c r="T19" i="49"/>
  <c r="M9" i="106" l="1"/>
  <c r="M8" i="106"/>
  <c r="L3" i="106" l="1"/>
  <c r="L4" i="106"/>
  <c r="L5" i="106"/>
  <c r="L6" i="106"/>
  <c r="L7" i="106"/>
  <c r="L8" i="106"/>
  <c r="L9" i="106"/>
  <c r="L10" i="106"/>
  <c r="L11" i="106"/>
  <c r="L12" i="106"/>
  <c r="L2" i="106"/>
  <c r="C4" i="106"/>
  <c r="S5" i="106"/>
  <c r="C2" i="106"/>
  <c r="N13" i="105" l="1"/>
  <c r="T6" i="105"/>
  <c r="AQ6" i="32" l="1"/>
  <c r="AQ7" i="32"/>
  <c r="AQ8" i="32"/>
  <c r="AQ9" i="32"/>
  <c r="AQ23" i="32"/>
  <c r="AQ24" i="32"/>
  <c r="AQ10" i="32"/>
  <c r="AQ11" i="32"/>
  <c r="AQ25" i="32"/>
  <c r="AQ12" i="32"/>
  <c r="AQ26" i="32"/>
  <c r="AQ27" i="32"/>
  <c r="AQ5" i="32"/>
  <c r="AQ4" i="32"/>
  <c r="J23" i="108" l="1"/>
  <c r="K6" i="102" l="1"/>
  <c r="K2" i="102"/>
  <c r="K3" i="102"/>
  <c r="K4" i="102"/>
  <c r="K10" i="102"/>
  <c r="K11" i="102"/>
  <c r="K7" i="102"/>
  <c r="K8" i="102"/>
  <c r="H1" i="102"/>
  <c r="F1" i="102"/>
  <c r="G1" i="102"/>
  <c r="E1" i="102"/>
  <c r="D1" i="102"/>
  <c r="C1" i="102"/>
  <c r="A1" i="102"/>
  <c r="K5" i="102" l="1"/>
  <c r="P3" i="96" l="1"/>
  <c r="Q3" i="94" l="1"/>
  <c r="J2" i="106" s="1"/>
  <c r="P3" i="94"/>
  <c r="O3" i="94"/>
  <c r="N3" i="94"/>
  <c r="M3" i="94"/>
  <c r="L3" i="94"/>
  <c r="K3" i="94"/>
  <c r="J3" i="94"/>
  <c r="F3" i="94"/>
  <c r="B3" i="94"/>
  <c r="A3" i="94"/>
  <c r="O4" i="86"/>
  <c r="Y4" i="86" s="1"/>
  <c r="N4" i="86"/>
  <c r="X4" i="86" s="1"/>
  <c r="M4" i="86"/>
  <c r="W4" i="86" s="1"/>
  <c r="L4" i="86"/>
  <c r="V4" i="86" s="1"/>
  <c r="K4" i="86"/>
  <c r="U4" i="86" s="1"/>
  <c r="J4" i="86"/>
  <c r="T4" i="86" s="1"/>
  <c r="I4" i="86"/>
  <c r="S4" i="86" s="1"/>
  <c r="H4" i="86"/>
  <c r="D4" i="86"/>
  <c r="C4" i="86"/>
  <c r="AW18" i="86" s="1"/>
  <c r="X2" i="32"/>
  <c r="AF3" i="94" l="1"/>
  <c r="S3" i="94"/>
  <c r="H3" i="105"/>
  <c r="G2" i="106"/>
  <c r="C3" i="105"/>
  <c r="B2" i="106"/>
  <c r="E3" i="105"/>
  <c r="D2" i="106"/>
  <c r="I3" i="105"/>
  <c r="H2" i="106"/>
  <c r="F3" i="105"/>
  <c r="E2" i="106"/>
  <c r="J3" i="105"/>
  <c r="I2" i="106"/>
  <c r="G3" i="105"/>
  <c r="F2" i="106"/>
  <c r="BX3" i="94"/>
  <c r="BT3" i="94"/>
  <c r="BU3" i="94"/>
  <c r="BW3" i="94"/>
  <c r="BV3" i="94"/>
  <c r="K3" i="105"/>
  <c r="AW4" i="86"/>
  <c r="AI4" i="86"/>
  <c r="AI18" i="86"/>
  <c r="W4" i="32" l="1"/>
  <c r="S4" i="32"/>
  <c r="R4" i="32"/>
  <c r="E2" i="83" s="1"/>
  <c r="N4" i="32"/>
  <c r="L4" i="32"/>
  <c r="K4" i="32"/>
  <c r="F2" i="83" l="1"/>
  <c r="M12" i="102" l="1"/>
  <c r="N12" i="102" l="1"/>
  <c r="O12" i="102" s="1"/>
  <c r="J1" i="96" l="1"/>
  <c r="K1" i="96"/>
  <c r="AI21" i="86"/>
  <c r="AD27" i="96" l="1"/>
  <c r="AD15" i="96"/>
  <c r="AD21" i="96"/>
  <c r="AD9" i="96"/>
  <c r="AF27" i="96"/>
  <c r="AF15" i="96"/>
  <c r="AF21" i="96"/>
  <c r="AF9" i="96"/>
  <c r="AF10" i="96"/>
  <c r="AF3" i="96"/>
  <c r="AF16" i="96"/>
  <c r="AF22" i="96"/>
  <c r="AF4" i="96"/>
  <c r="D1" i="96" l="1"/>
  <c r="E1" i="96"/>
  <c r="F1" i="96"/>
  <c r="G1" i="96"/>
  <c r="H1" i="96"/>
  <c r="I1" i="96"/>
  <c r="L1" i="96"/>
  <c r="C1" i="96"/>
  <c r="T16" i="96" l="1"/>
  <c r="T10" i="96"/>
  <c r="T22" i="96"/>
  <c r="R16" i="96"/>
  <c r="R10" i="96"/>
  <c r="R22" i="96"/>
  <c r="AB25" i="96"/>
  <c r="AB13" i="96"/>
  <c r="AB24" i="96"/>
  <c r="AB18" i="96"/>
  <c r="AB12" i="96"/>
  <c r="AB6" i="96"/>
  <c r="AB19" i="96"/>
  <c r="AB7" i="96"/>
  <c r="X25" i="96"/>
  <c r="X19" i="96"/>
  <c r="X13" i="96"/>
  <c r="X7" i="96"/>
  <c r="X24" i="96"/>
  <c r="X12" i="96"/>
  <c r="X18" i="96"/>
  <c r="X6" i="96"/>
  <c r="Z18" i="96"/>
  <c r="Z6" i="96"/>
  <c r="Z19" i="96"/>
  <c r="Z7" i="96"/>
  <c r="Z24" i="96"/>
  <c r="Z12" i="96"/>
  <c r="Z25" i="96"/>
  <c r="Z13" i="96"/>
  <c r="V23" i="96"/>
  <c r="V17" i="96"/>
  <c r="V11" i="96"/>
  <c r="V5" i="96"/>
  <c r="T3" i="96"/>
  <c r="T4" i="96"/>
  <c r="P10" i="96"/>
  <c r="P4" i="96"/>
  <c r="P22" i="96"/>
  <c r="P16" i="96"/>
  <c r="R4" i="96"/>
  <c r="R3" i="96"/>
  <c r="BB10" i="86" l="1"/>
  <c r="BD10" i="86"/>
  <c r="AX10" i="86"/>
  <c r="AY6" i="86"/>
  <c r="BC6" i="86"/>
  <c r="BD6" i="86"/>
  <c r="AS28" i="86"/>
  <c r="AT28" i="86"/>
  <c r="AK28" i="86"/>
  <c r="AL28" i="86"/>
  <c r="AJ28" i="86"/>
  <c r="AS26" i="86"/>
  <c r="AT26" i="86"/>
  <c r="AN26" i="86"/>
  <c r="AJ26" i="86"/>
  <c r="AS24" i="86"/>
  <c r="AT24" i="86"/>
  <c r="AS22" i="86"/>
  <c r="AT22" i="86"/>
  <c r="AO22" i="86"/>
  <c r="AK22" i="86"/>
  <c r="AI20" i="86"/>
  <c r="H2" i="83" l="1"/>
  <c r="M2" i="83"/>
  <c r="R5" i="32" l="1"/>
  <c r="E3" i="83" s="1"/>
  <c r="S5" i="32"/>
  <c r="F3" i="83" s="1"/>
  <c r="R6" i="32"/>
  <c r="E4" i="83" s="1"/>
  <c r="S6" i="32"/>
  <c r="F4" i="83" s="1"/>
  <c r="R7" i="32"/>
  <c r="E5" i="83" s="1"/>
  <c r="S7" i="32"/>
  <c r="F5" i="83" s="1"/>
  <c r="R8" i="32"/>
  <c r="E6" i="83" s="1"/>
  <c r="S8" i="32"/>
  <c r="F6" i="83" s="1"/>
  <c r="R9" i="32"/>
  <c r="E7" i="83" s="1"/>
  <c r="S9" i="32"/>
  <c r="F7" i="83" s="1"/>
  <c r="R23" i="32"/>
  <c r="E21" i="83" s="1"/>
  <c r="S23" i="32"/>
  <c r="F21" i="83" s="1"/>
  <c r="R24" i="32"/>
  <c r="E22" i="83" s="1"/>
  <c r="S24" i="32"/>
  <c r="F22" i="83" s="1"/>
  <c r="R10" i="32"/>
  <c r="E8" i="83" s="1"/>
  <c r="S10" i="32"/>
  <c r="F8" i="83" s="1"/>
  <c r="R11" i="32"/>
  <c r="E9" i="83" s="1"/>
  <c r="S11" i="32"/>
  <c r="F9" i="83" s="1"/>
  <c r="R25" i="32"/>
  <c r="E23" i="83" s="1"/>
  <c r="S25" i="32"/>
  <c r="F23" i="83" s="1"/>
  <c r="R12" i="32"/>
  <c r="E10" i="83" s="1"/>
  <c r="S12" i="32"/>
  <c r="F10" i="83" s="1"/>
  <c r="R26" i="32"/>
  <c r="E24" i="83" s="1"/>
  <c r="S26" i="32"/>
  <c r="F24" i="83" s="1"/>
  <c r="R27" i="32"/>
  <c r="E25" i="83" s="1"/>
  <c r="S27" i="32"/>
  <c r="F25" i="83" s="1"/>
  <c r="S2" i="32" l="1"/>
  <c r="R2" i="32"/>
  <c r="J6" i="83"/>
  <c r="J5" i="83"/>
  <c r="O5" i="83" s="1"/>
  <c r="J4" i="83"/>
  <c r="J3" i="83"/>
  <c r="K2" i="83"/>
  <c r="J2" i="83"/>
  <c r="K5" i="83"/>
  <c r="P5" i="83" s="1"/>
  <c r="K4" i="83"/>
  <c r="O4" i="83"/>
  <c r="K6" i="83"/>
  <c r="D6" i="106"/>
  <c r="J6" i="106"/>
  <c r="D5" i="106"/>
  <c r="F5" i="106"/>
  <c r="G5" i="106"/>
  <c r="J5" i="106"/>
  <c r="J4" i="106"/>
  <c r="J7" i="106"/>
  <c r="J10" i="106"/>
  <c r="J11" i="106"/>
  <c r="J9" i="106"/>
  <c r="J8" i="106"/>
  <c r="E8" i="105"/>
  <c r="G8" i="105"/>
  <c r="H8" i="105"/>
  <c r="G3" i="94"/>
  <c r="H3" i="94"/>
  <c r="B6" i="106"/>
  <c r="C6" i="106"/>
  <c r="B5" i="106"/>
  <c r="C8" i="105"/>
  <c r="O3" i="83" l="1"/>
  <c r="G12" i="106"/>
  <c r="H13" i="105"/>
  <c r="B12" i="106"/>
  <c r="C13" i="105"/>
  <c r="C12" i="106"/>
  <c r="D13" i="105"/>
  <c r="E13" i="105"/>
  <c r="D12" i="106"/>
  <c r="P3" i="83"/>
  <c r="K3" i="83"/>
  <c r="K13" i="105"/>
  <c r="J12" i="106"/>
  <c r="P4" i="83"/>
  <c r="D6" i="105"/>
  <c r="C3" i="106"/>
  <c r="F3" i="106"/>
  <c r="G6" i="105"/>
  <c r="B3" i="106"/>
  <c r="C6" i="105"/>
  <c r="D3" i="106"/>
  <c r="E6" i="105"/>
  <c r="H6" i="105"/>
  <c r="G3" i="106"/>
  <c r="D11" i="105"/>
  <c r="C10" i="106"/>
  <c r="H5" i="105"/>
  <c r="H9" i="105"/>
  <c r="G8" i="106"/>
  <c r="G11" i="106"/>
  <c r="H11" i="105"/>
  <c r="G10" i="106"/>
  <c r="H10" i="105"/>
  <c r="G7" i="106"/>
  <c r="F4" i="106"/>
  <c r="F6" i="106"/>
  <c r="C11" i="106"/>
  <c r="B4" i="106"/>
  <c r="G5" i="105"/>
  <c r="G7" i="105"/>
  <c r="F9" i="106"/>
  <c r="G11" i="105"/>
  <c r="F10" i="106"/>
  <c r="E4" i="105"/>
  <c r="C12" i="105"/>
  <c r="C5" i="105"/>
  <c r="D7" i="105"/>
  <c r="C9" i="106"/>
  <c r="C11" i="105"/>
  <c r="B10" i="106"/>
  <c r="H12" i="105"/>
  <c r="E5" i="105"/>
  <c r="E9" i="105"/>
  <c r="D8" i="106"/>
  <c r="E7" i="105"/>
  <c r="D9" i="106"/>
  <c r="D11" i="106"/>
  <c r="E11" i="105"/>
  <c r="D10" i="106"/>
  <c r="E10" i="105"/>
  <c r="D7" i="106"/>
  <c r="D12" i="105"/>
  <c r="C7" i="105"/>
  <c r="B9" i="106"/>
  <c r="E12" i="105"/>
  <c r="H7" i="105"/>
  <c r="G9" i="106"/>
  <c r="G4" i="105"/>
  <c r="C9" i="105"/>
  <c r="B8" i="106"/>
  <c r="G9" i="105"/>
  <c r="F8" i="106"/>
  <c r="F11" i="106"/>
  <c r="Q11" i="106"/>
  <c r="G10" i="105"/>
  <c r="F7" i="106"/>
  <c r="D4" i="106"/>
  <c r="D9" i="105"/>
  <c r="C8" i="106"/>
  <c r="B11" i="106"/>
  <c r="D10" i="105"/>
  <c r="C7" i="106"/>
  <c r="C4" i="105"/>
  <c r="G12" i="105"/>
  <c r="G4" i="106"/>
  <c r="H4" i="105"/>
  <c r="G6" i="106"/>
  <c r="C10" i="105"/>
  <c r="B7" i="106"/>
  <c r="R10" i="105"/>
  <c r="K4" i="105"/>
  <c r="K12" i="105"/>
  <c r="K8" i="105"/>
  <c r="K5" i="105"/>
  <c r="K9" i="105"/>
  <c r="K7" i="105"/>
  <c r="K11" i="105"/>
  <c r="K10" i="105"/>
  <c r="Q4" i="106"/>
  <c r="Q6" i="106"/>
  <c r="Q7" i="106"/>
  <c r="R8" i="105"/>
  <c r="AO3" i="94"/>
  <c r="V3" i="94"/>
  <c r="W3" i="94" s="1"/>
  <c r="CK3" i="94"/>
  <c r="BL3" i="94"/>
  <c r="BG3" i="94"/>
  <c r="CA3" i="94"/>
  <c r="CD3" i="94"/>
  <c r="BQ3" i="94"/>
  <c r="AT3" i="94"/>
  <c r="AK3" i="94"/>
  <c r="AD3" i="94"/>
  <c r="BA3" i="94"/>
  <c r="AH3" i="94"/>
  <c r="T7" i="106"/>
  <c r="Q5" i="106"/>
  <c r="AL3" i="94"/>
  <c r="U6" i="105" l="1"/>
  <c r="R3" i="106"/>
  <c r="Q3" i="106"/>
  <c r="R6" i="105"/>
  <c r="S4" i="105"/>
  <c r="R11" i="105"/>
  <c r="Q10" i="106"/>
  <c r="R4" i="105"/>
  <c r="R12" i="105"/>
  <c r="R5" i="105"/>
  <c r="R9" i="105"/>
  <c r="Q8" i="106"/>
  <c r="R7" i="105"/>
  <c r="Q9" i="106"/>
  <c r="J3" i="106" l="1"/>
  <c r="K6" i="105"/>
  <c r="I3" i="106" l="1"/>
  <c r="J6" i="105"/>
  <c r="I5" i="106"/>
  <c r="J8" i="105"/>
  <c r="I6" i="106"/>
  <c r="J9" i="105"/>
  <c r="I8" i="106"/>
  <c r="J5" i="105"/>
  <c r="J12" i="105"/>
  <c r="J4" i="105"/>
  <c r="J7" i="105"/>
  <c r="I9" i="106"/>
  <c r="I11" i="106"/>
  <c r="I4" i="106"/>
  <c r="J10" i="105"/>
  <c r="I7" i="106"/>
  <c r="J11" i="105"/>
  <c r="I10" i="106"/>
  <c r="V5" i="106"/>
  <c r="T3" i="94"/>
  <c r="V2" i="106" s="1"/>
  <c r="V8" i="106"/>
  <c r="V4" i="106"/>
  <c r="V9" i="106"/>
  <c r="V6" i="106"/>
  <c r="W6" i="105" l="1"/>
  <c r="V3" i="106"/>
  <c r="V11" i="106"/>
  <c r="V10" i="106"/>
  <c r="W11" i="105"/>
  <c r="W12" i="105"/>
  <c r="V7" i="106"/>
  <c r="W10" i="105"/>
  <c r="W9" i="105"/>
  <c r="W7" i="105"/>
  <c r="W8" i="105"/>
  <c r="W3" i="105"/>
  <c r="W5" i="105"/>
  <c r="W4" i="105"/>
  <c r="A7" i="85" l="1"/>
  <c r="I12" i="106" l="1"/>
  <c r="J13" i="105"/>
  <c r="AY25" i="86"/>
  <c r="BC25" i="86"/>
  <c r="BG25" i="86"/>
  <c r="BH25" i="86"/>
  <c r="AY28" i="86"/>
  <c r="AZ28" i="86"/>
  <c r="BG28" i="86"/>
  <c r="BH28" i="86"/>
  <c r="AX28" i="86"/>
  <c r="BB12" i="86"/>
  <c r="BG12" i="86"/>
  <c r="BH12" i="86"/>
  <c r="AX12" i="86"/>
  <c r="AK27" i="86"/>
  <c r="AL27" i="86"/>
  <c r="AS27" i="86"/>
  <c r="AT27" i="86"/>
  <c r="AJ27" i="86"/>
  <c r="BB26" i="86"/>
  <c r="BB11" i="86" s="1"/>
  <c r="BG26" i="86"/>
  <c r="BG11" i="86" s="1"/>
  <c r="BH26" i="86"/>
  <c r="BH11" i="86" s="1"/>
  <c r="AX26" i="86"/>
  <c r="AX11" i="86" s="1"/>
  <c r="AN25" i="86"/>
  <c r="AS25" i="86"/>
  <c r="AT25" i="86"/>
  <c r="AJ25" i="86"/>
  <c r="BB7" i="86"/>
  <c r="BD7" i="86"/>
  <c r="AX7" i="86"/>
  <c r="AY9" i="86"/>
  <c r="BC9" i="86"/>
  <c r="BG9" i="86"/>
  <c r="BH9" i="86"/>
  <c r="AK23" i="86"/>
  <c r="AO23" i="86"/>
  <c r="AS23" i="86"/>
  <c r="AT23" i="86"/>
  <c r="BB21" i="86"/>
  <c r="BC21" i="86"/>
  <c r="BD21" i="86"/>
  <c r="AY19" i="86"/>
  <c r="BC19" i="86"/>
  <c r="BD19" i="86"/>
  <c r="V12" i="106" l="1"/>
  <c r="V13" i="106" s="1"/>
  <c r="W13" i="105"/>
  <c r="W14" i="105" s="1"/>
  <c r="BA4" i="86"/>
  <c r="BA18" i="86" s="1"/>
  <c r="BB4" i="86"/>
  <c r="BB18" i="86" s="1"/>
  <c r="BC4" i="86"/>
  <c r="BC18" i="86" s="1"/>
  <c r="BD4" i="86"/>
  <c r="BD18" i="86" s="1"/>
  <c r="BG4" i="86"/>
  <c r="BG18" i="86" s="1"/>
  <c r="BH4" i="86"/>
  <c r="BH18" i="86" s="1"/>
  <c r="AM18" i="86"/>
  <c r="AN18" i="86"/>
  <c r="AO18" i="86"/>
  <c r="AP18" i="86"/>
  <c r="AS18" i="86"/>
  <c r="AT18" i="86"/>
  <c r="AW28" i="86"/>
  <c r="AW27" i="86"/>
  <c r="AW12" i="86" s="1"/>
  <c r="AW26" i="86"/>
  <c r="AW25" i="86"/>
  <c r="AW24" i="86"/>
  <c r="AW23" i="86"/>
  <c r="AW7" i="86" s="1"/>
  <c r="AW22" i="86"/>
  <c r="AW10" i="86" s="1"/>
  <c r="AW21" i="86"/>
  <c r="AW20" i="86"/>
  <c r="AW6" i="86" s="1"/>
  <c r="AW19" i="86"/>
  <c r="AW13" i="86"/>
  <c r="AW11" i="86"/>
  <c r="AW9" i="86"/>
  <c r="AW8" i="86"/>
  <c r="AI27" i="86"/>
  <c r="AI25" i="86"/>
  <c r="AI23" i="86"/>
  <c r="AI10" i="86"/>
  <c r="AI24" i="86" s="1"/>
  <c r="I13" i="105" l="1"/>
  <c r="H12" i="106"/>
  <c r="H6" i="106"/>
  <c r="AV3" i="94"/>
  <c r="H5" i="106"/>
  <c r="R12" i="106" l="1"/>
  <c r="T12" i="106" s="1"/>
  <c r="S13" i="105"/>
  <c r="U13" i="105" s="1"/>
  <c r="S12" i="106"/>
  <c r="T13" i="105"/>
  <c r="N2" i="83"/>
  <c r="I2" i="83"/>
  <c r="H3" i="106"/>
  <c r="I6" i="105"/>
  <c r="H7" i="106"/>
  <c r="S10" i="105"/>
  <c r="T10" i="105"/>
  <c r="H10" i="106"/>
  <c r="H4" i="106"/>
  <c r="H8" i="106"/>
  <c r="H9" i="106"/>
  <c r="I11" i="105"/>
  <c r="I7" i="105"/>
  <c r="I8" i="105"/>
  <c r="I4" i="105"/>
  <c r="I12" i="105"/>
  <c r="I10" i="105"/>
  <c r="I9" i="105"/>
  <c r="T8" i="105"/>
  <c r="BS3" i="94"/>
  <c r="BM3" i="94"/>
  <c r="BN3" i="94"/>
  <c r="BC3" i="94"/>
  <c r="AU3" i="94"/>
  <c r="AW3" i="94" s="1"/>
  <c r="CC3" i="94"/>
  <c r="BI3" i="94"/>
  <c r="CI3" i="94"/>
  <c r="BB3" i="94"/>
  <c r="BD3" i="94" s="1"/>
  <c r="BR3" i="94"/>
  <c r="CE3" i="94"/>
  <c r="CG3" i="94" s="1"/>
  <c r="CH3" i="94"/>
  <c r="CJ3" i="94" s="1"/>
  <c r="BH3" i="94"/>
  <c r="CF3" i="94"/>
  <c r="CB3" i="94"/>
  <c r="F13" i="105" l="1"/>
  <c r="E12" i="106"/>
  <c r="P2" i="83"/>
  <c r="O2" i="83"/>
  <c r="F6" i="105"/>
  <c r="E3" i="106"/>
  <c r="E4" i="106"/>
  <c r="T7" i="105"/>
  <c r="S9" i="106"/>
  <c r="F7" i="105"/>
  <c r="E9" i="106"/>
  <c r="T9" i="105"/>
  <c r="S8" i="106"/>
  <c r="S7" i="105"/>
  <c r="T9" i="106"/>
  <c r="T11" i="105"/>
  <c r="S10" i="106"/>
  <c r="F11" i="105"/>
  <c r="E10" i="106"/>
  <c r="F5" i="105"/>
  <c r="U11" i="105"/>
  <c r="R10" i="106"/>
  <c r="U9" i="105"/>
  <c r="R8" i="106"/>
  <c r="F9" i="105"/>
  <c r="E8" i="106"/>
  <c r="E6" i="106"/>
  <c r="E11" i="106"/>
  <c r="P11" i="106"/>
  <c r="O11" i="106"/>
  <c r="F8" i="105"/>
  <c r="F12" i="105"/>
  <c r="T12" i="105"/>
  <c r="S12" i="105"/>
  <c r="U12" i="105" s="1"/>
  <c r="S8" i="105"/>
  <c r="U8" i="105" s="1"/>
  <c r="R3" i="94"/>
  <c r="Y3" i="94"/>
  <c r="BO3" i="94"/>
  <c r="AM3" i="94"/>
  <c r="AY3" i="94"/>
  <c r="AJ3" i="94"/>
  <c r="AX3" i="94"/>
  <c r="AZ3" i="94" s="1"/>
  <c r="BK3" i="94"/>
  <c r="AA3" i="94"/>
  <c r="AC3" i="94" s="1"/>
  <c r="BJ3" i="94"/>
  <c r="AR3" i="94"/>
  <c r="BZ3" i="94"/>
  <c r="BY3" i="94"/>
  <c r="AE3" i="94"/>
  <c r="AG3" i="94" s="1"/>
  <c r="AB3" i="94"/>
  <c r="X3" i="94"/>
  <c r="N2" i="106" s="1"/>
  <c r="BE3" i="94"/>
  <c r="BP3" i="94"/>
  <c r="AI3" i="94"/>
  <c r="U3" i="94"/>
  <c r="W2" i="106" s="1"/>
  <c r="BF3" i="94"/>
  <c r="AN3" i="94"/>
  <c r="AQ3" i="94"/>
  <c r="AS3" i="94" s="1"/>
  <c r="W6" i="106"/>
  <c r="O6" i="106"/>
  <c r="P6" i="106"/>
  <c r="U6" i="106"/>
  <c r="E5" i="106"/>
  <c r="W4" i="106"/>
  <c r="O4" i="106"/>
  <c r="N4" i="106"/>
  <c r="U4" i="106"/>
  <c r="P8" i="105"/>
  <c r="W9" i="106"/>
  <c r="W8" i="106"/>
  <c r="W12" i="106" l="1"/>
  <c r="X13" i="105"/>
  <c r="X6" i="105"/>
  <c r="W3" i="106"/>
  <c r="Q6" i="105"/>
  <c r="N3" i="106"/>
  <c r="O3" i="106"/>
  <c r="P6" i="105"/>
  <c r="U3" i="106"/>
  <c r="V6" i="105"/>
  <c r="Q11" i="105"/>
  <c r="N10" i="106"/>
  <c r="P7" i="105"/>
  <c r="O9" i="106"/>
  <c r="P5" i="105"/>
  <c r="F4" i="105"/>
  <c r="O7" i="105"/>
  <c r="P9" i="106"/>
  <c r="P9" i="105"/>
  <c r="O8" i="106"/>
  <c r="W11" i="106"/>
  <c r="W10" i="106"/>
  <c r="X11" i="105"/>
  <c r="P11" i="105"/>
  <c r="O10" i="106"/>
  <c r="Q9" i="105"/>
  <c r="N8" i="106"/>
  <c r="F10" i="105"/>
  <c r="E7" i="106"/>
  <c r="O10" i="105"/>
  <c r="P10" i="105"/>
  <c r="X12" i="105"/>
  <c r="P3" i="105"/>
  <c r="O2" i="106"/>
  <c r="X9" i="105"/>
  <c r="O8" i="105"/>
  <c r="Q8" i="105" s="1"/>
  <c r="X5" i="105"/>
  <c r="X8" i="105"/>
  <c r="R4" i="106"/>
  <c r="R13" i="106" s="1"/>
  <c r="R14" i="106" s="1"/>
  <c r="X3" i="105"/>
  <c r="AP3" i="94"/>
  <c r="X7" i="105"/>
  <c r="O5" i="105"/>
  <c r="Q5" i="105" s="1"/>
  <c r="T6" i="106"/>
  <c r="Z3" i="94"/>
  <c r="O3" i="105"/>
  <c r="O7" i="106"/>
  <c r="P7" i="106"/>
  <c r="U7" i="106"/>
  <c r="O5" i="106"/>
  <c r="W5" i="106"/>
  <c r="U5" i="106"/>
  <c r="N5" i="106" l="1"/>
  <c r="P5" i="106" s="1"/>
  <c r="Q3" i="105"/>
  <c r="Q14" i="105" s="1"/>
  <c r="Q15" i="105" s="1"/>
  <c r="P2" i="106"/>
  <c r="P4" i="105"/>
  <c r="P14" i="105" s="1"/>
  <c r="P15" i="105" s="1"/>
  <c r="P17" i="105" s="1"/>
  <c r="O13" i="106"/>
  <c r="O14" i="106" s="1"/>
  <c r="R15" i="106"/>
  <c r="R16" i="106"/>
  <c r="W7" i="106"/>
  <c r="W13" i="106" s="1"/>
  <c r="X10" i="105"/>
  <c r="O4" i="105"/>
  <c r="O14" i="105" s="1"/>
  <c r="O15" i="105" s="1"/>
  <c r="X4" i="105"/>
  <c r="V4" i="105"/>
  <c r="X14" i="105" l="1"/>
  <c r="P16" i="105"/>
  <c r="O16" i="106"/>
  <c r="O15" i="106"/>
  <c r="P13" i="106"/>
  <c r="P14" i="106" s="1"/>
  <c r="N13" i="106"/>
  <c r="N14" i="106" s="1"/>
  <c r="O17" i="105"/>
  <c r="O16" i="105"/>
  <c r="Q16" i="105"/>
  <c r="Q17" i="105"/>
  <c r="G13" i="105" l="1"/>
  <c r="F12" i="106"/>
  <c r="N16" i="106"/>
  <c r="N15" i="106"/>
  <c r="P15" i="106"/>
  <c r="P16" i="106"/>
  <c r="H11" i="106"/>
  <c r="S11" i="106"/>
  <c r="S13" i="106" s="1"/>
  <c r="S14" i="106" s="1"/>
  <c r="T11" i="106"/>
  <c r="T13" i="106" s="1"/>
  <c r="T14" i="106" s="1"/>
  <c r="I5" i="105"/>
  <c r="T14" i="105"/>
  <c r="T15" i="105" s="1"/>
  <c r="U13" i="106"/>
  <c r="Q12" i="106" l="1"/>
  <c r="Q13" i="106" s="1"/>
  <c r="Q14" i="106" s="1"/>
  <c r="Q15" i="106" s="1"/>
  <c r="Q16" i="106" s="1"/>
  <c r="R13" i="105"/>
  <c r="R14" i="105" s="1"/>
  <c r="R15" i="105" s="1"/>
  <c r="R16" i="105" s="1"/>
  <c r="R17" i="105" s="1"/>
  <c r="O7" i="83"/>
  <c r="J7" i="83"/>
  <c r="T15" i="106"/>
  <c r="T16" i="106"/>
  <c r="T17" i="105"/>
  <c r="T16" i="105"/>
  <c r="S15" i="106"/>
  <c r="S16" i="106"/>
  <c r="V5" i="105"/>
  <c r="V14" i="105" s="1"/>
  <c r="U14" i="105" l="1"/>
  <c r="U15" i="105" s="1"/>
  <c r="S14" i="105"/>
  <c r="S15" i="105" s="1"/>
  <c r="K7" i="83"/>
  <c r="P7" i="83"/>
  <c r="S17" i="105" l="1"/>
  <c r="S16" i="105"/>
  <c r="U16" i="105"/>
  <c r="U17" i="105"/>
  <c r="T14" i="49" l="1"/>
  <c r="H3" i="76" l="1"/>
  <c r="S3" i="76" s="1"/>
  <c r="Q18" i="76" l="1"/>
  <c r="Z3" i="76"/>
  <c r="V4" i="85" l="1"/>
  <c r="N5" i="32"/>
  <c r="N6" i="32"/>
  <c r="N7" i="32"/>
  <c r="N8" i="32"/>
  <c r="N9" i="32"/>
  <c r="N23" i="32"/>
  <c r="N24" i="32"/>
  <c r="N10" i="32"/>
  <c r="N11" i="32"/>
  <c r="N25" i="32"/>
  <c r="N12" i="32"/>
  <c r="N26" i="32"/>
  <c r="N27" i="32"/>
  <c r="T5" i="49" l="1"/>
  <c r="T18" i="49"/>
  <c r="BO6" i="86" l="1"/>
  <c r="BN6" i="86"/>
  <c r="BO5" i="86"/>
  <c r="BN5" i="86"/>
  <c r="BO4" i="86"/>
  <c r="BN4" i="86"/>
  <c r="BO3" i="86"/>
  <c r="BN3" i="86"/>
  <c r="BO2" i="86"/>
  <c r="BN2" i="86"/>
  <c r="AI14" i="86" l="1"/>
  <c r="AI28" i="86" s="1"/>
  <c r="AI13" i="86"/>
  <c r="AI12" i="86"/>
  <c r="AI26" i="86" s="1"/>
  <c r="AI11" i="86"/>
  <c r="AI9" i="86"/>
  <c r="AI8" i="86"/>
  <c r="AI22" i="86" s="1"/>
  <c r="P4" i="86"/>
  <c r="P5" i="86"/>
  <c r="C2" i="86"/>
  <c r="AS7" i="86" l="1"/>
  <c r="BG23" i="86"/>
  <c r="AS6" i="86"/>
  <c r="BG21" i="86" s="1"/>
  <c r="BG6" i="86"/>
  <c r="AS20" i="86"/>
  <c r="BG20" i="86"/>
  <c r="Z5" i="86"/>
  <c r="AD5" i="86"/>
  <c r="Z4" i="86"/>
  <c r="AD4" i="86"/>
  <c r="AM6" i="86"/>
  <c r="AA5" i="86"/>
  <c r="AE5" i="86"/>
  <c r="AM7" i="86"/>
  <c r="AA4" i="86"/>
  <c r="AE4" i="86"/>
  <c r="AB5" i="86"/>
  <c r="AF5" i="86"/>
  <c r="AB4" i="86"/>
  <c r="AF4" i="86"/>
  <c r="BA23" i="86"/>
  <c r="BA27" i="86"/>
  <c r="AC5" i="86"/>
  <c r="AC4" i="86"/>
  <c r="BC23" i="86"/>
  <c r="BG22" i="86"/>
  <c r="BG10" i="86" s="1"/>
  <c r="R4" i="86"/>
  <c r="R2" i="85"/>
  <c r="Q4" i="85"/>
  <c r="T4" i="85" s="1"/>
  <c r="U4" i="85" s="1"/>
  <c r="A9" i="85"/>
  <c r="A10" i="85" s="1"/>
  <c r="Q2" i="85"/>
  <c r="J4" i="85"/>
  <c r="I4" i="85"/>
  <c r="J2" i="85"/>
  <c r="I2" i="85"/>
  <c r="AQ6" i="86" l="1"/>
  <c r="BE21" i="86" s="1"/>
  <c r="AQ7" i="86"/>
  <c r="BE22" i="86" s="1"/>
  <c r="AN5" i="86"/>
  <c r="AN19" i="86"/>
  <c r="BB5" i="86" s="1"/>
  <c r="BD27" i="86"/>
  <c r="AM5" i="86"/>
  <c r="AM19" i="86"/>
  <c r="BA5" i="86" s="1"/>
  <c r="AK7" i="86"/>
  <c r="AT7" i="86"/>
  <c r="BH22" i="86" s="1"/>
  <c r="BH10" i="86" s="1"/>
  <c r="AR7" i="86"/>
  <c r="AL7" i="86"/>
  <c r="AY27" i="86"/>
  <c r="AZ27" i="86"/>
  <c r="AT19" i="86"/>
  <c r="BH5" i="86" s="1"/>
  <c r="AL19" i="86"/>
  <c r="AZ5" i="86" s="1"/>
  <c r="AJ19" i="86"/>
  <c r="AX5" i="86" s="1"/>
  <c r="AT6" i="86"/>
  <c r="BH21" i="86" s="1"/>
  <c r="AL6" i="86"/>
  <c r="AZ21" i="86" s="1"/>
  <c r="AR6" i="86"/>
  <c r="BF21" i="86" s="1"/>
  <c r="AJ6" i="86"/>
  <c r="AQ5" i="86"/>
  <c r="AQ19" i="86" s="1"/>
  <c r="BE5" i="86" s="1"/>
  <c r="AT5" i="86"/>
  <c r="AT21" i="86" s="1"/>
  <c r="AJ5" i="86"/>
  <c r="AR5" i="86"/>
  <c r="AR19" i="86" s="1"/>
  <c r="BF5" i="86" s="1"/>
  <c r="AL5" i="86"/>
  <c r="BH6" i="86"/>
  <c r="AJ4" i="86"/>
  <c r="AJ9" i="86"/>
  <c r="AX25" i="86" s="1"/>
  <c r="AM21" i="86"/>
  <c r="BA7" i="86" s="1"/>
  <c r="AL21" i="86"/>
  <c r="AK21" i="86"/>
  <c r="AR4" i="86"/>
  <c r="BF4" i="86" s="1"/>
  <c r="BF18" i="86" s="1"/>
  <c r="AL4" i="86"/>
  <c r="W18" i="76"/>
  <c r="BF6" i="86"/>
  <c r="BF20" i="86" s="1"/>
  <c r="AR12" i="86"/>
  <c r="BF24" i="86" s="1"/>
  <c r="BF8" i="86" s="1"/>
  <c r="AR11" i="86"/>
  <c r="AQ10" i="86"/>
  <c r="AQ24" i="86" s="1"/>
  <c r="AQ8" i="86"/>
  <c r="BE23" i="86" s="1"/>
  <c r="BE7" i="86" s="1"/>
  <c r="BE6" i="86"/>
  <c r="BE20" i="86" s="1"/>
  <c r="AQ14" i="86"/>
  <c r="BE27" i="86" s="1"/>
  <c r="AR10" i="86"/>
  <c r="AR20" i="86"/>
  <c r="BF14" i="86" s="1"/>
  <c r="AR14" i="86"/>
  <c r="BF27" i="86" s="1"/>
  <c r="AR9" i="86"/>
  <c r="AQ11" i="86"/>
  <c r="AQ12" i="86"/>
  <c r="BE24" i="86" s="1"/>
  <c r="BE8" i="86" s="1"/>
  <c r="AQ9" i="86"/>
  <c r="AQ13" i="86"/>
  <c r="BE13" i="86" s="1"/>
  <c r="AQ20" i="86"/>
  <c r="BE14" i="86" s="1"/>
  <c r="AT20" i="86"/>
  <c r="BA14" i="86"/>
  <c r="AM20" i="86"/>
  <c r="BD14" i="86"/>
  <c r="AP20" i="86"/>
  <c r="T2" i="85"/>
  <c r="U2" i="85" s="1"/>
  <c r="AP14" i="86"/>
  <c r="AP28" i="86" s="1"/>
  <c r="BC22" i="86"/>
  <c r="BB20" i="86"/>
  <c r="BB6" i="86" s="1"/>
  <c r="BA22" i="86"/>
  <c r="BA10" i="86" s="1"/>
  <c r="BA21" i="86"/>
  <c r="BA13" i="86"/>
  <c r="AM13" i="86"/>
  <c r="BA20" i="86"/>
  <c r="BA6" i="86" s="1"/>
  <c r="AM10" i="86"/>
  <c r="AM24" i="86" s="1"/>
  <c r="AM14" i="86"/>
  <c r="AM28" i="86" s="1"/>
  <c r="AK12" i="86"/>
  <c r="AZ20" i="86"/>
  <c r="AZ6" i="86" s="1"/>
  <c r="BH20" i="86"/>
  <c r="AX20" i="86"/>
  <c r="AX6" i="86" s="1"/>
  <c r="AZ22" i="86"/>
  <c r="AZ10" i="86" s="1"/>
  <c r="AY22" i="86"/>
  <c r="AY10" i="86" s="1"/>
  <c r="AL10" i="86"/>
  <c r="AL24" i="86" s="1"/>
  <c r="AJ10" i="86"/>
  <c r="AJ24" i="86" s="1"/>
  <c r="AM8" i="86"/>
  <c r="AM22" i="86" s="1"/>
  <c r="AL9" i="86"/>
  <c r="AZ25" i="86" s="1"/>
  <c r="AL11" i="86"/>
  <c r="AK11" i="86"/>
  <c r="AM12" i="86"/>
  <c r="AM11" i="86"/>
  <c r="AM9" i="86"/>
  <c r="BA25" i="86" s="1"/>
  <c r="AL12" i="86"/>
  <c r="AP12" i="86"/>
  <c r="R4" i="85"/>
  <c r="AQ21" i="86" l="1"/>
  <c r="AP26" i="86"/>
  <c r="BD12" i="86" s="1"/>
  <c r="BD24" i="86"/>
  <c r="BD8" i="86" s="1"/>
  <c r="AM26" i="86"/>
  <c r="BA12" i="86" s="1"/>
  <c r="BA24" i="86"/>
  <c r="BA8" i="86" s="1"/>
  <c r="BH23" i="86"/>
  <c r="BH7" i="86" s="1"/>
  <c r="AZ23" i="86"/>
  <c r="AZ7" i="86" s="1"/>
  <c r="AY23" i="86"/>
  <c r="AY7" i="86" s="1"/>
  <c r="AL26" i="86"/>
  <c r="AZ12" i="86" s="1"/>
  <c r="AZ24" i="86"/>
  <c r="AZ8" i="86" s="1"/>
  <c r="AK26" i="86"/>
  <c r="AY12" i="86" s="1"/>
  <c r="AX24" i="86"/>
  <c r="AX8" i="86" s="1"/>
  <c r="AX9" i="86"/>
  <c r="AJ23" i="86"/>
  <c r="AR8" i="86"/>
  <c r="BF23" i="86" s="1"/>
  <c r="BF7" i="86" s="1"/>
  <c r="AR26" i="86"/>
  <c r="AR18" i="86"/>
  <c r="BE10" i="86"/>
  <c r="AQ22" i="86"/>
  <c r="AQ28" i="86"/>
  <c r="BE28" i="86"/>
  <c r="BF22" i="86"/>
  <c r="BF12" i="86"/>
  <c r="AR28" i="86"/>
  <c r="AS21" i="86"/>
  <c r="BG7" i="86" s="1"/>
  <c r="BF10" i="86"/>
  <c r="AQ27" i="86"/>
  <c r="AQ23" i="86"/>
  <c r="BE9" i="86"/>
  <c r="BE25" i="86"/>
  <c r="AQ26" i="86"/>
  <c r="BE12" i="86" s="1"/>
  <c r="AR21" i="86"/>
  <c r="BE26" i="86"/>
  <c r="BE11" i="86" s="1"/>
  <c r="AQ25" i="86"/>
  <c r="BE19" i="86"/>
  <c r="AQ18" i="86"/>
  <c r="AQ2" i="86"/>
  <c r="BE4" i="86"/>
  <c r="BC10" i="86"/>
  <c r="AM2" i="86"/>
  <c r="AS2" i="86"/>
  <c r="BG19" i="86"/>
  <c r="AN10" i="86"/>
  <c r="AN24" i="86" s="1"/>
  <c r="AR24" i="86"/>
  <c r="AP10" i="86"/>
  <c r="AP24" i="86" s="1"/>
  <c r="AP8" i="86"/>
  <c r="BD13" i="86"/>
  <c r="AP13" i="86"/>
  <c r="BF19" i="86"/>
  <c r="BA9" i="86"/>
  <c r="AM23" i="86"/>
  <c r="BA19" i="86"/>
  <c r="AM25" i="86"/>
  <c r="BA26" i="86"/>
  <c r="BA11" i="86" s="1"/>
  <c r="AM27" i="86"/>
  <c r="BA28" i="86"/>
  <c r="AL25" i="86"/>
  <c r="AZ26" i="86"/>
  <c r="AZ11" i="86" s="1"/>
  <c r="AZ19" i="86"/>
  <c r="AY26" i="86"/>
  <c r="AY11" i="86" s="1"/>
  <c r="AK25" i="86"/>
  <c r="AX4" i="86"/>
  <c r="AJ18" i="86"/>
  <c r="AL23" i="86"/>
  <c r="AZ9" i="86"/>
  <c r="BH19" i="86"/>
  <c r="AX19" i="86"/>
  <c r="AL8" i="86"/>
  <c r="AL22" i="86" s="1"/>
  <c r="AJ8" i="86"/>
  <c r="AJ22" i="86" s="1"/>
  <c r="AL18" i="86"/>
  <c r="AZ4" i="86"/>
  <c r="AK6" i="86"/>
  <c r="AY21" i="86" s="1"/>
  <c r="AX21" i="86"/>
  <c r="AN8" i="86"/>
  <c r="AN22" i="86" s="1"/>
  <c r="AK10" i="86"/>
  <c r="AK24" i="86" s="1"/>
  <c r="AN9" i="86"/>
  <c r="BB25" i="86" s="1"/>
  <c r="AP9" i="86"/>
  <c r="BD25" i="86" s="1"/>
  <c r="AP11" i="86"/>
  <c r="BF25" i="86"/>
  <c r="AK4" i="86"/>
  <c r="AT2" i="86"/>
  <c r="AR22" i="86" l="1"/>
  <c r="BG16" i="86"/>
  <c r="BG2" i="86"/>
  <c r="AQ16" i="86"/>
  <c r="BE18" i="86"/>
  <c r="BE16" i="86" s="1"/>
  <c r="BE2" i="86"/>
  <c r="BA2" i="86"/>
  <c r="AJ2" i="86"/>
  <c r="AL16" i="86"/>
  <c r="BH2" i="86"/>
  <c r="AX2" i="86"/>
  <c r="AJ16" i="86"/>
  <c r="AM16" i="86"/>
  <c r="AP2" i="86"/>
  <c r="AP22" i="86"/>
  <c r="AK2" i="86"/>
  <c r="AZ2" i="86"/>
  <c r="AL2" i="86"/>
  <c r="BA16" i="86"/>
  <c r="AO10" i="86"/>
  <c r="BF9" i="86"/>
  <c r="AR23" i="86"/>
  <c r="BD26" i="86"/>
  <c r="BD11" i="86" s="1"/>
  <c r="AP25" i="86"/>
  <c r="AR25" i="86"/>
  <c r="BF26" i="86"/>
  <c r="BF11" i="86" s="1"/>
  <c r="BD9" i="86"/>
  <c r="AP23" i="86"/>
  <c r="BD28" i="86"/>
  <c r="AP27" i="86"/>
  <c r="BB9" i="86"/>
  <c r="AN23" i="86"/>
  <c r="AK18" i="86"/>
  <c r="AK16" i="86" s="1"/>
  <c r="AY4" i="86"/>
  <c r="AY2" i="86" s="1"/>
  <c r="AX18" i="86"/>
  <c r="AX16" i="86" s="1"/>
  <c r="AZ18" i="86"/>
  <c r="BH16" i="86"/>
  <c r="BD2" i="86" l="1"/>
  <c r="AP16" i="86"/>
  <c r="BD16" i="86"/>
  <c r="AZ16" i="86"/>
  <c r="AO24" i="86"/>
  <c r="AO7" i="86"/>
  <c r="BC27" i="86"/>
  <c r="BC14" i="86"/>
  <c r="AY18" i="86"/>
  <c r="AY16" i="86" s="1"/>
  <c r="AO11" i="86" l="1"/>
  <c r="AO25" i="86" s="1"/>
  <c r="BB13" i="86"/>
  <c r="AO21" i="86"/>
  <c r="BC7" i="86" s="1"/>
  <c r="AN20" i="86"/>
  <c r="AN13" i="86"/>
  <c r="AN27" i="86" s="1"/>
  <c r="AO12" i="86"/>
  <c r="BB24" i="86" s="1"/>
  <c r="BB8" i="86" s="1"/>
  <c r="AN14" i="86"/>
  <c r="AN28" i="86" s="1"/>
  <c r="BC26" i="86" l="1"/>
  <c r="BC11" i="86" s="1"/>
  <c r="BB19" i="86"/>
  <c r="AN2" i="86"/>
  <c r="AO26" i="86"/>
  <c r="BC12" i="86" s="1"/>
  <c r="AO20" i="86"/>
  <c r="AN16" i="86"/>
  <c r="AO13" i="86"/>
  <c r="BC28" i="86" s="1"/>
  <c r="BB28" i="86"/>
  <c r="AO14" i="86"/>
  <c r="AO28" i="86" s="1"/>
  <c r="BB2" i="86"/>
  <c r="BC16" i="86" l="1"/>
  <c r="BC2" i="86"/>
  <c r="BB16" i="86"/>
  <c r="AO2" i="86"/>
  <c r="AO27" i="86"/>
  <c r="AO16" i="86" s="1"/>
  <c r="I1" i="83" l="1"/>
  <c r="N1" i="83" s="1"/>
  <c r="X18" i="76" l="1"/>
  <c r="W14" i="76"/>
  <c r="X14" i="76" l="1"/>
  <c r="T10" i="49"/>
  <c r="T7" i="49" l="1"/>
  <c r="T11" i="49"/>
  <c r="T23" i="49"/>
  <c r="T13" i="49"/>
  <c r="T12" i="49"/>
  <c r="T15" i="49"/>
  <c r="T4" i="49"/>
  <c r="T9" i="49"/>
  <c r="T6" i="49"/>
  <c r="T3" i="49"/>
  <c r="W27" i="32"/>
  <c r="K27" i="32"/>
  <c r="L27" i="32"/>
  <c r="E3" i="76"/>
  <c r="P3" i="76" s="1"/>
  <c r="W3" i="76" s="1"/>
  <c r="W24" i="32"/>
  <c r="L24" i="32"/>
  <c r="K24" i="32"/>
  <c r="I3" i="76" l="1"/>
  <c r="F3" i="76"/>
  <c r="Q3" i="76" s="1"/>
  <c r="X3" i="76" s="1"/>
  <c r="W16" i="76" l="1"/>
  <c r="W17" i="76" s="1"/>
  <c r="W19" i="76"/>
  <c r="W20" i="76" s="1"/>
  <c r="Q19" i="76"/>
  <c r="Q20" i="76" s="1"/>
  <c r="J3" i="76"/>
  <c r="P19" i="76"/>
  <c r="P20" i="76" s="1"/>
  <c r="P16" i="76"/>
  <c r="P17" i="76" s="1"/>
  <c r="P14" i="76"/>
  <c r="W21" i="76" l="1"/>
  <c r="X16" i="76"/>
  <c r="X17" i="76" s="1"/>
  <c r="X19" i="76"/>
  <c r="X20" i="76" s="1"/>
  <c r="Q14" i="76"/>
  <c r="P21" i="76"/>
  <c r="Q16" i="76"/>
  <c r="Q17" i="76" l="1"/>
  <c r="Q21" i="76" s="1"/>
  <c r="X21" i="76"/>
  <c r="W6" i="32" l="1"/>
  <c r="W9" i="32"/>
  <c r="W11" i="32"/>
  <c r="W25" i="32"/>
  <c r="W10" i="32"/>
  <c r="W12" i="32"/>
  <c r="W23" i="32"/>
  <c r="W26" i="32"/>
  <c r="W7" i="32"/>
  <c r="W8" i="32"/>
  <c r="W5" i="32"/>
  <c r="K10" i="32" l="1"/>
  <c r="L10" i="32"/>
  <c r="K7" i="32"/>
  <c r="L7" i="32"/>
  <c r="K9" i="32"/>
  <c r="L9" i="32"/>
  <c r="K6" i="32"/>
  <c r="L6" i="32"/>
  <c r="K11" i="32"/>
  <c r="L11" i="32"/>
  <c r="K25" i="32"/>
  <c r="L25" i="32"/>
  <c r="K12" i="32"/>
  <c r="L12" i="32"/>
  <c r="K8" i="32"/>
  <c r="L8" i="32"/>
  <c r="K23" i="32"/>
  <c r="L23" i="32"/>
  <c r="K26" i="32"/>
  <c r="L26" i="32"/>
  <c r="L5" i="32"/>
  <c r="K5" i="32"/>
  <c r="D1" i="32" l="1"/>
  <c r="F4" i="32" l="1"/>
  <c r="F12" i="32"/>
  <c r="F27" i="32"/>
  <c r="F20" i="32"/>
  <c r="E20" i="86" s="1"/>
  <c r="F14" i="32"/>
  <c r="F19" i="32"/>
  <c r="E19" i="86" s="1"/>
  <c r="F15" i="32"/>
  <c r="F17" i="32"/>
  <c r="F5" i="32"/>
  <c r="F16" i="32"/>
  <c r="F6" i="32"/>
  <c r="F18" i="32"/>
  <c r="F22" i="32"/>
  <c r="E22" i="86" s="1"/>
  <c r="F21" i="32"/>
  <c r="E21" i="86" s="1"/>
  <c r="F13" i="32"/>
  <c r="F10" i="32"/>
  <c r="F26" i="32"/>
  <c r="E26" i="86" s="1"/>
  <c r="F25" i="32"/>
  <c r="E25" i="86" s="1"/>
  <c r="F24" i="32"/>
  <c r="E24" i="86" s="1"/>
  <c r="F23" i="32"/>
  <c r="E23" i="86" s="1"/>
  <c r="F8" i="32"/>
  <c r="F9" i="32"/>
  <c r="F11" i="32"/>
  <c r="F7" i="32"/>
  <c r="D15" i="111"/>
  <c r="E17" i="86" l="1"/>
  <c r="Q17" i="86" s="1"/>
  <c r="E16" i="86"/>
  <c r="Q16" i="86" s="1"/>
  <c r="E15" i="86"/>
  <c r="Q15" i="86" s="1"/>
  <c r="E18" i="86"/>
  <c r="Q18" i="86" s="1"/>
  <c r="E14" i="86"/>
  <c r="Q14" i="86" s="1"/>
  <c r="E13" i="86"/>
  <c r="Q13" i="86" s="1"/>
  <c r="C6" i="113"/>
  <c r="E7" i="86"/>
  <c r="C11" i="113"/>
  <c r="E12" i="86"/>
  <c r="C8" i="113"/>
  <c r="E9" i="86"/>
  <c r="C7" i="113"/>
  <c r="E8" i="86"/>
  <c r="Q26" i="86"/>
  <c r="Q23" i="86"/>
  <c r="Q20" i="86"/>
  <c r="C10" i="113"/>
  <c r="E11" i="86"/>
  <c r="C26" i="113"/>
  <c r="E27" i="86"/>
  <c r="Q24" i="86"/>
  <c r="Q22" i="86"/>
  <c r="Q19" i="86"/>
  <c r="C5" i="113"/>
  <c r="E6" i="86"/>
  <c r="C9" i="113"/>
  <c r="E10" i="86"/>
  <c r="Q21" i="86"/>
  <c r="Q25" i="86"/>
  <c r="C25" i="94"/>
  <c r="C25" i="113"/>
  <c r="C16" i="94"/>
  <c r="C16" i="113"/>
  <c r="C22" i="94"/>
  <c r="C22" i="113"/>
  <c r="C15" i="94"/>
  <c r="C15" i="113"/>
  <c r="C20" i="94"/>
  <c r="C20" i="113"/>
  <c r="C4" i="94"/>
  <c r="C4" i="113"/>
  <c r="C12" i="94"/>
  <c r="C12" i="113"/>
  <c r="C14" i="94"/>
  <c r="C14" i="113"/>
  <c r="C23" i="94"/>
  <c r="C23" i="113"/>
  <c r="C19" i="94"/>
  <c r="C19" i="113"/>
  <c r="C24" i="94"/>
  <c r="C24" i="113"/>
  <c r="C21" i="94"/>
  <c r="C21" i="113"/>
  <c r="C18" i="94"/>
  <c r="C18" i="113"/>
  <c r="C17" i="94"/>
  <c r="C17" i="113"/>
  <c r="C13" i="94"/>
  <c r="C13" i="113"/>
  <c r="C9" i="94"/>
  <c r="C11" i="94"/>
  <c r="C8" i="94"/>
  <c r="C10" i="94"/>
  <c r="C7" i="94"/>
  <c r="C26" i="94"/>
  <c r="C5" i="94"/>
  <c r="C6" i="94"/>
  <c r="E5" i="86"/>
  <c r="C13" i="32"/>
  <c r="C5" i="32"/>
  <c r="C19" i="32"/>
  <c r="C17" i="32"/>
  <c r="C21" i="32"/>
  <c r="C15" i="32"/>
  <c r="D12" i="111"/>
  <c r="C16" i="32"/>
  <c r="C20" i="32"/>
  <c r="C22" i="32"/>
  <c r="C18" i="32"/>
  <c r="C14" i="32"/>
  <c r="D7" i="107"/>
  <c r="D9" i="108"/>
  <c r="D7" i="110"/>
  <c r="D6" i="110"/>
  <c r="D11" i="111"/>
  <c r="D19" i="110"/>
  <c r="D5" i="111"/>
  <c r="D23" i="110"/>
  <c r="D23" i="111"/>
  <c r="D18" i="110"/>
  <c r="D19" i="111"/>
  <c r="D12" i="110"/>
  <c r="D13" i="111"/>
  <c r="D11" i="110"/>
  <c r="D8" i="111"/>
  <c r="D17" i="110"/>
  <c r="D7" i="111"/>
  <c r="D13" i="110"/>
  <c r="D17" i="111"/>
  <c r="D8" i="110"/>
  <c r="D10" i="111"/>
  <c r="D5" i="110"/>
  <c r="D14" i="111"/>
  <c r="D21" i="110"/>
  <c r="D21" i="111"/>
  <c r="D16" i="110"/>
  <c r="D4" i="111"/>
  <c r="D20" i="110"/>
  <c r="D20" i="111"/>
  <c r="D22" i="110"/>
  <c r="D22" i="111"/>
  <c r="D4" i="110"/>
  <c r="D16" i="111"/>
  <c r="D10" i="110"/>
  <c r="D6" i="111"/>
  <c r="D9" i="110"/>
  <c r="D9" i="111"/>
  <c r="D14" i="110"/>
  <c r="D18" i="111"/>
  <c r="D17" i="107"/>
  <c r="D15" i="110"/>
  <c r="D18" i="107"/>
  <c r="D11" i="107"/>
  <c r="D12" i="107"/>
  <c r="D13" i="107"/>
  <c r="D15" i="107"/>
  <c r="D14" i="107"/>
  <c r="D9" i="107"/>
  <c r="D5" i="107"/>
  <c r="D21" i="107"/>
  <c r="D4" i="107"/>
  <c r="D23" i="107"/>
  <c r="D16" i="107"/>
  <c r="D20" i="107"/>
  <c r="D22" i="107"/>
  <c r="D6" i="107"/>
  <c r="D10" i="107"/>
  <c r="D8" i="107"/>
  <c r="C3" i="113"/>
  <c r="D19" i="107"/>
  <c r="C9" i="32"/>
  <c r="C25" i="32"/>
  <c r="C8" i="32"/>
  <c r="C27" i="32"/>
  <c r="C12" i="32"/>
  <c r="C26" i="32"/>
  <c r="C10" i="32"/>
  <c r="C6" i="32"/>
  <c r="C7" i="32"/>
  <c r="C24" i="32"/>
  <c r="C23" i="32"/>
  <c r="C11" i="32"/>
  <c r="C4" i="32"/>
  <c r="D19" i="108"/>
  <c r="D10" i="108"/>
  <c r="D23" i="108"/>
  <c r="D18" i="108"/>
  <c r="D6" i="108"/>
  <c r="D21" i="108"/>
  <c r="D17" i="108"/>
  <c r="D16" i="108"/>
  <c r="D15" i="108"/>
  <c r="D22" i="108"/>
  <c r="D8" i="108"/>
  <c r="D4" i="108"/>
  <c r="D12" i="108"/>
  <c r="D13" i="108"/>
  <c r="D5" i="108"/>
  <c r="D7" i="108"/>
  <c r="D11" i="108"/>
  <c r="D20" i="108"/>
  <c r="D14" i="108"/>
  <c r="E4" i="86"/>
  <c r="Q4" i="86" s="1"/>
  <c r="C3" i="94"/>
  <c r="N7" i="83"/>
  <c r="I7" i="83"/>
  <c r="AS16" i="86"/>
  <c r="Q9" i="86" l="1"/>
  <c r="Q10" i="86"/>
  <c r="Q8" i="86"/>
  <c r="Q12" i="86"/>
  <c r="Q6" i="86"/>
  <c r="Q27" i="86"/>
  <c r="Q7" i="86"/>
  <c r="Q11" i="86"/>
  <c r="Q5" i="86"/>
  <c r="AR13" i="86"/>
  <c r="BF13" i="86" s="1"/>
  <c r="BF2" i="86" s="1"/>
  <c r="AT16" i="86"/>
  <c r="G41" i="3"/>
  <c r="BF28" i="86" l="1"/>
  <c r="BF16" i="86" s="1"/>
  <c r="AR27" i="86"/>
  <c r="AR16" i="86" s="1"/>
  <c r="AR2" i="86"/>
  <c r="I41" i="3" l="1"/>
  <c r="E12" i="3" l="1"/>
  <c r="E11" i="3"/>
  <c r="E10" i="3"/>
  <c r="E9" i="3"/>
  <c r="B17" i="3" l="1"/>
  <c r="K7" i="3"/>
  <c r="J7" i="3"/>
  <c r="I7" i="3"/>
  <c r="G7" i="3"/>
  <c r="E7" i="3"/>
  <c r="K6" i="3"/>
  <c r="J6" i="3"/>
  <c r="I6" i="3"/>
  <c r="G6" i="3"/>
  <c r="E6" i="3"/>
  <c r="K5" i="3"/>
  <c r="J5" i="3"/>
  <c r="I5" i="3"/>
  <c r="G5" i="3"/>
  <c r="E5" i="3"/>
  <c r="K4" i="3"/>
  <c r="J4" i="3"/>
  <c r="I4" i="3"/>
  <c r="G4" i="3"/>
  <c r="E4" i="3"/>
  <c r="C3" i="3"/>
  <c r="C11" i="3" s="1"/>
  <c r="B3" i="3"/>
  <c r="B37" i="3" l="1"/>
  <c r="B38" i="3"/>
  <c r="B39" i="3"/>
  <c r="B40" i="3"/>
  <c r="C8" i="3"/>
  <c r="J8" i="3"/>
  <c r="C10" i="3"/>
  <c r="C9" i="3"/>
  <c r="C22" i="3"/>
  <c r="B22" i="3" s="1"/>
  <c r="C17" i="3"/>
  <c r="B12" i="3"/>
  <c r="B13" i="3" s="1"/>
  <c r="C40" i="3" l="1"/>
  <c r="C39" i="3"/>
  <c r="C38" i="3"/>
  <c r="C37" i="3"/>
  <c r="B10" i="3"/>
  <c r="D22" i="3"/>
  <c r="D17" i="3"/>
  <c r="D39" i="3" l="1"/>
  <c r="D46" i="3" s="1"/>
  <c r="D38" i="3"/>
  <c r="D45" i="3" s="1"/>
  <c r="D40" i="3"/>
  <c r="D47" i="3" s="1"/>
  <c r="D37" i="3"/>
  <c r="D44" i="3" s="1"/>
  <c r="E22" i="3"/>
  <c r="E17" i="3"/>
  <c r="E37" i="3" l="1"/>
  <c r="E40" i="3"/>
  <c r="E39" i="3"/>
  <c r="E38" i="3"/>
  <c r="F22" i="3"/>
  <c r="F17" i="3"/>
  <c r="F38" i="3" l="1"/>
  <c r="F37" i="3"/>
  <c r="F40" i="3"/>
  <c r="F39" i="3"/>
  <c r="G22" i="3"/>
  <c r="G26" i="3" s="1"/>
  <c r="G17" i="3"/>
  <c r="G38" i="3" l="1"/>
  <c r="G37" i="3"/>
  <c r="G40" i="3"/>
  <c r="G39" i="3"/>
  <c r="H22" i="3"/>
  <c r="H17" i="3"/>
  <c r="H37" i="3" l="1"/>
  <c r="H40" i="3"/>
  <c r="H39" i="3"/>
  <c r="H38" i="3"/>
  <c r="I22" i="3"/>
  <c r="I17" i="3"/>
  <c r="I37" i="3" l="1"/>
  <c r="I40" i="3"/>
  <c r="I39" i="3"/>
  <c r="I38" i="3"/>
  <c r="J22" i="3"/>
  <c r="J26" i="3" s="1"/>
  <c r="J17" i="3"/>
  <c r="J37" i="3" l="1"/>
  <c r="J40" i="3"/>
  <c r="J39" i="3"/>
  <c r="J38" i="3"/>
  <c r="K22" i="3"/>
  <c r="K17" i="3"/>
  <c r="K37" i="3" l="1"/>
  <c r="K40" i="3"/>
  <c r="K39" i="3"/>
  <c r="K38" i="3"/>
  <c r="L22" i="3"/>
  <c r="L26" i="3" s="1"/>
  <c r="L17" i="3"/>
  <c r="L37" i="3" l="1"/>
  <c r="L40" i="3"/>
  <c r="L39" i="3"/>
  <c r="L38" i="3"/>
  <c r="M22" i="3"/>
  <c r="M17" i="3"/>
  <c r="M37" i="3" l="1"/>
  <c r="M40" i="3"/>
  <c r="M39" i="3"/>
  <c r="M38" i="3"/>
  <c r="N22" i="3"/>
  <c r="N26" i="3" s="1"/>
  <c r="N17" i="3"/>
  <c r="N37" i="3" l="1"/>
  <c r="N40" i="3"/>
  <c r="N39" i="3"/>
  <c r="N38" i="3"/>
  <c r="O22" i="3"/>
  <c r="O17" i="3"/>
  <c r="O37" i="3" l="1"/>
  <c r="O40" i="3"/>
  <c r="O39" i="3"/>
  <c r="O38" i="3"/>
  <c r="P22" i="3"/>
  <c r="P26" i="3" s="1"/>
  <c r="P17" i="3"/>
  <c r="P37" i="3" l="1"/>
  <c r="P40" i="3"/>
  <c r="P39" i="3"/>
  <c r="P38" i="3"/>
  <c r="Q22" i="3"/>
  <c r="Q17" i="3"/>
  <c r="R22" i="3" l="1"/>
  <c r="R26" i="3" s="1"/>
  <c r="R17" i="3"/>
  <c r="S22" i="3" l="1"/>
  <c r="S17" i="3"/>
  <c r="T22" i="3" l="1"/>
  <c r="T26" i="3" s="1"/>
  <c r="T17" i="3"/>
  <c r="U22" i="3" l="1"/>
  <c r="U17" i="3"/>
  <c r="V22" i="3" l="1"/>
  <c r="V26" i="3" s="1"/>
  <c r="V17" i="3"/>
  <c r="W22" i="3" l="1"/>
  <c r="W17" i="3"/>
  <c r="X22" i="3" l="1"/>
  <c r="X26" i="3" s="1"/>
  <c r="X17" i="3"/>
  <c r="Y22" i="3" l="1"/>
  <c r="Y17" i="3"/>
  <c r="Z22" i="3" l="1"/>
  <c r="Z26" i="3" s="1"/>
  <c r="Z17" i="3"/>
  <c r="AA22" i="3" l="1"/>
  <c r="AA17" i="3"/>
  <c r="AB22" i="3" l="1"/>
  <c r="AB26" i="3" s="1"/>
  <c r="AB17" i="3"/>
  <c r="AC22" i="3" l="1"/>
  <c r="AC17" i="3"/>
  <c r="AD22" i="3" l="1"/>
  <c r="AD26" i="3" s="1"/>
  <c r="AD17" i="3"/>
  <c r="B30" i="3" l="1"/>
  <c r="C30" i="3" s="1"/>
  <c r="D30" i="3" s="1"/>
  <c r="O23" i="3"/>
  <c r="O24" i="3"/>
  <c r="O25" i="3"/>
  <c r="N23" i="3"/>
  <c r="N27" i="3" s="1"/>
  <c r="N24" i="3"/>
  <c r="N28" i="3" s="1"/>
  <c r="N25" i="3"/>
  <c r="N29" i="3" s="1"/>
  <c r="M23" i="3"/>
  <c r="M24" i="3"/>
  <c r="M25" i="3"/>
  <c r="E26" i="3"/>
  <c r="E23" i="3"/>
  <c r="E27" i="3" s="1"/>
  <c r="E24" i="3"/>
  <c r="E28" i="3" s="1"/>
  <c r="E25" i="3"/>
  <c r="E29" i="3" s="1"/>
  <c r="K23" i="3"/>
  <c r="K24" i="3"/>
  <c r="K25" i="3"/>
  <c r="AA25" i="3"/>
  <c r="Y25" i="3"/>
  <c r="W25" i="3"/>
  <c r="U25" i="3"/>
  <c r="S25" i="3"/>
  <c r="Q25" i="3"/>
  <c r="H25" i="3"/>
  <c r="C25" i="3"/>
  <c r="C29" i="3" s="1"/>
  <c r="AA24" i="3"/>
  <c r="Y24" i="3"/>
  <c r="W24" i="3"/>
  <c r="U24" i="3"/>
  <c r="S24" i="3"/>
  <c r="Q24" i="3"/>
  <c r="H24" i="3"/>
  <c r="C24" i="3"/>
  <c r="C28" i="3" s="1"/>
  <c r="AA23" i="3"/>
  <c r="Y23" i="3"/>
  <c r="W23" i="3"/>
  <c r="U23" i="3"/>
  <c r="S23" i="3"/>
  <c r="Q23" i="3"/>
  <c r="H23" i="3"/>
  <c r="C23" i="3"/>
  <c r="C27" i="3" s="1"/>
  <c r="C26" i="3"/>
  <c r="AD25" i="3"/>
  <c r="AD29" i="3" s="1"/>
  <c r="AC25" i="3"/>
  <c r="AB25" i="3"/>
  <c r="AB29" i="3" s="1"/>
  <c r="Z25" i="3"/>
  <c r="Z29" i="3" s="1"/>
  <c r="X25" i="3"/>
  <c r="X29" i="3" s="1"/>
  <c r="V25" i="3"/>
  <c r="V29" i="3" s="1"/>
  <c r="T25" i="3"/>
  <c r="T29" i="3" s="1"/>
  <c r="R25" i="3"/>
  <c r="R29" i="3" s="1"/>
  <c r="P25" i="3"/>
  <c r="P29" i="3" s="1"/>
  <c r="L25" i="3"/>
  <c r="L29" i="3" s="1"/>
  <c r="J25" i="3"/>
  <c r="J29" i="3" s="1"/>
  <c r="I25" i="3"/>
  <c r="G25" i="3"/>
  <c r="G29" i="3" s="1"/>
  <c r="F25" i="3"/>
  <c r="D25" i="3"/>
  <c r="B25" i="3"/>
  <c r="AD24" i="3"/>
  <c r="AD28" i="3" s="1"/>
  <c r="AC24" i="3"/>
  <c r="AB24" i="3"/>
  <c r="AB28" i="3" s="1"/>
  <c r="Z24" i="3"/>
  <c r="Z28" i="3" s="1"/>
  <c r="X24" i="3"/>
  <c r="X28" i="3" s="1"/>
  <c r="V24" i="3"/>
  <c r="V28" i="3" s="1"/>
  <c r="T24" i="3"/>
  <c r="T28" i="3" s="1"/>
  <c r="R24" i="3"/>
  <c r="R28" i="3" s="1"/>
  <c r="P24" i="3"/>
  <c r="P28" i="3" s="1"/>
  <c r="L24" i="3"/>
  <c r="L28" i="3" s="1"/>
  <c r="J24" i="3"/>
  <c r="J28" i="3" s="1"/>
  <c r="I24" i="3"/>
  <c r="G24" i="3"/>
  <c r="G28" i="3" s="1"/>
  <c r="F24" i="3"/>
  <c r="D24" i="3"/>
  <c r="B24" i="3"/>
  <c r="AD23" i="3"/>
  <c r="AD27" i="3" s="1"/>
  <c r="AC23" i="3"/>
  <c r="AB23" i="3"/>
  <c r="AB27" i="3" s="1"/>
  <c r="Z23" i="3"/>
  <c r="Z27" i="3" s="1"/>
  <c r="X23" i="3"/>
  <c r="X27" i="3" s="1"/>
  <c r="V23" i="3"/>
  <c r="V27" i="3" s="1"/>
  <c r="T23" i="3"/>
  <c r="T27" i="3" s="1"/>
  <c r="R23" i="3"/>
  <c r="R27" i="3" s="1"/>
  <c r="P23" i="3"/>
  <c r="P27" i="3" s="1"/>
  <c r="L23" i="3"/>
  <c r="L27" i="3" s="1"/>
  <c r="J23" i="3"/>
  <c r="J27" i="3" s="1"/>
  <c r="I23" i="3"/>
  <c r="G23" i="3"/>
  <c r="G27" i="3" s="1"/>
  <c r="F23" i="3"/>
  <c r="D23" i="3"/>
  <c r="B23" i="3"/>
  <c r="B31" i="3" l="1"/>
  <c r="B32" i="3" s="1"/>
  <c r="B33" i="3" s="1"/>
  <c r="E30" i="3"/>
  <c r="F30" i="3" s="1"/>
  <c r="D31" i="3"/>
  <c r="C31" i="3"/>
  <c r="C32" i="3" l="1"/>
  <c r="C33" i="3" s="1"/>
  <c r="E31" i="3"/>
  <c r="F31" i="3"/>
  <c r="G30" i="3"/>
  <c r="D32" i="3" l="1"/>
  <c r="D33" i="3" s="1"/>
  <c r="H30" i="3"/>
  <c r="G31" i="3"/>
  <c r="E32" i="3" l="1"/>
  <c r="F32" i="3" s="1"/>
  <c r="F33" i="3" s="1"/>
  <c r="I30" i="3"/>
  <c r="H31" i="3"/>
  <c r="G32" i="3" l="1"/>
  <c r="G33" i="3" s="1"/>
  <c r="E33" i="3"/>
  <c r="I31" i="3"/>
  <c r="J30" i="3"/>
  <c r="H32" i="3" l="1"/>
  <c r="H33" i="3" s="1"/>
  <c r="K30" i="3"/>
  <c r="J31" i="3"/>
  <c r="I32" i="3" l="1"/>
  <c r="I33" i="3" s="1"/>
  <c r="L30" i="3"/>
  <c r="K31" i="3"/>
  <c r="J32" i="3" l="1"/>
  <c r="K32" i="3" s="1"/>
  <c r="M30" i="3"/>
  <c r="L31" i="3"/>
  <c r="J33" i="3" l="1"/>
  <c r="N30" i="3"/>
  <c r="M31" i="3"/>
  <c r="K33" i="3"/>
  <c r="L32" i="3"/>
  <c r="O30" i="3" l="1"/>
  <c r="N31" i="3"/>
  <c r="M32" i="3"/>
  <c r="L33" i="3"/>
  <c r="P30" i="3" l="1"/>
  <c r="O31" i="3"/>
  <c r="M33" i="3"/>
  <c r="N32" i="3"/>
  <c r="P31" i="3" l="1"/>
  <c r="Q30" i="3"/>
  <c r="O32" i="3"/>
  <c r="N33" i="3"/>
  <c r="R30" i="3" l="1"/>
  <c r="Q31" i="3"/>
  <c r="O33" i="3"/>
  <c r="P32" i="3"/>
  <c r="R31" i="3" l="1"/>
  <c r="S30" i="3"/>
  <c r="Q32" i="3"/>
  <c r="P33" i="3"/>
  <c r="T30" i="3" l="1"/>
  <c r="S31" i="3"/>
  <c r="R32" i="3"/>
  <c r="Q33" i="3"/>
  <c r="U30" i="3" l="1"/>
  <c r="T31" i="3"/>
  <c r="S32" i="3"/>
  <c r="R33" i="3"/>
  <c r="V30" i="3" l="1"/>
  <c r="U31" i="3"/>
  <c r="T32" i="3"/>
  <c r="S33" i="3"/>
  <c r="V31" i="3" l="1"/>
  <c r="W30" i="3"/>
  <c r="U32" i="3"/>
  <c r="T33" i="3"/>
  <c r="X30" i="3" l="1"/>
  <c r="W31" i="3"/>
  <c r="V32" i="3"/>
  <c r="U33" i="3"/>
  <c r="Y30" i="3" l="1"/>
  <c r="X31" i="3"/>
  <c r="W32" i="3"/>
  <c r="V33" i="3"/>
  <c r="Z30" i="3" l="1"/>
  <c r="Y31" i="3"/>
  <c r="X32" i="3"/>
  <c r="W33" i="3"/>
  <c r="Z31" i="3" l="1"/>
  <c r="AA30" i="3"/>
  <c r="Y32" i="3"/>
  <c r="X33" i="3"/>
  <c r="AB30" i="3" l="1"/>
  <c r="AA31" i="3"/>
  <c r="Z32" i="3"/>
  <c r="Y33" i="3"/>
  <c r="AC30" i="3" l="1"/>
  <c r="AB31" i="3"/>
  <c r="Z33" i="3"/>
  <c r="AA32" i="3"/>
  <c r="AC31" i="3" l="1"/>
  <c r="AD30" i="3"/>
  <c r="AD31" i="3" s="1"/>
  <c r="AB32" i="3"/>
  <c r="AA33" i="3"/>
  <c r="AC32" i="3" l="1"/>
  <c r="AB33" i="3"/>
  <c r="AD32" i="3" l="1"/>
  <c r="AD33" i="3" s="1"/>
  <c r="AC33" i="3"/>
  <c r="W28" i="3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I1" authorId="0" shapeId="0" xr:uid="{00000000-0006-0000-0500-000001000000}">
      <text>
        <r>
          <rPr>
            <sz val="8"/>
            <color indexed="81"/>
            <rFont val="Tahoma"/>
            <family val="2"/>
          </rPr>
          <t>Lid*Lid*Exp</t>
        </r>
      </text>
    </comment>
    <comment ref="I3" authorId="0" shapeId="0" xr:uid="{00000000-0006-0000-0500-000002000000}">
      <text>
        <r>
          <rPr>
            <sz val="8"/>
            <color indexed="81"/>
            <rFont val="Tahoma"/>
            <family val="2"/>
          </rPr>
          <t>Lid*Lid*Exp</t>
        </r>
      </text>
    </comment>
    <comment ref="I12" authorId="0" shapeId="0" xr:uid="{00000000-0006-0000-0500-000003000000}">
      <text>
        <r>
          <rPr>
            <sz val="8"/>
            <color indexed="81"/>
            <rFont val="Tahoma"/>
            <family val="2"/>
          </rPr>
          <t>Lid*Lid*Exp</t>
        </r>
      </text>
    </comment>
    <comment ref="I24" authorId="0" shapeId="0" xr:uid="{00000000-0006-0000-0500-000004000000}">
      <text>
        <r>
          <rPr>
            <sz val="8"/>
            <color indexed="81"/>
            <rFont val="Tahoma"/>
            <family val="2"/>
          </rPr>
          <t>Lid*Lid*Exp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K3" authorId="0" shapeId="0" xr:uid="{00000000-0006-0000-0700-000001000000}">
      <text>
        <r>
          <rPr>
            <sz val="8"/>
            <color indexed="81"/>
            <rFont val="Tahoma"/>
            <family val="2"/>
          </rPr>
          <t>Lid*Lid*Exp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8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Sacado del manual no escrito, no se sabe que son estos valores</t>
        </r>
      </text>
    </comment>
    <comment ref="D28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En partidos de Torneo con el predictor
-Campo neutral
-Espiritu: Ilusionats (6)
-Confiança: Alta (7)
Entrenador NEUTRO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L1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Sacado del manual no escrito, no se sabe que son estos valores</t>
        </r>
      </text>
    </comment>
    <comment ref="BM1" authorId="0" shapeId="0" xr:uid="{00000000-0006-0000-0A00-000002000000}">
      <text>
        <r>
          <rPr>
            <b/>
            <sz val="8"/>
            <color indexed="81"/>
            <rFont val="Tahoma"/>
            <family val="2"/>
          </rPr>
          <t>En partidos de Torneo con el predictor
-Campo neutral
-Espiritu: Ilusionats (6)
-Confiança: Alta (7)
Entrenador NEUTRO</t>
        </r>
      </text>
    </comment>
    <comment ref="G8" authorId="0" shapeId="0" xr:uid="{00000000-0006-0000-0A00-000003000000}">
      <text>
        <r>
          <rPr>
            <b/>
            <sz val="8"/>
            <color indexed="81"/>
            <rFont val="Tahoma"/>
            <family val="2"/>
          </rPr>
          <t>Debe ser bajo, muy bajo</t>
        </r>
      </text>
    </comment>
    <comment ref="G10" authorId="0" shapeId="0" xr:uid="{00000000-0006-0000-0A00-000004000000}">
      <text>
        <r>
          <rPr>
            <b/>
            <sz val="8"/>
            <color indexed="81"/>
            <rFont val="Tahoma"/>
            <family val="2"/>
          </rPr>
          <t>Debe ser bajo, muy bajo</t>
        </r>
      </text>
    </comment>
    <comment ref="G18" authorId="0" shapeId="0" xr:uid="{00000000-0006-0000-0A00-000005000000}">
      <text>
        <r>
          <rPr>
            <b/>
            <sz val="8"/>
            <color indexed="81"/>
            <rFont val="Tahoma"/>
            <family val="2"/>
          </rPr>
          <t>Debe ser Alto, bastante Alto</t>
        </r>
      </text>
    </comment>
  </commentList>
</comments>
</file>

<file path=xl/sharedStrings.xml><?xml version="1.0" encoding="utf-8"?>
<sst xmlns="http://schemas.openxmlformats.org/spreadsheetml/2006/main" count="1639" uniqueCount="456">
  <si>
    <t>BP</t>
  </si>
  <si>
    <t>POR</t>
  </si>
  <si>
    <t>DEF</t>
  </si>
  <si>
    <t>Estado de ánimo de los aficionados</t>
  </si>
  <si>
    <t>Grada general</t>
  </si>
  <si>
    <t>Preferente</t>
  </si>
  <si>
    <t>Tribuna</t>
  </si>
  <si>
    <t>Palco</t>
  </si>
  <si>
    <t>Multiplicador</t>
  </si>
  <si>
    <t>(asistencia = socios X multiplicador)</t>
  </si>
  <si>
    <t>Nuevo</t>
  </si>
  <si>
    <t>CosteContrucción</t>
  </si>
  <si>
    <t>CosteMantenimiento</t>
  </si>
  <si>
    <t>IngresoVenta</t>
  </si>
  <si>
    <t>Ideal</t>
  </si>
  <si>
    <t>Capacidad total:</t>
  </si>
  <si>
    <t>por asiento</t>
  </si>
  <si>
    <t>Coste</t>
  </si>
  <si>
    <t>CosteSemanal</t>
  </si>
  <si>
    <t>1Partido</t>
  </si>
  <si>
    <t>completo</t>
  </si>
  <si>
    <t>Grada general:</t>
  </si>
  <si>
    <t>Preferentes:</t>
  </si>
  <si>
    <t>Tribunas:</t>
  </si>
  <si>
    <t>Palcos:</t>
  </si>
  <si>
    <t>Coste Inicial</t>
  </si>
  <si>
    <t>Coste de Contrucción</t>
  </si>
  <si>
    <t>TOTAL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</si>
  <si>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</si>
  <si>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</si>
  <si>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</si>
  <si>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</si>
  <si>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</si>
  <si>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</si>
  <si>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</si>
  <si>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</si>
  <si>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</si>
  <si>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</si>
  <si>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</si>
  <si>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</si>
  <si>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</si>
  <si>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</si>
  <si>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</si>
  <si>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</si>
  <si>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Aficionados</t>
  </si>
  <si>
    <t>MaxGrada Llena</t>
  </si>
  <si>
    <t>MaxPreferente Lleno</t>
  </si>
  <si>
    <t>MaxTribuna Lleno</t>
  </si>
  <si>
    <t>MaxPalco Lleno</t>
  </si>
  <si>
    <t>Real Grada</t>
  </si>
  <si>
    <t>Real Preferente</t>
  </si>
  <si>
    <t>Real Tribuna</t>
  </si>
  <si>
    <t>Real Palco</t>
  </si>
  <si>
    <t>Ingresos Extra Grada general:</t>
  </si>
  <si>
    <t>Ingresos Extre Preferentes:</t>
  </si>
  <si>
    <t>Ingresos Extra Tribunas:</t>
  </si>
  <si>
    <t>Ingresos Extra Palcos:</t>
  </si>
  <si>
    <t>Coste de Mantenimiento Extra</t>
  </si>
  <si>
    <t>Beneficio Neto Semanal</t>
  </si>
  <si>
    <t>Beneficio Acumulado</t>
  </si>
  <si>
    <t>Temp</t>
  </si>
  <si>
    <t>Dias</t>
  </si>
  <si>
    <t>MED</t>
  </si>
  <si>
    <t>EXT</t>
  </si>
  <si>
    <t>DAV</t>
  </si>
  <si>
    <t>Sueldo</t>
  </si>
  <si>
    <t>Defensa</t>
  </si>
  <si>
    <t>POT</t>
  </si>
  <si>
    <t>Exp</t>
  </si>
  <si>
    <t>%</t>
  </si>
  <si>
    <t>PORTERIA</t>
  </si>
  <si>
    <t>Jugador</t>
  </si>
  <si>
    <t>Anys</t>
  </si>
  <si>
    <t>TSI</t>
  </si>
  <si>
    <t>PA</t>
  </si>
  <si>
    <t>Lid</t>
  </si>
  <si>
    <t>Res</t>
  </si>
  <si>
    <t>De</t>
  </si>
  <si>
    <t>Cr</t>
  </si>
  <si>
    <t>Ex</t>
  </si>
  <si>
    <t>Ps</t>
  </si>
  <si>
    <t>An</t>
  </si>
  <si>
    <t>Allen Horn</t>
  </si>
  <si>
    <t>John Wesner</t>
  </si>
  <si>
    <t>Juan Alberto Carmona</t>
  </si>
  <si>
    <t>Javier Brock</t>
  </si>
  <si>
    <t>Philip Alston</t>
  </si>
  <si>
    <t>Robert Lawhon</t>
  </si>
  <si>
    <t>Steve Olson</t>
  </si>
  <si>
    <t>Tony Hammond</t>
  </si>
  <si>
    <t>Sou</t>
  </si>
  <si>
    <t>DV</t>
  </si>
  <si>
    <t>Experiencia</t>
  </si>
  <si>
    <t>T. Hammond</t>
  </si>
  <si>
    <t>TEC</t>
  </si>
  <si>
    <t>E. Toney</t>
  </si>
  <si>
    <t>IMP</t>
  </si>
  <si>
    <t>E. Gross</t>
  </si>
  <si>
    <t>B. Bartolache</t>
  </si>
  <si>
    <t>D. Toh</t>
  </si>
  <si>
    <t>POS</t>
  </si>
  <si>
    <t>C. Rojas</t>
  </si>
  <si>
    <t>J. Limon</t>
  </si>
  <si>
    <t>CMin</t>
  </si>
  <si>
    <t>CMax</t>
  </si>
  <si>
    <t>RAP</t>
  </si>
  <si>
    <t>Po</t>
  </si>
  <si>
    <t>K. Helms</t>
  </si>
  <si>
    <t xml:space="preserve">Nivel de Entrenador </t>
  </si>
  <si>
    <t xml:space="preserve">Aceptable </t>
  </si>
  <si>
    <t xml:space="preserve">Bueno </t>
  </si>
  <si>
    <t xml:space="preserve">Excelente </t>
  </si>
  <si>
    <t xml:space="preserve">235.200 - 277.700 € </t>
  </si>
  <si>
    <t xml:space="preserve">- </t>
  </si>
  <si>
    <t xml:space="preserve">202.000 - 235.200 € </t>
  </si>
  <si>
    <t xml:space="preserve">681.800 - 794 100 € </t>
  </si>
  <si>
    <t xml:space="preserve">176.900 - 200.000 € </t>
  </si>
  <si>
    <t xml:space="preserve">597.300 - 675.000 € </t>
  </si>
  <si>
    <t xml:space="preserve">4.247.700- 4.800.000 € </t>
  </si>
  <si>
    <t xml:space="preserve">Formidable </t>
  </si>
  <si>
    <t xml:space="preserve">157.400 - 175.400 € </t>
  </si>
  <si>
    <t xml:space="preserve">531.400 - 592.100 € </t>
  </si>
  <si>
    <t xml:space="preserve">3.779.500 - 4.210.500 € </t>
  </si>
  <si>
    <t xml:space="preserve">Destacado </t>
  </si>
  <si>
    <t xml:space="preserve">140.800 - 156.200 € </t>
  </si>
  <si>
    <t xml:space="preserve">475.300 - 527.300 € </t>
  </si>
  <si>
    <t xml:space="preserve">3.380.200 - 3.750.000 € </t>
  </si>
  <si>
    <t xml:space="preserve">Brillante </t>
  </si>
  <si>
    <t xml:space="preserve">128.200 - 139.800 € </t>
  </si>
  <si>
    <t xml:space="preserve">432.600 -472.000 € </t>
  </si>
  <si>
    <t xml:space="preserve">3.076.900 - 3.356.600 € </t>
  </si>
  <si>
    <t xml:space="preserve">Magnífico </t>
  </si>
  <si>
    <t xml:space="preserve">117.600 - 127.300 € </t>
  </si>
  <si>
    <t xml:space="preserve">397.000 - 429.900 € </t>
  </si>
  <si>
    <t xml:space="preserve">2.823.500 - 3.057.300 € </t>
  </si>
  <si>
    <t xml:space="preserve">Clase Mundial </t>
  </si>
  <si>
    <t xml:space="preserve">108.600 - 116.900 € </t>
  </si>
  <si>
    <t xml:space="preserve">366.800 - 394.700 € </t>
  </si>
  <si>
    <t xml:space="preserve">2.608.600 - 2.807.000 € </t>
  </si>
  <si>
    <t xml:space="preserve">Sobrenatural </t>
  </si>
  <si>
    <t xml:space="preserve">100.500 - 108.100 € </t>
  </si>
  <si>
    <t xml:space="preserve">339.100 - 364.800 € </t>
  </si>
  <si>
    <t xml:space="preserve">2.412.000 - 2.594.500 € </t>
  </si>
  <si>
    <t xml:space="preserve">Titánico </t>
  </si>
  <si>
    <t xml:space="preserve">93.800 - 100.000 € </t>
  </si>
  <si>
    <t xml:space="preserve">316.900 - 337.500 € </t>
  </si>
  <si>
    <t xml:space="preserve">2.253.500 - 2.400.000 € </t>
  </si>
  <si>
    <t xml:space="preserve">Extra Terrestre </t>
  </si>
  <si>
    <t xml:space="preserve">88.100 - 93.400 € </t>
  </si>
  <si>
    <t xml:space="preserve">297.300 - 315.400 € </t>
  </si>
  <si>
    <t xml:space="preserve">2.114.500 - 2.242.290 € </t>
  </si>
  <si>
    <t xml:space="preserve">Mítico </t>
  </si>
  <si>
    <t xml:space="preserve">82.600 - 87.700 € </t>
  </si>
  <si>
    <t xml:space="preserve">278.900 - 296.000 € </t>
  </si>
  <si>
    <t xml:space="preserve">1.983.400 - 2.105.200 € </t>
  </si>
  <si>
    <t xml:space="preserve">Mágico </t>
  </si>
  <si>
    <t xml:space="preserve">78.100 - 82.300 € </t>
  </si>
  <si>
    <t xml:space="preserve">263.600 - 277.700 € </t>
  </si>
  <si>
    <t xml:space="preserve">1.875.000 - 1.975.300 € </t>
  </si>
  <si>
    <t xml:space="preserve">Utópico </t>
  </si>
  <si>
    <t xml:space="preserve">74.000 - 77.800 € </t>
  </si>
  <si>
    <t xml:space="preserve">250.000 - 262.600 € </t>
  </si>
  <si>
    <t xml:space="preserve">1.777.700 - 1.867.700 € </t>
  </si>
  <si>
    <t xml:space="preserve">Divino </t>
  </si>
  <si>
    <t xml:space="preserve">47.900 - 73.800 € </t>
  </si>
  <si>
    <t xml:space="preserve">161 800 - 249.000 € </t>
  </si>
  <si>
    <t xml:space="preserve">1 150 800 - 1.771.200 € </t>
  </si>
  <si>
    <t>Stefano Sbattelia</t>
  </si>
  <si>
    <t>S. Sbattelia</t>
  </si>
  <si>
    <t>L. Bauman</t>
  </si>
  <si>
    <t>#1</t>
  </si>
  <si>
    <t>#12</t>
  </si>
  <si>
    <t>#3</t>
  </si>
  <si>
    <t>#6</t>
  </si>
  <si>
    <t>#4</t>
  </si>
  <si>
    <t>#7</t>
  </si>
  <si>
    <t>#10</t>
  </si>
  <si>
    <t>#11</t>
  </si>
  <si>
    <t>#5</t>
  </si>
  <si>
    <t>#8</t>
  </si>
  <si>
    <t>Nfin</t>
  </si>
  <si>
    <t>W. Gelifini</t>
  </si>
  <si>
    <t>ENT</t>
  </si>
  <si>
    <t>DC</t>
  </si>
  <si>
    <t>Mejor Partido</t>
  </si>
  <si>
    <t>Casa</t>
  </si>
  <si>
    <t>Fecha Actualizacion</t>
  </si>
  <si>
    <t>Porteria Imbatuda</t>
  </si>
  <si>
    <t>Més vegades Capità</t>
  </si>
  <si>
    <t>Gols Marcats</t>
  </si>
  <si>
    <t>Julián Limón</t>
  </si>
  <si>
    <t>Duncan Toh</t>
  </si>
  <si>
    <t>Clayton Rojas</t>
  </si>
  <si>
    <t>DEF/DV</t>
  </si>
  <si>
    <t>Hib</t>
  </si>
  <si>
    <t>h33</t>
  </si>
  <si>
    <t>Eric Gross</t>
  </si>
  <si>
    <t>7,5*</t>
  </si>
  <si>
    <t>DL</t>
  </si>
  <si>
    <t>Elliot Romweber</t>
  </si>
  <si>
    <t>Baudalio Bartolache</t>
  </si>
  <si>
    <t>Carlos Ramirez</t>
  </si>
  <si>
    <t>Lamar Cherry</t>
  </si>
  <si>
    <t>Fernando Mendieta</t>
  </si>
  <si>
    <t>DEFLat1</t>
  </si>
  <si>
    <t>DEFLat2</t>
  </si>
  <si>
    <t>MEDIO</t>
  </si>
  <si>
    <t>AtLat1</t>
  </si>
  <si>
    <t>AtLat2</t>
  </si>
  <si>
    <t>AtCen</t>
  </si>
  <si>
    <t>Eugene Toney</t>
  </si>
  <si>
    <t>Lawrence Bauman</t>
  </si>
  <si>
    <t>Ability</t>
  </si>
  <si>
    <t>#16</t>
  </si>
  <si>
    <t>Defensas</t>
  </si>
  <si>
    <t>DEFCen</t>
  </si>
  <si>
    <t>#13</t>
  </si>
  <si>
    <t>Julian Limón</t>
  </si>
  <si>
    <t>Ke'Shawn Helms</t>
  </si>
  <si>
    <t>Stephen Buschelman</t>
  </si>
  <si>
    <t>CAB</t>
  </si>
  <si>
    <t>IHL</t>
  </si>
  <si>
    <t>#2</t>
  </si>
  <si>
    <t>#14</t>
  </si>
  <si>
    <t>#9</t>
  </si>
  <si>
    <t>S. Zobbe</t>
  </si>
  <si>
    <t>PEN</t>
  </si>
  <si>
    <t>BPiA</t>
  </si>
  <si>
    <t>BPiD</t>
  </si>
  <si>
    <t>6,5*</t>
  </si>
  <si>
    <t>Will Gelifini</t>
  </si>
  <si>
    <t>Min</t>
  </si>
  <si>
    <t>Max</t>
  </si>
  <si>
    <t>edad</t>
  </si>
  <si>
    <t>LS</t>
  </si>
  <si>
    <t>Capitan</t>
  </si>
  <si>
    <t>xpe/17 + (xpc * lid^2) ^ (2/3) / 30</t>
  </si>
  <si>
    <t>Xpe</t>
  </si>
  <si>
    <t>Xpe/17</t>
  </si>
  <si>
    <t>donde</t>
  </si>
  <si>
    <t>lid^2</t>
  </si>
  <si>
    <t>xpe es la suma de la experiencia de todos los jugadores</t>
  </si>
  <si>
    <t>Xpc*lid^2</t>
  </si>
  <si>
    <t>xpc es la experiencia del capitán</t>
  </si>
  <si>
    <t>(xpc * lid^2) ^ (2/3) / 30</t>
  </si>
  <si>
    <t>lid es el liderazgo del capitán</t>
  </si>
  <si>
    <t>Total</t>
  </si>
  <si>
    <t>liderazgo x liderazgo x experiencia</t>
  </si>
  <si>
    <t>Milan Amico</t>
  </si>
  <si>
    <t>CosteTotal</t>
  </si>
  <si>
    <t>#15</t>
  </si>
  <si>
    <t>P .Trivadi</t>
  </si>
  <si>
    <t>S. Pignot</t>
  </si>
  <si>
    <t>Stacy Zobbe</t>
  </si>
  <si>
    <t>Michael Smith</t>
  </si>
  <si>
    <t>Pavan Trivedi</t>
  </si>
  <si>
    <t>Cantera</t>
  </si>
  <si>
    <t>NCA</t>
  </si>
  <si>
    <t>F. Lasprilla</t>
  </si>
  <si>
    <t>#18</t>
  </si>
  <si>
    <t>LAT</t>
  </si>
  <si>
    <t>8*</t>
  </si>
  <si>
    <t>PAS</t>
  </si>
  <si>
    <t>N_CA</t>
  </si>
  <si>
    <t>#17</t>
  </si>
  <si>
    <t>BPMin</t>
  </si>
  <si>
    <t>BPMax</t>
  </si>
  <si>
    <t>For</t>
  </si>
  <si>
    <t>CosteFichaje</t>
  </si>
  <si>
    <t>CosteTransformación</t>
  </si>
  <si>
    <t>Fechallegada</t>
  </si>
  <si>
    <t>FechaTransformación</t>
  </si>
  <si>
    <t>CosteTemporada</t>
  </si>
  <si>
    <t>TempEntrenador</t>
  </si>
  <si>
    <t>SueldoJug</t>
  </si>
  <si>
    <t>SueldoEnt</t>
  </si>
  <si>
    <t>CEN</t>
  </si>
  <si>
    <t>DD</t>
  </si>
  <si>
    <t>Ojo, no es directo a calis, es un % para comparar entre varias POS</t>
  </si>
  <si>
    <t>Dif</t>
  </si>
  <si>
    <t>Zona</t>
  </si>
  <si>
    <t>Niveles¿?</t>
  </si>
  <si>
    <t>CALCULADO</t>
  </si>
  <si>
    <t>10niveles</t>
  </si>
  <si>
    <t>15niveles</t>
  </si>
  <si>
    <t>Def Central</t>
  </si>
  <si>
    <t>Def Lat</t>
  </si>
  <si>
    <t>Medio</t>
  </si>
  <si>
    <t>At Lateral</t>
  </si>
  <si>
    <t>At Central</t>
  </si>
  <si>
    <t>m90</t>
  </si>
  <si>
    <t>S. Buschelman</t>
  </si>
  <si>
    <t>#19</t>
  </si>
  <si>
    <t>EHM</t>
  </si>
  <si>
    <t>Pavan Trivadi</t>
  </si>
  <si>
    <t>Félix Lasprilla</t>
  </si>
  <si>
    <t>EXTOF</t>
  </si>
  <si>
    <t>Lenny Albers</t>
  </si>
  <si>
    <t>h34</t>
  </si>
  <si>
    <t>CMn</t>
  </si>
  <si>
    <t>CMx</t>
  </si>
  <si>
    <t>541 Bi-CA</t>
  </si>
  <si>
    <t>DHL</t>
  </si>
  <si>
    <t>CHL</t>
  </si>
  <si>
    <t>EN</t>
  </si>
  <si>
    <t>EOF</t>
  </si>
  <si>
    <t>IOF</t>
  </si>
  <si>
    <t>FechaDespido</t>
  </si>
  <si>
    <t>JUGADAS</t>
  </si>
  <si>
    <t>DEFENSA</t>
  </si>
  <si>
    <t>MDEF</t>
  </si>
  <si>
    <t>Portero</t>
  </si>
  <si>
    <t>DCNormal</t>
  </si>
  <si>
    <t>DCOff</t>
  </si>
  <si>
    <t>DLNormal</t>
  </si>
  <si>
    <t>DCtW</t>
  </si>
  <si>
    <t>Mnor</t>
  </si>
  <si>
    <t>EXTDEF</t>
  </si>
  <si>
    <t>Años</t>
  </si>
  <si>
    <t>ESP</t>
  </si>
  <si>
    <t>FechaCompra</t>
  </si>
  <si>
    <t>FOR</t>
  </si>
  <si>
    <t>Fmin</t>
  </si>
  <si>
    <t>Fmax</t>
  </si>
  <si>
    <t>FID</t>
  </si>
  <si>
    <t>XP</t>
  </si>
  <si>
    <t>JUG</t>
  </si>
  <si>
    <t>ANO</t>
  </si>
  <si>
    <t>BPI_A</t>
  </si>
  <si>
    <t>BPI_D</t>
  </si>
  <si>
    <t>DEFLAT</t>
  </si>
  <si>
    <t>DEFCEN</t>
  </si>
  <si>
    <t>ATLAT</t>
  </si>
  <si>
    <t>ATCEN</t>
  </si>
  <si>
    <t>HXP</t>
  </si>
  <si>
    <t>9*</t>
  </si>
  <si>
    <t>Fecha</t>
  </si>
  <si>
    <t>352 BI</t>
  </si>
  <si>
    <t>253 Bi</t>
  </si>
  <si>
    <t>442 Bi CA</t>
  </si>
  <si>
    <t>P. Trivadi</t>
  </si>
  <si>
    <t>Entrenamiento</t>
  </si>
  <si>
    <t>FORMACION</t>
  </si>
  <si>
    <t>TODAS</t>
  </si>
  <si>
    <t>352BI</t>
  </si>
  <si>
    <t>253BI</t>
  </si>
  <si>
    <t>442CA</t>
  </si>
  <si>
    <t>541CA</t>
  </si>
  <si>
    <t>LATERAL</t>
  </si>
  <si>
    <t>PASES</t>
  </si>
  <si>
    <t>Maximo</t>
  </si>
  <si>
    <t>BPIAt</t>
  </si>
  <si>
    <t>BPIDf</t>
  </si>
  <si>
    <t>D. Gehmacher</t>
  </si>
  <si>
    <t>Dominik Gehmacher</t>
  </si>
  <si>
    <t>11*</t>
  </si>
  <si>
    <t>Hector Garzón</t>
  </si>
  <si>
    <t>Ag</t>
  </si>
  <si>
    <t>Ho</t>
  </si>
  <si>
    <t>%_T</t>
  </si>
  <si>
    <t>LATN</t>
  </si>
  <si>
    <t>CENN</t>
  </si>
  <si>
    <t>INN</t>
  </si>
  <si>
    <t>EXTN</t>
  </si>
  <si>
    <t>p</t>
  </si>
  <si>
    <t>DELCEN</t>
  </si>
  <si>
    <t>BPA</t>
  </si>
  <si>
    <t>BPD</t>
  </si>
  <si>
    <t>Ent.NEUTRO</t>
  </si>
  <si>
    <t>Ent.DEF</t>
  </si>
  <si>
    <t>Ent.OF</t>
  </si>
  <si>
    <t>DCN</t>
  </si>
  <si>
    <t>DCHL</t>
  </si>
  <si>
    <t>E. Romweber</t>
  </si>
  <si>
    <t>10*</t>
  </si>
  <si>
    <t>CA</t>
  </si>
  <si>
    <t>TL</t>
  </si>
  <si>
    <t>Valor lider de "RED BARON"</t>
  </si>
  <si>
    <t>R12,5%</t>
  </si>
  <si>
    <t>CEOf</t>
  </si>
  <si>
    <t>WBN</t>
  </si>
  <si>
    <t>F.Actu</t>
  </si>
  <si>
    <t>352Id</t>
  </si>
  <si>
    <t>541Id</t>
  </si>
  <si>
    <t>EXN</t>
  </si>
  <si>
    <t>ChL</t>
  </si>
  <si>
    <t>R16,6%</t>
  </si>
  <si>
    <t>Id-MED</t>
  </si>
  <si>
    <t>I. Seccarecci</t>
  </si>
  <si>
    <t>LastWeek</t>
  </si>
  <si>
    <t>B. Pinczehelyi</t>
  </si>
  <si>
    <t>Bendegúz Pinczehelyi</t>
  </si>
  <si>
    <t>Sem/1L</t>
  </si>
  <si>
    <t>7*</t>
  </si>
  <si>
    <t>Lorenzo Calosso</t>
  </si>
  <si>
    <t>Fuera o Neutral</t>
  </si>
  <si>
    <t>Millor Qualificació</t>
  </si>
  <si>
    <t>Més Partits Jugats</t>
  </si>
  <si>
    <t>Subnivel Min Seccarecci</t>
  </si>
  <si>
    <t>11,5*</t>
  </si>
  <si>
    <t>8,5*</t>
  </si>
  <si>
    <t>#</t>
  </si>
  <si>
    <t>G/P</t>
  </si>
  <si>
    <t>Xpe/16,5</t>
  </si>
  <si>
    <t>(xpc * lid^2) ^ (2/3) / 27</t>
  </si>
  <si>
    <t>Gerolf Kerschl</t>
  </si>
  <si>
    <t>Fcompra</t>
  </si>
  <si>
    <t>10,5*</t>
  </si>
  <si>
    <t>14*</t>
  </si>
  <si>
    <t>532hts</t>
  </si>
  <si>
    <t>529hts</t>
  </si>
  <si>
    <t>Obiwan-Antioch</t>
  </si>
  <si>
    <t>FC Mariannah - Obiwan</t>
  </si>
  <si>
    <t>Hardy Kjærulff</t>
  </si>
  <si>
    <t>I. Vanags</t>
  </si>
  <si>
    <t>K. Nelson</t>
  </si>
  <si>
    <t>P. Tuderek</t>
  </si>
  <si>
    <t>R. Scheidecker</t>
  </si>
  <si>
    <t>R. Forsyth</t>
  </si>
  <si>
    <t>Ede</t>
  </si>
  <si>
    <t>Ean</t>
  </si>
  <si>
    <t>EBP</t>
  </si>
  <si>
    <t>DLD</t>
  </si>
  <si>
    <t>DLN</t>
  </si>
  <si>
    <t>DCL</t>
  </si>
  <si>
    <t>DCO</t>
  </si>
  <si>
    <t>IND</t>
  </si>
  <si>
    <t>ED</t>
  </si>
  <si>
    <t>EM</t>
  </si>
  <si>
    <t>Eju</t>
  </si>
  <si>
    <t>M. Bondarewski</t>
  </si>
  <si>
    <t>JMn</t>
  </si>
  <si>
    <t>JMx</t>
  </si>
  <si>
    <t>J. Vartiainen</t>
  </si>
  <si>
    <t>Coste (m€)</t>
  </si>
  <si>
    <t>G. Piscaer</t>
  </si>
  <si>
    <t>I. Stone</t>
  </si>
  <si>
    <t>#20</t>
  </si>
  <si>
    <t>#21</t>
  </si>
  <si>
    <t>#22</t>
  </si>
  <si>
    <t>#23</t>
  </si>
  <si>
    <t>#24</t>
  </si>
  <si>
    <t>#25</t>
  </si>
  <si>
    <t>Ordre</t>
  </si>
  <si>
    <t>2 Temporadas Jugadas</t>
  </si>
  <si>
    <t>1 Temporada Anotacion</t>
  </si>
  <si>
    <t>Fichar Portero+Defensas</t>
  </si>
  <si>
    <t>Defensa y BP</t>
  </si>
  <si>
    <t>Num</t>
  </si>
  <si>
    <t>Nombre</t>
  </si>
  <si>
    <t>S+20%</t>
  </si>
  <si>
    <t>IMP/CAB</t>
  </si>
  <si>
    <t>Inners</t>
  </si>
  <si>
    <t>RAP/IMP/CAB</t>
  </si>
  <si>
    <t>Delantero</t>
  </si>
  <si>
    <t>V. Godoi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</si>
</sst>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%"/>
    <numFmt numFmtId="165" formatCode="_-* #,##0\ &quot;€&quot;_-;\-* #,##0\ &quot;€&quot;_-;_-* &quot;-&quot;??\ &quot;€&quot;_-;_-@_-"/>
    <numFmt numFmtId="166" formatCode="_-* #,##0\ [$€-C0A]_-;\-* #,##0\ [$€-C0A]_-;_-* &quot;-&quot;??\ [$€-C0A]_-;_-@_-"/>
    <numFmt numFmtId="167" formatCode="_-* #,##0.00\ [$€-C0A]_-;\-* #,##0.00\ [$€-C0A]_-;_-* &quot;-&quot;??\ [$€-C0A]_-;_-@_-"/>
    <numFmt numFmtId="168" formatCode="_-* #,##0\ _€_-;\-* #,##0\ _€_-;_-* &quot;-&quot;??\ _€_-;_-@_-"/>
    <numFmt numFmtId="169" formatCode="0.0"/>
    <numFmt numFmtId="170" formatCode="0.000"/>
    <numFmt numFmtId="171" formatCode="_-* #,##0.0\ _€_-;\-* #,##0.0\ _€_-;_-* &quot;-&quot;??\ _€_-;_-@_-"/>
    <numFmt numFmtId="173" formatCode="0.0000"/>
    <numFmt numFmtId="174" formatCode="0.000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"/>
      <name val="Calibri"/>
      <family val="2"/>
      <charset val="1"/>
    </font>
    <font>
      <sz val="8"/>
      <color rgb="FF000000"/>
      <name val="Verdana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1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i/>
      <u/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b/>
      <i/>
      <u/>
      <sz val="8"/>
      <color theme="0"/>
      <name val="Verdana"/>
      <family val="2"/>
    </font>
    <font>
      <sz val="16"/>
      <name val="Verdana"/>
      <family val="2"/>
    </font>
    <font>
      <sz val="14"/>
      <name val="Verdana"/>
      <family val="2"/>
    </font>
    <font>
      <sz val="10"/>
      <name val="Verdana"/>
      <family val="2"/>
    </font>
    <font>
      <sz val="8.5"/>
      <name val="Verdana"/>
      <family val="2"/>
    </font>
    <font>
      <b/>
      <sz val="8"/>
      <name val="Verdana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indexed="8"/>
      <name val="Calibri"/>
      <family val="2"/>
      <charset val="1"/>
    </font>
    <font>
      <sz val="8"/>
      <name val="Verdana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9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sz val="8"/>
      <color theme="9" tint="-0.499984740745262"/>
      <name val="Verdana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u/>
      <sz val="11"/>
      <color theme="4" tint="-0.499984740745262"/>
      <name val="Calibri"/>
      <family val="2"/>
      <scheme val="minor"/>
    </font>
    <font>
      <b/>
      <i/>
      <u/>
      <sz val="11"/>
      <color theme="4" tint="-0.499984740745262"/>
      <name val="Calibri"/>
      <family val="2"/>
      <scheme val="minor"/>
    </font>
    <font>
      <i/>
      <u/>
      <sz val="11"/>
      <color theme="8" tint="-0.499984740745262"/>
      <name val="Calibri"/>
      <family val="2"/>
      <scheme val="minor"/>
    </font>
    <font>
      <b/>
      <sz val="8"/>
      <color rgb="FF00B050"/>
      <name val="Verdana"/>
      <family val="2"/>
    </font>
    <font>
      <sz val="8"/>
      <color rgb="FF00B05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i/>
      <u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DD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39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3" fillId="2" borderId="0" xfId="0" applyFont="1" applyFill="1" applyAlignment="1">
      <alignment horizontal="center" wrapText="1"/>
    </xf>
    <xf numFmtId="0" fontId="0" fillId="0" borderId="0" xfId="0" applyFill="1"/>
    <xf numFmtId="0" fontId="0" fillId="3" borderId="1" xfId="0" applyFill="1" applyBorder="1"/>
    <xf numFmtId="0" fontId="4" fillId="7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/>
    <xf numFmtId="0" fontId="0" fillId="0" borderId="1" xfId="0" applyFill="1" applyBorder="1"/>
    <xf numFmtId="0" fontId="5" fillId="8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1" fontId="0" fillId="9" borderId="10" xfId="0" applyNumberFormat="1" applyFill="1" applyBorder="1"/>
    <xf numFmtId="1" fontId="0" fillId="9" borderId="11" xfId="0" applyNumberFormat="1" applyFill="1" applyBorder="1"/>
    <xf numFmtId="164" fontId="0" fillId="4" borderId="2" xfId="2" applyNumberFormat="1" applyFont="1" applyFill="1" applyBorder="1"/>
    <xf numFmtId="165" fontId="0" fillId="0" borderId="1" xfId="1" applyNumberFormat="1" applyFont="1" applyBorder="1"/>
    <xf numFmtId="164" fontId="0" fillId="4" borderId="1" xfId="2" applyNumberFormat="1" applyFont="1" applyFill="1" applyBorder="1"/>
    <xf numFmtId="164" fontId="0" fillId="3" borderId="0" xfId="2" applyNumberFormat="1" applyFont="1" applyFill="1"/>
    <xf numFmtId="0" fontId="0" fillId="0" borderId="0" xfId="0" applyFill="1" applyBorder="1" applyAlignment="1">
      <alignment wrapText="1"/>
    </xf>
    <xf numFmtId="166" fontId="0" fillId="3" borderId="0" xfId="0" applyNumberFormat="1" applyFill="1" applyBorder="1" applyAlignment="1">
      <alignment wrapText="1"/>
    </xf>
    <xf numFmtId="166" fontId="0" fillId="3" borderId="0" xfId="0" applyNumberFormat="1" applyFill="1"/>
    <xf numFmtId="0" fontId="6" fillId="10" borderId="0" xfId="0" applyFont="1" applyFill="1" applyAlignment="1">
      <alignment horizontal="right"/>
    </xf>
    <xf numFmtId="166" fontId="7" fillId="3" borderId="12" xfId="0" applyNumberFormat="1" applyFont="1" applyFill="1" applyBorder="1"/>
    <xf numFmtId="0" fontId="2" fillId="11" borderId="0" xfId="0" applyFont="1" applyFill="1" applyAlignment="1">
      <alignment horizontal="center"/>
    </xf>
    <xf numFmtId="0" fontId="0" fillId="6" borderId="0" xfId="0" applyFill="1"/>
    <xf numFmtId="1" fontId="0" fillId="6" borderId="0" xfId="0" applyNumberFormat="1" applyFill="1"/>
    <xf numFmtId="0" fontId="0" fillId="10" borderId="0" xfId="0" applyFill="1" applyAlignment="1">
      <alignment horizontal="right"/>
    </xf>
    <xf numFmtId="1" fontId="0" fillId="10" borderId="0" xfId="0" applyNumberFormat="1" applyFill="1"/>
    <xf numFmtId="0" fontId="0" fillId="12" borderId="0" xfId="0" applyFill="1" applyBorder="1" applyAlignment="1">
      <alignment horizontal="right" wrapText="1"/>
    </xf>
    <xf numFmtId="167" fontId="0" fillId="12" borderId="0" xfId="0" applyNumberFormat="1" applyFill="1" applyBorder="1"/>
    <xf numFmtId="0" fontId="0" fillId="13" borderId="0" xfId="0" applyFill="1" applyBorder="1" applyAlignment="1">
      <alignment horizontal="right" wrapText="1"/>
    </xf>
    <xf numFmtId="167" fontId="0" fillId="13" borderId="0" xfId="0" applyNumberFormat="1" applyFill="1"/>
    <xf numFmtId="0" fontId="0" fillId="6" borderId="0" xfId="0" applyFill="1" applyBorder="1" applyAlignment="1">
      <alignment horizontal="right" wrapText="1"/>
    </xf>
    <xf numFmtId="167" fontId="2" fillId="6" borderId="0" xfId="0" applyNumberFormat="1" applyFont="1" applyFill="1"/>
    <xf numFmtId="0" fontId="2" fillId="6" borderId="0" xfId="0" applyFont="1" applyFill="1" applyBorder="1" applyAlignment="1">
      <alignment horizontal="right" wrapText="1"/>
    </xf>
    <xf numFmtId="164" fontId="0" fillId="0" borderId="0" xfId="2" applyNumberFormat="1" applyFont="1"/>
    <xf numFmtId="0" fontId="2" fillId="0" borderId="1" xfId="0" applyFont="1" applyBorder="1"/>
    <xf numFmtId="0" fontId="17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20" fillId="0" borderId="0" xfId="0" applyFont="1" applyFill="1"/>
    <xf numFmtId="1" fontId="0" fillId="0" borderId="0" xfId="0" applyNumberFormat="1"/>
    <xf numFmtId="0" fontId="20" fillId="16" borderId="1" xfId="0" applyFont="1" applyFill="1" applyBorder="1"/>
    <xf numFmtId="1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16" fillId="0" borderId="0" xfId="0" applyFont="1"/>
    <xf numFmtId="0" fontId="16" fillId="22" borderId="1" xfId="0" applyFont="1" applyFill="1" applyBorder="1" applyAlignment="1">
      <alignment horizontal="left" vertical="center"/>
    </xf>
    <xf numFmtId="1" fontId="16" fillId="22" borderId="1" xfId="0" applyNumberFormat="1" applyFont="1" applyFill="1" applyBorder="1" applyAlignment="1">
      <alignment horizontal="left" vertical="center"/>
    </xf>
    <xf numFmtId="169" fontId="16" fillId="24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4" fillId="0" borderId="0" xfId="0" applyFont="1"/>
    <xf numFmtId="0" fontId="20" fillId="14" borderId="1" xfId="0" applyFont="1" applyFill="1" applyBorder="1"/>
    <xf numFmtId="166" fontId="0" fillId="0" borderId="0" xfId="0" applyNumberFormat="1" applyAlignment="1">
      <alignment horizontal="center"/>
    </xf>
    <xf numFmtId="0" fontId="29" fillId="27" borderId="1" xfId="0" applyFont="1" applyFill="1" applyBorder="1" applyAlignment="1">
      <alignment horizontal="center" vertical="top" wrapText="1"/>
    </xf>
    <xf numFmtId="0" fontId="30" fillId="27" borderId="1" xfId="0" applyFont="1" applyFill="1" applyBorder="1" applyAlignment="1">
      <alignment horizontal="center" vertical="top" wrapText="1"/>
    </xf>
    <xf numFmtId="0" fontId="30" fillId="28" borderId="1" xfId="0" applyFont="1" applyFill="1" applyBorder="1" applyAlignment="1">
      <alignment horizontal="center" vertical="top" wrapText="1"/>
    </xf>
    <xf numFmtId="166" fontId="2" fillId="3" borderId="0" xfId="0" applyNumberFormat="1" applyFont="1" applyFill="1" applyAlignment="1">
      <alignment horizontal="center"/>
    </xf>
    <xf numFmtId="168" fontId="2" fillId="0" borderId="0" xfId="3" applyNumberFormat="1" applyFont="1"/>
    <xf numFmtId="0" fontId="20" fillId="0" borderId="0" xfId="0" applyFont="1"/>
    <xf numFmtId="0" fontId="32" fillId="0" borderId="0" xfId="4" applyFont="1" applyFill="1"/>
    <xf numFmtId="0" fontId="32" fillId="0" borderId="0" xfId="4" applyFont="1"/>
    <xf numFmtId="0" fontId="22" fillId="0" borderId="0" xfId="4" applyFont="1" applyFill="1"/>
    <xf numFmtId="0" fontId="21" fillId="0" borderId="0" xfId="4" applyFont="1" applyFill="1" applyBorder="1" applyAlignment="1">
      <alignment horizontal="left"/>
    </xf>
    <xf numFmtId="0" fontId="21" fillId="0" borderId="0" xfId="4" applyFont="1" applyFill="1" applyBorder="1" applyAlignment="1">
      <alignment horizontal="center"/>
    </xf>
    <xf numFmtId="0" fontId="33" fillId="0" borderId="0" xfId="4" applyFont="1" applyFill="1"/>
    <xf numFmtId="1" fontId="0" fillId="9" borderId="9" xfId="0" applyNumberFormat="1" applyFill="1" applyBorder="1"/>
    <xf numFmtId="0" fontId="0" fillId="0" borderId="1" xfId="0" applyBorder="1" applyAlignment="1">
      <alignment horizontal="center"/>
    </xf>
    <xf numFmtId="0" fontId="34" fillId="0" borderId="0" xfId="4" applyFont="1"/>
    <xf numFmtId="0" fontId="0" fillId="0" borderId="1" xfId="0" applyFont="1" applyBorder="1"/>
    <xf numFmtId="0" fontId="16" fillId="24" borderId="1" xfId="0" applyFont="1" applyFill="1" applyBorder="1" applyAlignment="1">
      <alignment horizontal="center" vertical="center"/>
    </xf>
    <xf numFmtId="0" fontId="0" fillId="0" borderId="0" xfId="0" applyFont="1"/>
    <xf numFmtId="0" fontId="15" fillId="0" borderId="0" xfId="4" applyFont="1"/>
    <xf numFmtId="169" fontId="0" fillId="0" borderId="0" xfId="0" applyNumberFormat="1"/>
    <xf numFmtId="0" fontId="0" fillId="0" borderId="0" xfId="0" applyAlignment="1">
      <alignment horizontal="center"/>
    </xf>
    <xf numFmtId="0" fontId="22" fillId="0" borderId="0" xfId="4" applyFont="1" applyFill="1" applyAlignment="1">
      <alignment horizontal="center"/>
    </xf>
    <xf numFmtId="0" fontId="20" fillId="0" borderId="1" xfId="0" applyFont="1" applyFill="1" applyBorder="1"/>
    <xf numFmtId="14" fontId="0" fillId="0" borderId="0" xfId="0" applyNumberFormat="1"/>
    <xf numFmtId="0" fontId="10" fillId="0" borderId="0" xfId="0" applyFont="1"/>
    <xf numFmtId="0" fontId="17" fillId="0" borderId="0" xfId="0" applyFont="1" applyAlignment="1">
      <alignment horizontal="center"/>
    </xf>
    <xf numFmtId="0" fontId="23" fillId="25" borderId="1" xfId="4" applyFont="1" applyFill="1" applyBorder="1" applyAlignment="1">
      <alignment horizontal="right"/>
    </xf>
    <xf numFmtId="0" fontId="16" fillId="24" borderId="1" xfId="0" applyFont="1" applyFill="1" applyBorder="1" applyAlignment="1">
      <alignment horizontal="right" vertical="center"/>
    </xf>
    <xf numFmtId="169" fontId="16" fillId="24" borderId="1" xfId="0" applyNumberFormat="1" applyFont="1" applyFill="1" applyBorder="1" applyAlignment="1">
      <alignment horizontal="center" vertical="center"/>
    </xf>
    <xf numFmtId="0" fontId="18" fillId="18" borderId="1" xfId="0" applyFont="1" applyFill="1" applyBorder="1" applyAlignment="1"/>
    <xf numFmtId="0" fontId="25" fillId="26" borderId="1" xfId="0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/>
    </xf>
    <xf numFmtId="0" fontId="25" fillId="26" borderId="1" xfId="0" applyFont="1" applyFill="1" applyBorder="1" applyAlignment="1">
      <alignment horizontal="right" vertical="center"/>
    </xf>
    <xf numFmtId="0" fontId="31" fillId="23" borderId="1" xfId="0" applyFont="1" applyFill="1" applyBorder="1" applyAlignment="1">
      <alignment horizontal="center" vertical="center"/>
    </xf>
    <xf numFmtId="1" fontId="35" fillId="19" borderId="1" xfId="0" applyNumberFormat="1" applyFont="1" applyFill="1" applyBorder="1" applyAlignment="1">
      <alignment horizontal="left" vertical="center"/>
    </xf>
    <xf numFmtId="0" fontId="23" fillId="0" borderId="1" xfId="4" applyFont="1" applyBorder="1"/>
    <xf numFmtId="0" fontId="37" fillId="0" borderId="1" xfId="4" applyFont="1" applyFill="1" applyBorder="1"/>
    <xf numFmtId="169" fontId="16" fillId="22" borderId="1" xfId="0" applyNumberFormat="1" applyFont="1" applyFill="1" applyBorder="1" applyAlignment="1">
      <alignment horizontal="center" vertical="center"/>
    </xf>
    <xf numFmtId="169" fontId="35" fillId="24" borderId="1" xfId="0" applyNumberFormat="1" applyFont="1" applyFill="1" applyBorder="1" applyAlignment="1">
      <alignment horizontal="left" vertical="center"/>
    </xf>
    <xf numFmtId="164" fontId="10" fillId="0" borderId="0" xfId="2" applyNumberFormat="1" applyFont="1"/>
    <xf numFmtId="0" fontId="38" fillId="0" borderId="0" xfId="4" applyFont="1" applyFill="1" applyBorder="1" applyAlignment="1">
      <alignment horizontal="center"/>
    </xf>
    <xf numFmtId="171" fontId="36" fillId="0" borderId="1" xfId="3" applyNumberFormat="1" applyFont="1" applyBorder="1" applyAlignment="1">
      <alignment horizontal="center"/>
    </xf>
    <xf numFmtId="0" fontId="0" fillId="0" borderId="0" xfId="0" applyAlignment="1">
      <alignment horizontal="center"/>
    </xf>
    <xf numFmtId="168" fontId="39" fillId="0" borderId="0" xfId="0" applyNumberFormat="1" applyFont="1" applyAlignment="1">
      <alignment horizontal="right"/>
    </xf>
    <xf numFmtId="171" fontId="31" fillId="24" borderId="1" xfId="3" applyNumberFormat="1" applyFont="1" applyFill="1" applyBorder="1" applyAlignment="1">
      <alignment horizontal="right" vertical="center"/>
    </xf>
    <xf numFmtId="171" fontId="35" fillId="24" borderId="1" xfId="3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8" fillId="0" borderId="0" xfId="0" applyFont="1"/>
    <xf numFmtId="14" fontId="8" fillId="0" borderId="0" xfId="0" applyNumberFormat="1" applyFont="1"/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16" borderId="0" xfId="0" applyFont="1" applyFill="1" applyAlignment="1">
      <alignment horizontal="center"/>
    </xf>
    <xf numFmtId="14" fontId="0" fillId="16" borderId="0" xfId="0" applyNumberFormat="1" applyFill="1" applyAlignment="1">
      <alignment horizontal="center"/>
    </xf>
    <xf numFmtId="168" fontId="35" fillId="24" borderId="1" xfId="3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7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1" fillId="2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12" borderId="1" xfId="0" applyFill="1" applyBorder="1"/>
    <xf numFmtId="0" fontId="0" fillId="17" borderId="1" xfId="0" applyFill="1" applyBorder="1"/>
    <xf numFmtId="0" fontId="7" fillId="12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2" fontId="20" fillId="0" borderId="1" xfId="0" applyNumberFormat="1" applyFont="1" applyFill="1" applyBorder="1" applyAlignment="1">
      <alignment horizontal="center"/>
    </xf>
    <xf numFmtId="1" fontId="19" fillId="0" borderId="0" xfId="0" applyNumberFormat="1" applyFont="1" applyFill="1"/>
    <xf numFmtId="2" fontId="7" fillId="0" borderId="1" xfId="0" applyNumberFormat="1" applyFont="1" applyFill="1" applyBorder="1" applyAlignment="1">
      <alignment horizontal="center"/>
    </xf>
    <xf numFmtId="2" fontId="2" fillId="0" borderId="0" xfId="0" applyNumberFormat="1" applyFont="1"/>
    <xf numFmtId="1" fontId="7" fillId="0" borderId="1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0" xfId="0" applyAlignment="1">
      <alignment horizontal="center"/>
    </xf>
    <xf numFmtId="169" fontId="20" fillId="0" borderId="0" xfId="0" applyNumberFormat="1" applyFont="1" applyFill="1"/>
    <xf numFmtId="0" fontId="35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0" fillId="0" borderId="1" xfId="0" applyFont="1" applyBorder="1"/>
    <xf numFmtId="169" fontId="40" fillId="0" borderId="1" xfId="0" applyNumberFormat="1" applyFont="1" applyBorder="1"/>
    <xf numFmtId="0" fontId="35" fillId="22" borderId="1" xfId="0" applyFont="1" applyFill="1" applyBorder="1" applyAlignment="1">
      <alignment horizontal="left" vertical="center"/>
    </xf>
    <xf numFmtId="0" fontId="35" fillId="24" borderId="1" xfId="0" applyFont="1" applyFill="1" applyBorder="1" applyAlignment="1">
      <alignment horizontal="center" vertical="center"/>
    </xf>
    <xf numFmtId="169" fontId="35" fillId="24" borderId="1" xfId="0" applyNumberFormat="1" applyFont="1" applyFill="1" applyBorder="1" applyAlignment="1">
      <alignment horizontal="center" vertical="center"/>
    </xf>
    <xf numFmtId="168" fontId="0" fillId="0" borderId="0" xfId="0" applyNumberFormat="1"/>
    <xf numFmtId="0" fontId="41" fillId="0" borderId="1" xfId="0" applyFont="1" applyFill="1" applyBorder="1" applyAlignment="1">
      <alignment horizontal="left" vertical="center"/>
    </xf>
    <xf numFmtId="1" fontId="35" fillId="22" borderId="1" xfId="0" applyNumberFormat="1" applyFont="1" applyFill="1" applyBorder="1" applyAlignment="1">
      <alignment horizontal="left" vertical="center"/>
    </xf>
    <xf numFmtId="10" fontId="0" fillId="0" borderId="0" xfId="2" applyNumberFormat="1" applyFont="1"/>
    <xf numFmtId="0" fontId="2" fillId="3" borderId="0" xfId="0" applyFont="1" applyFill="1"/>
    <xf numFmtId="170" fontId="0" fillId="0" borderId="0" xfId="0" applyNumberFormat="1"/>
    <xf numFmtId="9" fontId="0" fillId="0" borderId="0" xfId="2" applyFont="1" applyAlignment="1">
      <alignment horizontal="center"/>
    </xf>
    <xf numFmtId="14" fontId="22" fillId="0" borderId="0" xfId="4" applyNumberFormat="1" applyFont="1" applyFill="1" applyAlignment="1">
      <alignment horizontal="center"/>
    </xf>
    <xf numFmtId="0" fontId="31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5" fillId="26" borderId="13" xfId="0" applyFont="1" applyFill="1" applyBorder="1" applyAlignment="1">
      <alignment horizontal="center" vertical="center"/>
    </xf>
    <xf numFmtId="14" fontId="16" fillId="22" borderId="0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19" fillId="0" borderId="0" xfId="0" applyNumberFormat="1" applyFont="1"/>
    <xf numFmtId="2" fontId="34" fillId="0" borderId="0" xfId="4" applyNumberFormat="1" applyFont="1"/>
    <xf numFmtId="0" fontId="22" fillId="0" borderId="1" xfId="4" applyFont="1" applyBorder="1" applyAlignment="1">
      <alignment horizontal="center"/>
    </xf>
    <xf numFmtId="0" fontId="42" fillId="0" borderId="1" xfId="4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170" fontId="23" fillId="0" borderId="1" xfId="4" applyNumberFormat="1" applyFont="1" applyBorder="1"/>
    <xf numFmtId="170" fontId="37" fillId="0" borderId="1" xfId="4" applyNumberFormat="1" applyFont="1" applyFill="1" applyBorder="1"/>
    <xf numFmtId="170" fontId="0" fillId="0" borderId="1" xfId="0" applyNumberFormat="1" applyFont="1" applyBorder="1"/>
    <xf numFmtId="2" fontId="23" fillId="0" borderId="1" xfId="4" applyNumberFormat="1" applyFont="1" applyBorder="1"/>
    <xf numFmtId="2" fontId="37" fillId="0" borderId="1" xfId="4" applyNumberFormat="1" applyFont="1" applyFill="1" applyBorder="1"/>
    <xf numFmtId="2" fontId="0" fillId="0" borderId="1" xfId="0" applyNumberFormat="1" applyFont="1" applyBorder="1"/>
    <xf numFmtId="170" fontId="22" fillId="0" borderId="1" xfId="4" applyNumberFormat="1" applyFont="1" applyBorder="1"/>
    <xf numFmtId="2" fontId="22" fillId="0" borderId="1" xfId="4" applyNumberFormat="1" applyFont="1" applyBorder="1"/>
    <xf numFmtId="0" fontId="0" fillId="0" borderId="0" xfId="0" applyAlignment="1">
      <alignment horizontal="center"/>
    </xf>
    <xf numFmtId="0" fontId="10" fillId="10" borderId="8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70" fontId="2" fillId="0" borderId="1" xfId="0" applyNumberFormat="1" applyFont="1" applyFill="1" applyBorder="1" applyAlignment="1">
      <alignment horizontal="center"/>
    </xf>
    <xf numFmtId="170" fontId="11" fillId="3" borderId="1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35" fillId="24" borderId="1" xfId="0" applyNumberFormat="1" applyFont="1" applyFill="1" applyBorder="1" applyAlignment="1">
      <alignment horizontal="center" vertical="center"/>
    </xf>
    <xf numFmtId="1" fontId="16" fillId="2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0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1" fontId="0" fillId="0" borderId="0" xfId="3" applyNumberFormat="1" applyFont="1"/>
    <xf numFmtId="2" fontId="35" fillId="22" borderId="1" xfId="0" applyNumberFormat="1" applyFont="1" applyFill="1" applyBorder="1" applyAlignment="1">
      <alignment horizontal="left" vertical="center"/>
    </xf>
    <xf numFmtId="2" fontId="35" fillId="24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3" fillId="29" borderId="0" xfId="0" applyFont="1" applyFill="1"/>
    <xf numFmtId="0" fontId="43" fillId="29" borderId="0" xfId="0" applyFont="1" applyFill="1" applyAlignment="1">
      <alignment horizontal="center"/>
    </xf>
    <xf numFmtId="0" fontId="43" fillId="9" borderId="0" xfId="0" applyFont="1" applyFill="1" applyAlignment="1">
      <alignment horizontal="center"/>
    </xf>
    <xf numFmtId="0" fontId="43" fillId="30" borderId="0" xfId="0" applyFont="1" applyFill="1" applyAlignment="1">
      <alignment horizontal="center"/>
    </xf>
    <xf numFmtId="0" fontId="43" fillId="31" borderId="0" xfId="0" applyFont="1" applyFill="1" applyAlignment="1">
      <alignment horizontal="center"/>
    </xf>
    <xf numFmtId="0" fontId="43" fillId="32" borderId="0" xfId="0" applyFont="1" applyFill="1" applyAlignment="1">
      <alignment horizontal="center"/>
    </xf>
    <xf numFmtId="0" fontId="43" fillId="33" borderId="0" xfId="0" applyFont="1" applyFill="1"/>
    <xf numFmtId="0" fontId="43" fillId="32" borderId="0" xfId="0" applyFont="1" applyFill="1"/>
    <xf numFmtId="43" fontId="0" fillId="0" borderId="0" xfId="3" applyFont="1" applyAlignment="1">
      <alignment horizontal="center"/>
    </xf>
    <xf numFmtId="169" fontId="0" fillId="0" borderId="0" xfId="0" applyNumberFormat="1" applyAlignment="1">
      <alignment horizontal="center"/>
    </xf>
    <xf numFmtId="170" fontId="9" fillId="0" borderId="1" xfId="0" applyNumberFormat="1" applyFont="1" applyFill="1" applyBorder="1" applyAlignment="1">
      <alignment horizontal="center"/>
    </xf>
    <xf numFmtId="170" fontId="12" fillId="3" borderId="1" xfId="0" applyNumberFormat="1" applyFont="1" applyFill="1" applyBorder="1" applyAlignment="1">
      <alignment horizontal="center"/>
    </xf>
    <xf numFmtId="9" fontId="35" fillId="24" borderId="1" xfId="2" applyFont="1" applyFill="1" applyBorder="1" applyAlignment="1">
      <alignment horizontal="center" vertical="center"/>
    </xf>
    <xf numFmtId="2" fontId="8" fillId="0" borderId="0" xfId="0" applyNumberFormat="1" applyFont="1"/>
    <xf numFmtId="2" fontId="16" fillId="2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4" borderId="1" xfId="4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174" fontId="0" fillId="0" borderId="14" xfId="0" applyNumberFormat="1" applyFill="1" applyBorder="1" applyAlignment="1">
      <alignment horizontal="center"/>
    </xf>
    <xf numFmtId="164" fontId="0" fillId="0" borderId="16" xfId="2" applyNumberFormat="1" applyFont="1" applyFill="1" applyBorder="1" applyAlignment="1">
      <alignment horizontal="center"/>
    </xf>
    <xf numFmtId="164" fontId="0" fillId="0" borderId="14" xfId="2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4" fontId="0" fillId="0" borderId="1" xfId="0" applyNumberFormat="1" applyFill="1" applyBorder="1" applyAlignment="1">
      <alignment horizontal="center"/>
    </xf>
    <xf numFmtId="174" fontId="0" fillId="0" borderId="5" xfId="0" applyNumberFormat="1" applyFill="1" applyBorder="1" applyAlignment="1">
      <alignment horizontal="center"/>
    </xf>
    <xf numFmtId="174" fontId="0" fillId="0" borderId="16" xfId="0" applyNumberFormat="1" applyFill="1" applyBorder="1" applyAlignment="1">
      <alignment horizontal="center"/>
    </xf>
    <xf numFmtId="164" fontId="0" fillId="0" borderId="1" xfId="2" applyNumberFormat="1" applyFont="1" applyFill="1" applyBorder="1" applyAlignment="1">
      <alignment horizontal="center"/>
    </xf>
    <xf numFmtId="164" fontId="0" fillId="0" borderId="5" xfId="2" applyNumberFormat="1" applyFont="1" applyFill="1" applyBorder="1" applyAlignment="1">
      <alignment horizontal="center"/>
    </xf>
    <xf numFmtId="164" fontId="0" fillId="0" borderId="8" xfId="2" applyNumberFormat="1" applyFont="1" applyFill="1" applyBorder="1" applyAlignment="1">
      <alignment horizontal="center"/>
    </xf>
    <xf numFmtId="164" fontId="0" fillId="0" borderId="7" xfId="2" applyNumberFormat="1" applyFont="1" applyFill="1" applyBorder="1" applyAlignment="1">
      <alignment horizontal="center"/>
    </xf>
    <xf numFmtId="164" fontId="0" fillId="0" borderId="13" xfId="2" applyNumberFormat="1" applyFont="1" applyFill="1" applyBorder="1" applyAlignment="1">
      <alignment horizontal="center"/>
    </xf>
    <xf numFmtId="164" fontId="0" fillId="0" borderId="2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8" fillId="0" borderId="1" xfId="0" applyNumberFormat="1" applyFont="1" applyBorder="1"/>
    <xf numFmtId="2" fontId="44" fillId="0" borderId="1" xfId="4" applyNumberFormat="1" applyFont="1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4" fontId="0" fillId="0" borderId="7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4" borderId="5" xfId="0" applyFont="1" applyFill="1" applyBorder="1" applyAlignment="1">
      <alignment horizontal="center"/>
    </xf>
    <xf numFmtId="174" fontId="0" fillId="0" borderId="13" xfId="0" applyNumberFormat="1" applyFill="1" applyBorder="1" applyAlignment="1">
      <alignment horizontal="center"/>
    </xf>
    <xf numFmtId="174" fontId="0" fillId="0" borderId="2" xfId="0" applyNumberFormat="1" applyFill="1" applyBorder="1" applyAlignment="1">
      <alignment horizontal="center"/>
    </xf>
    <xf numFmtId="173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74" fontId="0" fillId="0" borderId="8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3" fillId="6" borderId="0" xfId="0" applyFont="1" applyFill="1"/>
    <xf numFmtId="170" fontId="2" fillId="0" borderId="0" xfId="0" applyNumberFormat="1" applyFont="1"/>
    <xf numFmtId="2" fontId="2" fillId="6" borderId="0" xfId="0" applyNumberFormat="1" applyFont="1" applyFill="1"/>
    <xf numFmtId="9" fontId="35" fillId="24" borderId="1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/>
    <xf numFmtId="170" fontId="20" fillId="0" borderId="1" xfId="0" applyNumberFormat="1" applyFont="1" applyBorder="1" applyAlignment="1">
      <alignment horizontal="center"/>
    </xf>
    <xf numFmtId="2" fontId="0" fillId="0" borderId="1" xfId="0" applyNumberFormat="1" applyBorder="1"/>
    <xf numFmtId="2" fontId="2" fillId="0" borderId="1" xfId="0" applyNumberFormat="1" applyFont="1" applyBorder="1"/>
    <xf numFmtId="2" fontId="2" fillId="11" borderId="1" xfId="0" applyNumberFormat="1" applyFont="1" applyFill="1" applyBorder="1"/>
    <xf numFmtId="169" fontId="45" fillId="3" borderId="0" xfId="0" applyNumberFormat="1" applyFont="1" applyFill="1"/>
    <xf numFmtId="2" fontId="0" fillId="0" borderId="13" xfId="0" applyNumberFormat="1" applyFill="1" applyBorder="1"/>
    <xf numFmtId="1" fontId="0" fillId="0" borderId="0" xfId="0" applyNumberFormat="1" applyFill="1" applyBorder="1"/>
    <xf numFmtId="1" fontId="0" fillId="0" borderId="0" xfId="0" applyNumberFormat="1" applyBorder="1"/>
    <xf numFmtId="169" fontId="0" fillId="0" borderId="1" xfId="0" applyNumberFormat="1" applyBorder="1"/>
    <xf numFmtId="0" fontId="0" fillId="0" borderId="0" xfId="0" applyAlignment="1">
      <alignment horizontal="center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46" fillId="0" borderId="0" xfId="0" applyNumberFormat="1" applyFont="1" applyAlignment="1">
      <alignment vertical="center"/>
    </xf>
    <xf numFmtId="2" fontId="0" fillId="3" borderId="0" xfId="0" applyNumberFormat="1" applyFill="1"/>
    <xf numFmtId="169" fontId="45" fillId="12" borderId="0" xfId="0" applyNumberFormat="1" applyFont="1" applyFill="1"/>
    <xf numFmtId="0" fontId="0" fillId="0" borderId="0" xfId="0" applyAlignment="1">
      <alignment horizontal="center"/>
    </xf>
    <xf numFmtId="9" fontId="25" fillId="26" borderId="1" xfId="0" applyNumberFormat="1" applyFont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 vertical="center"/>
    </xf>
    <xf numFmtId="9" fontId="25" fillId="9" borderId="1" xfId="0" applyNumberFormat="1" applyFont="1" applyFill="1" applyBorder="1" applyAlignment="1">
      <alignment horizontal="center" vertical="center"/>
    </xf>
    <xf numFmtId="170" fontId="0" fillId="0" borderId="0" xfId="0" applyNumberFormat="1" applyFill="1" applyBorder="1" applyAlignment="1">
      <alignment horizontal="center"/>
    </xf>
    <xf numFmtId="0" fontId="25" fillId="9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9" fontId="25" fillId="9" borderId="13" xfId="0" applyNumberFormat="1" applyFont="1" applyFill="1" applyBorder="1" applyAlignment="1">
      <alignment horizontal="center" vertical="center"/>
    </xf>
    <xf numFmtId="17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9" fillId="28" borderId="1" xfId="0" applyFont="1" applyFill="1" applyBorder="1" applyAlignment="1">
      <alignment horizontal="center" vertical="top" wrapText="1"/>
    </xf>
    <xf numFmtId="166" fontId="0" fillId="10" borderId="0" xfId="0" applyNumberFormat="1" applyFill="1" applyAlignment="1">
      <alignment horizontal="center"/>
    </xf>
    <xf numFmtId="168" fontId="35" fillId="24" borderId="1" xfId="3" applyNumberFormat="1" applyFont="1" applyFill="1" applyBorder="1" applyAlignment="1">
      <alignment horizontal="left" vertical="center"/>
    </xf>
    <xf numFmtId="168" fontId="16" fillId="24" borderId="1" xfId="3" applyNumberFormat="1" applyFont="1" applyFill="1" applyBorder="1" applyAlignment="1">
      <alignment horizontal="right" vertical="center"/>
    </xf>
    <xf numFmtId="169" fontId="33" fillId="0" borderId="0" xfId="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64" fontId="0" fillId="0" borderId="6" xfId="2" applyNumberFormat="1" applyFont="1" applyFill="1" applyBorder="1" applyAlignment="1">
      <alignment horizontal="center"/>
    </xf>
    <xf numFmtId="164" fontId="0" fillId="0" borderId="15" xfId="2" applyNumberFormat="1" applyFont="1" applyFill="1" applyBorder="1" applyAlignment="1">
      <alignment horizontal="center"/>
    </xf>
    <xf numFmtId="164" fontId="0" fillId="0" borderId="17" xfId="2" applyNumberFormat="1" applyFont="1" applyFill="1" applyBorder="1" applyAlignment="1">
      <alignment horizontal="center"/>
    </xf>
    <xf numFmtId="171" fontId="0" fillId="0" borderId="0" xfId="3" applyNumberFormat="1" applyFont="1" applyAlignment="1">
      <alignment horizontal="center"/>
    </xf>
    <xf numFmtId="171" fontId="0" fillId="0" borderId="5" xfId="3" applyNumberFormat="1" applyFont="1" applyFill="1" applyBorder="1" applyAlignment="1">
      <alignment horizontal="center"/>
    </xf>
    <xf numFmtId="171" fontId="0" fillId="0" borderId="7" xfId="3" applyNumberFormat="1" applyFont="1" applyFill="1" applyBorder="1" applyAlignment="1">
      <alignment horizontal="center"/>
    </xf>
    <xf numFmtId="171" fontId="0" fillId="0" borderId="16" xfId="3" applyNumberFormat="1" applyFont="1" applyFill="1" applyBorder="1" applyAlignment="1">
      <alignment horizontal="center"/>
    </xf>
    <xf numFmtId="171" fontId="0" fillId="0" borderId="14" xfId="3" applyNumberFormat="1" applyFont="1" applyFill="1" applyBorder="1" applyAlignment="1">
      <alignment horizontal="center"/>
    </xf>
    <xf numFmtId="171" fontId="0" fillId="0" borderId="13" xfId="3" applyNumberFormat="1" applyFont="1" applyFill="1" applyBorder="1" applyAlignment="1">
      <alignment horizontal="center"/>
    </xf>
    <xf numFmtId="171" fontId="0" fillId="0" borderId="8" xfId="3" applyNumberFormat="1" applyFont="1" applyFill="1" applyBorder="1" applyAlignment="1">
      <alignment horizontal="center"/>
    </xf>
    <xf numFmtId="171" fontId="0" fillId="0" borderId="2" xfId="3" applyNumberFormat="1" applyFont="1" applyFill="1" applyBorder="1" applyAlignment="1">
      <alignment horizontal="center"/>
    </xf>
    <xf numFmtId="171" fontId="0" fillId="0" borderId="1" xfId="3" applyNumberFormat="1" applyFont="1" applyFill="1" applyBorder="1" applyAlignment="1">
      <alignment horizontal="center"/>
    </xf>
    <xf numFmtId="171" fontId="0" fillId="0" borderId="18" xfId="3" applyNumberFormat="1" applyFont="1" applyFill="1" applyBorder="1" applyAlignment="1">
      <alignment horizontal="center"/>
    </xf>
    <xf numFmtId="171" fontId="0" fillId="0" borderId="0" xfId="3" applyNumberFormat="1" applyFont="1" applyFill="1" applyBorder="1" applyAlignment="1">
      <alignment horizontal="center"/>
    </xf>
    <xf numFmtId="171" fontId="0" fillId="0" borderId="19" xfId="3" applyNumberFormat="1" applyFont="1" applyFill="1" applyBorder="1" applyAlignment="1">
      <alignment horizontal="center"/>
    </xf>
    <xf numFmtId="2" fontId="2" fillId="0" borderId="1" xfId="0" applyNumberFormat="1" applyFont="1" applyFill="1" applyBorder="1"/>
    <xf numFmtId="169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7" fillId="10" borderId="1" xfId="4" applyFont="1" applyFill="1" applyBorder="1" applyAlignment="1">
      <alignment horizontal="right"/>
    </xf>
    <xf numFmtId="0" fontId="0" fillId="0" borderId="0" xfId="0" applyAlignment="1">
      <alignment horizontal="center"/>
    </xf>
    <xf numFmtId="2" fontId="17" fillId="0" borderId="0" xfId="0" applyNumberFormat="1" applyFont="1"/>
    <xf numFmtId="0" fontId="47" fillId="0" borderId="0" xfId="0" applyFont="1" applyAlignment="1">
      <alignment horizontal="center"/>
    </xf>
    <xf numFmtId="0" fontId="47" fillId="0" borderId="0" xfId="0" applyFont="1"/>
    <xf numFmtId="14" fontId="47" fillId="0" borderId="0" xfId="0" applyNumberFormat="1" applyFont="1"/>
    <xf numFmtId="0" fontId="48" fillId="0" borderId="0" xfId="0" applyFont="1" applyAlignment="1">
      <alignment horizontal="center"/>
    </xf>
    <xf numFmtId="0" fontId="2" fillId="19" borderId="0" xfId="0" applyFont="1" applyFill="1" applyAlignment="1">
      <alignment horizontal="center"/>
    </xf>
    <xf numFmtId="0" fontId="2" fillId="19" borderId="0" xfId="0" applyFont="1" applyFill="1"/>
    <xf numFmtId="0" fontId="20" fillId="15" borderId="1" xfId="0" applyFont="1" applyFill="1" applyBorder="1"/>
    <xf numFmtId="0" fontId="20" fillId="21" borderId="1" xfId="0" applyFont="1" applyFill="1" applyBorder="1"/>
    <xf numFmtId="2" fontId="2" fillId="3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8" fontId="17" fillId="0" borderId="0" xfId="0" applyNumberFormat="1" applyFont="1"/>
    <xf numFmtId="14" fontId="35" fillId="24" borderId="1" xfId="0" applyNumberFormat="1" applyFont="1" applyFill="1" applyBorder="1" applyAlignment="1">
      <alignment horizontal="center" vertical="center"/>
    </xf>
    <xf numFmtId="2" fontId="35" fillId="2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49" fillId="0" borderId="0" xfId="0" applyFont="1" applyAlignment="1">
      <alignment horizontal="center"/>
    </xf>
    <xf numFmtId="0" fontId="49" fillId="0" borderId="0" xfId="0" applyFont="1"/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0" fillId="0" borderId="1" xfId="0" applyFont="1" applyFill="1" applyBorder="1" applyAlignment="1">
      <alignment horizontal="left" vertical="center"/>
    </xf>
    <xf numFmtId="0" fontId="51" fillId="0" borderId="1" xfId="0" applyFont="1" applyFill="1" applyBorder="1" applyAlignment="1">
      <alignment horizontal="left" vertical="center"/>
    </xf>
    <xf numFmtId="169" fontId="19" fillId="0" borderId="0" xfId="0" applyNumberFormat="1" applyFont="1"/>
    <xf numFmtId="0" fontId="0" fillId="0" borderId="0" xfId="0" applyAlignment="1">
      <alignment horizontal="center"/>
    </xf>
    <xf numFmtId="168" fontId="52" fillId="24" borderId="1" xfId="3" applyNumberFormat="1" applyFont="1" applyFill="1" applyBorder="1" applyAlignment="1">
      <alignment horizontal="right" vertical="center"/>
    </xf>
    <xf numFmtId="168" fontId="53" fillId="24" borderId="1" xfId="3" applyNumberFormat="1" applyFont="1" applyFill="1" applyBorder="1" applyAlignment="1">
      <alignment horizontal="right" vertical="center"/>
    </xf>
    <xf numFmtId="168" fontId="35" fillId="24" borderId="1" xfId="3" applyNumberFormat="1" applyFont="1" applyFill="1" applyBorder="1" applyAlignment="1">
      <alignment horizontal="center" vertical="center"/>
    </xf>
    <xf numFmtId="0" fontId="37" fillId="19" borderId="1" xfId="4" applyFont="1" applyFill="1" applyBorder="1" applyAlignment="1">
      <alignment horizontal="right"/>
    </xf>
    <xf numFmtId="0" fontId="25" fillId="26" borderId="0" xfId="0" applyFont="1" applyFill="1" applyBorder="1" applyAlignment="1">
      <alignment horizontal="center" vertical="center"/>
    </xf>
    <xf numFmtId="168" fontId="35" fillId="24" borderId="0" xfId="3" applyNumberFormat="1" applyFont="1" applyFill="1" applyBorder="1" applyAlignment="1">
      <alignment horizontal="right" vertical="center"/>
    </xf>
    <xf numFmtId="168" fontId="16" fillId="24" borderId="0" xfId="3" applyNumberFormat="1" applyFont="1" applyFill="1" applyBorder="1" applyAlignment="1">
      <alignment horizontal="right" vertical="center"/>
    </xf>
    <xf numFmtId="168" fontId="53" fillId="24" borderId="0" xfId="3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171" fontId="35" fillId="24" borderId="1" xfId="3" applyNumberFormat="1" applyFont="1" applyFill="1" applyBorder="1" applyAlignment="1">
      <alignment horizontal="center" vertical="center"/>
    </xf>
    <xf numFmtId="0" fontId="19" fillId="0" borderId="0" xfId="0" applyFont="1" applyFill="1"/>
    <xf numFmtId="0" fontId="8" fillId="0" borderId="0" xfId="0" applyFont="1" applyFill="1"/>
    <xf numFmtId="169" fontId="8" fillId="0" borderId="0" xfId="0" applyNumberFormat="1" applyFont="1" applyFill="1"/>
    <xf numFmtId="2" fontId="8" fillId="0" borderId="1" xfId="0" applyNumberFormat="1" applyFont="1" applyFill="1" applyBorder="1" applyAlignment="1">
      <alignment horizontal="center"/>
    </xf>
    <xf numFmtId="1" fontId="19" fillId="0" borderId="1" xfId="0" applyNumberFormat="1" applyFont="1" applyFill="1" applyBorder="1" applyAlignment="1">
      <alignment horizontal="center"/>
    </xf>
    <xf numFmtId="169" fontId="2" fillId="0" borderId="0" xfId="0" applyNumberFormat="1" applyFont="1"/>
    <xf numFmtId="0" fontId="31" fillId="0" borderId="1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20" fillId="0" borderId="1" xfId="0" applyFont="1" applyBorder="1" applyAlignment="1">
      <alignment horizontal="center"/>
    </xf>
    <xf numFmtId="169" fontId="35" fillId="22" borderId="1" xfId="0" applyNumberFormat="1" applyFont="1" applyFill="1" applyBorder="1" applyAlignment="1">
      <alignment horizontal="center" vertical="center"/>
    </xf>
    <xf numFmtId="0" fontId="27" fillId="27" borderId="1" xfId="0" applyFont="1" applyFill="1" applyBorder="1" applyAlignment="1">
      <alignment horizontal="center" vertical="top" wrapText="1"/>
    </xf>
    <xf numFmtId="0" fontId="28" fillId="28" borderId="1" xfId="0" applyFont="1" applyFill="1" applyBorder="1" applyAlignment="1">
      <alignment horizontal="center" vertical="top" wrapText="1"/>
    </xf>
    <xf numFmtId="0" fontId="29" fillId="28" borderId="1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42" fillId="0" borderId="0" xfId="4" applyFont="1" applyFill="1" applyAlignment="1">
      <alignment horizontal="center"/>
    </xf>
    <xf numFmtId="0" fontId="54" fillId="0" borderId="0" xfId="4" applyFont="1" applyFill="1" applyAlignment="1">
      <alignment horizontal="center"/>
    </xf>
    <xf numFmtId="169" fontId="42" fillId="0" borderId="0" xfId="4" applyNumberFormat="1" applyFont="1" applyFill="1" applyBorder="1" applyAlignment="1"/>
    <xf numFmtId="169" fontId="42" fillId="0" borderId="0" xfId="4" applyNumberFormat="1" applyFont="1" applyFill="1" applyBorder="1" applyAlignment="1">
      <alignment horizontal="center"/>
    </xf>
    <xf numFmtId="169" fontId="42" fillId="0" borderId="1" xfId="4" applyNumberFormat="1" applyFont="1" applyFill="1" applyBorder="1" applyAlignment="1">
      <alignment horizontal="center"/>
    </xf>
    <xf numFmtId="9" fontId="42" fillId="0" borderId="1" xfId="2" applyFont="1" applyFill="1" applyBorder="1" applyAlignment="1">
      <alignment horizontal="center"/>
    </xf>
    <xf numFmtId="168" fontId="42" fillId="0" borderId="1" xfId="3" applyNumberFormat="1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169" fontId="37" fillId="0" borderId="1" xfId="4" applyNumberFormat="1" applyFont="1" applyFill="1" applyBorder="1" applyAlignment="1">
      <alignment horizontal="center"/>
    </xf>
    <xf numFmtId="0" fontId="37" fillId="14" borderId="1" xfId="4" applyFont="1" applyFill="1" applyBorder="1" applyAlignment="1">
      <alignment horizontal="right"/>
    </xf>
  </cellXfs>
  <cellStyles count="5">
    <cellStyle name="Excel Built-in Normal" xfId="4" xr:uid="{00000000-0005-0000-0000-000001000000}"/>
    <cellStyle name="Millares" xfId="3" builtinId="3"/>
    <cellStyle name="Moneda" xfId="1" builtinId="4"/>
    <cellStyle name="Normal" xfId="0" builtinId="0"/>
    <cellStyle name="Porcentaje" xfId="2" builtinId="5"/>
  </cellStyles>
  <dxfs count="7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auto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83.hattrick.org/World/Leagues/League.aspx?LeagueID=24" TargetMode="External"/><Relationship Id="rId21" Type="http://schemas.openxmlformats.org/officeDocument/2006/relationships/hyperlink" Target="http://www83.hattrick.org/World/Leagues/League.aspx?LeagueID=19" TargetMode="External"/><Relationship Id="rId42" Type="http://schemas.openxmlformats.org/officeDocument/2006/relationships/hyperlink" Target="http://www93.hattrick.org/World/Leagues/League.aspx?LeagueID=70" TargetMode="External"/><Relationship Id="rId47" Type="http://schemas.openxmlformats.org/officeDocument/2006/relationships/hyperlink" Target="http://www94.hattrick.org/World/Leagues/League.aspx?LeagueID=12" TargetMode="External"/><Relationship Id="rId63" Type="http://schemas.openxmlformats.org/officeDocument/2006/relationships/hyperlink" Target="http://www78.hattrick.org/World/Leagues/League.aspx?LeagueID=36" TargetMode="External"/><Relationship Id="rId68" Type="http://schemas.openxmlformats.org/officeDocument/2006/relationships/hyperlink" Target="http://www78.hattrick.org/World/Leagues/League.aspx?LeagueID=25" TargetMode="External"/><Relationship Id="rId84" Type="http://schemas.openxmlformats.org/officeDocument/2006/relationships/hyperlink" Target="http://www92.hattrick.org/World/Leagues/League.aspx?LeagueID=34" TargetMode="External"/><Relationship Id="rId89" Type="http://schemas.openxmlformats.org/officeDocument/2006/relationships/hyperlink" Target="http://www92.hattrick.org/World/Leagues/League.aspx?LeagueID=37" TargetMode="External"/><Relationship Id="rId16" Type="http://schemas.openxmlformats.org/officeDocument/2006/relationships/hyperlink" Target="http://www88.hattrick.org/World/Leagues/League.aspx?LeagueID=25" TargetMode="External"/><Relationship Id="rId11" Type="http://schemas.openxmlformats.org/officeDocument/2006/relationships/hyperlink" Target="http://www88.hattrick.org/World/Leagues/League.aspx?LeagueID=11" TargetMode="External"/><Relationship Id="rId32" Type="http://schemas.openxmlformats.org/officeDocument/2006/relationships/hyperlink" Target="http://www93.hattrick.org/World/Leagues/League.aspx?LeagueID=7" TargetMode="External"/><Relationship Id="rId37" Type="http://schemas.openxmlformats.org/officeDocument/2006/relationships/hyperlink" Target="http://www93.hattrick.org/World/Leagues/League.aspx?LeagueID=14" TargetMode="External"/><Relationship Id="rId53" Type="http://schemas.openxmlformats.org/officeDocument/2006/relationships/hyperlink" Target="http://www94.hattrick.org/World/Leagues/League.aspx?LeagueID=34" TargetMode="External"/><Relationship Id="rId58" Type="http://schemas.openxmlformats.org/officeDocument/2006/relationships/hyperlink" Target="http://www94.hattrick.org/World/Leagues/League.aspx?LeagueID=37" TargetMode="External"/><Relationship Id="rId74" Type="http://schemas.openxmlformats.org/officeDocument/2006/relationships/hyperlink" Target="http://www78.hattrick.org/World/Leagues/League.aspx?LeagueID=5" TargetMode="External"/><Relationship Id="rId79" Type="http://schemas.openxmlformats.org/officeDocument/2006/relationships/hyperlink" Target="http://www92.hattrick.org/World/Leagues/League.aspx?LeagueID=3" TargetMode="External"/><Relationship Id="rId102" Type="http://schemas.openxmlformats.org/officeDocument/2006/relationships/hyperlink" Target="http://www76.hattrick.org/World/Leagues/League.aspx?LeagueID=3" TargetMode="External"/><Relationship Id="rId5" Type="http://schemas.openxmlformats.org/officeDocument/2006/relationships/hyperlink" Target="http://www88.hattrick.org/World/Leagues/League.aspx?LeagueID=24" TargetMode="External"/><Relationship Id="rId90" Type="http://schemas.openxmlformats.org/officeDocument/2006/relationships/hyperlink" Target="http://www76.hattrick.org/World/Leagues/League.aspx?LeagueID=36" TargetMode="External"/><Relationship Id="rId95" Type="http://schemas.openxmlformats.org/officeDocument/2006/relationships/hyperlink" Target="http://www76.hattrick.org/World/Leagues/League.aspx?LeagueID=14" TargetMode="External"/><Relationship Id="rId22" Type="http://schemas.openxmlformats.org/officeDocument/2006/relationships/hyperlink" Target="http://www83.hattrick.org/World/Leagues/League.aspx?LeagueID=25" TargetMode="External"/><Relationship Id="rId27" Type="http://schemas.openxmlformats.org/officeDocument/2006/relationships/hyperlink" Target="http://www83.hattrick.org/World/Leagues/League.aspx?LeagueID=11" TargetMode="External"/><Relationship Id="rId43" Type="http://schemas.openxmlformats.org/officeDocument/2006/relationships/hyperlink" Target="http://www93.hattrick.org/World/Leagues/League.aspx?LeagueID=4" TargetMode="External"/><Relationship Id="rId48" Type="http://schemas.openxmlformats.org/officeDocument/2006/relationships/hyperlink" Target="http://www94.hattrick.org/World/Leagues/League.aspx?LeagueID=3" TargetMode="External"/><Relationship Id="rId64" Type="http://schemas.openxmlformats.org/officeDocument/2006/relationships/hyperlink" Target="http://www78.hattrick.org/World/Leagues/League.aspx?LeagueID=7" TargetMode="External"/><Relationship Id="rId69" Type="http://schemas.openxmlformats.org/officeDocument/2006/relationships/hyperlink" Target="http://www78.hattrick.org/World/Leagues/League.aspx?LeagueID=14" TargetMode="External"/><Relationship Id="rId80" Type="http://schemas.openxmlformats.org/officeDocument/2006/relationships/hyperlink" Target="http://www92.hattrick.org/World/Leagues/League.aspx?LeagueID=19" TargetMode="External"/><Relationship Id="rId85" Type="http://schemas.openxmlformats.org/officeDocument/2006/relationships/hyperlink" Target="http://www92.hattrick.org/World/Leagues/League.aspx?LeagueID=24" TargetMode="External"/><Relationship Id="rId12" Type="http://schemas.openxmlformats.org/officeDocument/2006/relationships/hyperlink" Target="http://www88.hattrick.org/World/Leagues/League.aspx?LeagueID=3" TargetMode="External"/><Relationship Id="rId17" Type="http://schemas.openxmlformats.org/officeDocument/2006/relationships/hyperlink" Target="http://www83.hattrick.org/World/Leagues/League.aspx?LeagueID=36" TargetMode="External"/><Relationship Id="rId33" Type="http://schemas.openxmlformats.org/officeDocument/2006/relationships/hyperlink" Target="http://www93.hattrick.org/World/Leagues/League.aspx?LeagueID=12" TargetMode="External"/><Relationship Id="rId38" Type="http://schemas.openxmlformats.org/officeDocument/2006/relationships/hyperlink" Target="http://www93.hattrick.org/World/Leagues/League.aspx?LeagueID=93" TargetMode="External"/><Relationship Id="rId59" Type="http://schemas.openxmlformats.org/officeDocument/2006/relationships/hyperlink" Target="http://www88.hattrick.org/World/Leagues/League.aspx?LeagueID=12" TargetMode="External"/><Relationship Id="rId103" Type="http://schemas.openxmlformats.org/officeDocument/2006/relationships/hyperlink" Target="http://www76.hattrick.org/World/Leagues/League.aspx?LeagueID=63" TargetMode="External"/><Relationship Id="rId20" Type="http://schemas.openxmlformats.org/officeDocument/2006/relationships/hyperlink" Target="http://www83.hattrick.org/World/Leagues/League.aspx?LeagueID=3" TargetMode="External"/><Relationship Id="rId41" Type="http://schemas.openxmlformats.org/officeDocument/2006/relationships/hyperlink" Target="http://www93.hattrick.org/World/Leagues/League.aspx?LeagueID=11" TargetMode="External"/><Relationship Id="rId54" Type="http://schemas.openxmlformats.org/officeDocument/2006/relationships/hyperlink" Target="http://www94.hattrick.org/World/Leagues/League.aspx?LeagueID=24" TargetMode="External"/><Relationship Id="rId62" Type="http://schemas.openxmlformats.org/officeDocument/2006/relationships/hyperlink" Target="http://www88.hattrick.org/World/Leagues/League.aspx?LeagueID=37" TargetMode="External"/><Relationship Id="rId70" Type="http://schemas.openxmlformats.org/officeDocument/2006/relationships/hyperlink" Target="http://www78.hattrick.org/World/Leagues/League.aspx?LeagueID=93" TargetMode="External"/><Relationship Id="rId75" Type="http://schemas.openxmlformats.org/officeDocument/2006/relationships/hyperlink" Target="http://www78.hattrick.org/World/Leagues/League.aspx?LeagueID=4" TargetMode="External"/><Relationship Id="rId83" Type="http://schemas.openxmlformats.org/officeDocument/2006/relationships/hyperlink" Target="http://www92.hattrick.org/World/Leagues/League.aspx?LeagueID=93" TargetMode="External"/><Relationship Id="rId88" Type="http://schemas.openxmlformats.org/officeDocument/2006/relationships/hyperlink" Target="http://www92.hattrick.org/World/Leagues/League.aspx?LeagueID=5" TargetMode="External"/><Relationship Id="rId91" Type="http://schemas.openxmlformats.org/officeDocument/2006/relationships/hyperlink" Target="http://www76.hattrick.org/World/Leagues/League.aspx?LeagueID=8" TargetMode="External"/><Relationship Id="rId96" Type="http://schemas.openxmlformats.org/officeDocument/2006/relationships/hyperlink" Target="http://www76.hattrick.org/World/Leagues/League.aspx?LeagueID=4" TargetMode="External"/><Relationship Id="rId1" Type="http://schemas.openxmlformats.org/officeDocument/2006/relationships/hyperlink" Target="http://www88.hattrick.org/World/Leagues/League.aspx?LeagueID=36" TargetMode="External"/><Relationship Id="rId6" Type="http://schemas.openxmlformats.org/officeDocument/2006/relationships/hyperlink" Target="http://www88.hattrick.org/World/Leagues/League.aspx?LeagueID=50" TargetMode="External"/><Relationship Id="rId15" Type="http://schemas.openxmlformats.org/officeDocument/2006/relationships/hyperlink" Target="http://www88.hattrick.org/World/Leagues/League.aspx?LeagueID=44" TargetMode="External"/><Relationship Id="rId23" Type="http://schemas.openxmlformats.org/officeDocument/2006/relationships/hyperlink" Target="http://www83.hattrick.org/World/Leagues/League.aspx?LeagueID=14" TargetMode="External"/><Relationship Id="rId28" Type="http://schemas.openxmlformats.org/officeDocument/2006/relationships/hyperlink" Target="http://www83.hattrick.org/World/Leagues/League.aspx?LeagueID=70" TargetMode="External"/><Relationship Id="rId36" Type="http://schemas.openxmlformats.org/officeDocument/2006/relationships/hyperlink" Target="http://www93.hattrick.org/World/Leagues/League.aspx?LeagueID=25" TargetMode="External"/><Relationship Id="rId49" Type="http://schemas.openxmlformats.org/officeDocument/2006/relationships/hyperlink" Target="http://www94.hattrick.org/World/Leagues/League.aspx?LeagueID=19" TargetMode="External"/><Relationship Id="rId57" Type="http://schemas.openxmlformats.org/officeDocument/2006/relationships/hyperlink" Target="http://www94.hattrick.org/World/Leagues/League.aspx?LeagueID=4" TargetMode="External"/><Relationship Id="rId10" Type="http://schemas.openxmlformats.org/officeDocument/2006/relationships/hyperlink" Target="http://www88.hattrick.org/World/Leagues/League.aspx?LeagueID=14" TargetMode="External"/><Relationship Id="rId31" Type="http://schemas.openxmlformats.org/officeDocument/2006/relationships/hyperlink" Target="http://www93.hattrick.org/World/Leagues/League.aspx?LeagueID=36" TargetMode="External"/><Relationship Id="rId44" Type="http://schemas.openxmlformats.org/officeDocument/2006/relationships/hyperlink" Target="http://www93.hattrick.org/World/Leagues/League.aspx?LeagueID=37" TargetMode="External"/><Relationship Id="rId52" Type="http://schemas.openxmlformats.org/officeDocument/2006/relationships/hyperlink" Target="http://www94.hattrick.org/World/Leagues/League.aspx?LeagueID=93" TargetMode="External"/><Relationship Id="rId60" Type="http://schemas.openxmlformats.org/officeDocument/2006/relationships/hyperlink" Target="http://www88.hattrick.org/World/Leagues/League.aspx?LeagueID=93" TargetMode="External"/><Relationship Id="rId65" Type="http://schemas.openxmlformats.org/officeDocument/2006/relationships/hyperlink" Target="http://www78.hattrick.org/World/Leagues/League.aspx?LeagueID=12" TargetMode="External"/><Relationship Id="rId73" Type="http://schemas.openxmlformats.org/officeDocument/2006/relationships/hyperlink" Target="http://www78.hattrick.org/World/Leagues/League.aspx?LeagueID=11" TargetMode="External"/><Relationship Id="rId78" Type="http://schemas.openxmlformats.org/officeDocument/2006/relationships/hyperlink" Target="http://www92.hattrick.org/World/Leagues/League.aspx?LeagueID=12" TargetMode="External"/><Relationship Id="rId81" Type="http://schemas.openxmlformats.org/officeDocument/2006/relationships/hyperlink" Target="http://www92.hattrick.org/World/Leagues/League.aspx?LeagueID=25" TargetMode="External"/><Relationship Id="rId86" Type="http://schemas.openxmlformats.org/officeDocument/2006/relationships/hyperlink" Target="http://www92.hattrick.org/World/Leagues/League.aspx?LeagueID=11" TargetMode="External"/><Relationship Id="rId94" Type="http://schemas.openxmlformats.org/officeDocument/2006/relationships/hyperlink" Target="http://www76.hattrick.org/World/Leagues/League.aspx?LeagueID=12" TargetMode="External"/><Relationship Id="rId99" Type="http://schemas.openxmlformats.org/officeDocument/2006/relationships/hyperlink" Target="http://www76.hattrick.org/World/Leagues/League.aspx?LeagueID=120" TargetMode="External"/><Relationship Id="rId101" Type="http://schemas.openxmlformats.org/officeDocument/2006/relationships/hyperlink" Target="http://www76.hattrick.org/World/Leagues/League.aspx?LeagueID=28" TargetMode="External"/><Relationship Id="rId4" Type="http://schemas.openxmlformats.org/officeDocument/2006/relationships/hyperlink" Target="http://www88.hattrick.org/World/Leagues/League.aspx?LeagueID=4" TargetMode="External"/><Relationship Id="rId9" Type="http://schemas.openxmlformats.org/officeDocument/2006/relationships/hyperlink" Target="http://www88.hattrick.org/World/Leagues/League.aspx?LeagueID=62" TargetMode="External"/><Relationship Id="rId13" Type="http://schemas.openxmlformats.org/officeDocument/2006/relationships/hyperlink" Target="http://www88.hattrick.org/World/Leagues/League.aspx?LeagueID=63" TargetMode="External"/><Relationship Id="rId18" Type="http://schemas.openxmlformats.org/officeDocument/2006/relationships/hyperlink" Target="http://www83.hattrick.org/World/Leagues/League.aspx?LeagueID=7" TargetMode="External"/><Relationship Id="rId39" Type="http://schemas.openxmlformats.org/officeDocument/2006/relationships/hyperlink" Target="http://www93.hattrick.org/World/Leagues/League.aspx?LeagueID=34" TargetMode="External"/><Relationship Id="rId34" Type="http://schemas.openxmlformats.org/officeDocument/2006/relationships/hyperlink" Target="http://www93.hattrick.org/World/Leagues/League.aspx?LeagueID=3" TargetMode="External"/><Relationship Id="rId50" Type="http://schemas.openxmlformats.org/officeDocument/2006/relationships/hyperlink" Target="http://www94.hattrick.org/World/Leagues/League.aspx?LeagueID=25" TargetMode="External"/><Relationship Id="rId55" Type="http://schemas.openxmlformats.org/officeDocument/2006/relationships/hyperlink" Target="http://www94.hattrick.org/World/Leagues/League.aspx?LeagueID=11" TargetMode="External"/><Relationship Id="rId76" Type="http://schemas.openxmlformats.org/officeDocument/2006/relationships/hyperlink" Target="http://www78.hattrick.org/World/Leagues/League.aspx?LeagueID=37" TargetMode="External"/><Relationship Id="rId97" Type="http://schemas.openxmlformats.org/officeDocument/2006/relationships/hyperlink" Target="http://www76.hattrick.org/World/Leagues/League.aspx?LeagueID=5" TargetMode="External"/><Relationship Id="rId104" Type="http://schemas.openxmlformats.org/officeDocument/2006/relationships/hyperlink" Target="http://www76.hattrick.org/World/Leagues/League.aspx?LeagueID=67" TargetMode="External"/><Relationship Id="rId7" Type="http://schemas.openxmlformats.org/officeDocument/2006/relationships/hyperlink" Target="http://www88.hattrick.org/World/Leagues/League.aspx?LeagueID=26" TargetMode="External"/><Relationship Id="rId71" Type="http://schemas.openxmlformats.org/officeDocument/2006/relationships/hyperlink" Target="http://www78.hattrick.org/World/Leagues/League.aspx?LeagueID=34" TargetMode="External"/><Relationship Id="rId92" Type="http://schemas.openxmlformats.org/officeDocument/2006/relationships/hyperlink" Target="http://www76.hattrick.org/World/Leagues/League.aspx?LeagueID=52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www83.hattrick.org/World/Leagues/League.aspx?LeagueID=4" TargetMode="External"/><Relationship Id="rId24" Type="http://schemas.openxmlformats.org/officeDocument/2006/relationships/hyperlink" Target="http://www83.hattrick.org/World/Leagues/League.aspx?LeagueID=93" TargetMode="External"/><Relationship Id="rId40" Type="http://schemas.openxmlformats.org/officeDocument/2006/relationships/hyperlink" Target="http://www93.hattrick.org/World/Leagues/League.aspx?LeagueID=24" TargetMode="External"/><Relationship Id="rId45" Type="http://schemas.openxmlformats.org/officeDocument/2006/relationships/hyperlink" Target="http://www94.hattrick.org/World/Leagues/League.aspx?LeagueID=36" TargetMode="External"/><Relationship Id="rId66" Type="http://schemas.openxmlformats.org/officeDocument/2006/relationships/hyperlink" Target="http://www78.hattrick.org/World/Leagues/League.aspx?LeagueID=3" TargetMode="External"/><Relationship Id="rId87" Type="http://schemas.openxmlformats.org/officeDocument/2006/relationships/hyperlink" Target="http://www92.hattrick.org/World/Leagues/League.aspx?LeagueID=64" TargetMode="External"/><Relationship Id="rId61" Type="http://schemas.openxmlformats.org/officeDocument/2006/relationships/hyperlink" Target="http://www88.hattrick.org/World/Leagues/League.aspx?LeagueID=34" TargetMode="External"/><Relationship Id="rId82" Type="http://schemas.openxmlformats.org/officeDocument/2006/relationships/hyperlink" Target="http://www92.hattrick.org/World/Leagues/League.aspx?LeagueID=14" TargetMode="External"/><Relationship Id="rId19" Type="http://schemas.openxmlformats.org/officeDocument/2006/relationships/hyperlink" Target="http://www83.hattrick.org/World/Leagues/League.aspx?LeagueID=12" TargetMode="External"/><Relationship Id="rId14" Type="http://schemas.openxmlformats.org/officeDocument/2006/relationships/hyperlink" Target="http://www88.hattrick.org/World/Leagues/League.aspx?LeagueID=70" TargetMode="External"/><Relationship Id="rId30" Type="http://schemas.openxmlformats.org/officeDocument/2006/relationships/hyperlink" Target="http://www83.hattrick.org/World/Leagues/League.aspx?LeagueID=37" TargetMode="External"/><Relationship Id="rId35" Type="http://schemas.openxmlformats.org/officeDocument/2006/relationships/hyperlink" Target="http://www93.hattrick.org/World/Leagues/League.aspx?LeagueID=19" TargetMode="External"/><Relationship Id="rId56" Type="http://schemas.openxmlformats.org/officeDocument/2006/relationships/hyperlink" Target="http://www94.hattrick.org/World/Leagues/League.aspx?LeagueID=70" TargetMode="External"/><Relationship Id="rId77" Type="http://schemas.openxmlformats.org/officeDocument/2006/relationships/hyperlink" Target="http://www92.hattrick.org/World/Leagues/League.aspx?LeagueID=36" TargetMode="External"/><Relationship Id="rId100" Type="http://schemas.openxmlformats.org/officeDocument/2006/relationships/hyperlink" Target="http://www76.hattrick.org/World/Leagues/League.aspx?LeagueID=51" TargetMode="External"/><Relationship Id="rId105" Type="http://schemas.openxmlformats.org/officeDocument/2006/relationships/hyperlink" Target="http://www75.hattrick.org/World/Leagues/League.aspx?LeagueID=36" TargetMode="External"/><Relationship Id="rId8" Type="http://schemas.openxmlformats.org/officeDocument/2006/relationships/hyperlink" Target="http://www88.hattrick.org/World/Leagues/League.aspx?LeagueID=19" TargetMode="External"/><Relationship Id="rId51" Type="http://schemas.openxmlformats.org/officeDocument/2006/relationships/hyperlink" Target="http://www94.hattrick.org/World/Leagues/League.aspx?LeagueID=14" TargetMode="External"/><Relationship Id="rId72" Type="http://schemas.openxmlformats.org/officeDocument/2006/relationships/hyperlink" Target="http://www78.hattrick.org/World/Leagues/League.aspx?LeagueID=24" TargetMode="External"/><Relationship Id="rId93" Type="http://schemas.openxmlformats.org/officeDocument/2006/relationships/hyperlink" Target="http://www76.hattrick.org/World/Leagues/League.aspx?LeagueID=1" TargetMode="External"/><Relationship Id="rId98" Type="http://schemas.openxmlformats.org/officeDocument/2006/relationships/hyperlink" Target="http://www76.hattrick.org/World/Leagues/League.aspx?LeagueID=7" TargetMode="External"/><Relationship Id="rId3" Type="http://schemas.openxmlformats.org/officeDocument/2006/relationships/hyperlink" Target="http://www88.hattrick.org/World/Leagues/League.aspx?LeagueID=7" TargetMode="External"/><Relationship Id="rId25" Type="http://schemas.openxmlformats.org/officeDocument/2006/relationships/hyperlink" Target="http://www83.hattrick.org/World/Leagues/League.aspx?LeagueID=34" TargetMode="External"/><Relationship Id="rId46" Type="http://schemas.openxmlformats.org/officeDocument/2006/relationships/hyperlink" Target="http://www94.hattrick.org/World/Leagues/League.aspx?LeagueID=7" TargetMode="External"/><Relationship Id="rId67" Type="http://schemas.openxmlformats.org/officeDocument/2006/relationships/hyperlink" Target="http://www78.hattrick.org/World/Leagues/League.aspx?LeagueID=1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" name="Picture 8" descr="Argentin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9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10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" name="Picture 11" descr="Hella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12" descr="Scotlan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" name="Picture 13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0" name="Picture 15" descr="Bulgar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0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1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" name="Picture 31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8" name="Picture 7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9" name="Picture 9" descr="Argentina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0" name="Picture 1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2" name="Picture 13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7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8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48" name="Picture 32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54" name="Picture 4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55" name="Picture 41" descr="România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7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58" name="Picture 8" descr="Argentina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9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0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2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3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4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5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6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7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8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9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0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1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3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74" name="Picture 26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5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7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8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9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80" name="Picture 32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81" name="Picture 3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83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84" name="Picture 36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85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86" name="Picture 8" descr="Argentina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87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88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0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1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2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3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4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5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6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7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8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9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1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02" name="Picture 26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3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5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6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7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08" name="Picture 3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09" name="Picture 34" descr="Italia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1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12" name="Picture 37" descr="România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13" name="Picture 38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4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15" name="Picture 8" descr="Argentin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6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7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9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0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1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2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3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4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5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6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7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8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30" name="Picture 24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31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33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34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35" name="Picture 31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36" name="Picture 33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38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39" name="Picture 36" descr="România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40" name="Picture 37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1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42" name="Picture 8" descr="Argentina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3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4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6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7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8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9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0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1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2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3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4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5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7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58" name="Picture 26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9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1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2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3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64" name="Picture 34" descr="Italia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65" name="Picture 35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7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68" name="Picture 38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9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70" name="Picture 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1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2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4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5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6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7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8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9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0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1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2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3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5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86" name="Picture 25" descr="Franc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7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9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0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1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2" name="Picture 31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4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95" name="Picture 3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6" name="Picture 35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97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8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9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2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2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2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6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6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6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9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9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0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1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2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3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4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5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7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8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9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0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1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2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3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4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5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6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7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8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5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8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8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8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0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0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0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3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6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514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9525</xdr:colOff>
      <xdr:row>23</xdr:row>
      <xdr:rowOff>9525</xdr:rowOff>
    </xdr:to>
    <xdr:pic>
      <xdr:nvPicPr>
        <xdr:cNvPr id="657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533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9525</xdr:rowOff>
    </xdr:to>
    <xdr:pic>
      <xdr:nvPicPr>
        <xdr:cNvPr id="658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59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0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3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1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3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62" name="Picture 30" descr="Españ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4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9525</xdr:rowOff>
    </xdr:to>
    <xdr:pic>
      <xdr:nvPicPr>
        <xdr:cNvPr id="663" name="Picture 31" descr="Españ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4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4" name="Picture 32" descr="Españ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4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5" name="Picture 33" descr="Españ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4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3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6" name="Picture 4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3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304800</xdr:colOff>
      <xdr:row>22</xdr:row>
      <xdr:rowOff>95250</xdr:rowOff>
    </xdr:to>
    <xdr:sp macro="" textlink="">
      <xdr:nvSpPr>
        <xdr:cNvPr id="667" name="AutoShape 42" descr="Imprevisible">
          <a:extLst>
            <a:ext uri="{FF2B5EF4-FFF2-40B4-BE49-F238E27FC236}">
              <a16:creationId xmlns:a16="http://schemas.microsoft.com/office/drawing/2014/main" id="{00000000-0008-0000-04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5248275" y="438150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68" name="Picture 4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304800</xdr:colOff>
      <xdr:row>23</xdr:row>
      <xdr:rowOff>104775</xdr:rowOff>
    </xdr:to>
    <xdr:sp macro="" textlink="">
      <xdr:nvSpPr>
        <xdr:cNvPr id="669" name="AutoShape 44" descr="Ràpid">
          <a:extLst>
            <a:ext uri="{FF2B5EF4-FFF2-40B4-BE49-F238E27FC236}">
              <a16:creationId xmlns:a16="http://schemas.microsoft.com/office/drawing/2014/main" id="{00000000-0008-0000-04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5248275" y="45720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304800</xdr:colOff>
      <xdr:row>18</xdr:row>
      <xdr:rowOff>104775</xdr:rowOff>
    </xdr:to>
    <xdr:sp macro="" textlink="">
      <xdr:nvSpPr>
        <xdr:cNvPr id="670" name="AutoShape 47" descr="Entrenador">
          <a:extLst>
            <a:ext uri="{FF2B5EF4-FFF2-40B4-BE49-F238E27FC236}">
              <a16:creationId xmlns:a16="http://schemas.microsoft.com/office/drawing/2014/main" id="{00000000-0008-0000-04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5248275" y="34290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304800</xdr:colOff>
      <xdr:row>18</xdr:row>
      <xdr:rowOff>104775</xdr:rowOff>
    </xdr:to>
    <xdr:sp macro="" textlink="">
      <xdr:nvSpPr>
        <xdr:cNvPr id="671" name="AutoShape 48" descr="Imprevisible">
          <a:extLst>
            <a:ext uri="{FF2B5EF4-FFF2-40B4-BE49-F238E27FC236}">
              <a16:creationId xmlns:a16="http://schemas.microsoft.com/office/drawing/2014/main" id="{00000000-0008-0000-04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5248275" y="34290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72" name="Picture 50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304800</xdr:colOff>
      <xdr:row>20</xdr:row>
      <xdr:rowOff>104775</xdr:rowOff>
    </xdr:to>
    <xdr:sp macro="" textlink="">
      <xdr:nvSpPr>
        <xdr:cNvPr id="673" name="AutoShape 51" descr="Tècnic">
          <a:extLst>
            <a:ext uri="{FF2B5EF4-FFF2-40B4-BE49-F238E27FC236}">
              <a16:creationId xmlns:a16="http://schemas.microsoft.com/office/drawing/2014/main" id="{00000000-0008-0000-04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5248275" y="38100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9525</xdr:rowOff>
    </xdr:to>
    <xdr:pic>
      <xdr:nvPicPr>
        <xdr:cNvPr id="674" name="Picture 52" descr="România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4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75" name="Picture 5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76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77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78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79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0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1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2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3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4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5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6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7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8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9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0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1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2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3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4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5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6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7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8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9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700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701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2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3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4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5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6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7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8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9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0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1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2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3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4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5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6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7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8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9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0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1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2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3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4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5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6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7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8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9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0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1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2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3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4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5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6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7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8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9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0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1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2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3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4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5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6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7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8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9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0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1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2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3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4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5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6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7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8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9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0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1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2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3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4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5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6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7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8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9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0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1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2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3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4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5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6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7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8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9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0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1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2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3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4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5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6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7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8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9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0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1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2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3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4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5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6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7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8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9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0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1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2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3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4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5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6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7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8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9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0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1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2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3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4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5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6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7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8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9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0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1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2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3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4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5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6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7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8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1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2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3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4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5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6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7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9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0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1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2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3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4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5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6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7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8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9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40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1141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2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3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4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5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6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7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8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9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0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1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2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3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4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5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6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7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8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9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0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1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2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3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4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5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6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7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68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69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0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1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2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3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4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5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6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7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8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9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0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1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2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3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4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5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6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7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8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9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0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1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2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3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4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5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6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7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8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9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0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1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2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3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4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5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6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7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8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9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0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1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2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3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4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5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6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7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8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9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0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1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2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3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4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5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6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7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8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9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0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1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2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3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4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5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6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7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8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9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0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1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2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3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4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5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6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7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8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9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0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1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2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3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4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5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6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7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8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9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0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1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2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3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4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5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6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7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8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9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0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1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2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3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4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5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6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7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8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9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0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1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2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3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4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5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6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7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8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9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0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1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2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3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4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7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8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9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0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1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2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3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5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6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7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8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9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0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1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2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3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4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5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6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1607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1608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09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0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1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2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3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4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5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6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7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8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9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0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1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2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3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4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5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6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7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8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9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0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1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2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3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4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5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6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7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8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9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0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1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2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3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4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5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6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7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8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9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0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1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2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3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4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5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6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7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8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9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0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1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2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3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4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5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6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7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8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9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0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1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2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3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4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5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6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7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8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9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0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1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2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3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4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5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6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7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8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9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0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1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2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3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4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5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6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7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8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9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0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1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2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3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4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5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6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7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8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9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0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1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2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3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4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5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6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7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8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9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0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1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2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3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4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5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6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7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8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9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0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1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2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3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4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5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6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7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8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9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0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1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2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3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4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5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6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7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8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9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0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1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2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3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4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5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6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7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8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9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0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1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8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9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0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1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2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3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4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6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7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8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9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0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1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2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3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4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5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6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7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8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9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0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1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2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3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4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5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6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7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8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9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0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1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2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3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4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5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6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7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8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9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0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1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8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9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0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1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2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3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4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6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7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8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9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0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1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2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3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4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5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6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7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8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9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0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1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2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3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4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5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6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7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8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9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0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1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2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3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4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5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6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7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8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9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0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1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4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5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6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7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8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9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0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2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3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4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5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6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7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8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9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70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71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72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73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2074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2075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76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77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78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79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0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1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2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3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4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5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6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7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8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9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0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1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2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3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4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5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6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7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8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9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100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101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2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3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4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5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6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7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8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9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0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1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2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3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4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5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6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7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8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9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0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1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2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3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4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5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6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7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8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9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0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1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2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3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4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5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6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7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8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9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0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1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2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3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4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5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6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7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8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9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0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1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2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3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4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5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6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7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8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9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0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1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2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3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4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5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6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7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8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9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0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1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2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3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4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5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6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7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8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9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0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1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2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3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4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5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6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7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8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9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0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1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2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3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4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5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6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7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8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9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0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1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2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3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4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5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6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7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8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9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0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1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2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3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4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5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6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7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8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9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0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1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2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3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4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5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6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7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8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1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2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3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4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5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6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7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9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0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1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2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3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4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5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6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7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8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9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40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2541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2542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286000"/>
          <a:ext cx="9525" cy="9525"/>
        </a:xfrm>
        <a:prstGeom prst="rect">
          <a:avLst/>
        </a:prstGeom>
        <a:noFill/>
      </xdr:spPr>
    </xdr:pic>
    <xdr:clientData/>
  </xdr:two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3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4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5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6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7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8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9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0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1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2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3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4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5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6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7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8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9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0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1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2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3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4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5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6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7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8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69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0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1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2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3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4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5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6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7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8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9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0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1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2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3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4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5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6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7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8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9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0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1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2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3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4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5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6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7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8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9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0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1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2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3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4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5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6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7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8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9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0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1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2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3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4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5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6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7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8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9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0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1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2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3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4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5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6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7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8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9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0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1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2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3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4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5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6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7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8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9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0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1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2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3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4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5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6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7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8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9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0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1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2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3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4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5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6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7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8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9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0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1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2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3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4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5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6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7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8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9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0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1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2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3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4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5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6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7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8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9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0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1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2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3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4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5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6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7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8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9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0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1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2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3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4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5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8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9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0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1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2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3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4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6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7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8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9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0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1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2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3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4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5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6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7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8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9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0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1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2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3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4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5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6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7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8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9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0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1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2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3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4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5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6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7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8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9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0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1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8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9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0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1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2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3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4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6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7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8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9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0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1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2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3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4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5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6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7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8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9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0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1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2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3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4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5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6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7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8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9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0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1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2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3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4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5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6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7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8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9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0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1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8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9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0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1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2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3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4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6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7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8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9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0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1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2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3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4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5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6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7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12</xdr:row>
      <xdr:rowOff>0</xdr:rowOff>
    </xdr:from>
    <xdr:ext cx="9525" cy="9525"/>
    <xdr:pic>
      <xdr:nvPicPr>
        <xdr:cNvPr id="3008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286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12</xdr:row>
      <xdr:rowOff>0</xdr:rowOff>
    </xdr:from>
    <xdr:ext cx="9525" cy="9525"/>
    <xdr:pic>
      <xdr:nvPicPr>
        <xdr:cNvPr id="3009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286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0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1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2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3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4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5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6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7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8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9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0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1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2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3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4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5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6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7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8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9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30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31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32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33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34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35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36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37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38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39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0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1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2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3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4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5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6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7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8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9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0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1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2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3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4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5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6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7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8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9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0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1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2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3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4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5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6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7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8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9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0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1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2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3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4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5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6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7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8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9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0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1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2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3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4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5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6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7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8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9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0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1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2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3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4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5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6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7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8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9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0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1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2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3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4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5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6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7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8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9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0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1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2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3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4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5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6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7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8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9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0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1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2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3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4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5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6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7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8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9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0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1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2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3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4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5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6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7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8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9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0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1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2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3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4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5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6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7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8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9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0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1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2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3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4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5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6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7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8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9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0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1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2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5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6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7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8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9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0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1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3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4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5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6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7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8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9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70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71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72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73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74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12</xdr:row>
      <xdr:rowOff>0</xdr:rowOff>
    </xdr:from>
    <xdr:ext cx="9525" cy="9525"/>
    <xdr:pic>
      <xdr:nvPicPr>
        <xdr:cNvPr id="3475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286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12</xdr:row>
      <xdr:rowOff>0</xdr:rowOff>
    </xdr:from>
    <xdr:ext cx="9525" cy="9525"/>
    <xdr:pic>
      <xdr:nvPicPr>
        <xdr:cNvPr id="3476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286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38" name="Picture 15" descr="Bulgar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39" name="Picture 13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0" name="Picture 4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1" name="Picture 41" descr="România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4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2" name="Picture 8" descr="Argentina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4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3" name="Picture 32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4" name="Picture 3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5" name="Picture 8" descr="Argentina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4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6" name="Picture 3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7" name="Picture 34" descr="Italia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4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8" name="Picture 38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9" name="Picture 8" descr="Argentin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0" name="Picture 31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1" name="Picture 33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2" name="Picture 37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3" name="Picture 8" descr="Argentina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4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4" name="Picture 34" descr="Italia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4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5" name="Picture 35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6" name="Picture 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7" name="Picture 31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8" name="Picture 35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59" name="Picture 15" descr="Bulgar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0" name="Picture 13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1" name="Picture 4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2" name="Picture 41" descr="România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4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3" name="Picture 8" descr="Argentina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4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4" name="Picture 32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5" name="Picture 3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6" name="Picture 8" descr="Argentina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4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7" name="Picture 3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8" name="Picture 34" descr="Italia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4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9" name="Picture 38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0" name="Picture 8" descr="Argentin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1" name="Picture 31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2" name="Picture 33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3" name="Picture 37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4" name="Picture 8" descr="Argentina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4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5" name="Picture 34" descr="Italia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4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6" name="Picture 35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7" name="Picture 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8" name="Picture 31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9" name="Picture 35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workbookViewId="0">
      <selection activeCell="G21" sqref="G21:G22"/>
    </sheetView>
  </sheetViews>
  <sheetFormatPr baseColWidth="10" defaultColWidth="11.42578125" defaultRowHeight="15" x14ac:dyDescent="0.25"/>
  <cols>
    <col min="1" max="1" width="15.140625" bestFit="1" customWidth="1"/>
    <col min="2" max="3" width="6.5703125" bestFit="1" customWidth="1"/>
    <col min="4" max="4" width="6.5703125" style="2" bestFit="1" customWidth="1"/>
    <col min="5" max="6" width="6.5703125" bestFit="1" customWidth="1"/>
    <col min="8" max="8" width="13.28515625" bestFit="1" customWidth="1"/>
    <col min="9" max="9" width="5.85546875" bestFit="1" customWidth="1"/>
    <col min="10" max="11" width="5.5703125" bestFit="1" customWidth="1"/>
    <col min="13" max="13" width="13.28515625" bestFit="1" customWidth="1"/>
    <col min="14" max="14" width="5.85546875" bestFit="1" customWidth="1"/>
    <col min="15" max="16" width="5.5703125" bestFit="1" customWidth="1"/>
  </cols>
  <sheetData>
    <row r="1" spans="1:16" x14ac:dyDescent="0.25">
      <c r="A1" s="152" t="s">
        <v>71</v>
      </c>
      <c r="B1" s="152" t="s">
        <v>2</v>
      </c>
      <c r="C1" s="152" t="s">
        <v>262</v>
      </c>
      <c r="D1" s="120" t="s">
        <v>263</v>
      </c>
      <c r="E1" s="120" t="s">
        <v>231</v>
      </c>
      <c r="F1" s="120" t="s">
        <v>232</v>
      </c>
      <c r="H1" s="152" t="s">
        <v>214</v>
      </c>
      <c r="I1" s="152" t="str">
        <f>D1</f>
        <v>N_CA</v>
      </c>
      <c r="J1" s="120" t="s">
        <v>231</v>
      </c>
      <c r="K1" s="120" t="s">
        <v>232</v>
      </c>
      <c r="M1" s="152" t="s">
        <v>214</v>
      </c>
      <c r="N1" s="152" t="str">
        <f>I1</f>
        <v>N_CA</v>
      </c>
      <c r="O1" s="120" t="s">
        <v>231</v>
      </c>
      <c r="P1" s="120" t="s">
        <v>232</v>
      </c>
    </row>
    <row r="2" spans="1:16" x14ac:dyDescent="0.25">
      <c r="A2" t="str">
        <f>PLANTILLA!D4</f>
        <v>D. Gehmacher</v>
      </c>
      <c r="B2" s="83">
        <f ca="1">PLANTILLA!Y4++PLANTILLA!J4+PLANTILLA!P4</f>
        <v>14.806929271012887</v>
      </c>
      <c r="C2" s="83">
        <f ca="1">PLANTILLA!AB4+PLANTILLA!J4+PLANTILLA!P4</f>
        <v>3.8069292710128879</v>
      </c>
      <c r="D2" s="134">
        <f ca="1">(C2*2+B2)/8</f>
        <v>2.8025984766298331</v>
      </c>
      <c r="E2" s="83">
        <f ca="1">D2*PLANTILLA!R4</f>
        <v>2.3686280268193625</v>
      </c>
      <c r="F2" s="83">
        <f ca="1">D2*PLANTILLA!S4</f>
        <v>2.5925388478983598</v>
      </c>
      <c r="H2" t="str">
        <f>A2</f>
        <v>D. Gehmacher</v>
      </c>
      <c r="I2" s="48">
        <f ca="1">D2</f>
        <v>2.8025984766298331</v>
      </c>
      <c r="J2" s="83">
        <f t="shared" ref="J2:K2" ca="1" si="0">E2</f>
        <v>2.3686280268193625</v>
      </c>
      <c r="K2" s="83">
        <f t="shared" ca="1" si="0"/>
        <v>2.5925388478983598</v>
      </c>
      <c r="M2" t="str">
        <f>A2</f>
        <v>D. Gehmacher</v>
      </c>
      <c r="N2" s="48">
        <f ca="1">D2</f>
        <v>2.8025984766298331</v>
      </c>
      <c r="O2" s="83">
        <f t="shared" ref="O2:P2" ca="1" si="1">E2</f>
        <v>2.3686280268193625</v>
      </c>
      <c r="P2" s="83">
        <f t="shared" ca="1" si="1"/>
        <v>2.5925388478983598</v>
      </c>
    </row>
    <row r="3" spans="1:16" x14ac:dyDescent="0.25">
      <c r="A3" t="str">
        <f>PLANTILLA!D5</f>
        <v>T. Hammond</v>
      </c>
      <c r="B3" s="83">
        <f>PLANTILLA!Y5++PLANTILLA!J5+PLANTILLA!P5</f>
        <v>10.747503804799598</v>
      </c>
      <c r="C3" s="83">
        <f>PLANTILLA!AB5+PLANTILLA!J5+PLANTILLA!P5</f>
        <v>4.7475038047995977</v>
      </c>
      <c r="D3" s="134">
        <f t="shared" ref="D3:D25" si="2">(C3*2+B3)/8</f>
        <v>2.5303139267998489</v>
      </c>
      <c r="E3" s="83">
        <f>D3*PLANTILLA!R5</f>
        <v>1.9127375397816264</v>
      </c>
      <c r="F3" s="83">
        <f>D3*PLANTILLA!S5</f>
        <v>2.1363660051292972</v>
      </c>
      <c r="H3" s="48" t="str">
        <f>A7</f>
        <v>E. Romweber</v>
      </c>
      <c r="I3" s="48">
        <f>D7</f>
        <v>5.422589287434592</v>
      </c>
      <c r="J3" s="83">
        <f t="shared" ref="J3:K3" si="3">E7</f>
        <v>5.422589287434592</v>
      </c>
      <c r="K3" s="83">
        <f t="shared" si="3"/>
        <v>5.422589287434592</v>
      </c>
      <c r="M3" t="str">
        <f>A7</f>
        <v>E. Romweber</v>
      </c>
      <c r="N3" s="48">
        <f>D7</f>
        <v>5.422589287434592</v>
      </c>
      <c r="O3" s="83">
        <f t="shared" ref="O3:P3" si="4">E7</f>
        <v>5.422589287434592</v>
      </c>
      <c r="P3" s="83">
        <f t="shared" si="4"/>
        <v>5.422589287434592</v>
      </c>
    </row>
    <row r="4" spans="1:16" x14ac:dyDescent="0.25">
      <c r="A4" t="str">
        <f>PLANTILLA!D6</f>
        <v>E. Toney</v>
      </c>
      <c r="B4" s="83">
        <f>PLANTILLA!Y6++PLANTILLA!J6+PLANTILLA!P6</f>
        <v>15.155004801270438</v>
      </c>
      <c r="C4" s="83">
        <f>PLANTILLA!AB6+PLANTILLA!J6+PLANTILLA!P6</f>
        <v>12.155004801270438</v>
      </c>
      <c r="D4" s="134">
        <f t="shared" si="2"/>
        <v>4.9331268004764146</v>
      </c>
      <c r="E4" s="83">
        <f>D4*PLANTILLA!R6</f>
        <v>4.1692531045379155</v>
      </c>
      <c r="F4" s="83">
        <f>D4*PLANTILLA!S6</f>
        <v>4.5633803695001642</v>
      </c>
      <c r="H4" t="str">
        <f t="shared" ref="H4:H6" si="5">A4</f>
        <v>E. Toney</v>
      </c>
      <c r="I4" s="48">
        <f t="shared" ref="I4:I6" si="6">D4</f>
        <v>4.9331268004764146</v>
      </c>
      <c r="J4" s="83">
        <f t="shared" ref="J4" si="7">E4</f>
        <v>4.1692531045379155</v>
      </c>
      <c r="K4" s="83">
        <f t="shared" ref="K4" si="8">F4</f>
        <v>4.5633803695001642</v>
      </c>
      <c r="M4" t="str">
        <f t="shared" ref="M4" si="9">A4</f>
        <v>E. Toney</v>
      </c>
      <c r="N4" s="48">
        <f t="shared" ref="N4" si="10">D4</f>
        <v>4.9331268004764146</v>
      </c>
      <c r="O4" s="83">
        <f t="shared" ref="O4" si="11">E4</f>
        <v>4.1692531045379155</v>
      </c>
      <c r="P4" s="83">
        <f t="shared" ref="P4" si="12">F4</f>
        <v>4.5633803695001642</v>
      </c>
    </row>
    <row r="5" spans="1:16" x14ac:dyDescent="0.25">
      <c r="A5" t="str">
        <f>PLANTILLA!D7</f>
        <v>B. Bartolache</v>
      </c>
      <c r="B5" s="83">
        <f>PLANTILLA!Y7++PLANTILLA!J7+PLANTILLA!P7</f>
        <v>14.92627995953049</v>
      </c>
      <c r="C5" s="83">
        <f>PLANTILLA!AB7+PLANTILLA!J7+PLANTILLA!P7</f>
        <v>10.926279959530492</v>
      </c>
      <c r="D5" s="134">
        <f t="shared" si="2"/>
        <v>4.5973549848239337</v>
      </c>
      <c r="E5" s="83">
        <f>D5*PLANTILLA!R7</f>
        <v>4.2563236507395308</v>
      </c>
      <c r="F5" s="83">
        <f>D5*PLANTILLA!S7</f>
        <v>4.5940699862016752</v>
      </c>
      <c r="H5" s="48" t="str">
        <f>A11</f>
        <v>I. Vanags</v>
      </c>
      <c r="I5" s="48">
        <f ca="1">D11</f>
        <v>1.6243351061335174</v>
      </c>
      <c r="J5" s="83">
        <f t="shared" ref="J5:K5" ca="1" si="13">E11</f>
        <v>1.503842090024591</v>
      </c>
      <c r="K5" s="83">
        <f t="shared" ca="1" si="13"/>
        <v>1.6231744521045488</v>
      </c>
      <c r="M5" s="48" t="str">
        <f>H5</f>
        <v>I. Vanags</v>
      </c>
      <c r="N5" s="48">
        <f t="shared" ref="N5:P5" ca="1" si="14">I5</f>
        <v>1.6243351061335174</v>
      </c>
      <c r="O5" s="83">
        <f t="shared" ca="1" si="14"/>
        <v>1.503842090024591</v>
      </c>
      <c r="P5" s="83">
        <f t="shared" ca="1" si="14"/>
        <v>1.6231744521045488</v>
      </c>
    </row>
    <row r="6" spans="1:16" x14ac:dyDescent="0.25">
      <c r="A6" t="str">
        <f>PLANTILLA!D8</f>
        <v>F. Lasprilla</v>
      </c>
      <c r="B6" s="83">
        <f>PLANTILLA!Y8++PLANTILLA!J8+PLANTILLA!P8</f>
        <v>12.255763813493941</v>
      </c>
      <c r="C6" s="83">
        <f>PLANTILLA!AB8+PLANTILLA!J8+PLANTILLA!P8</f>
        <v>11.514430480160605</v>
      </c>
      <c r="D6" s="134">
        <f t="shared" si="2"/>
        <v>4.4105780967268942</v>
      </c>
      <c r="E6" s="83">
        <f>D6*PLANTILLA!R8</f>
        <v>3.7276188442611371</v>
      </c>
      <c r="F6" s="83">
        <f>D6*PLANTILLA!S8</f>
        <v>4.0799975996577134</v>
      </c>
      <c r="H6" t="str">
        <f t="shared" si="5"/>
        <v>F. Lasprilla</v>
      </c>
      <c r="I6" s="48">
        <f t="shared" si="6"/>
        <v>4.4105780967268942</v>
      </c>
      <c r="J6" s="83">
        <f t="shared" ref="J6" si="15">E6</f>
        <v>3.7276188442611371</v>
      </c>
      <c r="K6" s="83">
        <f t="shared" ref="K6" si="16">F6</f>
        <v>4.0799975996577134</v>
      </c>
      <c r="N6" s="48"/>
      <c r="O6" s="83"/>
      <c r="P6" s="83"/>
    </row>
    <row r="7" spans="1:16" x14ac:dyDescent="0.25">
      <c r="A7" t="str">
        <f>PLANTILLA!D9</f>
        <v>E. Romweber</v>
      </c>
      <c r="B7" s="83">
        <f>PLANTILLA!Y9++PLANTILLA!J9+PLANTILLA!P9</f>
        <v>15.126904766492245</v>
      </c>
      <c r="C7" s="83">
        <f>PLANTILLA!AB9+PLANTILLA!J9+PLANTILLA!P9</f>
        <v>14.126904766492245</v>
      </c>
      <c r="D7" s="134">
        <f t="shared" si="2"/>
        <v>5.422589287434592</v>
      </c>
      <c r="E7" s="83">
        <f>D7*PLANTILLA!R9</f>
        <v>5.422589287434592</v>
      </c>
      <c r="F7" s="83">
        <f>D7*PLANTILLA!S9</f>
        <v>5.422589287434592</v>
      </c>
      <c r="I7" s="167">
        <f ca="1">SUM(I2:I6)</f>
        <v>19.193227767401254</v>
      </c>
      <c r="J7" s="345">
        <f t="shared" ref="J7:K7" ca="1" si="17">SUM(J2:J6)</f>
        <v>17.191931353077599</v>
      </c>
      <c r="K7" s="345">
        <f t="shared" ca="1" si="17"/>
        <v>18.281680556595376</v>
      </c>
      <c r="L7" s="167"/>
      <c r="M7" s="167"/>
      <c r="N7" s="167">
        <f ca="1">SUM(N2:N6)</f>
        <v>14.78264967067436</v>
      </c>
      <c r="O7" s="345">
        <f t="shared" ref="O7:P7" ca="1" si="18">SUM(O2:O6)</f>
        <v>13.464312508816461</v>
      </c>
      <c r="P7" s="345">
        <f t="shared" ca="1" si="18"/>
        <v>14.201682956937663</v>
      </c>
    </row>
    <row r="8" spans="1:16" x14ac:dyDescent="0.25">
      <c r="A8" t="str">
        <f>PLANTILLA!D10</f>
        <v>S. Buschelman</v>
      </c>
      <c r="B8" s="83">
        <f>PLANTILLA!Y10++PLANTILLA!J10+PLANTILLA!P10</f>
        <v>12.401876115939228</v>
      </c>
      <c r="C8" s="83">
        <f>PLANTILLA!AB10+PLANTILLA!J10+PLANTILLA!P10</f>
        <v>13.048209449272562</v>
      </c>
      <c r="D8" s="134">
        <f t="shared" si="2"/>
        <v>4.8122868768105445</v>
      </c>
      <c r="E8" s="83">
        <f>D8*PLANTILLA!R10</f>
        <v>4.8122868768105445</v>
      </c>
      <c r="F8" s="83">
        <f>D8*PLANTILLA!S10</f>
        <v>4.8122868768105445</v>
      </c>
      <c r="N8" s="48"/>
    </row>
    <row r="9" spans="1:16" x14ac:dyDescent="0.25">
      <c r="A9" t="str">
        <f>PLANTILLA!D11</f>
        <v>E. Gross</v>
      </c>
      <c r="B9" s="83">
        <f>PLANTILLA!Y11++PLANTILLA!J11+PLANTILLA!P11</f>
        <v>13.582292150207168</v>
      </c>
      <c r="C9" s="83">
        <f>PLANTILLA!AB11+PLANTILLA!J11+PLANTILLA!P11</f>
        <v>11.982292150207172</v>
      </c>
      <c r="D9" s="134">
        <f t="shared" si="2"/>
        <v>4.6933595563276889</v>
      </c>
      <c r="E9" s="83">
        <f>D9*PLANTILLA!R11</f>
        <v>4.3452066127077584</v>
      </c>
      <c r="F9" s="83">
        <f>D9*PLANTILLA!S11</f>
        <v>4.6900059585030283</v>
      </c>
      <c r="H9" s="48"/>
    </row>
    <row r="10" spans="1:16" x14ac:dyDescent="0.25">
      <c r="A10" t="str">
        <f>PLANTILLA!D12</f>
        <v>W. Gelifini</v>
      </c>
      <c r="B10" s="83">
        <f>PLANTILLA!Y12++PLANTILLA!J12+PLANTILLA!P12</f>
        <v>8.138705808214544</v>
      </c>
      <c r="C10" s="83">
        <f>PLANTILLA!AB12+PLANTILLA!J12+PLANTILLA!P12</f>
        <v>11.753816919325656</v>
      </c>
      <c r="D10" s="134">
        <f t="shared" si="2"/>
        <v>3.9557924558582318</v>
      </c>
      <c r="E10" s="83">
        <f>D10*PLANTILLA!R12</f>
        <v>2.9902980218246666</v>
      </c>
      <c r="F10" s="83">
        <f>D10*PLANTILLA!S12</f>
        <v>3.3399098967655285</v>
      </c>
    </row>
    <row r="11" spans="1:16" x14ac:dyDescent="0.25">
      <c r="A11" t="str">
        <f>PLANTILLA!D13</f>
        <v>I. Vanags</v>
      </c>
      <c r="B11" s="83">
        <f ca="1">PLANTILLA!Y13++PLANTILLA!J13+PLANTILLA!P13</f>
        <v>4.3315602830227133</v>
      </c>
      <c r="C11" s="83">
        <f ca="1">PLANTILLA!AB13+PLANTILLA!J13+PLANTILLA!P13</f>
        <v>4.3315602830227133</v>
      </c>
      <c r="D11" s="134">
        <f t="shared" ca="1" si="2"/>
        <v>1.6243351061335174</v>
      </c>
      <c r="E11" s="83">
        <f ca="1">D11*PLANTILLA!R13</f>
        <v>1.503842090024591</v>
      </c>
      <c r="F11" s="83">
        <f ca="1">D11*PLANTILLA!S13</f>
        <v>1.6231744521045488</v>
      </c>
    </row>
    <row r="12" spans="1:16" x14ac:dyDescent="0.25">
      <c r="A12" t="str">
        <f>PLANTILLA!D14</f>
        <v>I. Stone</v>
      </c>
      <c r="B12" s="83">
        <f ca="1">PLANTILLA!Y14++PLANTILLA!J14+PLANTILLA!P14</f>
        <v>3.548000255564784</v>
      </c>
      <c r="C12" s="83">
        <f ca="1">PLANTILLA!AB14+PLANTILLA!J14+PLANTILLA!P14</f>
        <v>6.5480002555647845</v>
      </c>
      <c r="D12" s="134">
        <f t="shared" ca="1" si="2"/>
        <v>2.0805000958367943</v>
      </c>
      <c r="E12" s="83">
        <f ca="1">D12*PLANTILLA!R14</f>
        <v>2.0805000958367943</v>
      </c>
      <c r="F12" s="83">
        <f ca="1">D12*PLANTILLA!S14</f>
        <v>2.0805000958367943</v>
      </c>
    </row>
    <row r="13" spans="1:16" x14ac:dyDescent="0.25">
      <c r="A13" t="str">
        <f>PLANTILLA!D15</f>
        <v>G. Piscaer</v>
      </c>
      <c r="B13" s="83">
        <f ca="1">PLANTILLA!Y15++PLANTILLA!J15+PLANTILLA!P15</f>
        <v>4.7083180827622213</v>
      </c>
      <c r="C13" s="83">
        <f ca="1">PLANTILLA!AB15+PLANTILLA!J15+PLANTILLA!P15</f>
        <v>2.7083180827622217</v>
      </c>
      <c r="D13" s="134">
        <f t="shared" ca="1" si="2"/>
        <v>1.2656192810358331</v>
      </c>
      <c r="E13" s="83">
        <f ca="1">D13*PLANTILLA!R15</f>
        <v>0.95671824917405135</v>
      </c>
      <c r="F13" s="83">
        <f ca="1">D13*PLANTILLA!S15</f>
        <v>1.0685733413563954</v>
      </c>
    </row>
    <row r="14" spans="1:16" x14ac:dyDescent="0.25">
      <c r="A14" t="str">
        <f>PLANTILLA!D16</f>
        <v>M. Bondarewski</v>
      </c>
      <c r="B14" s="83">
        <f ca="1">PLANTILLA!Y16++PLANTILLA!J16+PLANTILLA!P16</f>
        <v>2.684114984044025</v>
      </c>
      <c r="C14" s="83">
        <f ca="1">PLANTILLA!AB16+PLANTILLA!J16+PLANTILLA!P16</f>
        <v>4.684114984044025</v>
      </c>
      <c r="D14" s="134">
        <f t="shared" ca="1" si="2"/>
        <v>1.5065431190165093</v>
      </c>
      <c r="E14" s="83">
        <f ca="1">D14*PLANTILLA!R16</f>
        <v>1.2732613269687727</v>
      </c>
      <c r="F14" s="83">
        <f ca="1">D14*PLANTILLA!S16</f>
        <v>1.3936250928035228</v>
      </c>
    </row>
    <row r="15" spans="1:16" x14ac:dyDescent="0.25">
      <c r="A15" t="str">
        <f>PLANTILLA!D17</f>
        <v>J. Vartiainen</v>
      </c>
      <c r="B15" s="83">
        <f ca="1">PLANTILLA!Y17++PLANTILLA!J17+PLANTILLA!P17</f>
        <v>7.2766819538129264</v>
      </c>
      <c r="C15" s="83">
        <f ca="1">PLANTILLA!AB17+PLANTILLA!J17+PLANTILLA!P17</f>
        <v>1.2766819538129273</v>
      </c>
      <c r="D15" s="134">
        <f t="shared" ca="1" si="2"/>
        <v>1.2287557326798475</v>
      </c>
      <c r="E15" s="83">
        <f ca="1">D15*PLANTILLA!R17</f>
        <v>1.0384881354964288</v>
      </c>
      <c r="F15" s="83">
        <f ca="1">D15*PLANTILLA!S17</f>
        <v>1.1366583540647055</v>
      </c>
    </row>
    <row r="16" spans="1:16" x14ac:dyDescent="0.25">
      <c r="A16" t="str">
        <f>PLANTILLA!D18</f>
        <v>R. Forsyth</v>
      </c>
      <c r="B16" s="83">
        <f ca="1">PLANTILLA!Y18++PLANTILLA!J18+PLANTILLA!P18</f>
        <v>7.7329336105746878</v>
      </c>
      <c r="C16" s="83">
        <f ca="1">PLANTILLA!AB18+PLANTILLA!J18+PLANTILLA!P18</f>
        <v>4.7329336105746878</v>
      </c>
      <c r="D16" s="134">
        <f t="shared" ca="1" si="2"/>
        <v>2.149850103965508</v>
      </c>
      <c r="E16" s="83">
        <f ca="1">D16*PLANTILLA!R18</f>
        <v>1.8169549623949928</v>
      </c>
      <c r="F16" s="83">
        <f ca="1">D16*PLANTILLA!S18</f>
        <v>1.988715100705831</v>
      </c>
    </row>
    <row r="17" spans="1:6" x14ac:dyDescent="0.25">
      <c r="A17" t="str">
        <f>PLANTILLA!D19</f>
        <v>K. Nelson</v>
      </c>
      <c r="B17" s="83">
        <f ca="1">PLANTILLA!Y19++PLANTILLA!J19+PLANTILLA!P19</f>
        <v>5.7443363253852064</v>
      </c>
      <c r="C17" s="83">
        <f ca="1">PLANTILLA!AB19+PLANTILLA!J19+PLANTILLA!P19</f>
        <v>3.7443363253852069</v>
      </c>
      <c r="D17" s="134">
        <f t="shared" ca="1" si="2"/>
        <v>1.6541261220194525</v>
      </c>
      <c r="E17" s="83">
        <f ca="1">D17*PLANTILLA!R19</f>
        <v>1.3979917298823217</v>
      </c>
      <c r="F17" s="83">
        <f ca="1">D17*PLANTILLA!S19</f>
        <v>1.5301464931272433</v>
      </c>
    </row>
    <row r="18" spans="1:6" x14ac:dyDescent="0.25">
      <c r="A18" t="str">
        <f>PLANTILLA!D20</f>
        <v>V. Godoi</v>
      </c>
      <c r="B18" s="83">
        <f ca="1">PLANTILLA!Y20++PLANTILLA!J20+PLANTILLA!P20</f>
        <v>4.024803467274837</v>
      </c>
      <c r="C18" s="83">
        <f ca="1">PLANTILLA!AB20+PLANTILLA!J20+PLANTILLA!P20</f>
        <v>6.024803467274837</v>
      </c>
      <c r="D18" s="134">
        <f t="shared" ca="1" si="2"/>
        <v>2.009301300228064</v>
      </c>
      <c r="E18" s="83">
        <f ca="1">D18*PLANTILLA!R20</f>
        <v>1.8602515302502636</v>
      </c>
      <c r="F18" s="83">
        <f ca="1">D18*PLANTILLA!S20</f>
        <v>2.0078655720702994</v>
      </c>
    </row>
    <row r="19" spans="1:6" x14ac:dyDescent="0.25">
      <c r="A19" t="str">
        <f>PLANTILLA!D21</f>
        <v>P. Tuderek</v>
      </c>
      <c r="B19" s="83">
        <f ca="1">PLANTILLA!Y21++PLANTILLA!J21+PLANTILLA!P21</f>
        <v>6.4088828789929622</v>
      </c>
      <c r="C19" s="83">
        <f ca="1">PLANTILLA!AB21+PLANTILLA!J21+PLANTILLA!P21</f>
        <v>3.4088828789929622</v>
      </c>
      <c r="D19" s="134">
        <f t="shared" ca="1" si="2"/>
        <v>1.6533310796223608</v>
      </c>
      <c r="E19" s="83">
        <f ca="1">D19*PLANTILLA!R21</f>
        <v>1.5306871450930342</v>
      </c>
      <c r="F19" s="83">
        <f ca="1">D19*PLANTILLA!S21</f>
        <v>1.6521497067815372</v>
      </c>
    </row>
    <row r="20" spans="1:6" x14ac:dyDescent="0.25">
      <c r="A20" t="str">
        <f>PLANTILLA!D22</f>
        <v>R. Scheidecker</v>
      </c>
      <c r="B20" s="83">
        <f ca="1">PLANTILLA!Y22++PLANTILLA!J22+PLANTILLA!P22</f>
        <v>4.3715112475259703</v>
      </c>
      <c r="C20" s="83">
        <f ca="1">PLANTILLA!AB22+PLANTILLA!J22+PLANTILLA!P22</f>
        <v>4.3715112475259703</v>
      </c>
      <c r="D20" s="134">
        <f t="shared" ca="1" si="2"/>
        <v>1.639316717822239</v>
      </c>
      <c r="E20" s="83">
        <f ca="1">D20*PLANTILLA!R22</f>
        <v>1.3854754989150524</v>
      </c>
      <c r="F20" s="83">
        <f ca="1">D20*PLANTILLA!S22</f>
        <v>1.5164470795238809</v>
      </c>
    </row>
    <row r="21" spans="1:6" x14ac:dyDescent="0.25">
      <c r="A21" t="str">
        <f>PLANTILLA!D23</f>
        <v>K. Helms</v>
      </c>
      <c r="B21" s="83">
        <f>PLANTILLA!Y23++PLANTILLA!J23+PLANTILLA!P23</f>
        <v>10.298793699949664</v>
      </c>
      <c r="C21" s="83">
        <f>PLANTILLA!AB23+PLANTILLA!J23+PLANTILLA!P23</f>
        <v>12.998490669646632</v>
      </c>
      <c r="D21" s="134">
        <f t="shared" si="2"/>
        <v>4.5369718799053658</v>
      </c>
      <c r="E21" s="83">
        <f>D21*PLANTILLA!R23</f>
        <v>4.5369718799053658</v>
      </c>
      <c r="F21" s="83">
        <f>D21*PLANTILLA!S23</f>
        <v>4.5369718799053658</v>
      </c>
    </row>
    <row r="22" spans="1:6" x14ac:dyDescent="0.25">
      <c r="A22" t="str">
        <f>PLANTILLA!D24</f>
        <v>S. Zobbe</v>
      </c>
      <c r="B22" s="83">
        <f>PLANTILLA!Y24++PLANTILLA!J24+PLANTILLA!P24</f>
        <v>11.388170714237649</v>
      </c>
      <c r="C22" s="83">
        <f>PLANTILLA!AB24+PLANTILLA!J24+PLANTILLA!P24</f>
        <v>13.268170714237652</v>
      </c>
      <c r="D22" s="134">
        <f t="shared" si="2"/>
        <v>4.7405640178391195</v>
      </c>
      <c r="E22" s="83">
        <f>D22*PLANTILLA!R24</f>
        <v>4.3889094519739809</v>
      </c>
      <c r="F22" s="83">
        <f>D22*PLANTILLA!S24</f>
        <v>4.7371766904913866</v>
      </c>
    </row>
    <row r="23" spans="1:6" x14ac:dyDescent="0.25">
      <c r="A23" t="str">
        <f>PLANTILLA!D25</f>
        <v>L. Bauman</v>
      </c>
      <c r="B23" s="83">
        <f>PLANTILLA!Y25++PLANTILLA!J25+PLANTILLA!P25</f>
        <v>8.9352578030757819</v>
      </c>
      <c r="C23" s="83">
        <f>PLANTILLA!AB25+PLANTILLA!J25+PLANTILLA!P25</f>
        <v>11.935257803075782</v>
      </c>
      <c r="D23" s="134">
        <f t="shared" si="2"/>
        <v>4.1007216761534178</v>
      </c>
      <c r="E23" s="83">
        <f>D23*PLANTILLA!R25</f>
        <v>3.4657423720585152</v>
      </c>
      <c r="F23" s="83">
        <f>D23*PLANTILLA!S25</f>
        <v>3.7933654565569048</v>
      </c>
    </row>
    <row r="24" spans="1:6" x14ac:dyDescent="0.25">
      <c r="A24" t="str">
        <f>PLANTILLA!D26</f>
        <v>J. Limon</v>
      </c>
      <c r="B24" s="83">
        <f>PLANTILLA!Y26++PLANTILLA!J26+PLANTILLA!P26</f>
        <v>9.9172076220425147</v>
      </c>
      <c r="C24" s="83">
        <f>PLANTILLA!AB26+PLANTILLA!J26+PLANTILLA!P26</f>
        <v>13.029588574423464</v>
      </c>
      <c r="D24" s="134">
        <f t="shared" si="2"/>
        <v>4.4970480963611799</v>
      </c>
      <c r="E24" s="83">
        <f>D24*PLANTILLA!R26</f>
        <v>3.8006993323584273</v>
      </c>
      <c r="F24" s="83">
        <f>D24*PLANTILLA!S26</f>
        <v>4.1599865224730923</v>
      </c>
    </row>
    <row r="25" spans="1:6" x14ac:dyDescent="0.25">
      <c r="A25" t="str">
        <f>PLANTILLA!D27</f>
        <v>P .Trivadi</v>
      </c>
      <c r="B25" s="83">
        <f>PLANTILLA!Y27++PLANTILLA!J27+PLANTILLA!P27</f>
        <v>6.6631099952416912</v>
      </c>
      <c r="C25" s="83">
        <f>PLANTILLA!AB27+PLANTILLA!J27+PLANTILLA!P27</f>
        <v>13.59310999524169</v>
      </c>
      <c r="D25" s="134">
        <f t="shared" si="2"/>
        <v>4.2311662482156338</v>
      </c>
      <c r="E25" s="83">
        <f>D25*PLANTILLA!R27</f>
        <v>3.198461042442502</v>
      </c>
      <c r="F25" s="83">
        <f>D25*PLANTILLA!S27</f>
        <v>3.5724103792016839</v>
      </c>
    </row>
    <row r="26" spans="1:6" x14ac:dyDescent="0.25">
      <c r="B26" s="83"/>
      <c r="C26" s="83"/>
      <c r="D26" s="134"/>
      <c r="E26" s="83"/>
      <c r="F26" s="83"/>
    </row>
  </sheetData>
  <sortState ref="A2:F18">
    <sortCondition descending="1" ref="E2:E18"/>
  </sortState>
  <conditionalFormatting sqref="D2:D26">
    <cfRule type="colorScale" priority="34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>
      <selection activeCell="G32" sqref="G32"/>
    </sheetView>
  </sheetViews>
  <sheetFormatPr baseColWidth="10" defaultColWidth="11.42578125" defaultRowHeight="15" x14ac:dyDescent="0.25"/>
  <cols>
    <col min="1" max="1" width="13.7109375" bestFit="1" customWidth="1"/>
    <col min="2" max="8" width="6.5703125" bestFit="1" customWidth="1"/>
    <col min="9" max="9" width="3.28515625" customWidth="1"/>
    <col min="11" max="11" width="13.7109375" bestFit="1" customWidth="1"/>
    <col min="12" max="12" width="5.5703125" bestFit="1" customWidth="1"/>
    <col min="13" max="14" width="6.5703125" bestFit="1" customWidth="1"/>
    <col min="15" max="15" width="5.5703125" bestFit="1" customWidth="1"/>
  </cols>
  <sheetData>
    <row r="1" spans="1:15" x14ac:dyDescent="0.25">
      <c r="A1" s="256" t="str">
        <f>PLANTILLA!D3</f>
        <v>Jugador</v>
      </c>
      <c r="B1" s="256" t="s">
        <v>334</v>
      </c>
      <c r="C1" s="256" t="str">
        <f>PLANTILLA!AC3</f>
        <v>An</v>
      </c>
      <c r="D1" s="256" t="str">
        <f>PLANTILLA!AD3</f>
        <v>PA</v>
      </c>
      <c r="E1" s="256" t="str">
        <f>PLANTILLA!AI3</f>
        <v>TL</v>
      </c>
      <c r="F1" s="256" t="str">
        <f>PLANTILLA!AJ3</f>
        <v>PEN</v>
      </c>
      <c r="G1" s="256" t="str">
        <f>PLANTILLA!AK3</f>
        <v>BPiA</v>
      </c>
      <c r="H1" s="256" t="str">
        <f>PLANTILLA!AL3</f>
        <v>BPiD</v>
      </c>
    </row>
    <row r="2" spans="1:15" x14ac:dyDescent="0.25">
      <c r="A2" t="str">
        <f>PLANTILLA!D4</f>
        <v>D. Gehmacher</v>
      </c>
      <c r="B2" s="48">
        <f>PLANTILLA!J4</f>
        <v>1.8569292710128877</v>
      </c>
      <c r="C2" s="83">
        <f>PLANTILLA!AC4</f>
        <v>0</v>
      </c>
      <c r="D2" s="83">
        <f>PLANTILLA!AD4</f>
        <v>18.2</v>
      </c>
      <c r="E2" s="48">
        <f ca="1">PLANTILLA!AI4</f>
        <v>7.3729682566652341</v>
      </c>
      <c r="F2" s="48">
        <f ca="1">PLANTILLA!AJ4</f>
        <v>13.18181113409628</v>
      </c>
      <c r="G2" s="48">
        <f ca="1">PLANTILLA!AK4</f>
        <v>0.77455434168103099</v>
      </c>
      <c r="H2" s="48">
        <f ca="1">PLANTILLA!AL4</f>
        <v>1.2239850489709021</v>
      </c>
      <c r="K2" t="str">
        <f>A4</f>
        <v>E. Toney</v>
      </c>
      <c r="L2" s="153">
        <f>B2</f>
        <v>1.8569292710128877</v>
      </c>
      <c r="M2" s="153">
        <f t="shared" ref="M2:N2" si="0">C2</f>
        <v>0</v>
      </c>
      <c r="N2" s="153">
        <f t="shared" si="0"/>
        <v>18.2</v>
      </c>
      <c r="O2" s="153"/>
    </row>
    <row r="3" spans="1:15" x14ac:dyDescent="0.25">
      <c r="A3" t="str">
        <f>PLANTILLA!D5</f>
        <v>T. Hammond</v>
      </c>
      <c r="B3" s="48">
        <f>PLANTILLA!J5</f>
        <v>1.2975038047995981</v>
      </c>
      <c r="C3" s="83">
        <f>PLANTILLA!AC5</f>
        <v>0</v>
      </c>
      <c r="D3" s="83">
        <f>PLANTILLA!AD5</f>
        <v>14.95</v>
      </c>
      <c r="E3" s="48">
        <f>PLANTILLA!AI5</f>
        <v>5.1440839357414436</v>
      </c>
      <c r="F3" s="48">
        <f>PLANTILLA!AJ5</f>
        <v>10.025510522727901</v>
      </c>
      <c r="G3" s="48">
        <f>PLANTILLA!AK5</f>
        <v>0.67230030438396782</v>
      </c>
      <c r="H3" s="48">
        <f>PLANTILLA!AL5</f>
        <v>0.96232526633597182</v>
      </c>
      <c r="K3" t="str">
        <f>A5</f>
        <v>B. Bartolache</v>
      </c>
      <c r="L3" s="153">
        <f t="shared" ref="L3:L8" si="1">B3</f>
        <v>1.2975038047995981</v>
      </c>
      <c r="M3" s="153">
        <f t="shared" ref="M3:M8" si="2">C3</f>
        <v>0</v>
      </c>
      <c r="N3" s="153">
        <f t="shared" ref="N3:N8" si="3">D3</f>
        <v>14.95</v>
      </c>
      <c r="O3" s="153"/>
    </row>
    <row r="4" spans="1:15" x14ac:dyDescent="0.25">
      <c r="A4" t="str">
        <f>PLANTILLA!D6</f>
        <v>E. Toney</v>
      </c>
      <c r="B4" s="48">
        <f>PLANTILLA!J6</f>
        <v>1.7050048012704384</v>
      </c>
      <c r="C4" s="83">
        <f>PLANTILLA!AC6</f>
        <v>1.95</v>
      </c>
      <c r="D4" s="83">
        <f>PLANTILLA!AD6</f>
        <v>17.177777777777774</v>
      </c>
      <c r="E4" s="48">
        <f>PLANTILLA!AI6</f>
        <v>10.283700384961968</v>
      </c>
      <c r="F4" s="48">
        <f>PLANTILLA!AJ6</f>
        <v>13.365649066204108</v>
      </c>
      <c r="G4" s="48">
        <f>PLANTILLA!AK6</f>
        <v>0.86923371743496813</v>
      </c>
      <c r="H4" s="48">
        <f>PLANTILLA!AL6</f>
        <v>1.2176836694222639</v>
      </c>
      <c r="K4" t="str">
        <f>A6</f>
        <v>F. Lasprilla</v>
      </c>
      <c r="L4" s="153">
        <f t="shared" si="1"/>
        <v>1.7050048012704384</v>
      </c>
      <c r="M4" s="153">
        <f t="shared" si="2"/>
        <v>1.95</v>
      </c>
      <c r="N4" s="153">
        <f t="shared" si="3"/>
        <v>17.177777777777774</v>
      </c>
      <c r="O4" s="153"/>
    </row>
    <row r="5" spans="1:15" x14ac:dyDescent="0.25">
      <c r="A5" t="str">
        <f>PLANTILLA!D7</f>
        <v>B. Bartolache</v>
      </c>
      <c r="B5" s="48">
        <f>PLANTILLA!J7</f>
        <v>1.4762799595304912</v>
      </c>
      <c r="C5" s="83">
        <f>PLANTILLA!AC7</f>
        <v>2.95</v>
      </c>
      <c r="D5" s="83">
        <f>PLANTILLA!AD7</f>
        <v>16</v>
      </c>
      <c r="E5" s="48">
        <f>PLANTILLA!AI7</f>
        <v>11.734379726387926</v>
      </c>
      <c r="F5" s="48">
        <f>PLANTILLA!AJ7</f>
        <v>13.944035714834849</v>
      </c>
      <c r="G5" s="48">
        <f>PLANTILLA!AK7</f>
        <v>0.86560239676243922</v>
      </c>
      <c r="H5" s="48">
        <f>PLANTILLA!AL7</f>
        <v>1.1663395971671342</v>
      </c>
      <c r="K5" t="str">
        <f>A13</f>
        <v>G. Piscaer</v>
      </c>
      <c r="L5" s="153">
        <f t="shared" si="1"/>
        <v>1.4762799595304912</v>
      </c>
      <c r="M5" s="153">
        <f t="shared" si="2"/>
        <v>2.95</v>
      </c>
      <c r="N5" s="153">
        <f t="shared" si="3"/>
        <v>16</v>
      </c>
      <c r="O5" s="153"/>
    </row>
    <row r="6" spans="1:15" x14ac:dyDescent="0.25">
      <c r="A6" t="str">
        <f>PLANTILLA!D8</f>
        <v>F. Lasprilla</v>
      </c>
      <c r="B6" s="48">
        <f>PLANTILLA!J8</f>
        <v>1.1510971468272746</v>
      </c>
      <c r="C6" s="83">
        <f>PLANTILLA!AC8</f>
        <v>2.95</v>
      </c>
      <c r="D6" s="83">
        <f>PLANTILLA!AD8</f>
        <v>13.33611111111111</v>
      </c>
      <c r="E6" s="48">
        <f>PLANTILLA!AI8</f>
        <v>8.8663322590478515</v>
      </c>
      <c r="F6" s="48">
        <f>PLANTILLA!AJ8</f>
        <v>10.878297281735897</v>
      </c>
      <c r="G6" s="48">
        <f>PLANTILLA!AK8</f>
        <v>0.7596711050795153</v>
      </c>
      <c r="H6" s="48">
        <f>PLANTILLA!AL8</f>
        <v>0.96984680027790904</v>
      </c>
      <c r="K6" t="str">
        <f>A17</f>
        <v>K. Nelson</v>
      </c>
      <c r="L6" s="153">
        <f t="shared" si="1"/>
        <v>1.1510971468272746</v>
      </c>
      <c r="M6" s="153">
        <f t="shared" si="2"/>
        <v>2.95</v>
      </c>
      <c r="N6" s="153">
        <f t="shared" si="3"/>
        <v>13.33611111111111</v>
      </c>
      <c r="O6" s="153"/>
    </row>
    <row r="7" spans="1:15" x14ac:dyDescent="0.25">
      <c r="A7" t="str">
        <f>PLANTILLA!D9</f>
        <v>E. Romweber</v>
      </c>
      <c r="B7" s="48">
        <f>PLANTILLA!J9</f>
        <v>1.6769047664922461</v>
      </c>
      <c r="C7" s="83">
        <f>PLANTILLA!AC9</f>
        <v>5.95</v>
      </c>
      <c r="D7" s="83">
        <f>PLANTILLA!AD9</f>
        <v>17.529999999999998</v>
      </c>
      <c r="E7" s="48">
        <f>PLANTILLA!AI9</f>
        <v>18.939459533947861</v>
      </c>
      <c r="F7" s="48">
        <f>PLANTILLA!AJ9</f>
        <v>17.232904766492243</v>
      </c>
      <c r="G7" s="48">
        <f>PLANTILLA!AK9</f>
        <v>1.0775523813193797</v>
      </c>
      <c r="H7" s="48">
        <f>PLANTILLA!AL9</f>
        <v>1.226283333654457</v>
      </c>
      <c r="K7" t="str">
        <f>A12</f>
        <v>I. Stone</v>
      </c>
      <c r="L7" s="153">
        <f t="shared" si="1"/>
        <v>1.6769047664922461</v>
      </c>
      <c r="M7" s="153">
        <f t="shared" si="2"/>
        <v>5.95</v>
      </c>
      <c r="N7" s="153">
        <f t="shared" si="3"/>
        <v>17.529999999999998</v>
      </c>
      <c r="O7" s="153"/>
    </row>
    <row r="8" spans="1:15" x14ac:dyDescent="0.25">
      <c r="A8" t="str">
        <f>PLANTILLA!D10</f>
        <v>S. Buschelman</v>
      </c>
      <c r="B8" s="48">
        <f>PLANTILLA!J10</f>
        <v>1.5982094492725636</v>
      </c>
      <c r="C8" s="83">
        <f>PLANTILLA!AC10</f>
        <v>3.95</v>
      </c>
      <c r="D8" s="83">
        <f>PLANTILLA!AD10</f>
        <v>16</v>
      </c>
      <c r="E8" s="48">
        <f>PLANTILLA!AI10</f>
        <v>14.604042882892367</v>
      </c>
      <c r="F8" s="48">
        <f>PLANTILLA!AJ10</f>
        <v>15.483209449272563</v>
      </c>
      <c r="G8" s="48">
        <f>PLANTILLA!AK10</f>
        <v>0.92535675594180522</v>
      </c>
      <c r="H8" s="48">
        <f>PLANTILLA!AL10</f>
        <v>1.0690213281157459</v>
      </c>
      <c r="K8" t="str">
        <f>A13</f>
        <v>G. Piscaer</v>
      </c>
      <c r="L8" s="153">
        <f t="shared" si="1"/>
        <v>1.5982094492725636</v>
      </c>
      <c r="M8" s="153">
        <f t="shared" si="2"/>
        <v>3.95</v>
      </c>
      <c r="N8" s="153">
        <f t="shared" si="3"/>
        <v>16</v>
      </c>
      <c r="O8" s="153"/>
    </row>
    <row r="9" spans="1:15" x14ac:dyDescent="0.25">
      <c r="A9" t="str">
        <f>PLANTILLA!D11</f>
        <v>E. Gross</v>
      </c>
      <c r="B9" s="48">
        <f>PLANTILLA!J11</f>
        <v>1.5322921502071731</v>
      </c>
      <c r="C9" s="83">
        <f>PLANTILLA!AC11</f>
        <v>0.95</v>
      </c>
      <c r="D9" s="83">
        <f>PLANTILLA!AD11</f>
        <v>17.3</v>
      </c>
      <c r="E9" s="48">
        <f>PLANTILLA!AI11</f>
        <v>9.4372228049137181</v>
      </c>
      <c r="F9" s="48">
        <f>PLANTILLA!AJ11</f>
        <v>14.282897157725104</v>
      </c>
      <c r="G9" s="48">
        <f>PLANTILLA!AK11</f>
        <v>0.80908337201657388</v>
      </c>
      <c r="H9" s="48">
        <f>PLANTILLA!AL11</f>
        <v>1.1532604505145021</v>
      </c>
      <c r="K9" t="str">
        <f>A14</f>
        <v>M. Bondarewski</v>
      </c>
      <c r="L9" s="153">
        <f t="shared" ref="L9" si="4">B9</f>
        <v>1.5322921502071731</v>
      </c>
      <c r="M9" s="153">
        <f t="shared" ref="M9" si="5">C9</f>
        <v>0.95</v>
      </c>
      <c r="N9" s="153">
        <f t="shared" ref="N9" si="6">D9</f>
        <v>17.3</v>
      </c>
      <c r="O9" s="153"/>
    </row>
    <row r="10" spans="1:15" x14ac:dyDescent="0.25">
      <c r="A10" t="str">
        <f>PLANTILLA!D12</f>
        <v>W. Gelifini</v>
      </c>
      <c r="B10" s="48">
        <f>PLANTILLA!J12</f>
        <v>0.98715025265899181</v>
      </c>
      <c r="C10" s="83">
        <f>PLANTILLA!AC12</f>
        <v>2.95</v>
      </c>
      <c r="D10" s="83">
        <f>PLANTILLA!AD12</f>
        <v>12.847222222222223</v>
      </c>
      <c r="E10" s="48">
        <f>PLANTILLA!AI12</f>
        <v>7.4531375941235565</v>
      </c>
      <c r="F10" s="48">
        <f>PLANTILLA!AJ12</f>
        <v>9.3472169939048939</v>
      </c>
      <c r="G10" s="48">
        <f>PLANTILLA!AK12</f>
        <v>0.73188868687938613</v>
      </c>
      <c r="H10" s="48">
        <f>PLANTILLA!AL12</f>
        <v>0.78557940657501812</v>
      </c>
      <c r="K10" t="str">
        <f>A10</f>
        <v>W. Gelifini</v>
      </c>
      <c r="L10" s="153">
        <f t="shared" ref="L10:N11" si="7">B9</f>
        <v>1.5322921502071731</v>
      </c>
      <c r="M10" s="153">
        <f t="shared" si="7"/>
        <v>0.95</v>
      </c>
      <c r="N10" s="153">
        <f t="shared" si="7"/>
        <v>17.3</v>
      </c>
      <c r="O10" s="153"/>
    </row>
    <row r="11" spans="1:15" x14ac:dyDescent="0.25">
      <c r="A11" t="str">
        <f>PLANTILLA!D13</f>
        <v>I. Vanags</v>
      </c>
      <c r="B11" s="48">
        <f>PLANTILLA!J13</f>
        <v>0.19483738090431735</v>
      </c>
      <c r="C11" s="83">
        <f>PLANTILLA!AC13</f>
        <v>7</v>
      </c>
      <c r="D11" s="83">
        <f>PLANTILLA!AD13</f>
        <v>6</v>
      </c>
      <c r="E11" s="48">
        <f ca="1">PLANTILLA!AI13</f>
        <v>7.4553961655573113</v>
      </c>
      <c r="F11" s="48">
        <f ca="1">PLANTILLA!AJ13</f>
        <v>6.1396318028757779</v>
      </c>
      <c r="G11" s="48">
        <f ca="1">PLANTILLA!AK13</f>
        <v>0.55652482264181713</v>
      </c>
      <c r="H11" s="48">
        <f ca="1">PLANTILLA!AL13</f>
        <v>0.36320921981158993</v>
      </c>
      <c r="K11" t="str">
        <f>A11</f>
        <v>I. Vanags</v>
      </c>
      <c r="L11" s="153">
        <f t="shared" si="7"/>
        <v>0.98715025265899181</v>
      </c>
      <c r="M11" s="153">
        <f t="shared" si="7"/>
        <v>2.95</v>
      </c>
      <c r="N11" s="153">
        <f t="shared" si="7"/>
        <v>12.847222222222223</v>
      </c>
      <c r="O11" s="153"/>
    </row>
    <row r="12" spans="1:15" x14ac:dyDescent="0.25">
      <c r="A12" t="str">
        <f>PLANTILLA!D14</f>
        <v>I. Stone</v>
      </c>
      <c r="B12" s="48">
        <f>PLANTILLA!J14</f>
        <v>0.45656357442960838</v>
      </c>
      <c r="C12" s="83">
        <f>PLANTILLA!AC14</f>
        <v>9</v>
      </c>
      <c r="D12" s="83">
        <f>PLANTILLA!AD14</f>
        <v>2</v>
      </c>
      <c r="E12" s="48">
        <f ca="1">PLANTILLA!AI14</f>
        <v>9.651080564798173</v>
      </c>
      <c r="F12" s="48">
        <f ca="1">PLANTILLA!AJ14</f>
        <v>4.6480002555647832</v>
      </c>
      <c r="G12" s="48">
        <f ca="1">PLANTILLA!AK14</f>
        <v>0.55384002044518277</v>
      </c>
      <c r="H12" s="48">
        <f ca="1">PLANTILLA!AL14</f>
        <v>0.21836001788953491</v>
      </c>
      <c r="M12" s="257">
        <f>AVERAGE(M2:M11)</f>
        <v>2.2599999999999998</v>
      </c>
      <c r="N12" s="257">
        <f>AVERAGE(N2:N11)</f>
        <v>16.06411111111111</v>
      </c>
      <c r="O12" s="258">
        <f>1.66*(M12+1.5)+0.55*(N12+1.5)-7.6</f>
        <v>8.3018611111111102</v>
      </c>
    </row>
    <row r="13" spans="1:15" x14ac:dyDescent="0.25">
      <c r="A13" t="str">
        <f>PLANTILLA!D15</f>
        <v>G. Piscaer</v>
      </c>
      <c r="B13" s="48">
        <f>PLANTILLA!J15</f>
        <v>0.59621070845629232</v>
      </c>
      <c r="C13" s="83">
        <f>PLANTILLA!AC15</f>
        <v>8</v>
      </c>
      <c r="D13" s="83">
        <f>PLANTILLA!AD15</f>
        <v>0</v>
      </c>
      <c r="E13" s="48">
        <f ca="1">PLANTILLA!AI15</f>
        <v>5.4769947066484734</v>
      </c>
      <c r="F13" s="48">
        <f ca="1">PLANTILLA!AJ15</f>
        <v>2.3496676121925493</v>
      </c>
      <c r="G13" s="48">
        <f ca="1">PLANTILLA!AK15</f>
        <v>0.45666544662097774</v>
      </c>
      <c r="H13" s="48">
        <f ca="1">PLANTILLA!AL15</f>
        <v>0.20958226579335554</v>
      </c>
    </row>
    <row r="14" spans="1:15" x14ac:dyDescent="0.25">
      <c r="A14" t="str">
        <f>PLANTILLA!D16</f>
        <v>M. Bondarewski</v>
      </c>
      <c r="B14" s="48">
        <f>PLANTILLA!J16</f>
        <v>0.55329779729442397</v>
      </c>
      <c r="C14" s="83">
        <f>PLANTILLA!AC16</f>
        <v>8</v>
      </c>
      <c r="D14" s="83">
        <f>PLANTILLA!AD16</f>
        <v>6</v>
      </c>
      <c r="E14" s="48">
        <f ca="1">PLANTILLA!AI16</f>
        <v>8.8672689512313063</v>
      </c>
      <c r="F14" s="48">
        <f ca="1">PLANTILLA!AJ16</f>
        <v>6.1562007706965476</v>
      </c>
      <c r="G14" s="48">
        <f ca="1">PLANTILLA!AK16</f>
        <v>0.63472919872352196</v>
      </c>
      <c r="H14" s="48">
        <f ca="1">PLANTILLA!AL16</f>
        <v>0.30788804888308174</v>
      </c>
    </row>
    <row r="15" spans="1:15" x14ac:dyDescent="0.25">
      <c r="A15" t="str">
        <f>PLANTILLA!D17</f>
        <v>J. Vartiainen</v>
      </c>
      <c r="B15" s="48">
        <f>PLANTILLA!J17</f>
        <v>0.15192446974244905</v>
      </c>
      <c r="C15" s="83">
        <f>PLANTILLA!AC17</f>
        <v>6</v>
      </c>
      <c r="D15" s="83">
        <f>PLANTILLA!AD17</f>
        <v>1</v>
      </c>
      <c r="E15" s="48">
        <f ca="1">PLANTILLA!AI17</f>
        <v>2.9761829176022054</v>
      </c>
      <c r="F15" s="48">
        <f ca="1">PLANTILLA!AJ17</f>
        <v>2.3467245672928856</v>
      </c>
      <c r="G15" s="48">
        <f ca="1">PLANTILLA!AK17</f>
        <v>0.3521345563050341</v>
      </c>
      <c r="H15" s="48">
        <f ca="1">PLANTILLA!AL17</f>
        <v>0.32936773676690489</v>
      </c>
    </row>
    <row r="16" spans="1:15" x14ac:dyDescent="0.25">
      <c r="A16" t="str">
        <f>PLANTILLA!D18</f>
        <v>R. Forsyth</v>
      </c>
      <c r="B16" s="48">
        <f>PLANTILLA!J18</f>
        <v>0.59621070845629232</v>
      </c>
      <c r="C16" s="83">
        <f>PLANTILLA!AC18</f>
        <v>6</v>
      </c>
      <c r="D16" s="83">
        <f>PLANTILLA!AD18</f>
        <v>2</v>
      </c>
      <c r="E16" s="48">
        <f ca="1">PLANTILLA!AI18</f>
        <v>4.2932004516583815</v>
      </c>
      <c r="F16" s="48">
        <f ca="1">PLANTILLA!AJ18</f>
        <v>3.3239355745419843</v>
      </c>
      <c r="G16" s="48">
        <f ca="1">PLANTILLA!AK18</f>
        <v>0.41863468884597504</v>
      </c>
      <c r="H16" s="48">
        <f ca="1">PLANTILLA!AL18</f>
        <v>0.39130535274022815</v>
      </c>
    </row>
    <row r="17" spans="1:8" x14ac:dyDescent="0.25">
      <c r="A17" t="str">
        <f>PLANTILLA!D19</f>
        <v>K. Nelson</v>
      </c>
      <c r="B17" s="48">
        <f>PLANTILLA!J19</f>
        <v>0.59621070845629232</v>
      </c>
      <c r="C17" s="83">
        <f>PLANTILLA!AC19</f>
        <v>9</v>
      </c>
      <c r="D17" s="83">
        <f>PLANTILLA!AD19</f>
        <v>1</v>
      </c>
      <c r="E17" s="48">
        <f ca="1">PLANTILLA!AI19</f>
        <v>8.0585316870977337</v>
      </c>
      <c r="F17" s="48">
        <f ca="1">PLANTILLA!AJ19</f>
        <v>3.5026034784252533</v>
      </c>
      <c r="G17" s="48">
        <f ca="1">PLANTILLA!AK19</f>
        <v>0.53954690603081656</v>
      </c>
      <c r="H17" s="48">
        <f ca="1">PLANTILLA!AL19</f>
        <v>0.28210354277696448</v>
      </c>
    </row>
    <row r="18" spans="1:8" x14ac:dyDescent="0.25">
      <c r="A18" t="str">
        <f>PLANTILLA!D20</f>
        <v>V. Godoi</v>
      </c>
      <c r="B18" s="48">
        <f>PLANTILLA!J20</f>
        <v>0.98715025265899181</v>
      </c>
      <c r="C18" s="83">
        <f>PLANTILLA!AC20</f>
        <v>5</v>
      </c>
      <c r="D18" s="83">
        <f>PLANTILLA!AD20</f>
        <v>1</v>
      </c>
      <c r="E18" s="48">
        <f ca="1">PLANTILLA!AI20</f>
        <v>3.2540869875021068</v>
      </c>
      <c r="F18" s="48">
        <f ca="1">PLANTILLA!AJ20</f>
        <v>2.9855878678192584</v>
      </c>
      <c r="G18" s="48">
        <f ca="1">PLANTILLA!AK20</f>
        <v>0.36198427738198696</v>
      </c>
      <c r="H18" s="48">
        <f ca="1">PLANTILLA!AL20</f>
        <v>0.22173624270923858</v>
      </c>
    </row>
    <row r="19" spans="1:8" x14ac:dyDescent="0.25">
      <c r="A19" t="str">
        <f>PLANTILLA!D21</f>
        <v>P. Tuderek</v>
      </c>
      <c r="B19" s="48">
        <f>PLANTILLA!J21</f>
        <v>0.27215997687456639</v>
      </c>
      <c r="C19" s="83">
        <f>PLANTILLA!AC21</f>
        <v>6</v>
      </c>
      <c r="D19" s="83">
        <f>PLANTILLA!AD21</f>
        <v>8</v>
      </c>
      <c r="E19" s="48">
        <f ca="1">PLANTILLA!AI21</f>
        <v>7.0951437675547071</v>
      </c>
      <c r="F19" s="48">
        <f ca="1">PLANTILLA!AJ21</f>
        <v>7.2296207261414311</v>
      </c>
      <c r="G19" s="48">
        <f ca="1">PLANTILLA!AK21</f>
        <v>0.57271063031943703</v>
      </c>
      <c r="H19" s="48">
        <f ca="1">PLANTILLA!AL21</f>
        <v>0.50862180152950742</v>
      </c>
    </row>
    <row r="20" spans="1:8" x14ac:dyDescent="0.25">
      <c r="A20" t="str">
        <f>PLANTILLA!D22</f>
        <v>R. Scheidecker</v>
      </c>
      <c r="B20" s="48">
        <f>PLANTILLA!J22</f>
        <v>0.23478834540757498</v>
      </c>
      <c r="C20" s="83">
        <f>PLANTILLA!AC22</f>
        <v>9</v>
      </c>
      <c r="D20" s="83">
        <f>PLANTILLA!AD22</f>
        <v>8</v>
      </c>
      <c r="E20" s="48">
        <f ca="1">PLANTILLA!AI22</f>
        <v>10.616016278985404</v>
      </c>
      <c r="F20" s="48">
        <f ca="1">PLANTILLA!AJ22</f>
        <v>7.3287646257727586</v>
      </c>
      <c r="G20" s="48">
        <f ca="1">PLANTILLA!AK22</f>
        <v>0.71972089980207754</v>
      </c>
      <c r="H20" s="48">
        <f ca="1">PLANTILLA!AL22</f>
        <v>0.42600578732681793</v>
      </c>
    </row>
    <row r="21" spans="1:8" x14ac:dyDescent="0.25">
      <c r="A21" t="str">
        <f>PLANTILLA!D23</f>
        <v>K. Helms</v>
      </c>
      <c r="B21" s="48">
        <f>PLANTILLA!J23</f>
        <v>1.5484906696466332</v>
      </c>
      <c r="C21" s="83">
        <f>PLANTILLA!AC23</f>
        <v>3.95</v>
      </c>
      <c r="D21" s="83">
        <f>PLANTILLA!AD23</f>
        <v>18</v>
      </c>
      <c r="E21" s="48">
        <f>PLANTILLA!AI23</f>
        <v>15.594164379919059</v>
      </c>
      <c r="F21" s="48">
        <f>PLANTILLA!AJ23</f>
        <v>16.833490669646633</v>
      </c>
      <c r="G21" s="48">
        <f>PLANTILLA!AK23</f>
        <v>0.98137925357173061</v>
      </c>
      <c r="H21" s="48">
        <f>PLANTILLA!AL23</f>
        <v>1.0434064680873854</v>
      </c>
    </row>
    <row r="22" spans="1:8" x14ac:dyDescent="0.25">
      <c r="A22" t="str">
        <f>PLANTILLA!D24</f>
        <v>S. Zobbe</v>
      </c>
      <c r="B22" s="48">
        <f>PLANTILLA!J24</f>
        <v>1.5281707142376506</v>
      </c>
      <c r="C22" s="83">
        <f>PLANTILLA!AC24</f>
        <v>6.95</v>
      </c>
      <c r="D22" s="83">
        <f>PLANTILLA!AD24</f>
        <v>16</v>
      </c>
      <c r="E22" s="48">
        <f>PLANTILLA!AI24</f>
        <v>17.98799691205523</v>
      </c>
      <c r="F22" s="48">
        <f>PLANTILLA!AJ24</f>
        <v>15.103061338262165</v>
      </c>
      <c r="G22" s="48">
        <f>PLANTILLA!AK24</f>
        <v>1.069753657139012</v>
      </c>
      <c r="H22" s="48">
        <f>PLANTILLA!AL24</f>
        <v>1.0263719499966355</v>
      </c>
    </row>
    <row r="23" spans="1:8" x14ac:dyDescent="0.25">
      <c r="A23" t="str">
        <f>PLANTILLA!D25</f>
        <v>L. Bauman</v>
      </c>
      <c r="B23" s="48">
        <f>PLANTILLA!J25</f>
        <v>1.4852578030757824</v>
      </c>
      <c r="C23" s="83">
        <f>PLANTILLA!AC25</f>
        <v>5.95</v>
      </c>
      <c r="D23" s="83">
        <f>PLANTILLA!AD25</f>
        <v>16.95</v>
      </c>
      <c r="E23" s="48">
        <f>PLANTILLA!AI25</f>
        <v>15.37920414526894</v>
      </c>
      <c r="F23" s="48">
        <f>PLANTILLA!AJ25</f>
        <v>14.059358910775252</v>
      </c>
      <c r="G23" s="48">
        <f>PLANTILLA!AK25</f>
        <v>1.0448206242460625</v>
      </c>
      <c r="H23" s="48">
        <f>PLANTILLA!AL25</f>
        <v>0.95546804621530479</v>
      </c>
    </row>
    <row r="24" spans="1:8" x14ac:dyDescent="0.25">
      <c r="A24" t="str">
        <f>PLANTILLA!D26</f>
        <v>J. Limon</v>
      </c>
      <c r="B24" s="48">
        <f>PLANTILLA!J26</f>
        <v>1.5795885744234652</v>
      </c>
      <c r="C24" s="83">
        <f>PLANTILLA!AC26</f>
        <v>6.95</v>
      </c>
      <c r="D24" s="83">
        <f>PLANTILLA!AD26</f>
        <v>18.999999999999993</v>
      </c>
      <c r="E24" s="48">
        <f>PLANTILLA!AI26</f>
        <v>17.911261786916143</v>
      </c>
      <c r="F24" s="48">
        <f>PLANTILLA!AJ26</f>
        <v>15.60542559548554</v>
      </c>
      <c r="G24" s="48">
        <f>PLANTILLA!AK26</f>
        <v>1.1638670859538771</v>
      </c>
      <c r="H24" s="48">
        <f>PLANTILLA!AL26</f>
        <v>1.0590759621144044</v>
      </c>
    </row>
    <row r="25" spans="1:8" x14ac:dyDescent="0.25">
      <c r="A25" t="str">
        <f>PLANTILLA!D27</f>
        <v>P .Trivadi</v>
      </c>
      <c r="B25" s="48">
        <f>PLANTILLA!J27</f>
        <v>1.1431099952416914</v>
      </c>
      <c r="C25" s="83">
        <f>PLANTILLA!AC27</f>
        <v>7.95</v>
      </c>
      <c r="D25" s="83">
        <f>PLANTILLA!AD27</f>
        <v>14</v>
      </c>
      <c r="E25" s="48">
        <f>PLANTILLA!AI27</f>
        <v>14.467174605147093</v>
      </c>
      <c r="F25" s="48">
        <f>PLANTILLA!AJ27</f>
        <v>11.208997560148759</v>
      </c>
      <c r="G25" s="48">
        <f>PLANTILLA!AK27</f>
        <v>1.0289487996193352</v>
      </c>
      <c r="H25" s="48">
        <f>PLANTILLA!AL27</f>
        <v>0.76581769966691837</v>
      </c>
    </row>
    <row r="26" spans="1:8" x14ac:dyDescent="0.25">
      <c r="B26" s="48"/>
      <c r="C26" s="83"/>
      <c r="D26" s="83"/>
      <c r="E26" s="83"/>
      <c r="F26" s="48"/>
      <c r="G26" s="48"/>
      <c r="H26" s="48"/>
    </row>
    <row r="27" spans="1:8" x14ac:dyDescent="0.25">
      <c r="B27" s="48"/>
      <c r="C27" s="83"/>
      <c r="D27" s="83"/>
      <c r="E27" s="83"/>
      <c r="F27" s="48"/>
      <c r="G27" s="48"/>
      <c r="H27" s="48"/>
    </row>
  </sheetData>
  <sortState ref="A2:H19">
    <sortCondition descending="1" ref="E2:E19"/>
  </sortState>
  <conditionalFormatting sqref="E2:E25">
    <cfRule type="cellIs" dxfId="69" priority="4" operator="lessThan">
      <formula>11</formula>
    </cfRule>
    <cfRule type="cellIs" dxfId="68" priority="5" operator="between">
      <formula>11</formula>
      <formula>15</formula>
    </cfRule>
    <cfRule type="cellIs" dxfId="67" priority="6" operator="greaterThan">
      <formula>15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L9" sqref="L9"/>
    </sheetView>
  </sheetViews>
  <sheetFormatPr baseColWidth="10" defaultColWidth="11.42578125" defaultRowHeight="15" x14ac:dyDescent="0.25"/>
  <cols>
    <col min="1" max="1" width="13.7109375" bestFit="1" customWidth="1"/>
    <col min="2" max="8" width="6.5703125" bestFit="1" customWidth="1"/>
    <col min="9" max="10" width="7.7109375" bestFit="1" customWidth="1"/>
    <col min="12" max="12" width="32.7109375" customWidth="1"/>
    <col min="14" max="14" width="7.7109375" bestFit="1" customWidth="1"/>
    <col min="15" max="15" width="23.28515625" bestFit="1" customWidth="1"/>
    <col min="16" max="17" width="6.5703125" bestFit="1" customWidth="1"/>
    <col min="18" max="18" width="7.42578125" customWidth="1"/>
    <col min="19" max="19" width="4.5703125" bestFit="1" customWidth="1"/>
    <col min="21" max="21" width="7.7109375" bestFit="1" customWidth="1"/>
    <col min="22" max="22" width="21.7109375" style="55" bestFit="1" customWidth="1"/>
    <col min="23" max="24" width="5.5703125" bestFit="1" customWidth="1"/>
    <col min="25" max="26" width="4.5703125" bestFit="1" customWidth="1"/>
  </cols>
  <sheetData>
    <row r="1" spans="1:26" x14ac:dyDescent="0.25">
      <c r="A1" s="87">
        <v>41900</v>
      </c>
      <c r="E1" s="127" t="s">
        <v>231</v>
      </c>
      <c r="F1" s="128" t="s">
        <v>232</v>
      </c>
      <c r="G1" s="8"/>
      <c r="H1" s="8"/>
      <c r="I1" s="129" t="s">
        <v>231</v>
      </c>
      <c r="J1" s="130" t="s">
        <v>232</v>
      </c>
      <c r="K1" s="7"/>
      <c r="P1" s="127" t="s">
        <v>231</v>
      </c>
      <c r="Q1" s="128" t="s">
        <v>232</v>
      </c>
      <c r="R1" s="127"/>
      <c r="S1" s="128"/>
      <c r="W1" s="127" t="s">
        <v>231</v>
      </c>
      <c r="X1" s="128" t="s">
        <v>232</v>
      </c>
      <c r="Y1" s="127"/>
      <c r="Z1" s="128"/>
    </row>
    <row r="2" spans="1:26" x14ac:dyDescent="0.25">
      <c r="A2" s="126" t="s">
        <v>71</v>
      </c>
      <c r="B2" s="126" t="s">
        <v>233</v>
      </c>
      <c r="C2" s="126" t="s">
        <v>234</v>
      </c>
      <c r="D2" s="126" t="s">
        <v>79</v>
      </c>
      <c r="E2" s="127" t="s">
        <v>68</v>
      </c>
      <c r="F2" s="128" t="s">
        <v>68</v>
      </c>
      <c r="G2" s="8" t="s">
        <v>75</v>
      </c>
      <c r="H2" s="8" t="s">
        <v>75</v>
      </c>
      <c r="I2" s="129" t="s">
        <v>235</v>
      </c>
      <c r="J2" s="130" t="s">
        <v>235</v>
      </c>
      <c r="K2" s="7"/>
      <c r="P2" s="127" t="s">
        <v>68</v>
      </c>
      <c r="Q2" s="128" t="s">
        <v>68</v>
      </c>
      <c r="R2" s="127" t="s">
        <v>75</v>
      </c>
      <c r="S2" s="128" t="s">
        <v>75</v>
      </c>
      <c r="W2" s="127" t="s">
        <v>68</v>
      </c>
      <c r="X2" s="128" t="s">
        <v>68</v>
      </c>
      <c r="Y2" s="127" t="s">
        <v>75</v>
      </c>
      <c r="Z2" s="128" t="s">
        <v>75</v>
      </c>
    </row>
    <row r="3" spans="1:26" x14ac:dyDescent="0.25">
      <c r="A3" s="136" t="str">
        <f>PLANTILLA!D4</f>
        <v>D. Gehmacher</v>
      </c>
      <c r="B3" s="50">
        <f>PLANTILLA!E4</f>
        <v>35</v>
      </c>
      <c r="C3" s="50">
        <f>PLANTILLA!H4</f>
        <v>6</v>
      </c>
      <c r="D3" s="138">
        <f>PLANTILLA!I4</f>
        <v>23.7</v>
      </c>
      <c r="E3" s="131">
        <f>D3</f>
        <v>23.7</v>
      </c>
      <c r="F3" s="131">
        <f>E3+0.1</f>
        <v>23.8</v>
      </c>
      <c r="G3" s="131">
        <f>C3</f>
        <v>6</v>
      </c>
      <c r="H3" s="131">
        <f t="shared" ref="H3" si="0">G3+0.99</f>
        <v>6.99</v>
      </c>
      <c r="I3" s="135">
        <f t="shared" ref="I3:J3" si="1">G3*G3*E3</f>
        <v>853.19999999999993</v>
      </c>
      <c r="J3" s="135">
        <f t="shared" si="1"/>
        <v>1162.8703800000001</v>
      </c>
      <c r="K3" s="132"/>
      <c r="N3" s="2" t="s">
        <v>235</v>
      </c>
      <c r="O3" t="str">
        <f>A3</f>
        <v>D. Gehmacher</v>
      </c>
      <c r="P3" s="133">
        <f>E3</f>
        <v>23.7</v>
      </c>
      <c r="Q3" s="133">
        <f t="shared" ref="Q3:S3" si="2">F3</f>
        <v>23.8</v>
      </c>
      <c r="R3" s="133">
        <f t="shared" si="2"/>
        <v>6</v>
      </c>
      <c r="S3" s="133">
        <f t="shared" si="2"/>
        <v>6.99</v>
      </c>
      <c r="U3" s="2" t="s">
        <v>235</v>
      </c>
      <c r="V3" s="55" t="str">
        <f>O3</f>
        <v>D. Gehmacher</v>
      </c>
      <c r="W3" s="133">
        <f>P3</f>
        <v>23.7</v>
      </c>
      <c r="X3" s="133">
        <f t="shared" ref="X3:Z3" si="3">Q3</f>
        <v>23.8</v>
      </c>
      <c r="Y3" s="133">
        <f t="shared" si="3"/>
        <v>6</v>
      </c>
      <c r="Z3" s="133">
        <f t="shared" si="3"/>
        <v>6.99</v>
      </c>
    </row>
    <row r="4" spans="1:26" x14ac:dyDescent="0.25">
      <c r="A4" s="136" t="str">
        <f>PLANTILLA!D5</f>
        <v>T. Hammond</v>
      </c>
      <c r="B4" s="50">
        <f>PLANTILLA!E5</f>
        <v>39</v>
      </c>
      <c r="C4" s="50">
        <f>PLANTILLA!H5</f>
        <v>3</v>
      </c>
      <c r="D4" s="138">
        <f>PLANTILLA!I5</f>
        <v>8.4</v>
      </c>
      <c r="E4" s="131">
        <f t="shared" ref="E4:E26" si="4">D4</f>
        <v>8.4</v>
      </c>
      <c r="F4" s="131">
        <f t="shared" ref="F4:F26" si="5">E4+0.1</f>
        <v>8.5</v>
      </c>
      <c r="G4" s="131">
        <f t="shared" ref="G4:G26" si="6">C4</f>
        <v>3</v>
      </c>
      <c r="H4" s="131">
        <f t="shared" ref="H4:H26" si="7">G4+0.99</f>
        <v>3.99</v>
      </c>
      <c r="I4" s="135">
        <f t="shared" ref="I4:I26" si="8">G4*G4*E4</f>
        <v>75.600000000000009</v>
      </c>
      <c r="J4" s="135">
        <f t="shared" ref="J4:J26" si="9">H4*H4*F4</f>
        <v>135.32085000000001</v>
      </c>
      <c r="K4" s="132"/>
      <c r="O4" t="str">
        <f>A7</f>
        <v>F. Lasprilla</v>
      </c>
      <c r="P4" s="133">
        <f>E7</f>
        <v>6.3</v>
      </c>
      <c r="Q4" s="133">
        <f t="shared" ref="Q4:S4" si="10">F7</f>
        <v>6.3999999999999995</v>
      </c>
      <c r="R4" s="133">
        <f t="shared" si="10"/>
        <v>4</v>
      </c>
      <c r="S4" s="133">
        <f t="shared" si="10"/>
        <v>4.99</v>
      </c>
      <c r="V4" s="55" t="str">
        <f t="shared" ref="V4:V13" si="11">O4</f>
        <v>F. Lasprilla</v>
      </c>
      <c r="W4" s="133">
        <f t="shared" ref="W4:W13" si="12">P4</f>
        <v>6.3</v>
      </c>
      <c r="X4" s="133">
        <f t="shared" ref="X4:X13" si="13">Q4</f>
        <v>6.3999999999999995</v>
      </c>
      <c r="Y4" s="133">
        <f t="shared" ref="Y4:Y13" si="14">R4</f>
        <v>4</v>
      </c>
      <c r="Z4" s="133">
        <f t="shared" ref="Z4:Z13" si="15">S4</f>
        <v>4.99</v>
      </c>
    </row>
    <row r="5" spans="1:26" x14ac:dyDescent="0.25">
      <c r="A5" s="136" t="str">
        <f>PLANTILLA!D6</f>
        <v>E. Toney</v>
      </c>
      <c r="B5" s="50">
        <f>PLANTILLA!E6</f>
        <v>36</v>
      </c>
      <c r="C5" s="50">
        <f>PLANTILLA!H6</f>
        <v>4</v>
      </c>
      <c r="D5" s="138">
        <f>PLANTILLA!I6</f>
        <v>18</v>
      </c>
      <c r="E5" s="131">
        <f t="shared" si="4"/>
        <v>18</v>
      </c>
      <c r="F5" s="131">
        <f t="shared" si="5"/>
        <v>18.100000000000001</v>
      </c>
      <c r="G5" s="131">
        <f t="shared" si="6"/>
        <v>4</v>
      </c>
      <c r="H5" s="131">
        <f t="shared" si="7"/>
        <v>4.99</v>
      </c>
      <c r="I5" s="135">
        <f t="shared" si="8"/>
        <v>288</v>
      </c>
      <c r="J5" s="135">
        <f t="shared" si="9"/>
        <v>450.69181000000009</v>
      </c>
      <c r="K5" s="132"/>
      <c r="L5" s="54"/>
      <c r="O5" t="str">
        <f>A14</f>
        <v>G. Piscaer</v>
      </c>
      <c r="P5" s="133">
        <f>E14</f>
        <v>1.8</v>
      </c>
      <c r="Q5" s="133">
        <f t="shared" ref="Q5:S5" si="16">F14</f>
        <v>1.9000000000000001</v>
      </c>
      <c r="R5" s="133">
        <f t="shared" si="16"/>
        <v>1</v>
      </c>
      <c r="S5" s="133">
        <f t="shared" si="16"/>
        <v>1.99</v>
      </c>
      <c r="V5" s="55" t="str">
        <f t="shared" si="11"/>
        <v>G. Piscaer</v>
      </c>
      <c r="W5" s="133">
        <f t="shared" si="12"/>
        <v>1.8</v>
      </c>
      <c r="X5" s="133">
        <f t="shared" si="13"/>
        <v>1.9000000000000001</v>
      </c>
      <c r="Y5" s="133">
        <f t="shared" si="14"/>
        <v>1</v>
      </c>
      <c r="Z5" s="133">
        <f t="shared" si="15"/>
        <v>1.99</v>
      </c>
    </row>
    <row r="6" spans="1:26" x14ac:dyDescent="0.25">
      <c r="A6" s="136" t="str">
        <f>PLANTILLA!D7</f>
        <v>B. Bartolache</v>
      </c>
      <c r="B6" s="50">
        <f>PLANTILLA!E7</f>
        <v>35</v>
      </c>
      <c r="C6" s="50">
        <f>PLANTILLA!H7</f>
        <v>3</v>
      </c>
      <c r="D6" s="138">
        <f>PLANTILLA!I7</f>
        <v>11.8</v>
      </c>
      <c r="E6" s="131">
        <f t="shared" si="4"/>
        <v>11.8</v>
      </c>
      <c r="F6" s="131">
        <f t="shared" si="5"/>
        <v>11.9</v>
      </c>
      <c r="G6" s="131">
        <f t="shared" si="6"/>
        <v>3</v>
      </c>
      <c r="H6" s="131">
        <f t="shared" si="7"/>
        <v>3.99</v>
      </c>
      <c r="I6" s="135">
        <f t="shared" si="8"/>
        <v>106.2</v>
      </c>
      <c r="J6" s="135">
        <f t="shared" si="9"/>
        <v>189.44919000000002</v>
      </c>
      <c r="K6" s="132"/>
      <c r="O6" t="str">
        <f>A5</f>
        <v>E. Toney</v>
      </c>
      <c r="P6" s="133">
        <f>E5</f>
        <v>18</v>
      </c>
      <c r="Q6" s="133">
        <f t="shared" ref="Q6:S6" si="17">F5</f>
        <v>18.100000000000001</v>
      </c>
      <c r="R6" s="133">
        <f t="shared" si="17"/>
        <v>4</v>
      </c>
      <c r="S6" s="133">
        <f t="shared" si="17"/>
        <v>4.99</v>
      </c>
      <c r="V6" s="55" t="str">
        <f t="shared" si="11"/>
        <v>E. Toney</v>
      </c>
      <c r="W6" s="133">
        <f t="shared" si="12"/>
        <v>18</v>
      </c>
      <c r="X6" s="133">
        <f t="shared" si="13"/>
        <v>18.100000000000001</v>
      </c>
      <c r="Y6" s="133">
        <f t="shared" si="14"/>
        <v>4</v>
      </c>
      <c r="Z6" s="133">
        <f t="shared" si="15"/>
        <v>4.99</v>
      </c>
    </row>
    <row r="7" spans="1:26" x14ac:dyDescent="0.25">
      <c r="A7" s="136" t="str">
        <f>PLANTILLA!D8</f>
        <v>F. Lasprilla</v>
      </c>
      <c r="B7" s="50">
        <f>PLANTILLA!E8</f>
        <v>32</v>
      </c>
      <c r="C7" s="50">
        <f>PLANTILLA!H8</f>
        <v>4</v>
      </c>
      <c r="D7" s="138">
        <f>PLANTILLA!I8</f>
        <v>6.3</v>
      </c>
      <c r="E7" s="131">
        <f t="shared" si="4"/>
        <v>6.3</v>
      </c>
      <c r="F7" s="131">
        <f t="shared" si="5"/>
        <v>6.3999999999999995</v>
      </c>
      <c r="G7" s="131">
        <f t="shared" si="6"/>
        <v>4</v>
      </c>
      <c r="H7" s="131">
        <f t="shared" si="7"/>
        <v>4.99</v>
      </c>
      <c r="I7" s="135">
        <f t="shared" si="8"/>
        <v>100.8</v>
      </c>
      <c r="J7" s="135">
        <f t="shared" si="9"/>
        <v>159.36063999999999</v>
      </c>
      <c r="K7" s="132"/>
      <c r="O7" t="str">
        <f>A6</f>
        <v>B. Bartolache</v>
      </c>
      <c r="P7" s="133">
        <f>E6</f>
        <v>11.8</v>
      </c>
      <c r="Q7" s="133">
        <f t="shared" ref="Q7" si="18">F6</f>
        <v>11.9</v>
      </c>
      <c r="R7" s="133">
        <f t="shared" ref="R7" si="19">G6</f>
        <v>3</v>
      </c>
      <c r="S7" s="133">
        <f t="shared" ref="S7" si="20">H6</f>
        <v>3.99</v>
      </c>
      <c r="V7" s="55" t="str">
        <f t="shared" si="11"/>
        <v>B. Bartolache</v>
      </c>
      <c r="W7" s="133">
        <f t="shared" si="12"/>
        <v>11.8</v>
      </c>
      <c r="X7" s="133">
        <f t="shared" si="13"/>
        <v>11.9</v>
      </c>
      <c r="Y7" s="133">
        <f t="shared" si="14"/>
        <v>3</v>
      </c>
      <c r="Z7" s="133">
        <f t="shared" si="15"/>
        <v>3.99</v>
      </c>
    </row>
    <row r="8" spans="1:26" x14ac:dyDescent="0.25">
      <c r="A8" s="136" t="str">
        <f>PLANTILLA!D9</f>
        <v>E. Romweber</v>
      </c>
      <c r="B8" s="50">
        <f>PLANTILLA!E9</f>
        <v>35</v>
      </c>
      <c r="C8" s="50">
        <f>PLANTILLA!H9</f>
        <v>0</v>
      </c>
      <c r="D8" s="138">
        <f>PLANTILLA!I9</f>
        <v>17.100000000000001</v>
      </c>
      <c r="E8" s="131">
        <f t="shared" si="4"/>
        <v>17.100000000000001</v>
      </c>
      <c r="F8" s="131">
        <f t="shared" si="5"/>
        <v>17.200000000000003</v>
      </c>
      <c r="G8" s="131">
        <f t="shared" si="6"/>
        <v>0</v>
      </c>
      <c r="H8" s="131">
        <f t="shared" si="7"/>
        <v>0.99</v>
      </c>
      <c r="I8" s="135">
        <f t="shared" si="8"/>
        <v>0</v>
      </c>
      <c r="J8" s="135">
        <f t="shared" si="9"/>
        <v>16.857720000000004</v>
      </c>
      <c r="K8" s="132"/>
      <c r="O8" t="str">
        <f>A12</f>
        <v>I. Vanags</v>
      </c>
      <c r="P8" s="133">
        <f>E12</f>
        <v>0.4</v>
      </c>
      <c r="Q8" s="133">
        <f t="shared" ref="Q8:S8" si="21">F12</f>
        <v>0.5</v>
      </c>
      <c r="R8" s="133">
        <f t="shared" si="21"/>
        <v>4</v>
      </c>
      <c r="S8" s="133">
        <f t="shared" si="21"/>
        <v>4.99</v>
      </c>
      <c r="V8" s="55" t="str">
        <f t="shared" si="11"/>
        <v>I. Vanags</v>
      </c>
      <c r="W8" s="133">
        <f t="shared" si="12"/>
        <v>0.4</v>
      </c>
      <c r="X8" s="133">
        <f t="shared" si="13"/>
        <v>0.5</v>
      </c>
      <c r="Y8" s="133">
        <f t="shared" si="14"/>
        <v>4</v>
      </c>
      <c r="Z8" s="133">
        <f t="shared" si="15"/>
        <v>4.99</v>
      </c>
    </row>
    <row r="9" spans="1:26" x14ac:dyDescent="0.25">
      <c r="A9" s="136" t="str">
        <f>PLANTILLA!D10</f>
        <v>S. Buschelman</v>
      </c>
      <c r="B9" s="50">
        <f>PLANTILLA!E10</f>
        <v>34</v>
      </c>
      <c r="C9" s="50">
        <f>PLANTILLA!H10</f>
        <v>3</v>
      </c>
      <c r="D9" s="138">
        <f>PLANTILLA!I10</f>
        <v>14.8</v>
      </c>
      <c r="E9" s="131">
        <f t="shared" si="4"/>
        <v>14.8</v>
      </c>
      <c r="F9" s="131">
        <f t="shared" si="5"/>
        <v>14.9</v>
      </c>
      <c r="G9" s="131">
        <f t="shared" si="6"/>
        <v>3</v>
      </c>
      <c r="H9" s="131">
        <f t="shared" si="7"/>
        <v>3.99</v>
      </c>
      <c r="I9" s="135">
        <f t="shared" si="8"/>
        <v>133.20000000000002</v>
      </c>
      <c r="J9" s="135">
        <f t="shared" si="9"/>
        <v>237.20949000000002</v>
      </c>
      <c r="K9" s="132"/>
      <c r="O9" t="str">
        <f>A15</f>
        <v>M. Bondarewski</v>
      </c>
      <c r="P9" s="133">
        <f>E15</f>
        <v>1.6</v>
      </c>
      <c r="Q9" s="133">
        <f t="shared" ref="Q9:S9" si="22">F15</f>
        <v>1.7000000000000002</v>
      </c>
      <c r="R9" s="133">
        <f t="shared" si="22"/>
        <v>1</v>
      </c>
      <c r="S9" s="133">
        <f t="shared" si="22"/>
        <v>1.99</v>
      </c>
      <c r="V9" s="55" t="str">
        <f t="shared" si="11"/>
        <v>M. Bondarewski</v>
      </c>
      <c r="W9" s="133">
        <f t="shared" si="12"/>
        <v>1.6</v>
      </c>
      <c r="X9" s="133">
        <f t="shared" si="13"/>
        <v>1.7000000000000002</v>
      </c>
      <c r="Y9" s="133">
        <f t="shared" si="14"/>
        <v>1</v>
      </c>
      <c r="Z9" s="133">
        <f t="shared" si="15"/>
        <v>1.99</v>
      </c>
    </row>
    <row r="10" spans="1:26" x14ac:dyDescent="0.25">
      <c r="A10" s="136" t="str">
        <f>PLANTILLA!D11</f>
        <v>E. Gross</v>
      </c>
      <c r="B10" s="50">
        <f>PLANTILLA!E11</f>
        <v>35</v>
      </c>
      <c r="C10" s="50">
        <f>PLANTILLA!H11</f>
        <v>3</v>
      </c>
      <c r="D10" s="138">
        <f>PLANTILLA!I11</f>
        <v>13.1</v>
      </c>
      <c r="E10" s="131">
        <f t="shared" si="4"/>
        <v>13.1</v>
      </c>
      <c r="F10" s="131">
        <f t="shared" si="5"/>
        <v>13.2</v>
      </c>
      <c r="G10" s="131">
        <f t="shared" si="6"/>
        <v>3</v>
      </c>
      <c r="H10" s="131">
        <f t="shared" si="7"/>
        <v>3.99</v>
      </c>
      <c r="I10" s="135">
        <f t="shared" si="8"/>
        <v>117.89999999999999</v>
      </c>
      <c r="J10" s="135">
        <f t="shared" si="9"/>
        <v>210.14532</v>
      </c>
      <c r="K10" s="132"/>
      <c r="O10" t="str">
        <f>A13</f>
        <v>I. Stone</v>
      </c>
      <c r="P10" s="133">
        <f>E13</f>
        <v>1.2</v>
      </c>
      <c r="Q10" s="133">
        <f t="shared" ref="Q10:S10" si="23">F13</f>
        <v>1.3</v>
      </c>
      <c r="R10" s="133">
        <f t="shared" si="23"/>
        <v>6</v>
      </c>
      <c r="S10" s="133">
        <f t="shared" si="23"/>
        <v>6.99</v>
      </c>
      <c r="V10" s="55" t="str">
        <f t="shared" si="11"/>
        <v>I. Stone</v>
      </c>
      <c r="W10" s="133">
        <f t="shared" si="12"/>
        <v>1.2</v>
      </c>
      <c r="X10" s="133">
        <f t="shared" si="13"/>
        <v>1.3</v>
      </c>
      <c r="Y10" s="133">
        <f t="shared" si="14"/>
        <v>6</v>
      </c>
      <c r="Z10" s="133">
        <f t="shared" si="15"/>
        <v>6.99</v>
      </c>
    </row>
    <row r="11" spans="1:26" x14ac:dyDescent="0.25">
      <c r="A11" s="136" t="str">
        <f>PLANTILLA!D12</f>
        <v>W. Gelifini</v>
      </c>
      <c r="B11" s="50">
        <f>PLANTILLA!E12</f>
        <v>34</v>
      </c>
      <c r="C11" s="50">
        <f>PLANTILLA!H12</f>
        <v>2</v>
      </c>
      <c r="D11" s="138">
        <f>PLANTILLA!I12</f>
        <v>4.5</v>
      </c>
      <c r="E11" s="131">
        <f t="shared" si="4"/>
        <v>4.5</v>
      </c>
      <c r="F11" s="131">
        <f t="shared" si="5"/>
        <v>4.5999999999999996</v>
      </c>
      <c r="G11" s="131">
        <f t="shared" si="6"/>
        <v>2</v>
      </c>
      <c r="H11" s="131">
        <f t="shared" si="7"/>
        <v>2.99</v>
      </c>
      <c r="I11" s="135">
        <f t="shared" si="8"/>
        <v>18</v>
      </c>
      <c r="J11" s="135">
        <f t="shared" si="9"/>
        <v>41.124459999999999</v>
      </c>
      <c r="K11" s="132"/>
      <c r="O11" t="str">
        <f>A10</f>
        <v>E. Gross</v>
      </c>
      <c r="P11" s="133">
        <f>E10</f>
        <v>13.1</v>
      </c>
      <c r="Q11" s="133">
        <f t="shared" ref="Q11:S11" si="24">F10</f>
        <v>13.2</v>
      </c>
      <c r="R11" s="133">
        <f t="shared" si="24"/>
        <v>3</v>
      </c>
      <c r="S11" s="133">
        <f t="shared" si="24"/>
        <v>3.99</v>
      </c>
      <c r="V11" s="55" t="str">
        <f t="shared" si="11"/>
        <v>E. Gross</v>
      </c>
      <c r="W11" s="133">
        <f t="shared" si="12"/>
        <v>13.1</v>
      </c>
      <c r="X11" s="133">
        <f t="shared" si="13"/>
        <v>13.2</v>
      </c>
      <c r="Y11" s="133">
        <f t="shared" si="14"/>
        <v>3</v>
      </c>
      <c r="Z11" s="133">
        <f t="shared" si="15"/>
        <v>3.99</v>
      </c>
    </row>
    <row r="12" spans="1:26" x14ac:dyDescent="0.25">
      <c r="A12" s="136" t="str">
        <f>PLANTILLA!D13</f>
        <v>I. Vanags</v>
      </c>
      <c r="B12" s="50">
        <f>PLANTILLA!E13</f>
        <v>18</v>
      </c>
      <c r="C12" s="50">
        <f>PLANTILLA!H13</f>
        <v>4</v>
      </c>
      <c r="D12" s="138">
        <f>PLANTILLA!I13</f>
        <v>0.4</v>
      </c>
      <c r="E12" s="131">
        <f t="shared" si="4"/>
        <v>0.4</v>
      </c>
      <c r="F12" s="131">
        <f t="shared" si="5"/>
        <v>0.5</v>
      </c>
      <c r="G12" s="131">
        <f t="shared" si="6"/>
        <v>4</v>
      </c>
      <c r="H12" s="131">
        <f t="shared" si="7"/>
        <v>4.99</v>
      </c>
      <c r="I12" s="135">
        <f t="shared" si="8"/>
        <v>6.4</v>
      </c>
      <c r="J12" s="135">
        <f t="shared" si="9"/>
        <v>12.450050000000001</v>
      </c>
      <c r="K12" s="132"/>
      <c r="O12" t="str">
        <f>A20</f>
        <v>P. Tuderek</v>
      </c>
      <c r="P12" s="133">
        <f>E20</f>
        <v>0.6</v>
      </c>
      <c r="Q12" s="133">
        <f t="shared" ref="Q12:S12" si="25">F20</f>
        <v>0.7</v>
      </c>
      <c r="R12" s="133">
        <f t="shared" si="25"/>
        <v>4</v>
      </c>
      <c r="S12" s="133">
        <f t="shared" si="25"/>
        <v>4.99</v>
      </c>
      <c r="V12" s="55" t="str">
        <f t="shared" si="11"/>
        <v>P. Tuderek</v>
      </c>
      <c r="W12" s="133">
        <f t="shared" si="12"/>
        <v>0.6</v>
      </c>
      <c r="X12" s="133">
        <f t="shared" si="13"/>
        <v>0.7</v>
      </c>
      <c r="Y12" s="133">
        <f t="shared" si="14"/>
        <v>4</v>
      </c>
      <c r="Z12" s="133">
        <f t="shared" si="15"/>
        <v>4.99</v>
      </c>
    </row>
    <row r="13" spans="1:26" x14ac:dyDescent="0.25">
      <c r="A13" s="357" t="str">
        <f>PLANTILLA!D14</f>
        <v>I. Stone</v>
      </c>
      <c r="B13" s="358">
        <f>PLANTILLA!E14</f>
        <v>18</v>
      </c>
      <c r="C13" s="358">
        <f>PLANTILLA!H14</f>
        <v>6</v>
      </c>
      <c r="D13" s="359">
        <f>PLANTILLA!I14</f>
        <v>1.2</v>
      </c>
      <c r="E13" s="360">
        <f t="shared" si="4"/>
        <v>1.2</v>
      </c>
      <c r="F13" s="360">
        <f t="shared" si="5"/>
        <v>1.3</v>
      </c>
      <c r="G13" s="360">
        <f t="shared" si="6"/>
        <v>6</v>
      </c>
      <c r="H13" s="360">
        <f t="shared" si="7"/>
        <v>6.99</v>
      </c>
      <c r="I13" s="361">
        <f t="shared" si="8"/>
        <v>43.199999999999996</v>
      </c>
      <c r="J13" s="361">
        <f t="shared" si="9"/>
        <v>63.518130000000006</v>
      </c>
      <c r="K13" s="132"/>
      <c r="O13" t="str">
        <f>A19</f>
        <v>V. Godoi</v>
      </c>
      <c r="P13" s="133">
        <f>E19</f>
        <v>4.5</v>
      </c>
      <c r="Q13" s="133">
        <f t="shared" ref="Q13:S13" si="26">F19</f>
        <v>4.5999999999999996</v>
      </c>
      <c r="R13" s="133">
        <f t="shared" si="26"/>
        <v>5</v>
      </c>
      <c r="S13" s="133">
        <f t="shared" si="26"/>
        <v>5.99</v>
      </c>
      <c r="V13" s="55" t="str">
        <f t="shared" si="11"/>
        <v>V. Godoi</v>
      </c>
      <c r="W13" s="133">
        <f t="shared" si="12"/>
        <v>4.5</v>
      </c>
      <c r="X13" s="133">
        <f t="shared" si="13"/>
        <v>4.5999999999999996</v>
      </c>
      <c r="Y13" s="133">
        <f t="shared" si="14"/>
        <v>5</v>
      </c>
      <c r="Z13" s="133">
        <f t="shared" si="15"/>
        <v>5.99</v>
      </c>
    </row>
    <row r="14" spans="1:26" x14ac:dyDescent="0.25">
      <c r="A14" s="136" t="str">
        <f>PLANTILLA!D15</f>
        <v>G. Piscaer</v>
      </c>
      <c r="B14" s="50">
        <f>PLANTILLA!E15</f>
        <v>18</v>
      </c>
      <c r="C14" s="50">
        <f>PLANTILLA!H15</f>
        <v>1</v>
      </c>
      <c r="D14" s="138">
        <f>PLANTILLA!I15</f>
        <v>1.8</v>
      </c>
      <c r="E14" s="131">
        <f t="shared" si="4"/>
        <v>1.8</v>
      </c>
      <c r="F14" s="131">
        <f t="shared" si="5"/>
        <v>1.9000000000000001</v>
      </c>
      <c r="G14" s="131">
        <f t="shared" si="6"/>
        <v>1</v>
      </c>
      <c r="H14" s="131">
        <f t="shared" si="7"/>
        <v>1.99</v>
      </c>
      <c r="I14" s="135">
        <f t="shared" si="8"/>
        <v>1.8</v>
      </c>
      <c r="J14" s="135">
        <f t="shared" si="9"/>
        <v>7.5241900000000008</v>
      </c>
      <c r="K14" s="132"/>
      <c r="P14" s="48">
        <f>SUM(P4:P13)/10</f>
        <v>5.9300000000000015</v>
      </c>
      <c r="Q14" s="48">
        <f>SUM(Q4:Q13)/10</f>
        <v>6.03</v>
      </c>
      <c r="R14" s="48"/>
      <c r="S14" s="48"/>
      <c r="W14" s="48">
        <f>SUM(W4:W13)/10</f>
        <v>5.9300000000000015</v>
      </c>
      <c r="X14" s="48">
        <f>SUM(X4:X13)/10</f>
        <v>6.03</v>
      </c>
      <c r="Y14" s="48"/>
      <c r="Z14" s="48"/>
    </row>
    <row r="15" spans="1:26" x14ac:dyDescent="0.25">
      <c r="A15" s="136" t="str">
        <f>PLANTILLA!D16</f>
        <v>M. Bondarewski</v>
      </c>
      <c r="B15" s="50">
        <f>PLANTILLA!E16</f>
        <v>18</v>
      </c>
      <c r="C15" s="50">
        <f>PLANTILLA!H16</f>
        <v>1</v>
      </c>
      <c r="D15" s="138">
        <f>PLANTILLA!I16</f>
        <v>1.6</v>
      </c>
      <c r="E15" s="131">
        <f t="shared" si="4"/>
        <v>1.6</v>
      </c>
      <c r="F15" s="131">
        <f t="shared" si="5"/>
        <v>1.7000000000000002</v>
      </c>
      <c r="G15" s="131">
        <f t="shared" si="6"/>
        <v>1</v>
      </c>
      <c r="H15" s="131">
        <f t="shared" si="7"/>
        <v>1.99</v>
      </c>
      <c r="I15" s="135">
        <f t="shared" si="8"/>
        <v>1.6</v>
      </c>
      <c r="J15" s="135">
        <f t="shared" si="9"/>
        <v>6.7321700000000009</v>
      </c>
      <c r="K15" s="132"/>
    </row>
    <row r="16" spans="1:26" x14ac:dyDescent="0.25">
      <c r="A16" s="136" t="str">
        <f>PLANTILLA!D17</f>
        <v>J. Vartiainen</v>
      </c>
      <c r="B16" s="50">
        <f>PLANTILLA!E17</f>
        <v>19</v>
      </c>
      <c r="C16" s="50">
        <f>PLANTILLA!H17</f>
        <v>4</v>
      </c>
      <c r="D16" s="138">
        <f>PLANTILLA!I17</f>
        <v>0.3</v>
      </c>
      <c r="E16" s="131">
        <f t="shared" si="4"/>
        <v>0.3</v>
      </c>
      <c r="F16" s="131">
        <f t="shared" si="5"/>
        <v>0.4</v>
      </c>
      <c r="G16" s="131">
        <f t="shared" si="6"/>
        <v>4</v>
      </c>
      <c r="H16" s="131">
        <f t="shared" si="7"/>
        <v>4.99</v>
      </c>
      <c r="I16" s="135">
        <f t="shared" si="8"/>
        <v>4.8</v>
      </c>
      <c r="J16" s="135">
        <f t="shared" si="9"/>
        <v>9.9600400000000011</v>
      </c>
      <c r="K16" s="132"/>
      <c r="L16" s="56" t="s">
        <v>236</v>
      </c>
      <c r="O16" t="s">
        <v>237</v>
      </c>
      <c r="P16" s="83">
        <f>SUM(P3:P13)</f>
        <v>82.999999999999986</v>
      </c>
      <c r="Q16" s="83">
        <f>SUM(Q3:Q13)</f>
        <v>84.1</v>
      </c>
      <c r="R16" s="83"/>
      <c r="V16" s="55" t="s">
        <v>237</v>
      </c>
      <c r="W16" s="83">
        <f>SUM(W3:W13)</f>
        <v>82.999999999999986</v>
      </c>
      <c r="X16" s="83">
        <f>SUM(X3:X13)</f>
        <v>84.1</v>
      </c>
      <c r="Y16" s="83"/>
    </row>
    <row r="17" spans="1:25" x14ac:dyDescent="0.25">
      <c r="A17" s="136" t="str">
        <f>PLANTILLA!D18</f>
        <v>R. Forsyth</v>
      </c>
      <c r="B17" s="50">
        <f>PLANTILLA!E18</f>
        <v>19</v>
      </c>
      <c r="C17" s="50">
        <f>PLANTILLA!H18</f>
        <v>4</v>
      </c>
      <c r="D17" s="138">
        <f>PLANTILLA!I18</f>
        <v>1.8</v>
      </c>
      <c r="E17" s="131">
        <f t="shared" si="4"/>
        <v>1.8</v>
      </c>
      <c r="F17" s="131">
        <f t="shared" si="5"/>
        <v>1.9000000000000001</v>
      </c>
      <c r="G17" s="131">
        <f t="shared" si="6"/>
        <v>4</v>
      </c>
      <c r="H17" s="131">
        <f t="shared" si="7"/>
        <v>4.99</v>
      </c>
      <c r="I17" s="135">
        <f t="shared" si="8"/>
        <v>28.8</v>
      </c>
      <c r="J17" s="135">
        <f t="shared" si="9"/>
        <v>47.310190000000006</v>
      </c>
      <c r="K17" s="132"/>
      <c r="O17" s="111" t="s">
        <v>403</v>
      </c>
      <c r="P17" s="48">
        <f>P16/16.5</f>
        <v>5.0303030303030294</v>
      </c>
      <c r="Q17" s="48">
        <f>Q16/16.5</f>
        <v>5.0969696969696967</v>
      </c>
      <c r="R17" s="48"/>
      <c r="V17" s="55" t="s">
        <v>238</v>
      </c>
      <c r="W17" s="48">
        <f>W16/17</f>
        <v>4.8823529411764701</v>
      </c>
      <c r="X17" s="48">
        <f>X16/17</f>
        <v>4.9470588235294111</v>
      </c>
      <c r="Y17" s="48"/>
    </row>
    <row r="18" spans="1:25" x14ac:dyDescent="0.25">
      <c r="A18" s="136" t="str">
        <f>PLANTILLA!D19</f>
        <v>K. Nelson</v>
      </c>
      <c r="B18" s="50">
        <f>PLANTILLA!E19</f>
        <v>19</v>
      </c>
      <c r="C18" s="50">
        <f>PLANTILLA!H19</f>
        <v>4</v>
      </c>
      <c r="D18" s="138">
        <f>PLANTILLA!I19</f>
        <v>1.8</v>
      </c>
      <c r="E18" s="131">
        <f t="shared" si="4"/>
        <v>1.8</v>
      </c>
      <c r="F18" s="131">
        <f t="shared" si="5"/>
        <v>1.9000000000000001</v>
      </c>
      <c r="G18" s="131">
        <f t="shared" si="6"/>
        <v>4</v>
      </c>
      <c r="H18" s="131">
        <f t="shared" si="7"/>
        <v>4.99</v>
      </c>
      <c r="I18" s="135">
        <f t="shared" si="8"/>
        <v>28.8</v>
      </c>
      <c r="J18" s="135">
        <f t="shared" si="9"/>
        <v>47.310190000000006</v>
      </c>
      <c r="K18" s="132"/>
      <c r="L18" s="56" t="s">
        <v>239</v>
      </c>
      <c r="O18" s="69" t="s">
        <v>240</v>
      </c>
      <c r="P18" s="83">
        <f>R3^2</f>
        <v>36</v>
      </c>
      <c r="Q18" s="83">
        <f>S3^2</f>
        <v>48.860100000000003</v>
      </c>
      <c r="R18" s="83"/>
      <c r="V18" s="55" t="s">
        <v>240</v>
      </c>
      <c r="W18" s="83">
        <f>Y3^2</f>
        <v>36</v>
      </c>
      <c r="X18" s="83">
        <f>Z3^2</f>
        <v>48.860100000000003</v>
      </c>
      <c r="Y18" s="83"/>
    </row>
    <row r="19" spans="1:25" x14ac:dyDescent="0.25">
      <c r="A19" s="136" t="str">
        <f>PLANTILLA!D20</f>
        <v>V. Godoi</v>
      </c>
      <c r="B19" s="50">
        <f>PLANTILLA!E20</f>
        <v>25</v>
      </c>
      <c r="C19" s="50">
        <f>PLANTILLA!H20</f>
        <v>5</v>
      </c>
      <c r="D19" s="138">
        <f>PLANTILLA!I20</f>
        <v>4.5</v>
      </c>
      <c r="E19" s="131">
        <f t="shared" si="4"/>
        <v>4.5</v>
      </c>
      <c r="F19" s="131">
        <f t="shared" si="5"/>
        <v>4.5999999999999996</v>
      </c>
      <c r="G19" s="131">
        <f t="shared" si="6"/>
        <v>5</v>
      </c>
      <c r="H19" s="131">
        <f t="shared" si="7"/>
        <v>5.99</v>
      </c>
      <c r="I19" s="135">
        <f t="shared" si="8"/>
        <v>112.5</v>
      </c>
      <c r="J19" s="135">
        <f t="shared" si="9"/>
        <v>165.04846000000001</v>
      </c>
      <c r="K19" s="132"/>
      <c r="L19" s="56" t="s">
        <v>241</v>
      </c>
      <c r="O19" s="69" t="s">
        <v>242</v>
      </c>
      <c r="P19" s="83">
        <f>P18*P3</f>
        <v>853.19999999999993</v>
      </c>
      <c r="Q19" s="83">
        <f>Q18*Q3</f>
        <v>1162.8703800000001</v>
      </c>
      <c r="R19" s="83"/>
      <c r="V19" s="55" t="s">
        <v>242</v>
      </c>
      <c r="W19" s="83">
        <f>W18*W3</f>
        <v>853.19999999999993</v>
      </c>
      <c r="X19" s="83">
        <f>X18*X3</f>
        <v>1162.8703800000001</v>
      </c>
      <c r="Y19" s="83"/>
    </row>
    <row r="20" spans="1:25" x14ac:dyDescent="0.25">
      <c r="A20" s="136" t="str">
        <f>PLANTILLA!D21</f>
        <v>P. Tuderek</v>
      </c>
      <c r="B20" s="50">
        <f>PLANTILLA!E21</f>
        <v>18</v>
      </c>
      <c r="C20" s="50">
        <f>PLANTILLA!H21</f>
        <v>4</v>
      </c>
      <c r="D20" s="138">
        <f>PLANTILLA!I21</f>
        <v>0.6</v>
      </c>
      <c r="E20" s="131">
        <f t="shared" si="4"/>
        <v>0.6</v>
      </c>
      <c r="F20" s="131">
        <f t="shared" si="5"/>
        <v>0.7</v>
      </c>
      <c r="G20" s="131">
        <f t="shared" si="6"/>
        <v>4</v>
      </c>
      <c r="H20" s="131">
        <f t="shared" si="7"/>
        <v>4.99</v>
      </c>
      <c r="I20" s="135">
        <f t="shared" si="8"/>
        <v>9.6</v>
      </c>
      <c r="J20" s="135">
        <f t="shared" si="9"/>
        <v>17.430070000000001</v>
      </c>
      <c r="K20" s="132"/>
      <c r="L20" s="56" t="s">
        <v>243</v>
      </c>
      <c r="O20" s="111" t="s">
        <v>404</v>
      </c>
      <c r="P20" s="48">
        <f>(P19^(2/3))/27</f>
        <v>3.331732564718342</v>
      </c>
      <c r="Q20" s="48">
        <f>(Q19^(2/3))/27</f>
        <v>4.0956588516953847</v>
      </c>
      <c r="R20" s="48"/>
      <c r="V20" s="55" t="s">
        <v>244</v>
      </c>
      <c r="W20" s="48">
        <f>(W19^(2/3))/30</f>
        <v>2.9985593082465076</v>
      </c>
      <c r="X20" s="48">
        <f>(X19^(2/3))/30</f>
        <v>3.6860929665258464</v>
      </c>
      <c r="Y20" s="48"/>
    </row>
    <row r="21" spans="1:25" x14ac:dyDescent="0.25">
      <c r="A21" s="136" t="str">
        <f>PLANTILLA!D22</f>
        <v>R. Scheidecker</v>
      </c>
      <c r="B21" s="50">
        <f>PLANTILLA!E22</f>
        <v>18</v>
      </c>
      <c r="C21" s="50">
        <f>PLANTILLA!H22</f>
        <v>4</v>
      </c>
      <c r="D21" s="138">
        <f>PLANTILLA!I22</f>
        <v>0.5</v>
      </c>
      <c r="E21" s="131">
        <f t="shared" si="4"/>
        <v>0.5</v>
      </c>
      <c r="F21" s="131">
        <f t="shared" si="5"/>
        <v>0.6</v>
      </c>
      <c r="G21" s="131">
        <f t="shared" si="6"/>
        <v>4</v>
      </c>
      <c r="H21" s="131">
        <f t="shared" si="7"/>
        <v>4.99</v>
      </c>
      <c r="I21" s="135">
        <f t="shared" si="8"/>
        <v>8</v>
      </c>
      <c r="J21" s="135">
        <f t="shared" si="9"/>
        <v>14.940060000000001</v>
      </c>
      <c r="K21" s="132"/>
      <c r="L21" s="56" t="s">
        <v>245</v>
      </c>
      <c r="O21" s="55" t="s">
        <v>246</v>
      </c>
      <c r="P21" s="330">
        <f>P17+P20</f>
        <v>8.3620355950213714</v>
      </c>
      <c r="Q21" s="330">
        <f>Q17+Q20</f>
        <v>9.1926285486650805</v>
      </c>
      <c r="V21" s="55" t="s">
        <v>246</v>
      </c>
      <c r="W21" s="330">
        <f>W17+W20</f>
        <v>7.8809122494229777</v>
      </c>
      <c r="X21" s="330">
        <f>X17+X20</f>
        <v>8.6331517900552583</v>
      </c>
    </row>
    <row r="22" spans="1:25" x14ac:dyDescent="0.25">
      <c r="A22" s="136" t="str">
        <f>PLANTILLA!D23</f>
        <v>K. Helms</v>
      </c>
      <c r="B22" s="50">
        <f>PLANTILLA!E23</f>
        <v>35</v>
      </c>
      <c r="C22" s="50">
        <f>PLANTILLA!H23</f>
        <v>2</v>
      </c>
      <c r="D22" s="138">
        <f>PLANTILLA!I23</f>
        <v>13.5</v>
      </c>
      <c r="E22" s="131">
        <f t="shared" si="4"/>
        <v>13.5</v>
      </c>
      <c r="F22" s="131">
        <f t="shared" si="5"/>
        <v>13.6</v>
      </c>
      <c r="G22" s="131">
        <f t="shared" si="6"/>
        <v>2</v>
      </c>
      <c r="H22" s="131">
        <f t="shared" si="7"/>
        <v>2.99</v>
      </c>
      <c r="I22" s="135">
        <f t="shared" si="8"/>
        <v>54</v>
      </c>
      <c r="J22" s="135">
        <f t="shared" si="9"/>
        <v>121.58536000000001</v>
      </c>
      <c r="K22" s="132"/>
      <c r="L22" t="s">
        <v>247</v>
      </c>
    </row>
    <row r="23" spans="1:25" x14ac:dyDescent="0.25">
      <c r="A23" s="136" t="str">
        <f>PLANTILLA!D24</f>
        <v>S. Zobbe</v>
      </c>
      <c r="B23" s="50">
        <f>PLANTILLA!E24</f>
        <v>32</v>
      </c>
      <c r="C23" s="50">
        <f>PLANTILLA!H24</f>
        <v>2</v>
      </c>
      <c r="D23" s="138">
        <f>PLANTILLA!I24</f>
        <v>13</v>
      </c>
      <c r="E23" s="131">
        <f t="shared" si="4"/>
        <v>13</v>
      </c>
      <c r="F23" s="131">
        <f t="shared" si="5"/>
        <v>13.1</v>
      </c>
      <c r="G23" s="131">
        <f t="shared" si="6"/>
        <v>2</v>
      </c>
      <c r="H23" s="131">
        <f t="shared" si="7"/>
        <v>2.99</v>
      </c>
      <c r="I23" s="135">
        <f t="shared" si="8"/>
        <v>52</v>
      </c>
      <c r="J23" s="135">
        <f t="shared" si="9"/>
        <v>117.11531000000001</v>
      </c>
      <c r="K23" s="132"/>
      <c r="O23" s="87">
        <v>42576</v>
      </c>
      <c r="P23">
        <v>6.76</v>
      </c>
      <c r="Q23">
        <v>6.99</v>
      </c>
      <c r="R23" t="s">
        <v>377</v>
      </c>
      <c r="W23" s="48"/>
    </row>
    <row r="24" spans="1:25" x14ac:dyDescent="0.25">
      <c r="A24" s="136" t="str">
        <f>PLANTILLA!D25</f>
        <v>L. Bauman</v>
      </c>
      <c r="B24" s="50">
        <f>PLANTILLA!E25</f>
        <v>35</v>
      </c>
      <c r="C24" s="50">
        <f>PLANTILLA!H25</f>
        <v>0</v>
      </c>
      <c r="D24" s="138">
        <f>PLANTILLA!I25</f>
        <v>12</v>
      </c>
      <c r="E24" s="131">
        <f t="shared" si="4"/>
        <v>12</v>
      </c>
      <c r="F24" s="131">
        <f t="shared" si="5"/>
        <v>12.1</v>
      </c>
      <c r="G24" s="131">
        <f t="shared" si="6"/>
        <v>0</v>
      </c>
      <c r="H24" s="131">
        <f t="shared" si="7"/>
        <v>0.99</v>
      </c>
      <c r="I24" s="135">
        <f t="shared" si="8"/>
        <v>0</v>
      </c>
      <c r="J24" s="135">
        <f t="shared" si="9"/>
        <v>11.859209999999999</v>
      </c>
    </row>
    <row r="25" spans="1:25" x14ac:dyDescent="0.25">
      <c r="A25" s="136" t="str">
        <f>PLANTILLA!D26</f>
        <v>J. Limon</v>
      </c>
      <c r="B25" s="50">
        <f>PLANTILLA!E26</f>
        <v>34</v>
      </c>
      <c r="C25" s="50">
        <f>PLANTILLA!H26</f>
        <v>3</v>
      </c>
      <c r="D25" s="138">
        <f>PLANTILLA!I26</f>
        <v>14.3</v>
      </c>
      <c r="E25" s="131">
        <f t="shared" si="4"/>
        <v>14.3</v>
      </c>
      <c r="F25" s="131">
        <f t="shared" si="5"/>
        <v>14.4</v>
      </c>
      <c r="G25" s="131">
        <f t="shared" si="6"/>
        <v>3</v>
      </c>
      <c r="H25" s="131">
        <f t="shared" si="7"/>
        <v>3.99</v>
      </c>
      <c r="I25" s="135">
        <f t="shared" si="8"/>
        <v>128.70000000000002</v>
      </c>
      <c r="J25" s="135">
        <f t="shared" si="9"/>
        <v>229.24944000000002</v>
      </c>
      <c r="V25"/>
    </row>
    <row r="26" spans="1:25" x14ac:dyDescent="0.25">
      <c r="A26" s="136" t="str">
        <f>PLANTILLA!D27</f>
        <v>P .Trivadi</v>
      </c>
      <c r="B26" s="50">
        <f>PLANTILLA!E27</f>
        <v>32</v>
      </c>
      <c r="C26" s="50">
        <f>PLANTILLA!H27</f>
        <v>5</v>
      </c>
      <c r="D26" s="138">
        <f>PLANTILLA!I27</f>
        <v>6.2</v>
      </c>
      <c r="E26" s="131">
        <f t="shared" si="4"/>
        <v>6.2</v>
      </c>
      <c r="F26" s="131">
        <f t="shared" si="5"/>
        <v>6.3</v>
      </c>
      <c r="G26" s="131">
        <f t="shared" si="6"/>
        <v>5</v>
      </c>
      <c r="H26" s="131">
        <f t="shared" si="7"/>
        <v>5.99</v>
      </c>
      <c r="I26" s="135">
        <f t="shared" si="8"/>
        <v>155</v>
      </c>
      <c r="J26" s="135">
        <f t="shared" si="9"/>
        <v>226.04463000000004</v>
      </c>
      <c r="V26"/>
    </row>
    <row r="27" spans="1:25" x14ac:dyDescent="0.25">
      <c r="V27"/>
    </row>
  </sheetData>
  <conditionalFormatting sqref="I3:J26">
    <cfRule type="cellIs" dxfId="66" priority="1" operator="between">
      <formula>70</formula>
      <formula>100</formula>
    </cfRule>
    <cfRule type="cellIs" dxfId="65" priority="2" operator="greaterThan">
      <formula>100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5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17.140625" bestFit="1" customWidth="1"/>
    <col min="2" max="3" width="17.7109375" bestFit="1" customWidth="1"/>
    <col min="4" max="4" width="22.42578125" bestFit="1" customWidth="1"/>
    <col min="5" max="5" width="5.5703125" bestFit="1" customWidth="1"/>
    <col min="6" max="6" width="4.5703125" bestFit="1" customWidth="1"/>
    <col min="7" max="7" width="3.7109375" bestFit="1" customWidth="1"/>
    <col min="8" max="8" width="4.5703125" bestFit="1" customWidth="1"/>
    <col min="9" max="9" width="5.28515625" bestFit="1" customWidth="1"/>
    <col min="10" max="10" width="5.85546875" bestFit="1" customWidth="1"/>
    <col min="11" max="11" width="6" bestFit="1" customWidth="1"/>
    <col min="12" max="12" width="5" bestFit="1" customWidth="1"/>
    <col min="13" max="13" width="13.42578125" style="162" bestFit="1" customWidth="1"/>
    <col min="14" max="14" width="21.5703125" style="162" bestFit="1" customWidth="1"/>
    <col min="15" max="15" width="14" style="196" bestFit="1" customWidth="1"/>
    <col min="16" max="16" width="13" style="162" bestFit="1" customWidth="1"/>
    <col min="17" max="17" width="10.42578125" style="162" bestFit="1" customWidth="1"/>
    <col min="18" max="18" width="10.28515625" style="162" bestFit="1" customWidth="1"/>
    <col min="19" max="19" width="21" style="162" bestFit="1" customWidth="1"/>
    <col min="20" max="20" width="12" style="162" bestFit="1" customWidth="1"/>
    <col min="21" max="21" width="16.85546875" style="162" bestFit="1" customWidth="1"/>
    <col min="22" max="22" width="16.7109375" bestFit="1" customWidth="1"/>
  </cols>
  <sheetData>
    <row r="1" spans="1:22" x14ac:dyDescent="0.25">
      <c r="A1" s="94" t="s">
        <v>180</v>
      </c>
      <c r="B1" s="94" t="s">
        <v>100</v>
      </c>
      <c r="C1" s="95" t="s">
        <v>195</v>
      </c>
      <c r="D1" s="96" t="s">
        <v>71</v>
      </c>
      <c r="E1" s="94" t="s">
        <v>72</v>
      </c>
      <c r="F1" s="94" t="s">
        <v>74</v>
      </c>
      <c r="G1" s="94" t="s">
        <v>75</v>
      </c>
      <c r="H1" s="94" t="s">
        <v>68</v>
      </c>
      <c r="I1" s="97" t="s">
        <v>103</v>
      </c>
      <c r="J1" s="97" t="s">
        <v>104</v>
      </c>
      <c r="K1" s="94" t="s">
        <v>73</v>
      </c>
      <c r="L1" s="94" t="s">
        <v>90</v>
      </c>
      <c r="M1" s="163" t="s">
        <v>270</v>
      </c>
      <c r="N1" s="163" t="s">
        <v>271</v>
      </c>
      <c r="O1" s="163" t="s">
        <v>307</v>
      </c>
      <c r="P1" s="163" t="s">
        <v>268</v>
      </c>
      <c r="Q1" s="163" t="s">
        <v>274</v>
      </c>
      <c r="R1" s="163" t="s">
        <v>275</v>
      </c>
      <c r="S1" s="163" t="s">
        <v>269</v>
      </c>
      <c r="T1" s="163" t="s">
        <v>249</v>
      </c>
      <c r="U1" s="163" t="s">
        <v>272</v>
      </c>
      <c r="V1" s="163" t="s">
        <v>273</v>
      </c>
    </row>
    <row r="2" spans="1:22" x14ac:dyDescent="0.25">
      <c r="A2" s="93"/>
      <c r="B2" s="93" t="s">
        <v>182</v>
      </c>
      <c r="C2" s="93"/>
      <c r="D2" s="90" t="s">
        <v>168</v>
      </c>
      <c r="E2" s="57">
        <v>42</v>
      </c>
      <c r="F2" s="80" t="s">
        <v>220</v>
      </c>
      <c r="G2" s="139">
        <v>3</v>
      </c>
      <c r="H2" s="59">
        <v>16.004000000000001</v>
      </c>
      <c r="I2" s="98">
        <f>(G2)*(G2)*(H2)</f>
        <v>144.036</v>
      </c>
      <c r="J2" s="98">
        <f>(G2+1)*(G2+1)*H2</f>
        <v>256.06400000000002</v>
      </c>
      <c r="K2" s="91">
        <v>0</v>
      </c>
      <c r="L2" s="91">
        <v>300</v>
      </c>
      <c r="M2" s="164">
        <v>41576</v>
      </c>
      <c r="N2" s="164">
        <v>41731</v>
      </c>
      <c r="O2" s="164">
        <v>42305</v>
      </c>
      <c r="P2" s="63">
        <v>772000</v>
      </c>
      <c r="Q2" s="63">
        <f>((N2-M2)/7)*L2</f>
        <v>6642.8571428571431</v>
      </c>
      <c r="R2" s="63">
        <f ca="1">((TODAY()-N2)/7)*L2</f>
        <v>81857.142857142855</v>
      </c>
      <c r="S2" s="63">
        <v>2068800</v>
      </c>
      <c r="T2" s="63">
        <f ca="1">S2+Q2+P2+R2</f>
        <v>2929300</v>
      </c>
      <c r="U2" s="67">
        <f ca="1">T2/((O2-N2)/112)</f>
        <v>571570.73170731706</v>
      </c>
      <c r="V2" s="49">
        <f>(O2-N2)/112</f>
        <v>5.125</v>
      </c>
    </row>
    <row r="3" spans="1:22" x14ac:dyDescent="0.25">
      <c r="A3" s="94" t="s">
        <v>180</v>
      </c>
      <c r="B3" s="94" t="s">
        <v>100</v>
      </c>
      <c r="C3" s="95" t="s">
        <v>195</v>
      </c>
      <c r="D3" s="96" t="s">
        <v>71</v>
      </c>
      <c r="E3" s="94" t="s">
        <v>72</v>
      </c>
      <c r="F3" s="94" t="s">
        <v>74</v>
      </c>
      <c r="G3" s="94" t="s">
        <v>75</v>
      </c>
      <c r="H3" s="94" t="s">
        <v>68</v>
      </c>
      <c r="I3" s="97" t="s">
        <v>103</v>
      </c>
      <c r="J3" s="97" t="s">
        <v>104</v>
      </c>
      <c r="K3" s="94" t="s">
        <v>73</v>
      </c>
      <c r="L3" s="94" t="s">
        <v>90</v>
      </c>
      <c r="M3" s="163" t="s">
        <v>270</v>
      </c>
      <c r="N3" s="163" t="s">
        <v>271</v>
      </c>
      <c r="O3" s="163" t="s">
        <v>307</v>
      </c>
      <c r="P3" s="163" t="s">
        <v>268</v>
      </c>
      <c r="Q3" s="163" t="s">
        <v>274</v>
      </c>
      <c r="R3" s="163" t="s">
        <v>275</v>
      </c>
      <c r="S3" s="163" t="s">
        <v>269</v>
      </c>
      <c r="T3" s="163" t="s">
        <v>249</v>
      </c>
      <c r="U3" s="163" t="s">
        <v>272</v>
      </c>
      <c r="V3" s="163" t="s">
        <v>273</v>
      </c>
    </row>
    <row r="4" spans="1:22" x14ac:dyDescent="0.25">
      <c r="A4" s="93"/>
      <c r="B4" s="93" t="s">
        <v>182</v>
      </c>
      <c r="C4" s="93"/>
      <c r="D4" s="90" t="s">
        <v>252</v>
      </c>
      <c r="E4" s="57">
        <v>44</v>
      </c>
      <c r="F4" s="80" t="s">
        <v>220</v>
      </c>
      <c r="G4" s="139">
        <v>5</v>
      </c>
      <c r="H4" s="59">
        <v>16.109000000000002</v>
      </c>
      <c r="I4" s="98">
        <f t="shared" ref="I4" si="0">(G4)*(G4)*(H4)</f>
        <v>402.72500000000002</v>
      </c>
      <c r="J4" s="98">
        <f t="shared" ref="J4" si="1">(G4+1)*(G4+1)*H4</f>
        <v>579.92400000000009</v>
      </c>
      <c r="K4" s="91">
        <v>0</v>
      </c>
      <c r="L4" s="91">
        <v>300</v>
      </c>
      <c r="M4" s="164">
        <v>41976</v>
      </c>
      <c r="N4" s="164">
        <v>42305</v>
      </c>
      <c r="O4" s="164">
        <v>42908</v>
      </c>
      <c r="P4" s="63">
        <v>1052640</v>
      </c>
      <c r="Q4" s="63">
        <f>((N4-M4)/7)*L4</f>
        <v>14100</v>
      </c>
      <c r="R4" s="63">
        <f ca="1">((TODAY()-N4)/7)*L4</f>
        <v>57257.142857142855</v>
      </c>
      <c r="S4" s="63">
        <v>2059800</v>
      </c>
      <c r="T4" s="63">
        <f>S4+Q4+P4</f>
        <v>3126540</v>
      </c>
      <c r="U4" s="67">
        <f>T4/((O4-N4)/112)</f>
        <v>580717.21393034828</v>
      </c>
      <c r="V4" s="49">
        <f ca="1">(A7-N4)/112</f>
        <v>11.928571428571429</v>
      </c>
    </row>
    <row r="5" spans="1:22" x14ac:dyDescent="0.25">
      <c r="M5" s="196"/>
      <c r="N5" s="196"/>
      <c r="O5" s="287"/>
      <c r="P5" s="196"/>
      <c r="Q5" s="196"/>
      <c r="R5" s="196"/>
      <c r="S5" s="196"/>
      <c r="T5" s="196"/>
      <c r="U5" s="196"/>
    </row>
    <row r="6" spans="1:22" x14ac:dyDescent="0.25">
      <c r="M6" s="196"/>
      <c r="N6" s="196"/>
      <c r="P6" s="196"/>
      <c r="Q6" s="196"/>
      <c r="R6" s="196"/>
      <c r="S6" s="196"/>
      <c r="T6" s="196"/>
      <c r="U6" s="196"/>
    </row>
    <row r="7" spans="1:22" x14ac:dyDescent="0.25">
      <c r="A7" s="53">
        <f ca="1">TODAY()</f>
        <v>43641</v>
      </c>
    </row>
    <row r="8" spans="1:22" x14ac:dyDescent="0.25">
      <c r="A8" s="53">
        <v>41757</v>
      </c>
    </row>
    <row r="9" spans="1:22" x14ac:dyDescent="0.25">
      <c r="A9" s="55">
        <f ca="1">A7-A8</f>
        <v>1884</v>
      </c>
    </row>
    <row r="10" spans="1:22" x14ac:dyDescent="0.25">
      <c r="A10" s="161">
        <f ca="1">A9/112</f>
        <v>16.821428571428573</v>
      </c>
    </row>
    <row r="12" spans="1:22" x14ac:dyDescent="0.25">
      <c r="A12" s="94" t="s">
        <v>180</v>
      </c>
      <c r="B12" s="94" t="s">
        <v>100</v>
      </c>
      <c r="C12" s="95" t="s">
        <v>195</v>
      </c>
      <c r="D12" s="96" t="s">
        <v>71</v>
      </c>
      <c r="E12" s="94" t="s">
        <v>72</v>
      </c>
      <c r="F12" s="94" t="s">
        <v>74</v>
      </c>
      <c r="G12" s="94" t="s">
        <v>75</v>
      </c>
      <c r="H12" s="94" t="s">
        <v>68</v>
      </c>
      <c r="I12" s="97" t="s">
        <v>103</v>
      </c>
      <c r="J12" s="97" t="s">
        <v>104</v>
      </c>
      <c r="K12" s="94" t="s">
        <v>73</v>
      </c>
      <c r="L12" s="94" t="s">
        <v>90</v>
      </c>
      <c r="M12" s="163" t="s">
        <v>270</v>
      </c>
      <c r="N12" s="163" t="s">
        <v>271</v>
      </c>
      <c r="O12" s="163" t="s">
        <v>307</v>
      </c>
      <c r="P12" s="163" t="s">
        <v>268</v>
      </c>
      <c r="Q12" s="163" t="s">
        <v>274</v>
      </c>
      <c r="R12" s="163" t="s">
        <v>275</v>
      </c>
      <c r="S12" s="163" t="s">
        <v>269</v>
      </c>
      <c r="T12" s="163" t="s">
        <v>249</v>
      </c>
      <c r="U12" s="163" t="s">
        <v>272</v>
      </c>
      <c r="V12" s="163" t="s">
        <v>273</v>
      </c>
    </row>
    <row r="13" spans="1:22" x14ac:dyDescent="0.25">
      <c r="D13" s="90" t="s">
        <v>388</v>
      </c>
      <c r="E13" s="57">
        <v>39</v>
      </c>
      <c r="F13" s="80"/>
      <c r="G13" s="139">
        <v>6</v>
      </c>
      <c r="H13" s="59">
        <v>13</v>
      </c>
      <c r="I13" s="98">
        <f t="shared" ref="I13" si="2">(G13)*(G13)*(H13)</f>
        <v>468</v>
      </c>
      <c r="J13" s="98">
        <f t="shared" ref="J13" si="3">(G13+1)*(G13+1)*H13</f>
        <v>637</v>
      </c>
      <c r="K13" s="91">
        <v>1130</v>
      </c>
      <c r="L13" s="91">
        <v>864</v>
      </c>
      <c r="M13" s="164">
        <v>42628</v>
      </c>
      <c r="N13" s="164">
        <f>O4</f>
        <v>42908</v>
      </c>
      <c r="O13" s="164">
        <f ca="1">TODAY()</f>
        <v>43641</v>
      </c>
      <c r="P13" s="289">
        <v>1800000</v>
      </c>
      <c r="Q13" s="63">
        <v>372</v>
      </c>
      <c r="R13" s="63">
        <f t="shared" ref="R13" ca="1" si="4">((TODAY()-N13)/7)*L13</f>
        <v>90473.142857142855</v>
      </c>
      <c r="S13" s="289">
        <v>2553000</v>
      </c>
      <c r="T13" s="63">
        <f t="shared" ref="T13" si="5">S13+Q13+P13</f>
        <v>4353372</v>
      </c>
      <c r="U13" s="67">
        <f t="shared" ref="U13" ca="1" si="6">T13/((O13-N13)/112)</f>
        <v>665180.98772169172</v>
      </c>
      <c r="V13" s="49">
        <v>7</v>
      </c>
    </row>
    <row r="16" spans="1:22" x14ac:dyDescent="0.25">
      <c r="N16" s="337"/>
    </row>
    <row r="17" spans="1:22" ht="18" x14ac:dyDescent="0.25">
      <c r="A17" s="274">
        <v>42908</v>
      </c>
      <c r="B17" s="87"/>
      <c r="C17">
        <v>112</v>
      </c>
      <c r="D17">
        <v>0</v>
      </c>
    </row>
    <row r="18" spans="1:22" x14ac:dyDescent="0.25">
      <c r="A18" s="87">
        <f ca="1">TODAY()</f>
        <v>43641</v>
      </c>
      <c r="B18" s="87"/>
      <c r="C18">
        <v>400</v>
      </c>
      <c r="D18">
        <v>1</v>
      </c>
    </row>
    <row r="19" spans="1:22" x14ac:dyDescent="0.25">
      <c r="A19">
        <f ca="1">A18-A17</f>
        <v>733</v>
      </c>
      <c r="C19">
        <f>C18-C17</f>
        <v>288</v>
      </c>
      <c r="D19" s="275">
        <f ca="1">(A19-C17)/C19</f>
        <v>2.15625</v>
      </c>
    </row>
    <row r="20" spans="1:22" x14ac:dyDescent="0.25">
      <c r="D20" t="s">
        <v>398</v>
      </c>
    </row>
    <row r="24" spans="1:22" x14ac:dyDescent="0.25">
      <c r="A24" s="94" t="s">
        <v>180</v>
      </c>
      <c r="B24" s="94" t="s">
        <v>100</v>
      </c>
      <c r="C24" s="95" t="s">
        <v>195</v>
      </c>
      <c r="D24" s="96" t="s">
        <v>71</v>
      </c>
      <c r="E24" s="94" t="s">
        <v>72</v>
      </c>
      <c r="F24" s="94" t="s">
        <v>74</v>
      </c>
      <c r="G24" s="94" t="s">
        <v>75</v>
      </c>
      <c r="H24" s="94" t="s">
        <v>68</v>
      </c>
      <c r="I24" s="97" t="s">
        <v>103</v>
      </c>
      <c r="J24" s="97" t="s">
        <v>104</v>
      </c>
      <c r="K24" s="94" t="s">
        <v>73</v>
      </c>
      <c r="L24" s="94" t="s">
        <v>90</v>
      </c>
      <c r="M24" s="163" t="s">
        <v>270</v>
      </c>
      <c r="N24" s="163" t="s">
        <v>271</v>
      </c>
      <c r="O24" s="163" t="s">
        <v>307</v>
      </c>
      <c r="P24" s="163" t="s">
        <v>268</v>
      </c>
      <c r="Q24" s="163" t="s">
        <v>274</v>
      </c>
      <c r="R24" s="163" t="s">
        <v>275</v>
      </c>
      <c r="S24" s="163" t="s">
        <v>269</v>
      </c>
      <c r="T24" s="163" t="s">
        <v>249</v>
      </c>
      <c r="U24" s="163" t="s">
        <v>272</v>
      </c>
      <c r="V24" s="163" t="s">
        <v>273</v>
      </c>
    </row>
    <row r="28" spans="1:22" ht="19.5" x14ac:dyDescent="0.25">
      <c r="A28" s="368" t="s">
        <v>108</v>
      </c>
      <c r="B28" s="368"/>
      <c r="C28" s="368"/>
      <c r="D28" s="368"/>
    </row>
    <row r="29" spans="1:22" x14ac:dyDescent="0.25">
      <c r="A29" s="369" t="s">
        <v>92</v>
      </c>
      <c r="B29" s="370" t="s">
        <v>109</v>
      </c>
      <c r="C29" s="370" t="s">
        <v>110</v>
      </c>
      <c r="D29" s="370" t="s">
        <v>111</v>
      </c>
    </row>
    <row r="30" spans="1:22" x14ac:dyDescent="0.25">
      <c r="A30" s="369"/>
      <c r="B30" s="370"/>
      <c r="C30" s="370"/>
      <c r="D30" s="370"/>
    </row>
    <row r="31" spans="1:22" x14ac:dyDescent="0.25">
      <c r="A31" s="64" t="s">
        <v>109</v>
      </c>
      <c r="B31" s="65" t="s">
        <v>112</v>
      </c>
      <c r="C31" s="65" t="s">
        <v>113</v>
      </c>
      <c r="D31" s="65" t="s">
        <v>113</v>
      </c>
    </row>
    <row r="32" spans="1:22" x14ac:dyDescent="0.25">
      <c r="A32" s="288" t="s">
        <v>110</v>
      </c>
      <c r="B32" s="66" t="s">
        <v>114</v>
      </c>
      <c r="C32" s="66" t="s">
        <v>115</v>
      </c>
      <c r="D32" s="66" t="s">
        <v>113</v>
      </c>
    </row>
    <row r="33" spans="1:4" x14ac:dyDescent="0.25">
      <c r="A33" s="64" t="s">
        <v>111</v>
      </c>
      <c r="B33" s="65" t="s">
        <v>116</v>
      </c>
      <c r="C33" s="65" t="s">
        <v>117</v>
      </c>
      <c r="D33" s="65" t="s">
        <v>118</v>
      </c>
    </row>
    <row r="34" spans="1:4" x14ac:dyDescent="0.25">
      <c r="A34" s="288" t="s">
        <v>119</v>
      </c>
      <c r="B34" s="66" t="s">
        <v>120</v>
      </c>
      <c r="C34" s="66" t="s">
        <v>121</v>
      </c>
      <c r="D34" s="66" t="s">
        <v>122</v>
      </c>
    </row>
    <row r="35" spans="1:4" x14ac:dyDescent="0.25">
      <c r="A35" s="64" t="s">
        <v>123</v>
      </c>
      <c r="B35" s="65" t="s">
        <v>124</v>
      </c>
      <c r="C35" s="65" t="s">
        <v>125</v>
      </c>
      <c r="D35" s="65" t="s">
        <v>126</v>
      </c>
    </row>
    <row r="36" spans="1:4" x14ac:dyDescent="0.25">
      <c r="A36" s="288" t="s">
        <v>127</v>
      </c>
      <c r="B36" s="66" t="s">
        <v>128</v>
      </c>
      <c r="C36" s="66" t="s">
        <v>129</v>
      </c>
      <c r="D36" s="66" t="s">
        <v>130</v>
      </c>
    </row>
    <row r="37" spans="1:4" x14ac:dyDescent="0.25">
      <c r="A37" s="64" t="s">
        <v>131</v>
      </c>
      <c r="B37" s="65" t="s">
        <v>132</v>
      </c>
      <c r="C37" s="65" t="s">
        <v>133</v>
      </c>
      <c r="D37" s="65" t="s">
        <v>134</v>
      </c>
    </row>
    <row r="38" spans="1:4" x14ac:dyDescent="0.25">
      <c r="A38" s="288" t="s">
        <v>135</v>
      </c>
      <c r="B38" s="66" t="s">
        <v>136</v>
      </c>
      <c r="C38" s="66" t="s">
        <v>137</v>
      </c>
      <c r="D38" s="66" t="s">
        <v>138</v>
      </c>
    </row>
    <row r="39" spans="1:4" x14ac:dyDescent="0.25">
      <c r="A39" s="64" t="s">
        <v>139</v>
      </c>
      <c r="B39" s="65" t="s">
        <v>140</v>
      </c>
      <c r="C39" s="65" t="s">
        <v>141</v>
      </c>
      <c r="D39" s="65" t="s">
        <v>142</v>
      </c>
    </row>
    <row r="40" spans="1:4" x14ac:dyDescent="0.25">
      <c r="A40" s="288" t="s">
        <v>143</v>
      </c>
      <c r="B40" s="66" t="s">
        <v>144</v>
      </c>
      <c r="C40" s="66" t="s">
        <v>145</v>
      </c>
      <c r="D40" s="66" t="s">
        <v>146</v>
      </c>
    </row>
    <row r="41" spans="1:4" x14ac:dyDescent="0.25">
      <c r="A41" s="64" t="s">
        <v>147</v>
      </c>
      <c r="B41" s="65" t="s">
        <v>148</v>
      </c>
      <c r="C41" s="65" t="s">
        <v>149</v>
      </c>
      <c r="D41" s="65" t="s">
        <v>150</v>
      </c>
    </row>
    <row r="42" spans="1:4" x14ac:dyDescent="0.25">
      <c r="A42" s="288" t="s">
        <v>151</v>
      </c>
      <c r="B42" s="66" t="s">
        <v>152</v>
      </c>
      <c r="C42" s="66" t="s">
        <v>153</v>
      </c>
      <c r="D42" s="66" t="s">
        <v>154</v>
      </c>
    </row>
    <row r="43" spans="1:4" x14ac:dyDescent="0.25">
      <c r="A43" s="64" t="s">
        <v>155</v>
      </c>
      <c r="B43" s="65" t="s">
        <v>156</v>
      </c>
      <c r="C43" s="65" t="s">
        <v>157</v>
      </c>
      <c r="D43" s="65" t="s">
        <v>158</v>
      </c>
    </row>
    <row r="44" spans="1:4" x14ac:dyDescent="0.25">
      <c r="A44" s="288" t="s">
        <v>159</v>
      </c>
      <c r="B44" s="66" t="s">
        <v>160</v>
      </c>
      <c r="C44" s="66" t="s">
        <v>161</v>
      </c>
      <c r="D44" s="66" t="s">
        <v>162</v>
      </c>
    </row>
    <row r="45" spans="1:4" x14ac:dyDescent="0.25">
      <c r="A45" s="64" t="s">
        <v>163</v>
      </c>
      <c r="B45" s="65" t="s">
        <v>164</v>
      </c>
      <c r="C45" s="65" t="s">
        <v>165</v>
      </c>
      <c r="D45" s="65" t="s">
        <v>166</v>
      </c>
    </row>
  </sheetData>
  <mergeCells count="5">
    <mergeCell ref="A28:D28"/>
    <mergeCell ref="A29:A30"/>
    <mergeCell ref="B29:B30"/>
    <mergeCell ref="C29:C30"/>
    <mergeCell ref="D29:D30"/>
  </mergeCells>
  <conditionalFormatting sqref="C4">
    <cfRule type="colorScale" priority="32">
      <colorScale>
        <cfvo type="min"/>
        <cfvo type="max"/>
        <color rgb="FFFFEF9C"/>
        <color rgb="FF63BE7B"/>
      </colorScale>
    </cfRule>
  </conditionalFormatting>
  <conditionalFormatting sqref="L4">
    <cfRule type="dataBar" priority="34">
      <dataBar>
        <cfvo type="min"/>
        <cfvo type="max"/>
        <color rgb="FFFF555A"/>
      </dataBar>
    </cfRule>
  </conditionalFormatting>
  <conditionalFormatting sqref="K4">
    <cfRule type="dataBar" priority="35">
      <dataBar>
        <cfvo type="min"/>
        <cfvo type="max"/>
        <color rgb="FF63C384"/>
      </dataBar>
    </cfRule>
  </conditionalFormatting>
  <conditionalFormatting sqref="C2">
    <cfRule type="colorScale" priority="151">
      <colorScale>
        <cfvo type="min"/>
        <cfvo type="max"/>
        <color rgb="FFFFEF9C"/>
        <color rgb="FF63BE7B"/>
      </colorScale>
    </cfRule>
  </conditionalFormatting>
  <conditionalFormatting sqref="L2">
    <cfRule type="dataBar" priority="153">
      <dataBar>
        <cfvo type="min"/>
        <cfvo type="max"/>
        <color rgb="FFFF555A"/>
      </dataBar>
    </cfRule>
  </conditionalFormatting>
  <conditionalFormatting sqref="K2">
    <cfRule type="dataBar" priority="154">
      <dataBar>
        <cfvo type="min"/>
        <cfvo type="max"/>
        <color rgb="FF63C384"/>
      </dataBar>
    </cfRule>
  </conditionalFormatting>
  <conditionalFormatting sqref="M2:O2">
    <cfRule type="colorScale" priority="157">
      <colorScale>
        <cfvo type="min"/>
        <cfvo type="max"/>
        <color rgb="FFFFEF9C"/>
        <color rgb="FFFF7128"/>
      </colorScale>
    </cfRule>
  </conditionalFormatting>
  <conditionalFormatting sqref="M4:O4">
    <cfRule type="colorScale" priority="30">
      <colorScale>
        <cfvo type="min"/>
        <cfvo type="max"/>
        <color rgb="FFFFEF9C"/>
        <color rgb="FFFF7128"/>
      </colorScale>
    </cfRule>
  </conditionalFormatting>
  <conditionalFormatting sqref="L13">
    <cfRule type="dataBar" priority="1312">
      <dataBar>
        <cfvo type="min"/>
        <cfvo type="max"/>
        <color rgb="FFFF555A"/>
      </dataBar>
    </cfRule>
  </conditionalFormatting>
  <conditionalFormatting sqref="K13">
    <cfRule type="dataBar" priority="1313">
      <dataBar>
        <cfvo type="min"/>
        <cfvo type="max"/>
        <color rgb="FF63C384"/>
      </dataBar>
    </cfRule>
  </conditionalFormatting>
  <conditionalFormatting sqref="M13:O13">
    <cfRule type="colorScale" priority="1314">
      <colorScale>
        <cfvo type="min"/>
        <cfvo type="max"/>
        <color rgb="FFFFEF9C"/>
        <color rgb="FFFF7128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39997558519241921"/>
    <pageSetUpPr fitToPage="1"/>
  </sheetPr>
  <dimension ref="A1:BK41"/>
  <sheetViews>
    <sheetView tabSelected="1" zoomScale="110" zoomScaleNormal="110" workbookViewId="0">
      <pane xSplit="9" ySplit="3" topLeftCell="J4" activePane="bottomRight" state="frozen"/>
      <selection pane="topRight" activeCell="J1" sqref="J1"/>
      <selection pane="bottomLeft" activeCell="A5" sqref="A5"/>
      <selection pane="bottomRight" activeCell="G21" sqref="G21"/>
    </sheetView>
  </sheetViews>
  <sheetFormatPr baseColWidth="10" defaultColWidth="11.42578125" defaultRowHeight="15" x14ac:dyDescent="0.25"/>
  <cols>
    <col min="1" max="1" width="4.7109375" bestFit="1" customWidth="1"/>
    <col min="2" max="2" width="5.42578125" bestFit="1" customWidth="1"/>
    <col min="3" max="3" width="5.5703125" style="61" bestFit="1" customWidth="1"/>
    <col min="4" max="4" width="15.140625" style="55" bestFit="1" customWidth="1"/>
    <col min="5" max="5" width="5.5703125" bestFit="1" customWidth="1"/>
    <col min="6" max="6" width="5" bestFit="1" customWidth="1"/>
    <col min="7" max="7" width="4.5703125" style="60" bestFit="1" customWidth="1"/>
    <col min="8" max="8" width="3.7109375" style="2" bestFit="1" customWidth="1"/>
    <col min="9" max="9" width="4.85546875" bestFit="1" customWidth="1"/>
    <col min="10" max="10" width="4.5703125" bestFit="1" customWidth="1"/>
    <col min="11" max="11" width="4.7109375" style="84" bestFit="1" customWidth="1"/>
    <col min="12" max="12" width="5.140625" bestFit="1" customWidth="1"/>
    <col min="13" max="13" width="4.28515625" style="84" bestFit="1" customWidth="1"/>
    <col min="14" max="14" width="5" style="189" bestFit="1" customWidth="1"/>
    <col min="15" max="15" width="10.42578125" style="332" bestFit="1" customWidth="1"/>
    <col min="16" max="16" width="5.5703125" style="332" bestFit="1" customWidth="1"/>
    <col min="17" max="17" width="4.140625" style="160" bestFit="1" customWidth="1"/>
    <col min="18" max="19" width="5.7109375" style="200" bestFit="1" customWidth="1"/>
    <col min="20" max="20" width="12" bestFit="1" customWidth="1"/>
    <col min="21" max="21" width="9.42578125" bestFit="1" customWidth="1"/>
    <col min="22" max="22" width="11.140625" style="47" bestFit="1" customWidth="1"/>
    <col min="23" max="23" width="7.5703125" style="47" bestFit="1" customWidth="1"/>
    <col min="24" max="24" width="6.140625" style="47" bestFit="1" customWidth="1"/>
    <col min="25" max="28" width="6.140625" bestFit="1" customWidth="1"/>
    <col min="29" max="29" width="5.5703125" bestFit="1" customWidth="1"/>
    <col min="30" max="30" width="6.140625" bestFit="1" customWidth="1"/>
    <col min="31" max="31" width="9.5703125" style="47" bestFit="1" customWidth="1"/>
    <col min="32" max="33" width="4.85546875" bestFit="1" customWidth="1"/>
    <col min="34" max="34" width="6.5703125" style="47" bestFit="1" customWidth="1"/>
    <col min="35" max="35" width="7.5703125" style="47" bestFit="1" customWidth="1"/>
    <col min="36" max="36" width="7.5703125" bestFit="1" customWidth="1"/>
    <col min="37" max="38" width="6.5703125" style="47" bestFit="1" customWidth="1"/>
    <col min="39" max="40" width="7" style="47" bestFit="1" customWidth="1"/>
    <col min="41" max="41" width="4.140625" bestFit="1" customWidth="1"/>
    <col min="42" max="42" width="4.28515625" bestFit="1" customWidth="1"/>
    <col min="43" max="43" width="5.28515625" bestFit="1" customWidth="1"/>
    <col min="44" max="46" width="7.5703125" bestFit="1" customWidth="1"/>
    <col min="47" max="47" width="6.85546875" bestFit="1" customWidth="1"/>
    <col min="48" max="58" width="7.5703125" bestFit="1" customWidth="1"/>
    <col min="59" max="59" width="10.5703125" bestFit="1" customWidth="1"/>
    <col min="60" max="60" width="11.28515625" bestFit="1" customWidth="1"/>
  </cols>
  <sheetData>
    <row r="1" spans="1:63" s="72" customFormat="1" x14ac:dyDescent="0.25">
      <c r="C1" s="292"/>
      <c r="D1" s="125">
        <f ca="1">TODAY()</f>
        <v>43641</v>
      </c>
      <c r="E1" s="371">
        <v>41471</v>
      </c>
      <c r="F1" s="371"/>
      <c r="G1" s="371"/>
      <c r="H1" s="73"/>
      <c r="I1" s="73"/>
      <c r="J1" s="73"/>
      <c r="K1" s="74"/>
      <c r="L1" s="73"/>
      <c r="M1" s="74"/>
      <c r="N1" s="74"/>
      <c r="O1" s="74"/>
      <c r="P1" s="74"/>
      <c r="Q1" s="292"/>
      <c r="R1" s="74"/>
      <c r="S1" s="74"/>
      <c r="T1" s="73"/>
      <c r="U1" s="73"/>
      <c r="V1" s="73"/>
      <c r="W1" s="73"/>
      <c r="X1" s="104"/>
      <c r="Y1" s="73"/>
      <c r="Z1" s="73"/>
      <c r="AA1" s="73"/>
      <c r="AB1" s="73"/>
      <c r="AC1" s="73"/>
      <c r="AD1" s="73"/>
      <c r="AE1" s="104"/>
      <c r="AH1" s="104"/>
      <c r="AI1" s="104"/>
      <c r="AJ1" s="73"/>
      <c r="AK1" s="104"/>
      <c r="AL1" s="104"/>
      <c r="AM1" s="104"/>
      <c r="AN1" s="104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</row>
    <row r="2" spans="1:63" s="383" customFormat="1" x14ac:dyDescent="0.25">
      <c r="A2" s="383">
        <v>16</v>
      </c>
      <c r="B2" s="384"/>
      <c r="C2" s="385"/>
      <c r="D2" s="386"/>
      <c r="E2" s="387"/>
      <c r="F2" s="387"/>
      <c r="I2" s="388">
        <f>AVERAGE(I4:I27)</f>
        <v>7.9666666666666659</v>
      </c>
      <c r="J2" s="387"/>
      <c r="K2" s="387"/>
      <c r="M2" s="388">
        <f>AVERAGE(M4:M27)</f>
        <v>5.3791666666666664</v>
      </c>
      <c r="N2" s="387"/>
      <c r="O2" s="387"/>
      <c r="P2" s="387"/>
      <c r="Q2" s="388">
        <f>AVERAGE(Q4:Q27)</f>
        <v>5.416666666666667</v>
      </c>
      <c r="R2" s="389">
        <f>AVERAGE(R4:R27)</f>
        <v>0.87625745541642874</v>
      </c>
      <c r="S2" s="389">
        <f>AVERAGE(S4:S27)</f>
        <v>0.94264291986644189</v>
      </c>
      <c r="T2" s="390">
        <f>AVERAGE(T4:T27)</f>
        <v>15862.5</v>
      </c>
      <c r="U2" s="390"/>
      <c r="V2" s="390">
        <f>AVERAGE(V4:V27)</f>
        <v>3469</v>
      </c>
      <c r="W2" s="391"/>
      <c r="X2" s="392">
        <f>(X4+X5)/2</f>
        <v>12.308333333333334</v>
      </c>
      <c r="Y2" s="392">
        <f>AVERAGE(Y4:Y12)</f>
        <v>10.095543209876542</v>
      </c>
      <c r="Z2" s="392">
        <f>AVERAGE(Z13:Z18)</f>
        <v>7.3268518518518517</v>
      </c>
      <c r="AA2" s="392">
        <f>AVERAGE(AA19:AA22)</f>
        <v>4</v>
      </c>
      <c r="AB2" s="392">
        <f>AVERAGE(AB5:AB27)</f>
        <v>6.6465217391304341</v>
      </c>
      <c r="AC2" s="392">
        <f>AVERAGE(AC23:AC27)</f>
        <v>6.35</v>
      </c>
      <c r="AD2" s="392">
        <f>AVERAGE(AD4:AD27)</f>
        <v>10.928796296296296</v>
      </c>
      <c r="AE2" s="391"/>
      <c r="AH2" s="391"/>
      <c r="AI2" s="391"/>
      <c r="AJ2" s="391"/>
      <c r="AK2" s="391"/>
      <c r="AL2" s="391"/>
      <c r="AM2" s="391"/>
      <c r="AN2" s="391"/>
    </row>
    <row r="3" spans="1:63" x14ac:dyDescent="0.25">
      <c r="A3" s="94" t="s">
        <v>180</v>
      </c>
      <c r="B3" s="94" t="s">
        <v>100</v>
      </c>
      <c r="C3" s="95" t="s">
        <v>298</v>
      </c>
      <c r="D3" s="96" t="s">
        <v>71</v>
      </c>
      <c r="E3" s="94" t="s">
        <v>72</v>
      </c>
      <c r="F3" s="94" t="s">
        <v>61</v>
      </c>
      <c r="G3" s="94" t="s">
        <v>74</v>
      </c>
      <c r="H3" s="94" t="s">
        <v>75</v>
      </c>
      <c r="I3" s="94" t="s">
        <v>68</v>
      </c>
      <c r="J3" s="94" t="s">
        <v>334</v>
      </c>
      <c r="K3" s="97" t="s">
        <v>299</v>
      </c>
      <c r="L3" s="97" t="s">
        <v>300</v>
      </c>
      <c r="M3" s="94" t="s">
        <v>76</v>
      </c>
      <c r="N3" s="94" t="s">
        <v>290</v>
      </c>
      <c r="O3" s="94" t="s">
        <v>406</v>
      </c>
      <c r="P3" s="94" t="s">
        <v>324</v>
      </c>
      <c r="Q3" s="94" t="s">
        <v>267</v>
      </c>
      <c r="R3" s="203" t="s">
        <v>322</v>
      </c>
      <c r="S3" s="203" t="s">
        <v>323</v>
      </c>
      <c r="T3" s="94" t="s">
        <v>73</v>
      </c>
      <c r="U3" s="94" t="s">
        <v>279</v>
      </c>
      <c r="V3" s="94" t="s">
        <v>90</v>
      </c>
      <c r="W3" s="94" t="s">
        <v>194</v>
      </c>
      <c r="X3" s="94" t="s">
        <v>106</v>
      </c>
      <c r="Y3" s="94" t="s">
        <v>77</v>
      </c>
      <c r="Z3" s="94" t="s">
        <v>78</v>
      </c>
      <c r="AA3" s="94" t="s">
        <v>79</v>
      </c>
      <c r="AB3" s="94" t="s">
        <v>80</v>
      </c>
      <c r="AC3" s="94" t="s">
        <v>81</v>
      </c>
      <c r="AD3" s="94" t="s">
        <v>74</v>
      </c>
      <c r="AE3" s="94" t="s">
        <v>212</v>
      </c>
      <c r="AF3" s="124" t="s">
        <v>431</v>
      </c>
      <c r="AG3" s="124" t="s">
        <v>432</v>
      </c>
      <c r="AH3" s="124" t="s">
        <v>375</v>
      </c>
      <c r="AI3" s="124" t="s">
        <v>376</v>
      </c>
      <c r="AJ3" s="124" t="s">
        <v>226</v>
      </c>
      <c r="AK3" s="124" t="s">
        <v>227</v>
      </c>
      <c r="AL3" s="124" t="s">
        <v>228</v>
      </c>
      <c r="AM3" s="124" t="s">
        <v>265</v>
      </c>
      <c r="AN3" s="124" t="s">
        <v>266</v>
      </c>
      <c r="AO3" s="94" t="s">
        <v>357</v>
      </c>
      <c r="AP3" s="94" t="s">
        <v>358</v>
      </c>
      <c r="AQ3" s="94" t="s">
        <v>359</v>
      </c>
      <c r="AR3" s="163" t="s">
        <v>419</v>
      </c>
      <c r="AS3" s="163" t="s">
        <v>429</v>
      </c>
      <c r="AT3" s="163" t="s">
        <v>420</v>
      </c>
      <c r="AU3" s="163" t="s">
        <v>421</v>
      </c>
      <c r="AV3" s="163" t="s">
        <v>422</v>
      </c>
      <c r="AW3" s="163" t="s">
        <v>423</v>
      </c>
      <c r="AX3" s="163" t="s">
        <v>371</v>
      </c>
      <c r="AY3" s="163" t="s">
        <v>424</v>
      </c>
      <c r="AZ3" s="163" t="s">
        <v>425</v>
      </c>
      <c r="BA3" s="163" t="s">
        <v>362</v>
      </c>
      <c r="BB3" s="163" t="s">
        <v>426</v>
      </c>
      <c r="BC3" s="163" t="s">
        <v>304</v>
      </c>
      <c r="BD3" s="163" t="s">
        <v>427</v>
      </c>
      <c r="BE3" s="163" t="s">
        <v>428</v>
      </c>
      <c r="BF3" s="163" t="s">
        <v>277</v>
      </c>
      <c r="BG3" s="163" t="s">
        <v>389</v>
      </c>
      <c r="BH3" s="351" t="s">
        <v>434</v>
      </c>
    </row>
    <row r="4" spans="1:63" x14ac:dyDescent="0.25">
      <c r="A4" s="143" t="s">
        <v>170</v>
      </c>
      <c r="B4" s="143" t="s">
        <v>1</v>
      </c>
      <c r="C4" s="144">
        <f ca="1">((34*112)-(E4*112)-(F4))/112</f>
        <v>-1.0267857142857142</v>
      </c>
      <c r="D4" s="319" t="s">
        <v>353</v>
      </c>
      <c r="E4" s="145">
        <v>35</v>
      </c>
      <c r="F4" s="150">
        <f ca="1">-42406+$D$1-112-112-112-112-112-112-112-112-112-112-112</f>
        <v>3</v>
      </c>
      <c r="G4" s="146"/>
      <c r="H4" s="343">
        <v>6</v>
      </c>
      <c r="I4" s="102">
        <v>23.7</v>
      </c>
      <c r="J4" s="199">
        <f>LOG(I4+1)*4/3</f>
        <v>1.8569292710128877</v>
      </c>
      <c r="K4" s="98">
        <f t="shared" ref="K4" si="0">(H4)*(H4)*(I4)</f>
        <v>853.19999999999993</v>
      </c>
      <c r="L4" s="98">
        <f t="shared" ref="L4" si="1">(H4+1)*(H4+1)*I4</f>
        <v>1161.3</v>
      </c>
      <c r="M4" s="147">
        <v>5.8</v>
      </c>
      <c r="N4" s="190">
        <f>M4*10+19</f>
        <v>77</v>
      </c>
      <c r="O4" s="334">
        <v>42468</v>
      </c>
      <c r="P4" s="335">
        <f ca="1">IF((TODAY()-O4)&gt;335,1,((TODAY()-O4)^0.64)/(336^0.64))</f>
        <v>1</v>
      </c>
      <c r="Q4" s="190">
        <v>5</v>
      </c>
      <c r="R4" s="213">
        <f>(Q4/7)^0.5</f>
        <v>0.84515425472851657</v>
      </c>
      <c r="S4" s="213">
        <f>IF(Q4=7,1,((Q4+0.99)/7)^0.5)</f>
        <v>0.92504826128926143</v>
      </c>
      <c r="T4" s="117">
        <v>41010</v>
      </c>
      <c r="U4" s="290">
        <f t="shared" ref="U4:U22" si="2">T4-BG4</f>
        <v>-9510</v>
      </c>
      <c r="V4" s="117">
        <v>13512</v>
      </c>
      <c r="W4" s="109">
        <f t="shared" ref="W4:W28" si="3">T4/V4</f>
        <v>3.0350799289520425</v>
      </c>
      <c r="X4" s="198">
        <f>16+12/18</f>
        <v>16.666666666666668</v>
      </c>
      <c r="Y4" s="199">
        <v>11.95</v>
      </c>
      <c r="Z4" s="198">
        <f>2+0.01+0.01+0.01+0.01+0.01+0.01+0.01</f>
        <v>2.0699999999999985</v>
      </c>
      <c r="AA4" s="199">
        <f>1.94+0.03+0.03+0.03+0.03+0.03+0.03+0.02+0.01</f>
        <v>2.149999999999999</v>
      </c>
      <c r="AB4" s="198">
        <v>0.95</v>
      </c>
      <c r="AC4" s="199">
        <v>0</v>
      </c>
      <c r="AD4" s="198">
        <f>18+0.2</f>
        <v>18.2</v>
      </c>
      <c r="AE4" s="347">
        <v>1379</v>
      </c>
      <c r="AF4" s="270">
        <f ca="1">(Z4+P4+J4)*(Q4/7)^0.5</f>
        <v>4.1640152361430092</v>
      </c>
      <c r="AG4" s="270">
        <f ca="1">(Z4+P4+J4)*(IF(Q4=7, (Q4/7)^0.5, ((Q4+1)/7)^0.5))</f>
        <v>4.5614501492614545</v>
      </c>
      <c r="AH4" s="109">
        <f ca="1">(((Y4+P4+J4)+(AB4+P4+J4)*2)/8)*(Q4/7)^0.5</f>
        <v>2.3686280268193625</v>
      </c>
      <c r="AI4" s="109">
        <f ca="1">(1.66*(AC4+J4+P4)+0.55*(AD4+J4+P4)-7.6)*(Q4/7)^0.5</f>
        <v>7.3729682566652341</v>
      </c>
      <c r="AJ4" s="109">
        <f ca="1">((AD4+J4+P4)*0.7+(AC4+J4+P4)*0.3)*(Q4/7)^0.5</f>
        <v>13.18181113409628</v>
      </c>
      <c r="AK4" s="109">
        <f ca="1">(0.5*(AC4+P4+J4)+ 0.3*(AD4+P4+J4))/10</f>
        <v>0.77455434168103099</v>
      </c>
      <c r="AL4" s="109">
        <f ca="1">(0.4*(Y4+P4+J4)+0.3*(AD4+P4+J4))/10</f>
        <v>1.2239850489709021</v>
      </c>
      <c r="AM4" s="105">
        <f ca="1">(AD4+P4+(LOG(I4)*4/3))*(Q4/7)^0.5</f>
        <v>17.776127575869424</v>
      </c>
      <c r="AN4" s="105">
        <f ca="1">(AD4+P4+(LOG(I4)*4/3))*(IF(Q4=7, (Q4/7)^0.5, ((Q4+1)/7)^0.5))</f>
        <v>19.472772116786619</v>
      </c>
      <c r="AO4" s="190">
        <v>2</v>
      </c>
      <c r="AP4" s="190">
        <v>2</v>
      </c>
      <c r="AQ4" s="259">
        <f>IF(AO4=4,IF(AP4=0,0.137+0.0697,0.137+0.02),IF(AO4=3,IF(AP4=0,0.0958+0.0697,0.0958+0.02),IF(AO4=2,IF(AP4=0,0.0415+0.0697,0.0415+0.02),IF(AO4=1,IF(AP4=0,0.0294+0.0697,0.0294+0.02),IF(AO4=0,IF(AP4=0,0.0063+0.0697,0.0063+0.02))))))</f>
        <v>6.1499999999999999E-2</v>
      </c>
      <c r="AR4" s="349"/>
      <c r="AS4" s="349"/>
      <c r="AT4" s="349"/>
      <c r="AU4" s="349"/>
      <c r="AV4" s="259"/>
      <c r="AW4" s="259"/>
      <c r="AX4" s="259"/>
      <c r="AY4" s="259"/>
      <c r="AZ4" s="259"/>
      <c r="BA4" s="259"/>
      <c r="BB4" s="259"/>
      <c r="BC4" s="259"/>
      <c r="BD4" s="259"/>
      <c r="BE4" s="259"/>
      <c r="BF4" s="259"/>
      <c r="BG4" s="117">
        <v>50520</v>
      </c>
      <c r="BH4" s="352"/>
      <c r="BJ4" s="148"/>
      <c r="BK4" s="151"/>
    </row>
    <row r="5" spans="1:63" s="81" customFormat="1" x14ac:dyDescent="0.25">
      <c r="A5" s="143" t="s">
        <v>442</v>
      </c>
      <c r="B5" s="143" t="s">
        <v>1</v>
      </c>
      <c r="C5" s="144">
        <f ca="1">((34*112)-(E5*112)-(F5))/112</f>
        <v>-5.1071428571428568</v>
      </c>
      <c r="D5" s="319" t="s">
        <v>93</v>
      </c>
      <c r="E5" s="145">
        <v>39</v>
      </c>
      <c r="F5" s="150">
        <f ca="1">82-41471+$D$1-112-112-112-112-112-112-112-112-112-112-112-112-112-112-112-112-112-112-112-112</f>
        <v>12</v>
      </c>
      <c r="G5" s="146" t="s">
        <v>220</v>
      </c>
      <c r="H5" s="139">
        <v>3</v>
      </c>
      <c r="I5" s="102">
        <v>8.4</v>
      </c>
      <c r="J5" s="199">
        <f t="shared" ref="J5:J22" si="4">LOG(I5+1)*4/3</f>
        <v>1.2975038047995981</v>
      </c>
      <c r="K5" s="98">
        <f t="shared" ref="K5:K22" si="5">(H5)*(H5)*(I5)</f>
        <v>75.600000000000009</v>
      </c>
      <c r="L5" s="98">
        <f t="shared" ref="L5:L22" si="6">(H5+1)*(H5+1)*I5</f>
        <v>134.4</v>
      </c>
      <c r="M5" s="147">
        <v>3.8</v>
      </c>
      <c r="N5" s="190">
        <f t="shared" ref="N5:N22" si="7">M5*10+19</f>
        <v>57</v>
      </c>
      <c r="O5" s="190" t="s">
        <v>256</v>
      </c>
      <c r="P5" s="335">
        <v>1.5</v>
      </c>
      <c r="Q5" s="190">
        <v>4</v>
      </c>
      <c r="R5" s="213">
        <f t="shared" ref="R5:R22" si="8">(Q5/7)^0.5</f>
        <v>0.7559289460184544</v>
      </c>
      <c r="S5" s="213">
        <f t="shared" ref="S5:S22" si="9">IF(Q5=7,1,((Q5+0.99)/7)^0.5)</f>
        <v>0.84430867747355465</v>
      </c>
      <c r="T5" s="117">
        <v>640</v>
      </c>
      <c r="U5" s="290">
        <f t="shared" si="2"/>
        <v>-10</v>
      </c>
      <c r="V5" s="117">
        <v>450</v>
      </c>
      <c r="W5" s="109">
        <f t="shared" si="3"/>
        <v>1.4222222222222223</v>
      </c>
      <c r="X5" s="198">
        <v>7.95</v>
      </c>
      <c r="Y5" s="199">
        <v>7.95</v>
      </c>
      <c r="Z5" s="198">
        <v>0.95</v>
      </c>
      <c r="AA5" s="199">
        <v>0.95</v>
      </c>
      <c r="AB5" s="198">
        <v>1.95</v>
      </c>
      <c r="AC5" s="199">
        <v>0</v>
      </c>
      <c r="AD5" s="198">
        <v>14.95</v>
      </c>
      <c r="AE5" s="347">
        <v>495</v>
      </c>
      <c r="AF5" s="270">
        <f t="shared" ref="AF5:AF22" si="10">(Z5+P5+J5)*(Q5/7)^0.5</f>
        <v>2.8328466013623084</v>
      </c>
      <c r="AG5" s="270">
        <f t="shared" ref="AG5:AG22" si="11">(Z5+P5+J5)*(IF(Q5=7, (Q5/7)^0.5, ((Q5+1)/7)^0.5))</f>
        <v>3.1672187852376847</v>
      </c>
      <c r="AH5" s="109">
        <f t="shared" ref="AH5:AH22" si="12">(((Y5+P5+J5)+(AB5+P5+J5)*2)/8)*(Q5/7)^0.5</f>
        <v>1.9127375397816266</v>
      </c>
      <c r="AI5" s="109">
        <f t="shared" ref="AI5:AI22" si="13">(1.66*(AC5+J5+P5)+0.55*(AD5+J5+P5)-7.6)*(Q5/7)^0.5</f>
        <v>5.1440839357414436</v>
      </c>
      <c r="AJ5" s="109">
        <f t="shared" ref="AJ5:AJ22" si="14">((AD5+J5+P5)*0.7+(AC5+J5+P5)*0.3)*(Q5/7)^0.5</f>
        <v>10.025510522727901</v>
      </c>
      <c r="AK5" s="109">
        <f t="shared" ref="AK5:AK22" si="15">(0.5*(AC5+P5+J5)+ 0.3*(AD5+P5+J5))/10</f>
        <v>0.67230030438396782</v>
      </c>
      <c r="AL5" s="109">
        <f t="shared" ref="AL5:AL22" si="16">(0.4*(Y5+P5+J5)+0.3*(AD5+P5+J5))/10</f>
        <v>0.96232526633597182</v>
      </c>
      <c r="AM5" s="105">
        <f t="shared" ref="AM5:AM22" si="17">(AD5+P5+(LOG(I5)*4/3))*(Q5/7)^0.5</f>
        <v>13.366617117389504</v>
      </c>
      <c r="AN5" s="105">
        <f t="shared" ref="AN5:AN22" si="18">(AD5+P5+(LOG(I5)*4/3))*(IF(Q5=7, (Q5/7)^0.5, ((Q5+1)/7)^0.5))</f>
        <v>14.94433225184761</v>
      </c>
      <c r="AO5" s="190">
        <v>4</v>
      </c>
      <c r="AP5" s="190">
        <v>3</v>
      </c>
      <c r="AQ5" s="259">
        <f t="shared" ref="AQ5:AQ22" si="19">IF(AO5=4,IF(AP5=0,0.137+0.0697,0.137+0.02),IF(AO5=3,IF(AP5=0,0.0958+0.0697,0.0958+0.02),IF(AO5=2,IF(AP5=0,0.0415+0.0697,0.0415+0.02),IF(AO5=1,IF(AP5=0,0.0294+0.0697,0.0294+0.02),IF(AO5=0,IF(AP5=0,0.0063+0.0697,0.0063+0.02))))))</f>
        <v>0.157</v>
      </c>
      <c r="AR5" s="349"/>
      <c r="AS5" s="349"/>
      <c r="AT5" s="349"/>
      <c r="AU5" s="34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117">
        <v>650</v>
      </c>
      <c r="BH5" s="352"/>
      <c r="BJ5" s="148"/>
      <c r="BK5" s="151"/>
    </row>
    <row r="6" spans="1:63" s="69" customFormat="1" x14ac:dyDescent="0.25">
      <c r="A6" s="143" t="s">
        <v>222</v>
      </c>
      <c r="B6" s="143" t="s">
        <v>2</v>
      </c>
      <c r="C6" s="144">
        <f t="shared" ref="C6:C22" ca="1" si="20">((34*112)-(E6*112)-(F6))/112</f>
        <v>-2.125</v>
      </c>
      <c r="D6" s="319" t="s">
        <v>95</v>
      </c>
      <c r="E6" s="145">
        <v>36</v>
      </c>
      <c r="F6" s="150">
        <f ca="1">84-41471+$D$1-112-112-112-112-112-112-112-112-112-112-112-112-112-112-112-112-112-112-112-112</f>
        <v>14</v>
      </c>
      <c r="G6" s="146"/>
      <c r="H6" s="149">
        <v>4</v>
      </c>
      <c r="I6" s="102">
        <v>18</v>
      </c>
      <c r="J6" s="199">
        <f t="shared" si="4"/>
        <v>1.7050048012704384</v>
      </c>
      <c r="K6" s="98">
        <f t="shared" si="5"/>
        <v>288</v>
      </c>
      <c r="L6" s="98">
        <f t="shared" si="6"/>
        <v>450</v>
      </c>
      <c r="M6" s="147">
        <v>5.3</v>
      </c>
      <c r="N6" s="190">
        <f t="shared" si="7"/>
        <v>72</v>
      </c>
      <c r="O6" s="190" t="s">
        <v>256</v>
      </c>
      <c r="P6" s="335">
        <v>1.5</v>
      </c>
      <c r="Q6" s="190">
        <v>5</v>
      </c>
      <c r="R6" s="213">
        <f t="shared" si="8"/>
        <v>0.84515425472851657</v>
      </c>
      <c r="S6" s="213">
        <f t="shared" si="9"/>
        <v>0.92504826128926143</v>
      </c>
      <c r="T6" s="117">
        <v>14230</v>
      </c>
      <c r="U6" s="290">
        <f t="shared" si="2"/>
        <v>-1150</v>
      </c>
      <c r="V6" s="117">
        <v>2980</v>
      </c>
      <c r="W6" s="109">
        <f t="shared" si="3"/>
        <v>4.775167785234899</v>
      </c>
      <c r="X6" s="198">
        <v>0</v>
      </c>
      <c r="Y6" s="199">
        <v>11.95</v>
      </c>
      <c r="Z6" s="198">
        <v>12.95</v>
      </c>
      <c r="AA6" s="199">
        <v>8.9499999999999993</v>
      </c>
      <c r="AB6" s="198">
        <v>8.9499999999999993</v>
      </c>
      <c r="AC6" s="199">
        <v>1.95</v>
      </c>
      <c r="AD6" s="198">
        <f>10.7+0.5+0.5*77/90+0.5+0.45+0.45+0.4+0.35+0.35+0.3+0.35+0.3+0.3+0.3+0.25+0.25+0.2+0.2+0.2+0.2+0.2</f>
        <v>17.177777777777774</v>
      </c>
      <c r="AE6" s="347">
        <v>1578</v>
      </c>
      <c r="AF6" s="270">
        <f t="shared" si="10"/>
        <v>13.653471042953322</v>
      </c>
      <c r="AG6" s="270">
        <f t="shared" si="11"/>
        <v>14.956628156938242</v>
      </c>
      <c r="AH6" s="109">
        <f t="shared" si="12"/>
        <v>4.1692531045379155</v>
      </c>
      <c r="AI6" s="109">
        <f t="shared" si="13"/>
        <v>10.283700384961968</v>
      </c>
      <c r="AJ6" s="109">
        <f t="shared" si="14"/>
        <v>13.365649066204108</v>
      </c>
      <c r="AK6" s="109">
        <f t="shared" si="15"/>
        <v>0.86923371743496813</v>
      </c>
      <c r="AL6" s="109">
        <f t="shared" si="16"/>
        <v>1.2176836694222639</v>
      </c>
      <c r="AM6" s="105">
        <f t="shared" si="17"/>
        <v>17.200135222471665</v>
      </c>
      <c r="AN6" s="105">
        <f t="shared" si="18"/>
        <v>18.84180410697374</v>
      </c>
      <c r="AO6" s="190">
        <v>2</v>
      </c>
      <c r="AP6" s="190">
        <v>3</v>
      </c>
      <c r="AQ6" s="259">
        <f t="shared" si="19"/>
        <v>6.1499999999999999E-2</v>
      </c>
      <c r="AR6" s="349"/>
      <c r="AS6" s="349"/>
      <c r="AT6" s="349"/>
      <c r="AU6" s="349"/>
      <c r="AV6" s="259"/>
      <c r="AW6" s="259"/>
      <c r="AX6" s="259"/>
      <c r="AY6" s="259"/>
      <c r="AZ6" s="259"/>
      <c r="BA6" s="259"/>
      <c r="BB6" s="259"/>
      <c r="BC6" s="259"/>
      <c r="BD6" s="259"/>
      <c r="BE6" s="259"/>
      <c r="BF6" s="259"/>
      <c r="BG6" s="117">
        <v>15380</v>
      </c>
      <c r="BH6" s="352"/>
      <c r="BJ6" s="148"/>
      <c r="BK6" s="151"/>
    </row>
    <row r="7" spans="1:63" s="70" customFormat="1" x14ac:dyDescent="0.25">
      <c r="A7" s="143" t="s">
        <v>441</v>
      </c>
      <c r="B7" s="79" t="s">
        <v>2</v>
      </c>
      <c r="C7" s="144">
        <f t="shared" ca="1" si="20"/>
        <v>-1.9910714285714286</v>
      </c>
      <c r="D7" s="319" t="s">
        <v>98</v>
      </c>
      <c r="E7" s="57">
        <v>35</v>
      </c>
      <c r="F7" s="58">
        <f ca="1">69-41471+$D$1-112-112-112-112-112-112-112-112-112-112-112-112-112-112-112-112-112-112-112</f>
        <v>111</v>
      </c>
      <c r="G7" s="80"/>
      <c r="H7" s="139">
        <v>3</v>
      </c>
      <c r="I7" s="59">
        <v>11.8</v>
      </c>
      <c r="J7" s="199">
        <f t="shared" si="4"/>
        <v>1.4762799595304912</v>
      </c>
      <c r="K7" s="98">
        <f t="shared" si="5"/>
        <v>106.2</v>
      </c>
      <c r="L7" s="98">
        <f t="shared" si="6"/>
        <v>188.8</v>
      </c>
      <c r="M7" s="92">
        <v>5.3</v>
      </c>
      <c r="N7" s="190">
        <f t="shared" si="7"/>
        <v>72</v>
      </c>
      <c r="O7" s="190" t="s">
        <v>256</v>
      </c>
      <c r="P7" s="335">
        <v>1.5</v>
      </c>
      <c r="Q7" s="191">
        <v>6</v>
      </c>
      <c r="R7" s="213">
        <f t="shared" si="8"/>
        <v>0.92582009977255142</v>
      </c>
      <c r="S7" s="213">
        <f t="shared" si="9"/>
        <v>0.99928545900129484</v>
      </c>
      <c r="T7" s="117">
        <v>4250</v>
      </c>
      <c r="U7" s="290">
        <f t="shared" si="2"/>
        <v>-350</v>
      </c>
      <c r="V7" s="291">
        <v>2120</v>
      </c>
      <c r="W7" s="109">
        <f t="shared" si="3"/>
        <v>2.0047169811320753</v>
      </c>
      <c r="X7" s="198">
        <v>0</v>
      </c>
      <c r="Y7" s="199">
        <v>11.95</v>
      </c>
      <c r="Z7" s="198">
        <v>5.95</v>
      </c>
      <c r="AA7" s="199">
        <v>6.95</v>
      </c>
      <c r="AB7" s="198">
        <v>7.95</v>
      </c>
      <c r="AC7" s="199">
        <v>2.95</v>
      </c>
      <c r="AD7" s="198">
        <v>16</v>
      </c>
      <c r="AE7" s="347">
        <v>1081</v>
      </c>
      <c r="AF7" s="270">
        <f t="shared" si="10"/>
        <v>8.2641294027302461</v>
      </c>
      <c r="AG7" s="270">
        <f t="shared" si="11"/>
        <v>8.9262799595304916</v>
      </c>
      <c r="AH7" s="109">
        <f t="shared" si="12"/>
        <v>4.2563236507395308</v>
      </c>
      <c r="AI7" s="109">
        <f t="shared" si="13"/>
        <v>11.734379726387926</v>
      </c>
      <c r="AJ7" s="109">
        <f t="shared" si="14"/>
        <v>13.944035714834849</v>
      </c>
      <c r="AK7" s="109">
        <f t="shared" si="15"/>
        <v>0.86560239676243922</v>
      </c>
      <c r="AL7" s="109">
        <f t="shared" si="16"/>
        <v>1.1663395971671342</v>
      </c>
      <c r="AM7" s="105">
        <f t="shared" si="17"/>
        <v>17.525011621951062</v>
      </c>
      <c r="AN7" s="105">
        <f t="shared" si="18"/>
        <v>18.9291760097415</v>
      </c>
      <c r="AO7" s="191">
        <v>3</v>
      </c>
      <c r="AP7" s="191">
        <v>2</v>
      </c>
      <c r="AQ7" s="259">
        <f t="shared" si="19"/>
        <v>0.1158</v>
      </c>
      <c r="AR7" s="349"/>
      <c r="AS7" s="349"/>
      <c r="AT7" s="349"/>
      <c r="AU7" s="34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117">
        <v>4600</v>
      </c>
      <c r="BH7" s="352"/>
      <c r="BJ7" s="148"/>
      <c r="BK7" s="151"/>
    </row>
    <row r="8" spans="1:63" s="82" customFormat="1" x14ac:dyDescent="0.25">
      <c r="A8" s="99" t="s">
        <v>216</v>
      </c>
      <c r="B8" s="79" t="s">
        <v>2</v>
      </c>
      <c r="C8" s="144">
        <f t="shared" ca="1" si="20"/>
        <v>1.8035714285714286</v>
      </c>
      <c r="D8" s="319" t="s">
        <v>258</v>
      </c>
      <c r="E8" s="57">
        <v>32</v>
      </c>
      <c r="F8" s="58">
        <f ca="1">75-41471+$D$1-24-112-10-112-112+6-112-112-112+45-112-112-112-112-112-112-112-112-112-112-112-112-112-112</f>
        <v>22</v>
      </c>
      <c r="G8" s="80"/>
      <c r="H8" s="149">
        <v>4</v>
      </c>
      <c r="I8" s="59">
        <v>6.3</v>
      </c>
      <c r="J8" s="199">
        <f t="shared" si="4"/>
        <v>1.1510971468272746</v>
      </c>
      <c r="K8" s="98">
        <f t="shared" si="5"/>
        <v>100.8</v>
      </c>
      <c r="L8" s="98">
        <f t="shared" si="6"/>
        <v>157.5</v>
      </c>
      <c r="M8" s="92">
        <v>6.7</v>
      </c>
      <c r="N8" s="190">
        <f t="shared" si="7"/>
        <v>86</v>
      </c>
      <c r="O8" s="190" t="s">
        <v>256</v>
      </c>
      <c r="P8" s="335">
        <v>1.5</v>
      </c>
      <c r="Q8" s="191">
        <v>5</v>
      </c>
      <c r="R8" s="213">
        <f t="shared" si="8"/>
        <v>0.84515425472851657</v>
      </c>
      <c r="S8" s="213">
        <f t="shared" si="9"/>
        <v>0.92504826128926143</v>
      </c>
      <c r="T8" s="291">
        <v>12860</v>
      </c>
      <c r="U8" s="290">
        <f t="shared" si="2"/>
        <v>100</v>
      </c>
      <c r="V8" s="291">
        <v>1710</v>
      </c>
      <c r="W8" s="109">
        <f t="shared" si="3"/>
        <v>7.5204678362573096</v>
      </c>
      <c r="X8" s="198">
        <v>0</v>
      </c>
      <c r="Y8" s="199">
        <f>6.51+0.25+0.25+0.25+0.2+0.2+0.2+0.2+0.19+0.19+0.17+0.16+0.16+0.03+0.16+0.15*33/90+0.14+0.13+0.13*36/90+0.02+0.12*32/90+0.02+0.02+0.15*3/90</f>
        <v>9.6046666666666667</v>
      </c>
      <c r="Z8" s="198">
        <f>6.92+0.04+0.04+0.04+0.13+0.04+0.03+0.03+(0.25*30/90*0.5)+(0.25*60/90*0.16)+0.03+0.03+0.25*0.5*1/90+0.026+0.03+0.03+0.03+0.03+0.25*0.5+0.02+0.02+0.02+0.01+0.01+0.01</f>
        <v>7.7607222222222223</v>
      </c>
      <c r="AA8" s="199">
        <f>5.8+0.05+0.05+0.05+0.05+0.04+0.04+0.03+0.02+0.02+0.01</f>
        <v>6.1599999999999984</v>
      </c>
      <c r="AB8" s="198">
        <f>4.28+(0.4/3)+0.4+0.4+0.35+0.35+0.35+0.35+0.3+0.3+0.25+0.25+0.25+0.2+0.04+0.17+0.16+0.03+0.15+0.13+0.02</f>
        <v>8.8633333333333315</v>
      </c>
      <c r="AC8" s="199">
        <v>2.95</v>
      </c>
      <c r="AD8" s="198">
        <f>9+1*5/90+0.85+0.85*30/90+0.65+0.55+0.5+0.4+0.35+0.35+0.25+0.25*35/90</f>
        <v>13.33611111111111</v>
      </c>
      <c r="AE8" s="347">
        <v>988</v>
      </c>
      <c r="AF8" s="270">
        <f t="shared" si="10"/>
        <v>8.7995934392169612</v>
      </c>
      <c r="AG8" s="270">
        <f t="shared" si="11"/>
        <v>9.6394716470671877</v>
      </c>
      <c r="AH8" s="109">
        <f t="shared" si="12"/>
        <v>3.7276188442611371</v>
      </c>
      <c r="AI8" s="109">
        <f t="shared" si="13"/>
        <v>8.8663322590478515</v>
      </c>
      <c r="AJ8" s="109">
        <f t="shared" si="14"/>
        <v>10.878297281735897</v>
      </c>
      <c r="AK8" s="109">
        <f t="shared" si="15"/>
        <v>0.7596711050795153</v>
      </c>
      <c r="AL8" s="109">
        <f t="shared" si="16"/>
        <v>0.96984680027790904</v>
      </c>
      <c r="AM8" s="105">
        <f t="shared" si="17"/>
        <v>13.439557184310875</v>
      </c>
      <c r="AN8" s="105">
        <f t="shared" si="18"/>
        <v>14.722297265455362</v>
      </c>
      <c r="AO8" s="191">
        <v>3</v>
      </c>
      <c r="AP8" s="191">
        <v>2</v>
      </c>
      <c r="AQ8" s="259">
        <f t="shared" si="19"/>
        <v>0.1158</v>
      </c>
      <c r="AR8" s="349"/>
      <c r="AS8" s="349"/>
      <c r="AT8" s="349"/>
      <c r="AU8" s="349"/>
      <c r="AV8" s="259"/>
      <c r="AW8" s="259"/>
      <c r="AX8" s="259"/>
      <c r="AY8" s="259"/>
      <c r="AZ8" s="259"/>
      <c r="BA8" s="259"/>
      <c r="BB8" s="259"/>
      <c r="BC8" s="259"/>
      <c r="BD8" s="259"/>
      <c r="BE8" s="259"/>
      <c r="BF8" s="259"/>
      <c r="BG8" s="291">
        <v>12760</v>
      </c>
      <c r="BH8" s="353"/>
      <c r="BJ8" s="148"/>
      <c r="BK8" s="151"/>
    </row>
    <row r="9" spans="1:63" s="82" customFormat="1" x14ac:dyDescent="0.25">
      <c r="A9" s="143" t="s">
        <v>175</v>
      </c>
      <c r="B9" s="143" t="s">
        <v>2</v>
      </c>
      <c r="C9" s="144">
        <f t="shared" ca="1" si="20"/>
        <v>-1.7857142857142858</v>
      </c>
      <c r="D9" s="319" t="s">
        <v>373</v>
      </c>
      <c r="E9" s="145">
        <v>35</v>
      </c>
      <c r="F9" s="58">
        <f ca="1">46-41471+$D$1-112-112-112-112-112-112-112-112-112-112-112-112-112-112-112-112-112-112-112</f>
        <v>88</v>
      </c>
      <c r="G9" s="146" t="s">
        <v>96</v>
      </c>
      <c r="H9" s="139">
        <v>0</v>
      </c>
      <c r="I9" s="102">
        <v>17.100000000000001</v>
      </c>
      <c r="J9" s="199">
        <f t="shared" si="4"/>
        <v>1.6769047664922461</v>
      </c>
      <c r="K9" s="98">
        <f t="shared" si="5"/>
        <v>0</v>
      </c>
      <c r="L9" s="98">
        <f t="shared" si="6"/>
        <v>17.100000000000001</v>
      </c>
      <c r="M9" s="147">
        <v>5.3</v>
      </c>
      <c r="N9" s="190">
        <f t="shared" si="7"/>
        <v>72</v>
      </c>
      <c r="O9" s="190" t="s">
        <v>256</v>
      </c>
      <c r="P9" s="335">
        <v>1.5</v>
      </c>
      <c r="Q9" s="190">
        <v>7</v>
      </c>
      <c r="R9" s="213">
        <f t="shared" si="8"/>
        <v>1</v>
      </c>
      <c r="S9" s="213">
        <f t="shared" si="9"/>
        <v>1</v>
      </c>
      <c r="T9" s="117">
        <v>28150</v>
      </c>
      <c r="U9" s="290">
        <f t="shared" si="2"/>
        <v>-1390</v>
      </c>
      <c r="V9" s="117">
        <v>5520</v>
      </c>
      <c r="W9" s="109">
        <f t="shared" si="3"/>
        <v>5.09963768115942</v>
      </c>
      <c r="X9" s="198">
        <v>0</v>
      </c>
      <c r="Y9" s="199">
        <v>11.95</v>
      </c>
      <c r="Z9" s="198">
        <f>9.9+0.17+(0.17/90*26)+0.17+0.15+0.15+0.15+0.13+0.13+(1/8)+0.13+0.13+0.13*0.5+0.11+0.11+0.11*0.5+0.11*0.5+0.1*0.5+0.1*0.5+0.1+0.1+0.1*0.5+0.09+0.09*0.5+0.09*0.5+0.09*0.5+0.09*0.5+0.09*0.5+0.09*0.5+0.09*0.5+0.09*0.5+0.07*0.5</f>
        <v>12.614111111111114</v>
      </c>
      <c r="AA9" s="199">
        <v>12.95</v>
      </c>
      <c r="AB9" s="198">
        <v>10.95</v>
      </c>
      <c r="AC9" s="199">
        <v>5.95</v>
      </c>
      <c r="AD9" s="198">
        <f>10.8+0.67+0.55+0.55+0.45+0.45+0.4+0.4+0.35+0.35+0.33+0.33+0.3+0.3+0.25+0.25+0.2+0.2+0.2+0.2</f>
        <v>17.529999999999998</v>
      </c>
      <c r="AE9" s="347">
        <v>1965</v>
      </c>
      <c r="AF9" s="270">
        <f t="shared" si="10"/>
        <v>15.79101587760336</v>
      </c>
      <c r="AG9" s="270">
        <f t="shared" si="11"/>
        <v>15.79101587760336</v>
      </c>
      <c r="AH9" s="109">
        <f t="shared" si="12"/>
        <v>5.422589287434592</v>
      </c>
      <c r="AI9" s="109">
        <f t="shared" si="13"/>
        <v>18.939459533947861</v>
      </c>
      <c r="AJ9" s="109">
        <f t="shared" si="14"/>
        <v>17.232904766492243</v>
      </c>
      <c r="AK9" s="109">
        <f t="shared" si="15"/>
        <v>1.0775523813193797</v>
      </c>
      <c r="AL9" s="109">
        <f t="shared" si="16"/>
        <v>1.226283333654457</v>
      </c>
      <c r="AM9" s="105">
        <f t="shared" si="17"/>
        <v>20.673994813856204</v>
      </c>
      <c r="AN9" s="105">
        <f t="shared" si="18"/>
        <v>20.673994813856204</v>
      </c>
      <c r="AO9" s="190">
        <v>1</v>
      </c>
      <c r="AP9" s="190">
        <v>2</v>
      </c>
      <c r="AQ9" s="259">
        <f t="shared" si="19"/>
        <v>4.9399999999999999E-2</v>
      </c>
      <c r="AR9" s="349"/>
      <c r="AS9" s="349"/>
      <c r="AT9" s="349"/>
      <c r="AU9" s="34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117">
        <v>29540</v>
      </c>
      <c r="BH9" s="352"/>
      <c r="BJ9" s="148"/>
      <c r="BK9" s="151"/>
    </row>
    <row r="10" spans="1:63" s="82" customFormat="1" x14ac:dyDescent="0.25">
      <c r="A10" s="143" t="s">
        <v>173</v>
      </c>
      <c r="B10" s="79" t="s">
        <v>2</v>
      </c>
      <c r="C10" s="144">
        <f t="shared" ca="1" si="20"/>
        <v>-0.41964285714285715</v>
      </c>
      <c r="D10" s="319" t="s">
        <v>291</v>
      </c>
      <c r="E10" s="57">
        <v>34</v>
      </c>
      <c r="F10" s="58">
        <f ca="1">7-41471+$D$1-112-111-3-112-112-112-112-112-112-112-112-112-112-112-112-112-112-112-112-112</f>
        <v>47</v>
      </c>
      <c r="G10" s="146" t="s">
        <v>94</v>
      </c>
      <c r="H10" s="139">
        <v>3</v>
      </c>
      <c r="I10" s="59">
        <v>14.8</v>
      </c>
      <c r="J10" s="199">
        <f t="shared" si="4"/>
        <v>1.5982094492725636</v>
      </c>
      <c r="K10" s="98">
        <f t="shared" si="5"/>
        <v>133.20000000000002</v>
      </c>
      <c r="L10" s="98">
        <f t="shared" si="6"/>
        <v>236.8</v>
      </c>
      <c r="M10" s="92">
        <v>5.8</v>
      </c>
      <c r="N10" s="190">
        <f t="shared" si="7"/>
        <v>77</v>
      </c>
      <c r="O10" s="190" t="s">
        <v>256</v>
      </c>
      <c r="P10" s="335">
        <v>1.5</v>
      </c>
      <c r="Q10" s="191">
        <v>7</v>
      </c>
      <c r="R10" s="213">
        <f t="shared" si="8"/>
        <v>1</v>
      </c>
      <c r="S10" s="213">
        <f t="shared" si="9"/>
        <v>1</v>
      </c>
      <c r="T10" s="117">
        <v>33680</v>
      </c>
      <c r="U10" s="290">
        <f t="shared" si="2"/>
        <v>-1410</v>
      </c>
      <c r="V10" s="291">
        <v>12280</v>
      </c>
      <c r="W10" s="109">
        <f t="shared" si="3"/>
        <v>2.7426710097719869</v>
      </c>
      <c r="X10" s="198">
        <v>0</v>
      </c>
      <c r="Y10" s="199">
        <f>5.6+0.26+0.26+0.26+(0.26*23/90)+(0.05*(90-23)/90)+0.26+0.26+0.23+0.23+0.22+0.15+0.15+0.14+0.13+0.13+0.13+0.12+0.12+0.12+0.02+0.1+0.1+0.1+0.01+0.1</f>
        <v>9.3036666666666648</v>
      </c>
      <c r="Z10" s="198">
        <v>14</v>
      </c>
      <c r="AA10" s="199">
        <f>11.58+0.17+(0.17/2)+0.17+0.15+0.03+0.15+0.14+0.13+0.12+0.11+0.11</f>
        <v>12.945</v>
      </c>
      <c r="AB10" s="198">
        <v>9.9499999999999993</v>
      </c>
      <c r="AC10" s="199">
        <v>3.95</v>
      </c>
      <c r="AD10" s="198">
        <v>16</v>
      </c>
      <c r="AE10" s="347">
        <v>1856</v>
      </c>
      <c r="AF10" s="270">
        <f t="shared" si="10"/>
        <v>17.098209449272563</v>
      </c>
      <c r="AG10" s="270">
        <f t="shared" si="11"/>
        <v>17.098209449272563</v>
      </c>
      <c r="AH10" s="109">
        <f t="shared" si="12"/>
        <v>4.8122868768105445</v>
      </c>
      <c r="AI10" s="109">
        <f t="shared" si="13"/>
        <v>14.604042882892367</v>
      </c>
      <c r="AJ10" s="109">
        <f t="shared" si="14"/>
        <v>15.483209449272563</v>
      </c>
      <c r="AK10" s="109">
        <f t="shared" si="15"/>
        <v>0.92535675594180522</v>
      </c>
      <c r="AL10" s="109">
        <f t="shared" si="16"/>
        <v>1.0690213281157459</v>
      </c>
      <c r="AM10" s="105">
        <f t="shared" si="17"/>
        <v>19.060348953859943</v>
      </c>
      <c r="AN10" s="105">
        <f t="shared" si="18"/>
        <v>19.060348953859943</v>
      </c>
      <c r="AO10" s="191">
        <v>3</v>
      </c>
      <c r="AP10" s="191">
        <v>3</v>
      </c>
      <c r="AQ10" s="259">
        <f t="shared" si="19"/>
        <v>0.1158</v>
      </c>
      <c r="AR10" s="349"/>
      <c r="AS10" s="349"/>
      <c r="AT10" s="349"/>
      <c r="AU10" s="349"/>
      <c r="AV10" s="259"/>
      <c r="AW10" s="259"/>
      <c r="AX10" s="259"/>
      <c r="AY10" s="259"/>
      <c r="AZ10" s="259"/>
      <c r="BA10" s="259"/>
      <c r="BB10" s="259"/>
      <c r="BC10" s="259"/>
      <c r="BD10" s="259"/>
      <c r="BE10" s="259"/>
      <c r="BF10" s="259"/>
      <c r="BG10" s="117">
        <v>35090</v>
      </c>
      <c r="BH10" s="352"/>
      <c r="BJ10" s="148"/>
      <c r="BK10" s="151"/>
    </row>
    <row r="11" spans="1:63" s="2" customFormat="1" x14ac:dyDescent="0.25">
      <c r="A11" s="143" t="s">
        <v>171</v>
      </c>
      <c r="B11" s="143" t="s">
        <v>2</v>
      </c>
      <c r="C11" s="144">
        <f t="shared" ca="1" si="20"/>
        <v>-1.6696428571428572</v>
      </c>
      <c r="D11" s="319" t="s">
        <v>97</v>
      </c>
      <c r="E11" s="145">
        <v>35</v>
      </c>
      <c r="F11" s="150">
        <f ca="1">33-41471+$D$1-112-112-112-112-112-112-112-112-112-112-112-112-112-112-112-112-112-112-112</f>
        <v>75</v>
      </c>
      <c r="G11" s="146"/>
      <c r="H11" s="139">
        <v>3</v>
      </c>
      <c r="I11" s="102">
        <v>13.1</v>
      </c>
      <c r="J11" s="199">
        <f t="shared" si="4"/>
        <v>1.5322921502071731</v>
      </c>
      <c r="K11" s="98">
        <f t="shared" si="5"/>
        <v>117.89999999999999</v>
      </c>
      <c r="L11" s="98">
        <f t="shared" si="6"/>
        <v>209.6</v>
      </c>
      <c r="M11" s="147">
        <v>5.5</v>
      </c>
      <c r="N11" s="190">
        <f t="shared" si="7"/>
        <v>74</v>
      </c>
      <c r="O11" s="190" t="s">
        <v>256</v>
      </c>
      <c r="P11" s="335">
        <v>1.5</v>
      </c>
      <c r="Q11" s="190">
        <v>6</v>
      </c>
      <c r="R11" s="213">
        <f t="shared" si="8"/>
        <v>0.92582009977255142</v>
      </c>
      <c r="S11" s="213">
        <f t="shared" si="9"/>
        <v>0.99928545900129484</v>
      </c>
      <c r="T11" s="117">
        <v>9990</v>
      </c>
      <c r="U11" s="290">
        <f t="shared" si="2"/>
        <v>30</v>
      </c>
      <c r="V11" s="117">
        <v>4400</v>
      </c>
      <c r="W11" s="109">
        <f t="shared" si="3"/>
        <v>2.2704545454545455</v>
      </c>
      <c r="X11" s="198">
        <v>0</v>
      </c>
      <c r="Y11" s="199">
        <f>7.5+0.2+0.2+0.2+0.2+0.2+0.16+0.16+0.14+0.14+0.13+0.13+0.12+0.12+0.12+0.12+0.11+0.1+0.1+0.1+0.1+0.1+0.1</f>
        <v>10.549999999999995</v>
      </c>
      <c r="Z11" s="198">
        <v>12.95</v>
      </c>
      <c r="AA11" s="199">
        <v>3.95</v>
      </c>
      <c r="AB11" s="198">
        <v>8.9499999999999993</v>
      </c>
      <c r="AC11" s="199">
        <v>0.95</v>
      </c>
      <c r="AD11" s="198">
        <v>17.3</v>
      </c>
      <c r="AE11" s="347">
        <v>1364</v>
      </c>
      <c r="AF11" s="270">
        <f t="shared" si="10"/>
        <v>14.79672731309887</v>
      </c>
      <c r="AG11" s="270">
        <f t="shared" si="11"/>
        <v>15.982292150207172</v>
      </c>
      <c r="AH11" s="109">
        <f t="shared" si="12"/>
        <v>4.3452066127077584</v>
      </c>
      <c r="AI11" s="109">
        <f t="shared" si="13"/>
        <v>9.4372228049137181</v>
      </c>
      <c r="AJ11" s="109">
        <f t="shared" si="14"/>
        <v>14.282897157725104</v>
      </c>
      <c r="AK11" s="109">
        <f t="shared" si="15"/>
        <v>0.80908337201657388</v>
      </c>
      <c r="AL11" s="109">
        <f t="shared" si="16"/>
        <v>1.1532604505145021</v>
      </c>
      <c r="AM11" s="105">
        <f t="shared" si="17"/>
        <v>18.784607505613337</v>
      </c>
      <c r="AN11" s="105">
        <f t="shared" si="18"/>
        <v>20.289695060874354</v>
      </c>
      <c r="AO11" s="190">
        <v>4</v>
      </c>
      <c r="AP11" s="190">
        <v>1</v>
      </c>
      <c r="AQ11" s="259">
        <f t="shared" si="19"/>
        <v>0.157</v>
      </c>
      <c r="AR11" s="349"/>
      <c r="AS11" s="349"/>
      <c r="AT11" s="349"/>
      <c r="AU11" s="349"/>
      <c r="AV11" s="259"/>
      <c r="AW11" s="259"/>
      <c r="AX11" s="259"/>
      <c r="AY11" s="259"/>
      <c r="AZ11" s="259"/>
      <c r="BA11" s="259"/>
      <c r="BB11" s="259"/>
      <c r="BC11" s="259"/>
      <c r="BD11" s="259"/>
      <c r="BE11" s="259"/>
      <c r="BF11" s="259"/>
      <c r="BG11" s="117">
        <v>9960</v>
      </c>
      <c r="BH11" s="352"/>
      <c r="BJ11" s="148"/>
      <c r="BK11" s="151"/>
    </row>
    <row r="12" spans="1:63" s="82" customFormat="1" ht="14.25" customHeight="1" x14ac:dyDescent="0.25">
      <c r="A12" s="100" t="s">
        <v>440</v>
      </c>
      <c r="B12" s="79" t="s">
        <v>2</v>
      </c>
      <c r="C12" s="144">
        <f t="shared" ca="1" si="20"/>
        <v>0</v>
      </c>
      <c r="D12" s="319" t="s">
        <v>181</v>
      </c>
      <c r="E12" s="57">
        <v>34</v>
      </c>
      <c r="F12" s="58">
        <f ca="1">59-41471+$D$1-325-112-112-112-112-112-112-112-112-112-112-112-112-112-112-112-112-112</f>
        <v>0</v>
      </c>
      <c r="G12" s="80"/>
      <c r="H12" s="139">
        <v>2</v>
      </c>
      <c r="I12" s="59">
        <v>4.5</v>
      </c>
      <c r="J12" s="199">
        <f t="shared" si="4"/>
        <v>0.98715025265899181</v>
      </c>
      <c r="K12" s="98">
        <f t="shared" si="5"/>
        <v>18</v>
      </c>
      <c r="L12" s="98">
        <f t="shared" si="6"/>
        <v>40.5</v>
      </c>
      <c r="M12" s="92">
        <v>6</v>
      </c>
      <c r="N12" s="190">
        <f t="shared" si="7"/>
        <v>79</v>
      </c>
      <c r="O12" s="190" t="s">
        <v>256</v>
      </c>
      <c r="P12" s="335">
        <v>1.5</v>
      </c>
      <c r="Q12" s="191">
        <v>4</v>
      </c>
      <c r="R12" s="213">
        <f t="shared" si="8"/>
        <v>0.7559289460184544</v>
      </c>
      <c r="S12" s="213">
        <f t="shared" si="9"/>
        <v>0.84430867747355465</v>
      </c>
      <c r="T12" s="117">
        <v>5720</v>
      </c>
      <c r="U12" s="290">
        <f t="shared" si="2"/>
        <v>-150</v>
      </c>
      <c r="V12" s="291">
        <v>1190</v>
      </c>
      <c r="W12" s="109">
        <f t="shared" si="3"/>
        <v>4.8067226890756301</v>
      </c>
      <c r="X12" s="198">
        <v>0</v>
      </c>
      <c r="Y12" s="199">
        <f>4.45+0.06+0.2+0.06+0.06+(0.06*68/90)+0.06+0.06+0.06+0.04+(0.22*35/90)+0.04+0.04+0.04+0.04+0.04+0.04*0.5+0.2*66/90+0.02+0.12*33/90+0.02+0.02</f>
        <v>5.6515555555555519</v>
      </c>
      <c r="Z12" s="198">
        <v>8.9499999999999993</v>
      </c>
      <c r="AA12" s="199">
        <v>6.95</v>
      </c>
      <c r="AB12" s="198">
        <f>5.2+0.38+0.38+0.33+0.3+0.3+0.3+0.3+0.28+0.25+0.2+0.2+0.15+0.15*40/90+0.14+0.13+0.12+0.12+0.11+0.01</f>
        <v>9.2666666666666639</v>
      </c>
      <c r="AC12" s="199">
        <v>2.95</v>
      </c>
      <c r="AD12" s="198">
        <f>10+0.65+0.65+0.5+0.4+0.25+0.2+0.25*71/90</f>
        <v>12.847222222222223</v>
      </c>
      <c r="AE12" s="347">
        <v>864</v>
      </c>
      <c r="AF12" s="270">
        <f t="shared" si="10"/>
        <v>8.6456729359472106</v>
      </c>
      <c r="AG12" s="270">
        <f t="shared" si="11"/>
        <v>9.6661561980040744</v>
      </c>
      <c r="AH12" s="109">
        <f t="shared" si="12"/>
        <v>2.9902980218246666</v>
      </c>
      <c r="AI12" s="109">
        <f t="shared" si="13"/>
        <v>7.4531375941235565</v>
      </c>
      <c r="AJ12" s="109">
        <f t="shared" si="14"/>
        <v>9.3472169939048939</v>
      </c>
      <c r="AK12" s="109">
        <f t="shared" si="15"/>
        <v>0.73188868687938613</v>
      </c>
      <c r="AL12" s="109">
        <f t="shared" si="16"/>
        <v>0.78557940657501812</v>
      </c>
      <c r="AM12" s="105">
        <f t="shared" si="17"/>
        <v>11.503856902156008</v>
      </c>
      <c r="AN12" s="105">
        <f t="shared" si="18"/>
        <v>12.861703018325491</v>
      </c>
      <c r="AO12" s="191">
        <v>1</v>
      </c>
      <c r="AP12" s="191">
        <v>2</v>
      </c>
      <c r="AQ12" s="259">
        <f t="shared" si="19"/>
        <v>4.9399999999999999E-2</v>
      </c>
      <c r="AR12" s="349"/>
      <c r="AS12" s="349"/>
      <c r="AT12" s="349"/>
      <c r="AU12" s="349"/>
      <c r="AV12" s="259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117">
        <v>5870</v>
      </c>
      <c r="BH12" s="352"/>
      <c r="BJ12" s="148"/>
      <c r="BK12" s="151"/>
    </row>
    <row r="13" spans="1:63" s="78" customFormat="1" x14ac:dyDescent="0.25">
      <c r="A13" s="143" t="s">
        <v>264</v>
      </c>
      <c r="B13" s="143" t="s">
        <v>62</v>
      </c>
      <c r="C13" s="144">
        <f t="shared" ca="1" si="20"/>
        <v>15.375</v>
      </c>
      <c r="D13" s="350" t="s">
        <v>414</v>
      </c>
      <c r="E13" s="145">
        <v>18</v>
      </c>
      <c r="F13" s="58">
        <f ca="1">-43571+$D$1</f>
        <v>70</v>
      </c>
      <c r="G13" s="146" t="s">
        <v>220</v>
      </c>
      <c r="H13" s="139">
        <v>4</v>
      </c>
      <c r="I13" s="102">
        <v>0.4</v>
      </c>
      <c r="J13" s="199">
        <f t="shared" si="4"/>
        <v>0.19483738090431735</v>
      </c>
      <c r="K13" s="98">
        <f t="shared" si="5"/>
        <v>6.4</v>
      </c>
      <c r="L13" s="98">
        <f t="shared" si="6"/>
        <v>10</v>
      </c>
      <c r="M13" s="147">
        <v>5.2</v>
      </c>
      <c r="N13" s="190">
        <f t="shared" si="7"/>
        <v>71</v>
      </c>
      <c r="O13" s="334">
        <v>43626</v>
      </c>
      <c r="P13" s="335">
        <f t="shared" ref="P13:P22" ca="1" si="21">IF((TODAY()-O13)&gt;335,1,((TODAY()-O13)^0.64)/(336^0.64))</f>
        <v>0.13672290211839563</v>
      </c>
      <c r="Q13" s="190">
        <v>6</v>
      </c>
      <c r="R13" s="213">
        <f t="shared" si="8"/>
        <v>0.92582009977255142</v>
      </c>
      <c r="S13" s="213">
        <f t="shared" si="9"/>
        <v>0.99928545900129484</v>
      </c>
      <c r="T13" s="117">
        <v>5650</v>
      </c>
      <c r="U13" s="290">
        <f t="shared" si="2"/>
        <v>660</v>
      </c>
      <c r="V13" s="117">
        <v>684</v>
      </c>
      <c r="W13" s="109">
        <f t="shared" si="3"/>
        <v>8.2602339181286553</v>
      </c>
      <c r="X13" s="198">
        <v>0</v>
      </c>
      <c r="Y13" s="199">
        <v>4</v>
      </c>
      <c r="Z13" s="198">
        <f>7+2/5</f>
        <v>7.4</v>
      </c>
      <c r="AA13" s="199">
        <v>3</v>
      </c>
      <c r="AB13" s="198">
        <v>4</v>
      </c>
      <c r="AC13" s="199">
        <v>7</v>
      </c>
      <c r="AD13" s="198">
        <v>6</v>
      </c>
      <c r="AE13" s="347">
        <v>631</v>
      </c>
      <c r="AF13" s="270">
        <f t="shared" ca="1" si="10"/>
        <v>7.1580339126255845</v>
      </c>
      <c r="AG13" s="270">
        <f t="shared" ca="1" si="11"/>
        <v>7.7315602830227137</v>
      </c>
      <c r="AH13" s="109">
        <f t="shared" ca="1" si="12"/>
        <v>1.503842090024591</v>
      </c>
      <c r="AI13" s="109">
        <f t="shared" ca="1" si="13"/>
        <v>7.4553961655573113</v>
      </c>
      <c r="AJ13" s="109">
        <f t="shared" ca="1" si="14"/>
        <v>6.1396318028757779</v>
      </c>
      <c r="AK13" s="109">
        <f t="shared" ca="1" si="15"/>
        <v>0.55652482264181713</v>
      </c>
      <c r="AL13" s="109">
        <f t="shared" ca="1" si="16"/>
        <v>0.36320921981158993</v>
      </c>
      <c r="AM13" s="105">
        <f t="shared" ca="1" si="17"/>
        <v>5.1902735981394406</v>
      </c>
      <c r="AN13" s="105">
        <f t="shared" ca="1" si="18"/>
        <v>5.6061362238890124</v>
      </c>
      <c r="AO13" s="190">
        <v>4</v>
      </c>
      <c r="AP13" s="190">
        <v>3</v>
      </c>
      <c r="AQ13" s="259">
        <f t="shared" si="19"/>
        <v>0.157</v>
      </c>
      <c r="AR13" s="356">
        <v>9</v>
      </c>
      <c r="AS13" s="356">
        <v>23</v>
      </c>
      <c r="AT13" s="356">
        <v>29</v>
      </c>
      <c r="AU13" s="356">
        <v>5</v>
      </c>
      <c r="AV13" s="356">
        <f>AR13*1+AS13*0.066</f>
        <v>10.518000000000001</v>
      </c>
      <c r="AW13" s="356">
        <f>AR13*0.919+AS13*0.167</f>
        <v>12.112000000000002</v>
      </c>
      <c r="AX13" s="356">
        <f>AR13*1+AS13*0.236</f>
        <v>14.428000000000001</v>
      </c>
      <c r="AY13" s="356">
        <f>AR13*0.75+AS13*0.165</f>
        <v>10.545</v>
      </c>
      <c r="AZ13" s="356">
        <f>AR13*0.73+AS13*0.38</f>
        <v>15.31</v>
      </c>
      <c r="BA13" s="356">
        <f>AR13*0.45+AS13*1</f>
        <v>27.05</v>
      </c>
      <c r="BB13" s="356">
        <f>AR13*0.65+AS13*0.95</f>
        <v>27.7</v>
      </c>
      <c r="BC13" s="356">
        <f>AR13*0.3+AS13*0.53</f>
        <v>14.89</v>
      </c>
      <c r="BD13" s="356">
        <f>AR13*0.4+AS13*0.44</f>
        <v>13.719999999999999</v>
      </c>
      <c r="BE13" s="356">
        <f>AR13*0.25+AS13*0.73</f>
        <v>19.04</v>
      </c>
      <c r="BF13" s="356">
        <f>AS13*0.46</f>
        <v>10.58</v>
      </c>
      <c r="BG13" s="117">
        <v>4990</v>
      </c>
      <c r="BH13" s="352">
        <v>2327</v>
      </c>
      <c r="BJ13" s="148"/>
      <c r="BK13" s="151"/>
    </row>
    <row r="14" spans="1:63" s="78" customFormat="1" x14ac:dyDescent="0.25">
      <c r="A14" s="143" t="s">
        <v>179</v>
      </c>
      <c r="B14" s="143" t="s">
        <v>62</v>
      </c>
      <c r="C14" s="144">
        <f t="shared" ca="1" si="20"/>
        <v>15.883928571428571</v>
      </c>
      <c r="D14" s="350" t="s">
        <v>436</v>
      </c>
      <c r="E14" s="145">
        <v>18</v>
      </c>
      <c r="F14" s="58">
        <f ca="1">-43628+$D$1</f>
        <v>13</v>
      </c>
      <c r="G14" s="146" t="s">
        <v>105</v>
      </c>
      <c r="H14" s="343">
        <v>6</v>
      </c>
      <c r="I14" s="102">
        <v>1.2</v>
      </c>
      <c r="J14" s="199">
        <f t="shared" si="4"/>
        <v>0.45656357442960838</v>
      </c>
      <c r="K14" s="98">
        <f t="shared" si="5"/>
        <v>43.199999999999996</v>
      </c>
      <c r="L14" s="98">
        <f t="shared" si="6"/>
        <v>58.8</v>
      </c>
      <c r="M14" s="147">
        <v>3.9</v>
      </c>
      <c r="N14" s="190">
        <f t="shared" si="7"/>
        <v>58</v>
      </c>
      <c r="O14" s="334">
        <v>43633</v>
      </c>
      <c r="P14" s="335">
        <f t="shared" ca="1" si="21"/>
        <v>9.1436681135175488E-2</v>
      </c>
      <c r="Q14" s="190">
        <v>7</v>
      </c>
      <c r="R14" s="213">
        <f t="shared" si="8"/>
        <v>1</v>
      </c>
      <c r="S14" s="213">
        <f t="shared" si="9"/>
        <v>1</v>
      </c>
      <c r="T14" s="117">
        <v>8970</v>
      </c>
      <c r="U14" s="290">
        <f t="shared" si="2"/>
        <v>780</v>
      </c>
      <c r="V14" s="117">
        <v>1490</v>
      </c>
      <c r="W14" s="109">
        <f t="shared" si="3"/>
        <v>6.0201342281879198</v>
      </c>
      <c r="X14" s="198">
        <v>0</v>
      </c>
      <c r="Y14" s="199">
        <v>3</v>
      </c>
      <c r="Z14" s="198">
        <f>5+1/4</f>
        <v>5.25</v>
      </c>
      <c r="AA14" s="199">
        <v>2</v>
      </c>
      <c r="AB14" s="198">
        <v>6</v>
      </c>
      <c r="AC14" s="199">
        <v>9</v>
      </c>
      <c r="AD14" s="198">
        <v>2</v>
      </c>
      <c r="AE14" s="347">
        <v>639</v>
      </c>
      <c r="AF14" s="270">
        <f t="shared" ref="AF14" ca="1" si="22">(Z14+P14+J14)*(Q14/7)^0.5</f>
        <v>5.7980002555647836</v>
      </c>
      <c r="AG14" s="270">
        <f t="shared" ref="AG14" ca="1" si="23">(Z14+P14+J14)*(IF(Q14=7, (Q14/7)^0.5, ((Q14+1)/7)^0.5))</f>
        <v>5.7980002555647836</v>
      </c>
      <c r="AH14" s="109">
        <f t="shared" ca="1" si="12"/>
        <v>2.0805000958367939</v>
      </c>
      <c r="AI14" s="109">
        <f t="shared" ca="1" si="13"/>
        <v>9.651080564798173</v>
      </c>
      <c r="AJ14" s="109">
        <f t="shared" ca="1" si="14"/>
        <v>4.6480002555647832</v>
      </c>
      <c r="AK14" s="109">
        <f t="shared" ca="1" si="15"/>
        <v>0.55384002044518277</v>
      </c>
      <c r="AL14" s="109">
        <f t="shared" ca="1" si="16"/>
        <v>0.21836001788953491</v>
      </c>
      <c r="AM14" s="105">
        <f t="shared" ca="1" si="17"/>
        <v>2.1970116758653422</v>
      </c>
      <c r="AN14" s="105">
        <f t="shared" ca="1" si="18"/>
        <v>2.1970116758653422</v>
      </c>
      <c r="AO14" s="190">
        <v>4</v>
      </c>
      <c r="AP14" s="190">
        <v>2</v>
      </c>
      <c r="AQ14" s="259">
        <f t="shared" si="19"/>
        <v>0.157</v>
      </c>
      <c r="AR14" s="356">
        <v>6</v>
      </c>
      <c r="AS14" s="356">
        <v>13</v>
      </c>
      <c r="AT14" s="356">
        <v>32</v>
      </c>
      <c r="AU14" s="356">
        <v>1</v>
      </c>
      <c r="AV14" s="356">
        <f t="shared" ref="AV14:AV22" si="24">AR14*1+AS14*0.066</f>
        <v>6.8580000000000005</v>
      </c>
      <c r="AW14" s="356">
        <f t="shared" ref="AW14:AW22" si="25">AR14*0.919+AS14*0.167</f>
        <v>7.6850000000000005</v>
      </c>
      <c r="AX14" s="356">
        <f t="shared" ref="AX14:AX22" si="26">AR14*1+AS14*0.236</f>
        <v>9.0679999999999996</v>
      </c>
      <c r="AY14" s="356">
        <f t="shared" ref="AY14:AY22" si="27">AR14*0.75+AS14*0.165</f>
        <v>6.6449999999999996</v>
      </c>
      <c r="AZ14" s="356">
        <f t="shared" ref="AZ14:AZ22" si="28">AR14*0.73+AS14*0.38</f>
        <v>9.32</v>
      </c>
      <c r="BA14" s="356">
        <f t="shared" ref="BA14:BA22" si="29">AR14*0.45+AS14*1</f>
        <v>15.7</v>
      </c>
      <c r="BB14" s="356">
        <f t="shared" ref="BB14:BB22" si="30">AR14*0.65+AS14*0.95</f>
        <v>16.25</v>
      </c>
      <c r="BC14" s="356">
        <f t="shared" ref="BC14:BC22" si="31">AR14*0.3+AS14*0.53</f>
        <v>8.6900000000000013</v>
      </c>
      <c r="BD14" s="356">
        <f t="shared" ref="BD14:BD22" si="32">AR14*0.4+AS14*0.44</f>
        <v>8.120000000000001</v>
      </c>
      <c r="BE14" s="356">
        <f t="shared" ref="BE14:BE22" si="33">AR14*0.25+AS14*0.73</f>
        <v>10.99</v>
      </c>
      <c r="BF14" s="356">
        <f t="shared" ref="BF14:BF22" si="34">AS14*0.46</f>
        <v>5.98</v>
      </c>
      <c r="BG14" s="117">
        <v>8190</v>
      </c>
      <c r="BH14" s="352">
        <v>4689</v>
      </c>
      <c r="BJ14" s="148"/>
      <c r="BK14" s="151"/>
    </row>
    <row r="15" spans="1:63" s="78" customFormat="1" x14ac:dyDescent="0.25">
      <c r="A15" s="143" t="s">
        <v>223</v>
      </c>
      <c r="B15" s="143" t="s">
        <v>62</v>
      </c>
      <c r="C15" s="144">
        <f ca="1">((34*112)-(E15*112)-(F15))/112</f>
        <v>15.232142857142858</v>
      </c>
      <c r="D15" s="350" t="s">
        <v>435</v>
      </c>
      <c r="E15" s="145">
        <v>18</v>
      </c>
      <c r="F15" s="58">
        <f ca="1">-43569+$D$1+14</f>
        <v>86</v>
      </c>
      <c r="G15" s="146" t="s">
        <v>96</v>
      </c>
      <c r="H15" s="139">
        <v>1</v>
      </c>
      <c r="I15" s="102">
        <v>1.8</v>
      </c>
      <c r="J15" s="199">
        <f>LOG(I15+1)*4/3</f>
        <v>0.59621070845629232</v>
      </c>
      <c r="K15" s="98">
        <f>(H15)*(H15)*(I15)</f>
        <v>1.8</v>
      </c>
      <c r="L15" s="98">
        <f>(H15+1)*(H15+1)*I15</f>
        <v>7.2</v>
      </c>
      <c r="M15" s="147">
        <v>3.9</v>
      </c>
      <c r="N15" s="190">
        <f>M15*10+19</f>
        <v>58</v>
      </c>
      <c r="O15" s="334">
        <v>43630</v>
      </c>
      <c r="P15" s="335">
        <f ca="1">IF((TODAY()-O15)&gt;335,1,((TODAY()-O15)^0.64)/(336^0.64))</f>
        <v>0.11210737430592951</v>
      </c>
      <c r="Q15" s="190">
        <v>4</v>
      </c>
      <c r="R15" s="213">
        <f>(Q15/7)^0.5</f>
        <v>0.7559289460184544</v>
      </c>
      <c r="S15" s="213">
        <f>IF(Q15=7,1,((Q15+0.99)/7)^0.5)</f>
        <v>0.84430867747355465</v>
      </c>
      <c r="T15" s="117">
        <v>7370</v>
      </c>
      <c r="U15" s="290">
        <f>T15-BG15</f>
        <v>890</v>
      </c>
      <c r="V15" s="117">
        <v>1044</v>
      </c>
      <c r="W15" s="109">
        <f>T15/V15</f>
        <v>7.0593869731800769</v>
      </c>
      <c r="X15" s="198">
        <v>0</v>
      </c>
      <c r="Y15" s="199">
        <v>4</v>
      </c>
      <c r="Z15" s="198">
        <f>8+1/5</f>
        <v>8.1999999999999993</v>
      </c>
      <c r="AA15" s="199">
        <v>3</v>
      </c>
      <c r="AB15" s="198">
        <v>2</v>
      </c>
      <c r="AC15" s="199">
        <v>8</v>
      </c>
      <c r="AD15" s="198">
        <v>0</v>
      </c>
      <c r="AE15" s="347">
        <v>644</v>
      </c>
      <c r="AF15" s="270">
        <f ca="1">(Z15+P15+J15)*(Q15/7)^0.5</f>
        <v>6.7340554990995845</v>
      </c>
      <c r="AG15" s="270">
        <f ca="1">(Z15+P15+J15)*(IF(Q15=7, (Q15/7)^0.5, ((Q15+1)/7)^0.5))</f>
        <v>7.5289029301214727</v>
      </c>
      <c r="AH15" s="109">
        <f ca="1">(((Y15+P15+J15)+(AB15+P15+J15)*2)/8)*(Q15/7)^0.5</f>
        <v>0.95671824917405135</v>
      </c>
      <c r="AI15" s="109">
        <f ca="1">(1.66*(AC15+J15+P15)+0.55*(AD15+J15+P15)-7.6)*(Q15/7)^0.5</f>
        <v>5.4769947066484734</v>
      </c>
      <c r="AJ15" s="109">
        <f ca="1">((AD15+J15+P15)*0.7+(AC15+J15+P15)*0.3)*(Q15/7)^0.5</f>
        <v>2.3496676121925493</v>
      </c>
      <c r="AK15" s="109">
        <f ca="1">(0.5*(AC15+P15+J15)+ 0.3*(AD15+P15+J15))/10</f>
        <v>0.45666544662097774</v>
      </c>
      <c r="AL15" s="109">
        <f ca="1">(0.4*(Y15+P15+J15)+0.3*(AD15+P15+J15))/10</f>
        <v>0.20958226579335554</v>
      </c>
      <c r="AM15" s="105">
        <f ca="1">(AD15+P15+(LOG(I15)*4/3))*(Q15/7)^0.5</f>
        <v>0.34203571027362123</v>
      </c>
      <c r="AN15" s="105">
        <f ca="1">(AD15+P15+(LOG(I15)*4/3))*(IF(Q15=7, (Q15/7)^0.5, ((Q15+1)/7)^0.5))</f>
        <v>0.38240754945212013</v>
      </c>
      <c r="AO15" s="190">
        <v>3</v>
      </c>
      <c r="AP15" s="190">
        <v>0</v>
      </c>
      <c r="AQ15" s="259">
        <f>IF(AO15=4,IF(AP15=0,0.137+0.0697,0.137+0.02),IF(AO15=3,IF(AP15=0,0.0958+0.0697,0.0958+0.02),IF(AO15=2,IF(AP15=0,0.0415+0.0697,0.0415+0.02),IF(AO15=1,IF(AP15=0,0.0294+0.0697,0.0294+0.02),IF(AO15=0,IF(AP15=0,0.0063+0.0697,0.0063+0.02))))))</f>
        <v>0.16549999999999998</v>
      </c>
      <c r="AR15" s="356">
        <v>9</v>
      </c>
      <c r="AS15" s="356">
        <v>27</v>
      </c>
      <c r="AT15" s="356">
        <v>26</v>
      </c>
      <c r="AU15" s="356">
        <v>-1</v>
      </c>
      <c r="AV15" s="356">
        <f>AR15*1+AS15*0.066</f>
        <v>10.782</v>
      </c>
      <c r="AW15" s="356">
        <f>AR15*0.919+AS15*0.167</f>
        <v>12.780000000000001</v>
      </c>
      <c r="AX15" s="356">
        <f>AR15*1+AS15*0.236</f>
        <v>15.372</v>
      </c>
      <c r="AY15" s="356">
        <f>AR15*0.75+AS15*0.165</f>
        <v>11.205</v>
      </c>
      <c r="AZ15" s="356">
        <f>AR15*0.73+AS15*0.38</f>
        <v>16.829999999999998</v>
      </c>
      <c r="BA15" s="356">
        <f>AR15*0.45+AS15*1</f>
        <v>31.05</v>
      </c>
      <c r="BB15" s="356">
        <f>AR15*0.65+AS15*0.95</f>
        <v>31.5</v>
      </c>
      <c r="BC15" s="356">
        <f>AR15*0.3+AS15*0.53</f>
        <v>17.010000000000002</v>
      </c>
      <c r="BD15" s="356">
        <f>AR15*0.4+AS15*0.44</f>
        <v>15.48</v>
      </c>
      <c r="BE15" s="356">
        <f>AR15*0.25+AS15*0.73</f>
        <v>21.96</v>
      </c>
      <c r="BF15" s="356">
        <f>AS15*0.46</f>
        <v>12.42</v>
      </c>
      <c r="BG15" s="117">
        <v>6480</v>
      </c>
      <c r="BH15" s="352">
        <v>1887</v>
      </c>
      <c r="BJ15" s="148"/>
      <c r="BK15" s="151"/>
    </row>
    <row r="16" spans="1:63" s="78" customFormat="1" x14ac:dyDescent="0.25">
      <c r="A16" s="143" t="s">
        <v>172</v>
      </c>
      <c r="B16" s="143" t="s">
        <v>62</v>
      </c>
      <c r="C16" s="144">
        <f ca="1">((34*112)-(E16*112)-(F16))/112</f>
        <v>15.232142857142858</v>
      </c>
      <c r="D16" s="350" t="s">
        <v>430</v>
      </c>
      <c r="E16" s="145">
        <v>18</v>
      </c>
      <c r="F16" s="58">
        <f ca="1">-43569+$D$1+14</f>
        <v>86</v>
      </c>
      <c r="G16" s="146" t="s">
        <v>105</v>
      </c>
      <c r="H16" s="139">
        <v>1</v>
      </c>
      <c r="I16" s="102">
        <v>1.6</v>
      </c>
      <c r="J16" s="199">
        <f>LOG(I16+1)*4/3</f>
        <v>0.55329779729442397</v>
      </c>
      <c r="K16" s="98">
        <f>(H16)*(H16)*(I16)</f>
        <v>1.6</v>
      </c>
      <c r="L16" s="98">
        <f>(H16+1)*(H16+1)*I16</f>
        <v>6.4</v>
      </c>
      <c r="M16" s="147">
        <v>6.4</v>
      </c>
      <c r="N16" s="190">
        <f>M16*10+19</f>
        <v>83</v>
      </c>
      <c r="O16" s="334">
        <v>43627</v>
      </c>
      <c r="P16" s="335">
        <f ca="1">IF((TODAY()-O16)&gt;335,1,((TODAY()-O16)^0.64)/(336^0.64))</f>
        <v>0.13081718674960124</v>
      </c>
      <c r="Q16" s="190">
        <v>5</v>
      </c>
      <c r="R16" s="213">
        <f>(Q16/7)^0.5</f>
        <v>0.84515425472851657</v>
      </c>
      <c r="S16" s="213">
        <f>IF(Q16=7,1,((Q16+0.99)/7)^0.5)</f>
        <v>0.92504826128926143</v>
      </c>
      <c r="T16" s="117">
        <v>11720</v>
      </c>
      <c r="U16" s="290">
        <f>T16-BG16</f>
        <v>40</v>
      </c>
      <c r="V16" s="117">
        <v>924</v>
      </c>
      <c r="W16" s="109">
        <f>T16/V16</f>
        <v>12.683982683982684</v>
      </c>
      <c r="X16" s="198">
        <v>0</v>
      </c>
      <c r="Y16" s="199">
        <v>2</v>
      </c>
      <c r="Z16" s="198">
        <f>8+2/5</f>
        <v>8.4</v>
      </c>
      <c r="AA16" s="199">
        <v>5</v>
      </c>
      <c r="AB16" s="198">
        <v>4</v>
      </c>
      <c r="AC16" s="199">
        <v>8</v>
      </c>
      <c r="AD16" s="198">
        <v>6</v>
      </c>
      <c r="AE16" s="347">
        <v>696</v>
      </c>
      <c r="AF16" s="270">
        <f ca="1">(Z16+P16+J16)*(Q16/7)^0.5</f>
        <v>7.6774784292078779</v>
      </c>
      <c r="AG16" s="270">
        <f ca="1">(Z16+P16+J16)*(IF(Q16=7, (Q16/7)^0.5, ((Q16+1)/7)^0.5))</f>
        <v>8.4102562408729682</v>
      </c>
      <c r="AH16" s="109">
        <f ca="1">(((Y16+P16+J16)+(AB16+P16+J16)*2)/8)*(Q16/7)^0.5</f>
        <v>1.2732613269687727</v>
      </c>
      <c r="AI16" s="109">
        <f ca="1">(1.66*(AC16+J16+P16)+0.55*(AD16+J16+P16)-7.6)*(Q16/7)^0.5</f>
        <v>8.8672689512313063</v>
      </c>
      <c r="AJ16" s="109">
        <f ca="1">((AD16+J16+P16)*0.7+(AC16+J16+P16)*0.3)*(Q16/7)^0.5</f>
        <v>6.1562007706965476</v>
      </c>
      <c r="AK16" s="109">
        <f ca="1">(0.5*(AC16+P16+J16)+ 0.3*(AD16+P16+J16))/10</f>
        <v>0.63472919872352196</v>
      </c>
      <c r="AL16" s="109">
        <f ca="1">(0.4*(Y16+P16+J16)+0.3*(AD16+P16+J16))/10</f>
        <v>0.30788804888308174</v>
      </c>
      <c r="AM16" s="105">
        <f ca="1">(AD16+P16+(LOG(I16)*4/3))*(Q16/7)^0.5</f>
        <v>5.4115033927664946</v>
      </c>
      <c r="AN16" s="105">
        <f ca="1">(AD16+P16+(LOG(I16)*4/3))*(IF(Q16=7, (Q16/7)^0.5, ((Q16+1)/7)^0.5))</f>
        <v>5.9280049564678947</v>
      </c>
      <c r="AO16" s="190">
        <v>4</v>
      </c>
      <c r="AP16" s="190">
        <v>2</v>
      </c>
      <c r="AQ16" s="259">
        <f>IF(AO16=4,IF(AP16=0,0.137+0.0697,0.137+0.02),IF(AO16=3,IF(AP16=0,0.0958+0.0697,0.0958+0.02),IF(AO16=2,IF(AP16=0,0.0415+0.0697,0.0415+0.02),IF(AO16=1,IF(AP16=0,0.0294+0.0697,0.0294+0.02),IF(AO16=0,IF(AP16=0,0.0063+0.0697,0.0063+0.02))))))</f>
        <v>0.157</v>
      </c>
      <c r="AR16" s="356">
        <v>3</v>
      </c>
      <c r="AS16" s="356">
        <v>28</v>
      </c>
      <c r="AT16" s="356">
        <v>26</v>
      </c>
      <c r="AU16" s="356">
        <v>5</v>
      </c>
      <c r="AV16" s="356">
        <f>AR16*1+AS16*0.066</f>
        <v>4.8479999999999999</v>
      </c>
      <c r="AW16" s="356">
        <f>AR16*0.919+AS16*0.167</f>
        <v>7.4329999999999998</v>
      </c>
      <c r="AX16" s="356">
        <f>AR16*1+AS16*0.236</f>
        <v>9.6080000000000005</v>
      </c>
      <c r="AY16" s="356">
        <f>AR16*0.75+AS16*0.165</f>
        <v>6.87</v>
      </c>
      <c r="AZ16" s="356">
        <f>AR16*0.73+AS16*0.38</f>
        <v>12.83</v>
      </c>
      <c r="BA16" s="356">
        <f>AR16*0.45+AS16*1</f>
        <v>29.35</v>
      </c>
      <c r="BB16" s="356">
        <f>AR16*0.65+AS16*0.95</f>
        <v>28.549999999999997</v>
      </c>
      <c r="BC16" s="356">
        <f>AR16*0.3+AS16*0.53</f>
        <v>15.74</v>
      </c>
      <c r="BD16" s="356">
        <f>AR16*0.4+AS16*0.44</f>
        <v>13.52</v>
      </c>
      <c r="BE16" s="356">
        <f>AR16*0.25+AS16*0.73</f>
        <v>21.189999999999998</v>
      </c>
      <c r="BF16" s="356">
        <f>AS16*0.46</f>
        <v>12.88</v>
      </c>
      <c r="BG16" s="117">
        <v>11680</v>
      </c>
      <c r="BH16" s="352">
        <v>3853</v>
      </c>
      <c r="BJ16" s="148"/>
      <c r="BK16" s="151"/>
    </row>
    <row r="17" spans="1:63" s="78" customFormat="1" x14ac:dyDescent="0.25">
      <c r="A17" s="143" t="s">
        <v>259</v>
      </c>
      <c r="B17" s="143" t="s">
        <v>62</v>
      </c>
      <c r="C17" s="144">
        <f ca="1">((34*112)-(E17*112)-(F17))/112</f>
        <v>14.821428571428571</v>
      </c>
      <c r="D17" s="350" t="s">
        <v>433</v>
      </c>
      <c r="E17" s="145">
        <v>19</v>
      </c>
      <c r="F17" s="58">
        <f ca="1">-43626+$D$1+5</f>
        <v>20</v>
      </c>
      <c r="G17" s="146" t="s">
        <v>220</v>
      </c>
      <c r="H17" s="139">
        <v>4</v>
      </c>
      <c r="I17" s="102">
        <v>0.3</v>
      </c>
      <c r="J17" s="199">
        <f>LOG(I17+1)*4/3</f>
        <v>0.15192446974244905</v>
      </c>
      <c r="K17" s="98">
        <f>(H17)*(H17)*(I17)</f>
        <v>4.8</v>
      </c>
      <c r="L17" s="98">
        <f>(H17+1)*(H17+1)*I17</f>
        <v>7.5</v>
      </c>
      <c r="M17" s="147">
        <v>4.7</v>
      </c>
      <c r="N17" s="190">
        <f>M17*10+19</f>
        <v>66</v>
      </c>
      <c r="O17" s="334">
        <v>43628</v>
      </c>
      <c r="P17" s="335">
        <f ca="1">IF((TODAY()-O17)&gt;335,1,((TODAY()-O17)^0.64)/(336^0.64))</f>
        <v>0.12475748407047811</v>
      </c>
      <c r="Q17" s="190">
        <v>5</v>
      </c>
      <c r="R17" s="213">
        <f>(Q17/7)^0.5</f>
        <v>0.84515425472851657</v>
      </c>
      <c r="S17" s="213">
        <f>IF(Q17=7,1,((Q17+0.99)/7)^0.5)</f>
        <v>0.92504826128926143</v>
      </c>
      <c r="T17" s="117">
        <v>7570</v>
      </c>
      <c r="U17" s="290">
        <f>T17-BG17</f>
        <v>10</v>
      </c>
      <c r="V17" s="117">
        <v>948</v>
      </c>
      <c r="W17" s="109">
        <f>T17/V17</f>
        <v>7.9852320675105481</v>
      </c>
      <c r="X17" s="198">
        <v>0</v>
      </c>
      <c r="Y17" s="199">
        <v>7</v>
      </c>
      <c r="Z17" s="198">
        <f>7+1/9+1/5</f>
        <v>7.3111111111111109</v>
      </c>
      <c r="AA17" s="199">
        <v>1</v>
      </c>
      <c r="AB17" s="198">
        <v>1</v>
      </c>
      <c r="AC17" s="199">
        <v>6</v>
      </c>
      <c r="AD17" s="198">
        <v>1</v>
      </c>
      <c r="AE17" s="347">
        <v>597</v>
      </c>
      <c r="AF17" s="270">
        <f ca="1">(Z17+P17+J17)*(Q17/7)^0.5</f>
        <v>6.4128555928200814</v>
      </c>
      <c r="AG17" s="270">
        <f ca="1">(Z17+P17+J17)*(IF(Q17=7, (Q17/7)^0.5, ((Q17+1)/7)^0.5))</f>
        <v>7.0249313324214455</v>
      </c>
      <c r="AH17" s="109">
        <f ca="1">(((Y17+P17+J17)+(AB17+P17+J17)*2)/8)*(Q17/7)^0.5</f>
        <v>1.0384881354964288</v>
      </c>
      <c r="AI17" s="109">
        <f ca="1">(1.66*(AC17+J17+P17)+0.55*(AD17+J17+P17)-7.6)*(Q17/7)^0.5</f>
        <v>2.9761829176022054</v>
      </c>
      <c r="AJ17" s="109">
        <f ca="1">((AD17+J17+P17)*0.7+(AC17+J17+P17)*0.3)*(Q17/7)^0.5</f>
        <v>2.3467245672928856</v>
      </c>
      <c r="AK17" s="109">
        <f ca="1">(0.5*(AC17+P17+J17)+ 0.3*(AD17+P17+J17))/10</f>
        <v>0.3521345563050341</v>
      </c>
      <c r="AL17" s="109">
        <f ca="1">(0.4*(Y17+P17+J17)+0.3*(AD17+P17+J17))/10</f>
        <v>0.32936773676690489</v>
      </c>
      <c r="AM17" s="105">
        <f ca="1">(AD17+P17+(LOG(I17)*4/3))*(Q17/7)^0.5</f>
        <v>0.3613759781588588</v>
      </c>
      <c r="AN17" s="105">
        <f ca="1">(AD17+P17+(LOG(I17)*4/3))*(IF(Q17=7, (Q17/7)^0.5, ((Q17+1)/7)^0.5))</f>
        <v>0.39586754995620238</v>
      </c>
      <c r="AO17" s="190">
        <v>4</v>
      </c>
      <c r="AP17" s="190">
        <v>2</v>
      </c>
      <c r="AQ17" s="259">
        <f>IF(AO17=4,IF(AP17=0,0.137+0.0697,0.137+0.02),IF(AO17=3,IF(AP17=0,0.0958+0.0697,0.0958+0.02),IF(AO17=2,IF(AP17=0,0.0415+0.0697,0.0415+0.02),IF(AO17=1,IF(AP17=0,0.0294+0.0697,0.0294+0.02),IF(AO17=0,IF(AP17=0,0.0063+0.0697,0.0063+0.02))))))</f>
        <v>0.157</v>
      </c>
      <c r="AR17" s="356">
        <v>23</v>
      </c>
      <c r="AS17" s="356">
        <f>21.5+1</f>
        <v>22.5</v>
      </c>
      <c r="AT17" s="356">
        <v>16</v>
      </c>
      <c r="AU17" s="356">
        <v>0</v>
      </c>
      <c r="AV17" s="356">
        <f>AR17*1+AS17*0.066</f>
        <v>24.484999999999999</v>
      </c>
      <c r="AW17" s="356">
        <f>AR17*0.919+AS17*0.167</f>
        <v>24.894500000000001</v>
      </c>
      <c r="AX17" s="356">
        <f>AR17*1+AS17*0.236</f>
        <v>28.31</v>
      </c>
      <c r="AY17" s="356">
        <f>AR17*0.75+AS17*0.165</f>
        <v>20.962499999999999</v>
      </c>
      <c r="AZ17" s="356">
        <f>AR17*0.73+AS17*0.38</f>
        <v>25.34</v>
      </c>
      <c r="BA17" s="356">
        <f>AR17*0.45+AS17*1</f>
        <v>32.85</v>
      </c>
      <c r="BB17" s="356">
        <f>AR17*0.65+AS17*0.95</f>
        <v>36.325000000000003</v>
      </c>
      <c r="BC17" s="356">
        <f>AR17*0.3+AS17*0.53</f>
        <v>18.824999999999999</v>
      </c>
      <c r="BD17" s="356">
        <f>AR17*0.4+AS17*0.44</f>
        <v>19.100000000000001</v>
      </c>
      <c r="BE17" s="356">
        <f>AR17*0.25+AS17*0.73</f>
        <v>22.175000000000001</v>
      </c>
      <c r="BF17" s="356">
        <f>AS17*0.46</f>
        <v>10.35</v>
      </c>
      <c r="BG17" s="117">
        <v>7560</v>
      </c>
      <c r="BH17" s="352">
        <v>740</v>
      </c>
      <c r="BJ17" s="148"/>
      <c r="BK17" s="151"/>
    </row>
    <row r="18" spans="1:63" s="78" customFormat="1" x14ac:dyDescent="0.25">
      <c r="A18" s="143" t="s">
        <v>213</v>
      </c>
      <c r="B18" s="143" t="s">
        <v>62</v>
      </c>
      <c r="C18" s="144">
        <f ca="1">((34*112)-(E18*112)-(F18))/112</f>
        <v>14.866071428571429</v>
      </c>
      <c r="D18" s="350" t="s">
        <v>418</v>
      </c>
      <c r="E18" s="145">
        <v>19</v>
      </c>
      <c r="F18" s="58">
        <f ca="1">-43626+$D$1</f>
        <v>15</v>
      </c>
      <c r="G18" s="146" t="s">
        <v>67</v>
      </c>
      <c r="H18" s="139">
        <v>4</v>
      </c>
      <c r="I18" s="102">
        <v>1.8</v>
      </c>
      <c r="J18" s="199">
        <f>LOG(I18+1)*4/3</f>
        <v>0.59621070845629232</v>
      </c>
      <c r="K18" s="98">
        <f>(H18)*(H18)*(I18)</f>
        <v>28.8</v>
      </c>
      <c r="L18" s="98">
        <f>(H18+1)*(H18+1)*I18</f>
        <v>45</v>
      </c>
      <c r="M18" s="147">
        <v>3.1</v>
      </c>
      <c r="N18" s="190">
        <f>M18*10+19</f>
        <v>50</v>
      </c>
      <c r="O18" s="334">
        <v>43626</v>
      </c>
      <c r="P18" s="335">
        <f ca="1">IF((TODAY()-O18)&gt;335,1,((TODAY()-O18)^0.64)/(336^0.64))</f>
        <v>0.13672290211839563</v>
      </c>
      <c r="Q18" s="190">
        <v>5</v>
      </c>
      <c r="R18" s="213">
        <f>(Q18/7)^0.5</f>
        <v>0.84515425472851657</v>
      </c>
      <c r="S18" s="213">
        <f>IF(Q18=7,1,((Q18+0.99)/7)^0.5)</f>
        <v>0.92504826128926143</v>
      </c>
      <c r="T18" s="117">
        <v>7110</v>
      </c>
      <c r="U18" s="290">
        <f>T18-BG18</f>
        <v>500</v>
      </c>
      <c r="V18" s="117">
        <v>870</v>
      </c>
      <c r="W18" s="109">
        <f>T18/V18</f>
        <v>8.1724137931034484</v>
      </c>
      <c r="X18" s="198">
        <v>0</v>
      </c>
      <c r="Y18" s="199">
        <v>7</v>
      </c>
      <c r="Z18" s="198">
        <f>7+2/5</f>
        <v>7.4</v>
      </c>
      <c r="AA18" s="199">
        <v>2</v>
      </c>
      <c r="AB18" s="198">
        <v>4</v>
      </c>
      <c r="AC18" s="199">
        <v>6</v>
      </c>
      <c r="AD18" s="198">
        <v>2</v>
      </c>
      <c r="AE18" s="347">
        <v>690</v>
      </c>
      <c r="AF18" s="270">
        <f ca="1">(Z18+P18+J18)*(Q18/7)^0.5</f>
        <v>6.8735834444017545</v>
      </c>
      <c r="AG18" s="270">
        <f ca="1">(Z18+P18+J18)*(IF(Q18=7, (Q18/7)^0.5, ((Q18+1)/7)^0.5))</f>
        <v>7.5296334067857957</v>
      </c>
      <c r="AH18" s="109">
        <f ca="1">(((Y18+P18+J18)+(AB18+P18+J18)*2)/8)*(Q18/7)^0.5</f>
        <v>1.8169549623949928</v>
      </c>
      <c r="AI18" s="109">
        <f ca="1">(1.66*(AC18+J18+P18)+0.55*(AD18+J18+P18)-7.6)*(Q18/7)^0.5</f>
        <v>4.2932004516583815</v>
      </c>
      <c r="AJ18" s="109">
        <f ca="1">((AD18+J18+P18)*0.7+(AC18+J18+P18)*0.3)*(Q18/7)^0.5</f>
        <v>3.3239355745419843</v>
      </c>
      <c r="AK18" s="109">
        <f ca="1">(0.5*(AC18+P18+J18)+ 0.3*(AD18+P18+J18))/10</f>
        <v>0.41863468884597504</v>
      </c>
      <c r="AL18" s="109">
        <f ca="1">(0.4*(Y18+P18+J18)+0.3*(AD18+P18+J18))/10</f>
        <v>0.39130535274022815</v>
      </c>
      <c r="AM18" s="105">
        <f ca="1">(AD18+P18+(LOG(I18)*4/3))*(Q18/7)^0.5</f>
        <v>2.0935199769722472</v>
      </c>
      <c r="AN18" s="105">
        <f ca="1">(AD18+P18+(LOG(I18)*4/3))*(IF(Q18=7, (Q18/7)^0.5, ((Q18+1)/7)^0.5))</f>
        <v>2.2933362319507915</v>
      </c>
      <c r="AO18" s="190">
        <v>3</v>
      </c>
      <c r="AP18" s="190">
        <v>3</v>
      </c>
      <c r="AQ18" s="259">
        <f>IF(AO18=4,IF(AP18=0,0.137+0.0697,0.137+0.02),IF(AO18=3,IF(AP18=0,0.0958+0.0697,0.0958+0.02),IF(AO18=2,IF(AP18=0,0.0415+0.0697,0.0415+0.02),IF(AO18=1,IF(AP18=0,0.0294+0.0697,0.0294+0.02),IF(AO18=0,IF(AP18=0,0.0063+0.0697,0.0063+0.02))))))</f>
        <v>0.1158</v>
      </c>
      <c r="AR18" s="356">
        <v>23</v>
      </c>
      <c r="AS18" s="356">
        <v>23</v>
      </c>
      <c r="AT18" s="356">
        <v>16</v>
      </c>
      <c r="AU18" s="356">
        <v>1</v>
      </c>
      <c r="AV18" s="356">
        <f>AR18*1+AS18*0.066</f>
        <v>24.518000000000001</v>
      </c>
      <c r="AW18" s="356">
        <f>AR18*0.919+AS18*0.167</f>
        <v>24.978000000000002</v>
      </c>
      <c r="AX18" s="356">
        <f>AR18*1+AS18*0.236</f>
        <v>28.428000000000001</v>
      </c>
      <c r="AY18" s="356">
        <f>AR18*0.75+AS18*0.165</f>
        <v>21.045000000000002</v>
      </c>
      <c r="AZ18" s="356">
        <f>AR18*0.73+AS18*0.38</f>
        <v>25.53</v>
      </c>
      <c r="BA18" s="356">
        <f>AR18*0.45+AS18*1</f>
        <v>33.35</v>
      </c>
      <c r="BB18" s="356">
        <f>AR18*0.65+AS18*0.95</f>
        <v>36.799999999999997</v>
      </c>
      <c r="BC18" s="356">
        <f>AR18*0.3+AS18*0.53</f>
        <v>19.09</v>
      </c>
      <c r="BD18" s="356">
        <f>AR18*0.4+AS18*0.44</f>
        <v>19.32</v>
      </c>
      <c r="BE18" s="356">
        <f>AR18*0.25+AS18*0.73</f>
        <v>22.54</v>
      </c>
      <c r="BF18" s="356">
        <f>AS18*0.46</f>
        <v>10.58</v>
      </c>
      <c r="BG18" s="117">
        <v>6610</v>
      </c>
      <c r="BH18" s="352">
        <v>1308</v>
      </c>
      <c r="BJ18" s="148"/>
      <c r="BK18" s="151"/>
    </row>
    <row r="19" spans="1:63" s="78" customFormat="1" x14ac:dyDescent="0.25">
      <c r="A19" s="143" t="s">
        <v>438</v>
      </c>
      <c r="B19" s="143" t="s">
        <v>63</v>
      </c>
      <c r="C19" s="144">
        <f t="shared" ca="1" si="20"/>
        <v>14.9375</v>
      </c>
      <c r="D19" s="393" t="s">
        <v>415</v>
      </c>
      <c r="E19" s="145">
        <v>19</v>
      </c>
      <c r="F19" s="58">
        <f ca="1">-43571+$D$1+49-112</f>
        <v>7</v>
      </c>
      <c r="G19" s="146"/>
      <c r="H19" s="139">
        <v>4</v>
      </c>
      <c r="I19" s="102">
        <v>1.8</v>
      </c>
      <c r="J19" s="199">
        <f t="shared" si="4"/>
        <v>0.59621070845629232</v>
      </c>
      <c r="K19" s="98">
        <f t="shared" si="5"/>
        <v>28.8</v>
      </c>
      <c r="L19" s="98">
        <f t="shared" si="6"/>
        <v>45</v>
      </c>
      <c r="M19" s="147">
        <v>3.9</v>
      </c>
      <c r="N19" s="190">
        <f t="shared" si="7"/>
        <v>58</v>
      </c>
      <c r="O19" s="334">
        <v>43624</v>
      </c>
      <c r="P19" s="335">
        <f t="shared" ca="1" si="21"/>
        <v>0.14812561692891457</v>
      </c>
      <c r="Q19" s="190">
        <v>5</v>
      </c>
      <c r="R19" s="213">
        <f t="shared" si="8"/>
        <v>0.84515425472851657</v>
      </c>
      <c r="S19" s="213">
        <f t="shared" si="9"/>
        <v>0.92504826128926143</v>
      </c>
      <c r="T19" s="117">
        <v>9130</v>
      </c>
      <c r="U19" s="290">
        <f t="shared" si="2"/>
        <v>500</v>
      </c>
      <c r="V19" s="117">
        <v>1650</v>
      </c>
      <c r="W19" s="109">
        <f t="shared" si="3"/>
        <v>5.5333333333333332</v>
      </c>
      <c r="X19" s="198">
        <v>0</v>
      </c>
      <c r="Y19" s="199">
        <v>5</v>
      </c>
      <c r="Z19" s="198">
        <f>6+1/30+1/8</f>
        <v>6.1583333333333332</v>
      </c>
      <c r="AA19" s="199">
        <v>2</v>
      </c>
      <c r="AB19" s="198">
        <v>3</v>
      </c>
      <c r="AC19" s="199">
        <v>9</v>
      </c>
      <c r="AD19" s="198">
        <v>1</v>
      </c>
      <c r="AE19" s="347">
        <v>655</v>
      </c>
      <c r="AF19" s="270">
        <f t="shared" ca="1" si="10"/>
        <v>5.8338206310514114</v>
      </c>
      <c r="AG19" s="270">
        <f t="shared" ca="1" si="11"/>
        <v>6.390630312131762</v>
      </c>
      <c r="AH19" s="109">
        <f t="shared" ca="1" si="12"/>
        <v>1.3979917298823217</v>
      </c>
      <c r="AI19" s="109">
        <f t="shared" ca="1" si="13"/>
        <v>8.0585316870977337</v>
      </c>
      <c r="AJ19" s="109">
        <f t="shared" ca="1" si="14"/>
        <v>3.5026034784252533</v>
      </c>
      <c r="AK19" s="109">
        <f t="shared" ca="1" si="15"/>
        <v>0.53954690603081656</v>
      </c>
      <c r="AL19" s="109">
        <f t="shared" ca="1" si="16"/>
        <v>0.28210354277696448</v>
      </c>
      <c r="AM19" s="105">
        <f t="shared" ca="1" si="17"/>
        <v>1.2580027751812966</v>
      </c>
      <c r="AN19" s="105">
        <f t="shared" ca="1" si="18"/>
        <v>1.3780729947417925</v>
      </c>
      <c r="AO19" s="190">
        <v>2</v>
      </c>
      <c r="AP19" s="190">
        <v>2</v>
      </c>
      <c r="AQ19" s="259">
        <f t="shared" si="19"/>
        <v>6.1499999999999999E-2</v>
      </c>
      <c r="AR19" s="356">
        <v>13</v>
      </c>
      <c r="AS19" s="356">
        <f>16+0.16+0.5</f>
        <v>16.66</v>
      </c>
      <c r="AT19" s="356">
        <v>32</v>
      </c>
      <c r="AU19" s="356">
        <v>0</v>
      </c>
      <c r="AV19" s="356">
        <f t="shared" si="24"/>
        <v>14.09956</v>
      </c>
      <c r="AW19" s="356">
        <f t="shared" si="25"/>
        <v>14.729220000000002</v>
      </c>
      <c r="AX19" s="356">
        <f t="shared" si="26"/>
        <v>16.931760000000001</v>
      </c>
      <c r="AY19" s="356">
        <f t="shared" si="27"/>
        <v>12.498900000000001</v>
      </c>
      <c r="AZ19" s="356">
        <f t="shared" si="28"/>
        <v>15.8208</v>
      </c>
      <c r="BA19" s="356">
        <f t="shared" si="29"/>
        <v>22.51</v>
      </c>
      <c r="BB19" s="356">
        <f t="shared" si="30"/>
        <v>24.277000000000001</v>
      </c>
      <c r="BC19" s="356">
        <f t="shared" si="31"/>
        <v>12.729800000000001</v>
      </c>
      <c r="BD19" s="356">
        <f t="shared" si="32"/>
        <v>12.5304</v>
      </c>
      <c r="BE19" s="356">
        <f t="shared" si="33"/>
        <v>15.411799999999999</v>
      </c>
      <c r="BF19" s="356">
        <f t="shared" si="34"/>
        <v>7.6636000000000006</v>
      </c>
      <c r="BG19" s="117">
        <v>8630</v>
      </c>
      <c r="BH19" s="352">
        <v>1170</v>
      </c>
      <c r="BJ19" s="148"/>
      <c r="BK19" s="151"/>
    </row>
    <row r="20" spans="1:63" s="78" customFormat="1" x14ac:dyDescent="0.25">
      <c r="A20" s="143" t="s">
        <v>292</v>
      </c>
      <c r="B20" s="143" t="s">
        <v>63</v>
      </c>
      <c r="C20" s="144">
        <f t="shared" ca="1" si="20"/>
        <v>8.1875</v>
      </c>
      <c r="D20" s="393" t="s">
        <v>455</v>
      </c>
      <c r="E20" s="145">
        <v>25</v>
      </c>
      <c r="F20" s="58">
        <f ca="1">-43570+$D$1+20</f>
        <v>91</v>
      </c>
      <c r="G20" s="146"/>
      <c r="H20" s="139">
        <v>5</v>
      </c>
      <c r="I20" s="102">
        <v>4.5</v>
      </c>
      <c r="J20" s="199">
        <f t="shared" si="4"/>
        <v>0.98715025265899181</v>
      </c>
      <c r="K20" s="98">
        <f t="shared" si="5"/>
        <v>112.5</v>
      </c>
      <c r="L20" s="98">
        <f t="shared" si="6"/>
        <v>162</v>
      </c>
      <c r="M20" s="147">
        <v>6.9</v>
      </c>
      <c r="N20" s="190">
        <f t="shared" si="7"/>
        <v>88</v>
      </c>
      <c r="O20" s="334">
        <v>43639</v>
      </c>
      <c r="P20" s="335">
        <f t="shared" ca="1" si="21"/>
        <v>3.7653214615844956E-2</v>
      </c>
      <c r="Q20" s="190">
        <v>6</v>
      </c>
      <c r="R20" s="213">
        <f t="shared" si="8"/>
        <v>0.92582009977255142</v>
      </c>
      <c r="S20" s="213">
        <f t="shared" si="9"/>
        <v>0.99928545900129484</v>
      </c>
      <c r="T20" s="117">
        <v>21430</v>
      </c>
      <c r="U20" s="290">
        <f t="shared" si="2"/>
        <v>0</v>
      </c>
      <c r="V20" s="117">
        <v>2484</v>
      </c>
      <c r="W20" s="109">
        <f t="shared" si="3"/>
        <v>8.6272141706924312</v>
      </c>
      <c r="X20" s="198">
        <v>0</v>
      </c>
      <c r="Y20" s="199">
        <v>3</v>
      </c>
      <c r="Z20" s="198">
        <v>9</v>
      </c>
      <c r="AA20" s="199">
        <v>9</v>
      </c>
      <c r="AB20" s="198">
        <v>5</v>
      </c>
      <c r="AC20" s="199">
        <v>5</v>
      </c>
      <c r="AD20" s="198">
        <v>1</v>
      </c>
      <c r="AE20" s="347">
        <v>778</v>
      </c>
      <c r="AF20" s="270">
        <f t="shared" ca="1" si="10"/>
        <v>9.2811645462726098</v>
      </c>
      <c r="AG20" s="270">
        <f t="shared" ca="1" si="11"/>
        <v>10.024803467274838</v>
      </c>
      <c r="AH20" s="109">
        <f t="shared" ca="1" si="12"/>
        <v>1.8602515302502636</v>
      </c>
      <c r="AI20" s="109">
        <f t="shared" ca="1" si="13"/>
        <v>3.2540869875021068</v>
      </c>
      <c r="AJ20" s="109">
        <f t="shared" ca="1" si="14"/>
        <v>2.9855878678192584</v>
      </c>
      <c r="AK20" s="109">
        <f t="shared" ca="1" si="15"/>
        <v>0.36198427738198696</v>
      </c>
      <c r="AL20" s="109">
        <f t="shared" ca="1" si="16"/>
        <v>0.22173624270923858</v>
      </c>
      <c r="AM20" s="105">
        <f t="shared" ca="1" si="17"/>
        <v>1.7670232355865076</v>
      </c>
      <c r="AN20" s="105">
        <f t="shared" ca="1" si="18"/>
        <v>1.9086032329829701</v>
      </c>
      <c r="AO20" s="190">
        <v>3</v>
      </c>
      <c r="AP20" s="190">
        <v>2</v>
      </c>
      <c r="AQ20" s="259">
        <f t="shared" si="19"/>
        <v>0.1158</v>
      </c>
      <c r="AR20" s="356">
        <v>6</v>
      </c>
      <c r="AS20" s="356">
        <v>26</v>
      </c>
      <c r="AT20" s="356">
        <v>8</v>
      </c>
      <c r="AU20" s="356">
        <v>0</v>
      </c>
      <c r="AV20" s="356">
        <f t="shared" si="24"/>
        <v>7.7160000000000002</v>
      </c>
      <c r="AW20" s="356">
        <f t="shared" si="25"/>
        <v>9.8560000000000016</v>
      </c>
      <c r="AX20" s="356">
        <f t="shared" si="26"/>
        <v>12.135999999999999</v>
      </c>
      <c r="AY20" s="356">
        <f t="shared" si="27"/>
        <v>8.7899999999999991</v>
      </c>
      <c r="AZ20" s="356">
        <f t="shared" si="28"/>
        <v>14.260000000000002</v>
      </c>
      <c r="BA20" s="356">
        <f t="shared" si="29"/>
        <v>28.7</v>
      </c>
      <c r="BB20" s="356">
        <f t="shared" si="30"/>
        <v>28.6</v>
      </c>
      <c r="BC20" s="356">
        <f t="shared" si="31"/>
        <v>15.580000000000002</v>
      </c>
      <c r="BD20" s="356">
        <f t="shared" si="32"/>
        <v>13.84</v>
      </c>
      <c r="BE20" s="356">
        <f t="shared" si="33"/>
        <v>20.48</v>
      </c>
      <c r="BF20" s="356">
        <f t="shared" si="34"/>
        <v>11.96</v>
      </c>
      <c r="BG20" s="117">
        <v>21430</v>
      </c>
      <c r="BH20" s="352">
        <v>1486</v>
      </c>
      <c r="BJ20" s="148"/>
      <c r="BK20" s="151"/>
    </row>
    <row r="21" spans="1:63" s="78" customFormat="1" x14ac:dyDescent="0.25">
      <c r="A21" s="143" t="s">
        <v>437</v>
      </c>
      <c r="B21" s="143" t="s">
        <v>63</v>
      </c>
      <c r="C21" s="144">
        <f t="shared" ca="1" si="20"/>
        <v>15.357142857142858</v>
      </c>
      <c r="D21" s="393" t="s">
        <v>416</v>
      </c>
      <c r="E21" s="145">
        <v>18</v>
      </c>
      <c r="F21" s="58">
        <f ca="1">-43569+$D$1</f>
        <v>72</v>
      </c>
      <c r="G21" s="146" t="s">
        <v>220</v>
      </c>
      <c r="H21" s="139">
        <v>4</v>
      </c>
      <c r="I21" s="102">
        <v>0.6</v>
      </c>
      <c r="J21" s="199">
        <f t="shared" si="4"/>
        <v>0.27215997687456639</v>
      </c>
      <c r="K21" s="98">
        <f t="shared" si="5"/>
        <v>9.6</v>
      </c>
      <c r="L21" s="98">
        <f t="shared" si="6"/>
        <v>15</v>
      </c>
      <c r="M21" s="147">
        <v>5.5</v>
      </c>
      <c r="N21" s="190">
        <f t="shared" si="7"/>
        <v>74</v>
      </c>
      <c r="O21" s="334">
        <v>43626</v>
      </c>
      <c r="P21" s="335">
        <f t="shared" ca="1" si="21"/>
        <v>0.13672290211839563</v>
      </c>
      <c r="Q21" s="190">
        <v>6</v>
      </c>
      <c r="R21" s="213">
        <f t="shared" si="8"/>
        <v>0.92582009977255142</v>
      </c>
      <c r="S21" s="213">
        <f t="shared" si="9"/>
        <v>0.99928545900129484</v>
      </c>
      <c r="T21" s="117">
        <v>5650</v>
      </c>
      <c r="U21" s="290">
        <f t="shared" si="2"/>
        <v>-60</v>
      </c>
      <c r="V21" s="117">
        <v>660</v>
      </c>
      <c r="W21" s="109">
        <f t="shared" si="3"/>
        <v>8.5606060606060606</v>
      </c>
      <c r="X21" s="198">
        <v>0</v>
      </c>
      <c r="Y21" s="199">
        <v>6</v>
      </c>
      <c r="Z21" s="198">
        <f>6+1/30+1/8</f>
        <v>6.1583333333333332</v>
      </c>
      <c r="AA21" s="199">
        <v>2</v>
      </c>
      <c r="AB21" s="198">
        <v>3</v>
      </c>
      <c r="AC21" s="199">
        <v>6</v>
      </c>
      <c r="AD21" s="198">
        <v>8</v>
      </c>
      <c r="AE21" s="347">
        <v>605</v>
      </c>
      <c r="AF21" s="270">
        <f t="shared" ca="1" si="10"/>
        <v>6.0800607689238477</v>
      </c>
      <c r="AG21" s="270">
        <f t="shared" ca="1" si="11"/>
        <v>6.5672162123262954</v>
      </c>
      <c r="AH21" s="109">
        <f t="shared" ca="1" si="12"/>
        <v>1.5306871450930342</v>
      </c>
      <c r="AI21" s="109">
        <f t="shared" ca="1" si="13"/>
        <v>7.0951437675547071</v>
      </c>
      <c r="AJ21" s="109">
        <f t="shared" ca="1" si="14"/>
        <v>7.2296207261414311</v>
      </c>
      <c r="AK21" s="109">
        <f t="shared" ca="1" si="15"/>
        <v>0.57271063031943703</v>
      </c>
      <c r="AL21" s="109">
        <f t="shared" ca="1" si="16"/>
        <v>0.50862180152950742</v>
      </c>
      <c r="AM21" s="105">
        <f t="shared" ca="1" si="17"/>
        <v>7.2592855670552154</v>
      </c>
      <c r="AN21" s="105">
        <f t="shared" ca="1" si="18"/>
        <v>7.8409245692965861</v>
      </c>
      <c r="AO21" s="190">
        <v>2</v>
      </c>
      <c r="AP21" s="190">
        <v>3</v>
      </c>
      <c r="AQ21" s="259">
        <f t="shared" si="19"/>
        <v>6.1499999999999999E-2</v>
      </c>
      <c r="AR21" s="356">
        <v>18</v>
      </c>
      <c r="AS21" s="356">
        <f>16+0.16+0.5</f>
        <v>16.66</v>
      </c>
      <c r="AT21" s="356">
        <v>16</v>
      </c>
      <c r="AU21" s="356">
        <v>8</v>
      </c>
      <c r="AV21" s="356">
        <f t="shared" si="24"/>
        <v>19.09956</v>
      </c>
      <c r="AW21" s="356">
        <f t="shared" si="25"/>
        <v>19.32422</v>
      </c>
      <c r="AX21" s="356">
        <f t="shared" si="26"/>
        <v>21.931760000000001</v>
      </c>
      <c r="AY21" s="356">
        <f t="shared" si="27"/>
        <v>16.248899999999999</v>
      </c>
      <c r="AZ21" s="356">
        <f t="shared" si="28"/>
        <v>19.470800000000001</v>
      </c>
      <c r="BA21" s="356">
        <f t="shared" si="29"/>
        <v>24.759999999999998</v>
      </c>
      <c r="BB21" s="356">
        <f t="shared" si="30"/>
        <v>27.527000000000001</v>
      </c>
      <c r="BC21" s="356">
        <f t="shared" si="31"/>
        <v>14.229800000000001</v>
      </c>
      <c r="BD21" s="356">
        <f t="shared" si="32"/>
        <v>14.5304</v>
      </c>
      <c r="BE21" s="356">
        <f t="shared" si="33"/>
        <v>16.661799999999999</v>
      </c>
      <c r="BF21" s="356">
        <f t="shared" si="34"/>
        <v>7.6636000000000006</v>
      </c>
      <c r="BG21" s="117">
        <v>5710</v>
      </c>
      <c r="BH21" s="352">
        <v>1548</v>
      </c>
      <c r="BJ21" s="148"/>
      <c r="BK21" s="151"/>
    </row>
    <row r="22" spans="1:63" s="78" customFormat="1" x14ac:dyDescent="0.25">
      <c r="A22" s="143" t="s">
        <v>439</v>
      </c>
      <c r="B22" s="143" t="s">
        <v>63</v>
      </c>
      <c r="C22" s="144">
        <f t="shared" ca="1" si="20"/>
        <v>15.071428571428571</v>
      </c>
      <c r="D22" s="393" t="s">
        <v>417</v>
      </c>
      <c r="E22" s="145">
        <v>18</v>
      </c>
      <c r="F22" s="58">
        <f ca="1">-43570+$D$1+33</f>
        <v>104</v>
      </c>
      <c r="G22" s="146" t="s">
        <v>105</v>
      </c>
      <c r="H22" s="139">
        <v>4</v>
      </c>
      <c r="I22" s="102">
        <v>0.5</v>
      </c>
      <c r="J22" s="199">
        <f t="shared" si="4"/>
        <v>0.23478834540757498</v>
      </c>
      <c r="K22" s="98">
        <f t="shared" si="5"/>
        <v>8</v>
      </c>
      <c r="L22" s="98">
        <f t="shared" si="6"/>
        <v>12.5</v>
      </c>
      <c r="M22" s="147">
        <v>6.3</v>
      </c>
      <c r="N22" s="190">
        <f t="shared" si="7"/>
        <v>82</v>
      </c>
      <c r="O22" s="334">
        <v>43626</v>
      </c>
      <c r="P22" s="335">
        <f t="shared" ca="1" si="21"/>
        <v>0.13672290211839563</v>
      </c>
      <c r="Q22" s="190">
        <v>5</v>
      </c>
      <c r="R22" s="213">
        <f t="shared" si="8"/>
        <v>0.84515425472851657</v>
      </c>
      <c r="S22" s="213">
        <f t="shared" si="9"/>
        <v>0.92504826128926143</v>
      </c>
      <c r="T22" s="117">
        <v>9890</v>
      </c>
      <c r="U22" s="290">
        <f t="shared" si="2"/>
        <v>-700</v>
      </c>
      <c r="V22" s="117">
        <v>1140</v>
      </c>
      <c r="W22" s="109">
        <f t="shared" si="3"/>
        <v>8.6754385964912277</v>
      </c>
      <c r="X22" s="198">
        <v>0</v>
      </c>
      <c r="Y22" s="199">
        <v>4</v>
      </c>
      <c r="Z22" s="198">
        <f>5+2/7</f>
        <v>5.2857142857142856</v>
      </c>
      <c r="AA22" s="199">
        <v>3</v>
      </c>
      <c r="AB22" s="198">
        <v>4</v>
      </c>
      <c r="AC22" s="199">
        <v>9</v>
      </c>
      <c r="AD22" s="198">
        <v>8</v>
      </c>
      <c r="AE22" s="347">
        <v>658</v>
      </c>
      <c r="AF22" s="270">
        <f t="shared" ca="1" si="10"/>
        <v>4.7812282293768034</v>
      </c>
      <c r="AG22" s="270">
        <f t="shared" ca="1" si="11"/>
        <v>5.2375731076203191</v>
      </c>
      <c r="AH22" s="109">
        <f t="shared" ca="1" si="12"/>
        <v>1.3854754989150524</v>
      </c>
      <c r="AI22" s="109">
        <f t="shared" ca="1" si="13"/>
        <v>10.616016278985404</v>
      </c>
      <c r="AJ22" s="109">
        <f t="shared" ca="1" si="14"/>
        <v>7.3287646257727586</v>
      </c>
      <c r="AK22" s="109">
        <f t="shared" ca="1" si="15"/>
        <v>0.71972089980207754</v>
      </c>
      <c r="AL22" s="109">
        <f t="shared" ca="1" si="16"/>
        <v>0.42600578732681793</v>
      </c>
      <c r="AM22" s="105">
        <f t="shared" ca="1" si="17"/>
        <v>6.5375636047572305</v>
      </c>
      <c r="AN22" s="105">
        <f t="shared" ca="1" si="18"/>
        <v>7.1615421149006462</v>
      </c>
      <c r="AO22" s="190">
        <v>1</v>
      </c>
      <c r="AP22" s="190">
        <v>1</v>
      </c>
      <c r="AQ22" s="259">
        <f t="shared" si="19"/>
        <v>4.9399999999999999E-2</v>
      </c>
      <c r="AR22" s="356">
        <v>9</v>
      </c>
      <c r="AS22" s="356">
        <v>13</v>
      </c>
      <c r="AT22" s="356">
        <v>32</v>
      </c>
      <c r="AU22" s="356">
        <v>6</v>
      </c>
      <c r="AV22" s="356">
        <f t="shared" si="24"/>
        <v>9.8580000000000005</v>
      </c>
      <c r="AW22" s="356">
        <f t="shared" si="25"/>
        <v>10.442</v>
      </c>
      <c r="AX22" s="356">
        <f t="shared" si="26"/>
        <v>12.068</v>
      </c>
      <c r="AY22" s="356">
        <f t="shared" si="27"/>
        <v>8.8949999999999996</v>
      </c>
      <c r="AZ22" s="356">
        <f t="shared" si="28"/>
        <v>11.510000000000002</v>
      </c>
      <c r="BA22" s="356">
        <f t="shared" si="29"/>
        <v>17.05</v>
      </c>
      <c r="BB22" s="356">
        <f t="shared" si="30"/>
        <v>18.2</v>
      </c>
      <c r="BC22" s="356">
        <f t="shared" si="31"/>
        <v>9.59</v>
      </c>
      <c r="BD22" s="356">
        <f t="shared" si="32"/>
        <v>9.32</v>
      </c>
      <c r="BE22" s="356">
        <f t="shared" si="33"/>
        <v>11.74</v>
      </c>
      <c r="BF22" s="356">
        <f t="shared" si="34"/>
        <v>5.98</v>
      </c>
      <c r="BG22" s="117">
        <v>10590</v>
      </c>
      <c r="BH22" s="352">
        <v>1841</v>
      </c>
      <c r="BJ22" s="148"/>
      <c r="BK22" s="151"/>
    </row>
    <row r="23" spans="1:63" s="75" customFormat="1" x14ac:dyDescent="0.25">
      <c r="A23" s="143" t="s">
        <v>177</v>
      </c>
      <c r="B23" s="143" t="s">
        <v>64</v>
      </c>
      <c r="C23" s="144">
        <f ca="1">((34*112)-(E23*112)-(F23))/112</f>
        <v>-1.3125</v>
      </c>
      <c r="D23" s="319" t="s">
        <v>107</v>
      </c>
      <c r="E23" s="145">
        <v>35</v>
      </c>
      <c r="F23" s="150">
        <f ca="1">75-41471+$D$1-24-112-10-112-40-8-112-112-112-112-112-112-112-112-112-112-112-112-112-112-112-112-112</f>
        <v>35</v>
      </c>
      <c r="G23" s="146" t="s">
        <v>94</v>
      </c>
      <c r="H23" s="139">
        <v>2</v>
      </c>
      <c r="I23" s="102">
        <v>13.5</v>
      </c>
      <c r="J23" s="199">
        <f>LOG(I23+1)*4/3</f>
        <v>1.5484906696466332</v>
      </c>
      <c r="K23" s="98">
        <f>(H23)*(H23)*(I23)</f>
        <v>54</v>
      </c>
      <c r="L23" s="98">
        <f>(H23+1)*(H23+1)*I23</f>
        <v>121.5</v>
      </c>
      <c r="M23" s="147">
        <v>5.3</v>
      </c>
      <c r="N23" s="190">
        <f>M23*10+19</f>
        <v>72</v>
      </c>
      <c r="O23" s="190" t="s">
        <v>256</v>
      </c>
      <c r="P23" s="335">
        <v>1.5</v>
      </c>
      <c r="Q23" s="190">
        <v>7</v>
      </c>
      <c r="R23" s="213">
        <f>(Q23/7)^0.5</f>
        <v>1</v>
      </c>
      <c r="S23" s="213">
        <f>IF(Q23=7,1,((Q23+0.99)/7)^0.5)</f>
        <v>1</v>
      </c>
      <c r="T23" s="348">
        <v>14770</v>
      </c>
      <c r="U23" s="290">
        <f>T23-BG23</f>
        <v>-750</v>
      </c>
      <c r="V23" s="117">
        <v>3410</v>
      </c>
      <c r="W23" s="109">
        <f>T23/V23</f>
        <v>4.3313782991202343</v>
      </c>
      <c r="X23" s="198">
        <v>0</v>
      </c>
      <c r="Y23" s="199">
        <f>7+0.11+0.11+1/33</f>
        <v>7.2503030303030309</v>
      </c>
      <c r="Z23" s="198">
        <f>10+0.1*0.5+0.1*0.5+0.1*0.5+0.1*0.5+0.1*0.5+0.1+0.1+0.1*0.5+0.1*0.5+0.1*0.5</f>
        <v>10.600000000000005</v>
      </c>
      <c r="AA23" s="199">
        <v>12.95</v>
      </c>
      <c r="AB23" s="198">
        <v>9.9499999999999993</v>
      </c>
      <c r="AC23" s="199">
        <v>3.95</v>
      </c>
      <c r="AD23" s="198">
        <v>18</v>
      </c>
      <c r="AE23" s="347">
        <v>1470</v>
      </c>
      <c r="AF23" s="270">
        <f>(Z23+P23+J23)*(Q23/7)^0.5</f>
        <v>13.648490669646637</v>
      </c>
      <c r="AG23" s="270">
        <f>(Z23+P23+J23)*(IF(Q23=7, (Q23/7)^0.5, ((Q23+1)/7)^0.5))</f>
        <v>13.648490669646637</v>
      </c>
      <c r="AH23" s="109">
        <f>(((Y23+P23+J23)+(AB23+P23+J23)*2)/8)*(Q23/7)^0.5</f>
        <v>4.5369718799053658</v>
      </c>
      <c r="AI23" s="109">
        <f>(1.66*(AC23+J23+P23)+0.55*(AD23+J23+P23)-7.6)*(Q23/7)^0.5</f>
        <v>15.594164379919059</v>
      </c>
      <c r="AJ23" s="109">
        <f>((AD23+J23+P23)*0.7+(AC23+J23+P23)*0.3)*(Q23/7)^0.5</f>
        <v>16.833490669646633</v>
      </c>
      <c r="AK23" s="109">
        <f>(0.5*(AC23+P23+J23)+ 0.3*(AD23+P23+J23))/10</f>
        <v>0.98137925357173061</v>
      </c>
      <c r="AL23" s="109">
        <f>(0.4*(Y23+P23+J23)+0.3*(AD23+P23+J23))/10</f>
        <v>1.0434064680873854</v>
      </c>
      <c r="AM23" s="105">
        <f>(AD23+P23+(LOG(I23)*4/3))*(Q23/7)^0.5</f>
        <v>21.007111691326674</v>
      </c>
      <c r="AN23" s="105">
        <f>(AD23+P23+(LOG(I23)*4/3))*(IF(Q23=7, (Q23/7)^0.5, ((Q23+1)/7)^0.5))</f>
        <v>21.007111691326674</v>
      </c>
      <c r="AO23" s="190">
        <v>4</v>
      </c>
      <c r="AP23" s="190">
        <v>4</v>
      </c>
      <c r="AQ23" s="259">
        <f>IF(AO23=4,IF(AP23=0,0.137+0.0697,0.137+0.02),IF(AO23=3,IF(AP23=0,0.0958+0.0697,0.0958+0.02),IF(AO23=2,IF(AP23=0,0.0415+0.0697,0.0415+0.02),IF(AO23=1,IF(AP23=0,0.0294+0.0697,0.0294+0.02),IF(AO23=0,IF(AP23=0,0.0063+0.0697,0.0063+0.02))))))</f>
        <v>0.157</v>
      </c>
      <c r="AR23" s="349"/>
      <c r="AS23" s="349"/>
      <c r="AT23" s="349"/>
      <c r="AU23" s="349"/>
      <c r="AV23" s="259"/>
      <c r="AW23" s="259"/>
      <c r="AX23" s="259"/>
      <c r="AY23" s="259"/>
      <c r="AZ23" s="259"/>
      <c r="BA23" s="259"/>
      <c r="BB23" s="259"/>
      <c r="BC23" s="259"/>
      <c r="BD23" s="259"/>
      <c r="BE23" s="259"/>
      <c r="BF23" s="259"/>
      <c r="BG23" s="348">
        <v>15520</v>
      </c>
      <c r="BH23" s="354"/>
      <c r="BJ23" s="148"/>
      <c r="BK23" s="151"/>
    </row>
    <row r="24" spans="1:63" s="81" customFormat="1" x14ac:dyDescent="0.25">
      <c r="A24" s="143" t="s">
        <v>176</v>
      </c>
      <c r="B24" s="143" t="s">
        <v>64</v>
      </c>
      <c r="C24" s="144">
        <f ca="1">((34*112)-(E24*112)-(F24))/112</f>
        <v>1.5535714285714286</v>
      </c>
      <c r="D24" s="319" t="s">
        <v>225</v>
      </c>
      <c r="E24" s="145">
        <v>32</v>
      </c>
      <c r="F24" s="58">
        <f ca="1">7-41471+$D$1-112-111-112+4-112-116-112-112-112-112-112-112-112-112-112-112-112-112-112-112</f>
        <v>50</v>
      </c>
      <c r="G24" s="146" t="s">
        <v>220</v>
      </c>
      <c r="H24" s="139">
        <v>2</v>
      </c>
      <c r="I24" s="102">
        <v>13</v>
      </c>
      <c r="J24" s="199">
        <f>LOG(I24+1)*4/3</f>
        <v>1.5281707142376506</v>
      </c>
      <c r="K24" s="98">
        <f>(H24)*(H24)*(I24)</f>
        <v>52</v>
      </c>
      <c r="L24" s="98">
        <f>(H24+1)*(H24+1)*I24</f>
        <v>117</v>
      </c>
      <c r="M24" s="147">
        <v>6.6</v>
      </c>
      <c r="N24" s="190">
        <f>M24*10+19</f>
        <v>85</v>
      </c>
      <c r="O24" s="190" t="s">
        <v>256</v>
      </c>
      <c r="P24" s="335">
        <v>1.5</v>
      </c>
      <c r="Q24" s="190">
        <v>6</v>
      </c>
      <c r="R24" s="213">
        <f>(Q24/7)^0.5</f>
        <v>0.92582009977255142</v>
      </c>
      <c r="S24" s="213">
        <f>IF(Q24=7,1,((Q24+0.99)/7)^0.5)</f>
        <v>0.99928545900129484</v>
      </c>
      <c r="T24" s="117">
        <v>95550</v>
      </c>
      <c r="U24" s="290">
        <f>T24-BG24</f>
        <v>-5470</v>
      </c>
      <c r="V24" s="117">
        <v>12210</v>
      </c>
      <c r="W24" s="109">
        <f>T24/V24</f>
        <v>7.8255528255528253</v>
      </c>
      <c r="X24" s="198">
        <v>0</v>
      </c>
      <c r="Y24" s="199">
        <f>8+0.12+0.12+0.12</f>
        <v>8.3599999999999977</v>
      </c>
      <c r="Z24" s="198">
        <f>8.4+0.22+0.22+(0.22*75/90)+(0.05*15/90)+0.17+0.17+0.17+0.17+0.17+1/7+0.16+0.16+0.16+0.125+0.16+0.16+0.14+0.14+0.05*61/90+0.11+0.11*0.5+0.11+0.11+0.11+0.1+0.1+0.1*0.5+0.1*0.5+0.1+0.1*0.5+0.09*0.5</f>
        <v>12.253412698412699</v>
      </c>
      <c r="AA24" s="199">
        <v>12.95</v>
      </c>
      <c r="AB24" s="198">
        <f>6+0.33+0.33+0.33+0.3+0.25+0.25+0.24+0.24+0.23+0.2+0.2+0.18+0.15+0.15+0.15+0.15+0.13+0.13+0.12+0.1+0.08</f>
        <v>10.24</v>
      </c>
      <c r="AC24" s="199">
        <v>6.95</v>
      </c>
      <c r="AD24" s="198">
        <v>16</v>
      </c>
      <c r="AE24" s="347">
        <v>1760</v>
      </c>
      <c r="AF24" s="270">
        <f>(Z24+P24+J24)*(Q24/7)^0.5</f>
        <v>14.147997079782513</v>
      </c>
      <c r="AG24" s="270">
        <f>(Z24+P24+J24)*(IF(Q24=7, (Q24/7)^0.5, ((Q24+1)/7)^0.5))</f>
        <v>15.281583412650349</v>
      </c>
      <c r="AH24" s="109">
        <f>(((Y24+P24+J24)+(AB24+P24+J24)*2)/8)*(Q24/7)^0.5</f>
        <v>4.3889094519739809</v>
      </c>
      <c r="AI24" s="109">
        <f>(1.66*(AC24+J24+P24)+0.55*(AD24+J24+P24)-7.6)*(Q24/7)^0.5</f>
        <v>17.98799691205523</v>
      </c>
      <c r="AJ24" s="109">
        <f>((AD24+J24+P24)*0.7+(AC24+J24+P24)*0.3)*(Q24/7)^0.5</f>
        <v>15.103061338262165</v>
      </c>
      <c r="AK24" s="109">
        <f>(0.5*(AC24+P24+J24)+ 0.3*(AD24+P24+J24))/10</f>
        <v>1.069753657139012</v>
      </c>
      <c r="AL24" s="109">
        <f>(0.4*(Y24+P24+J24)+0.3*(AD24+P24+J24))/10</f>
        <v>1.0263719499966355</v>
      </c>
      <c r="AM24" s="105">
        <f>(AD24+P24+(LOG(I24)*4/3))*(Q24/7)^0.5</f>
        <v>17.576933273451232</v>
      </c>
      <c r="AN24" s="105">
        <f>(AD24+P24+(LOG(I24)*4/3))*(IF(Q24=7, (Q24/7)^0.5, ((Q24+1)/7)^0.5))</f>
        <v>18.985257803075783</v>
      </c>
      <c r="AO24" s="190">
        <v>3</v>
      </c>
      <c r="AP24" s="190">
        <v>2</v>
      </c>
      <c r="AQ24" s="259">
        <f>IF(AO24=4,IF(AP24=0,0.137+0.0697,0.137+0.02),IF(AO24=3,IF(AP24=0,0.0958+0.0697,0.0958+0.02),IF(AO24=2,IF(AP24=0,0.0415+0.0697,0.0415+0.02),IF(AO24=1,IF(AP24=0,0.0294+0.0697,0.0294+0.02),IF(AO24=0,IF(AP24=0,0.0063+0.0697,0.0063+0.02))))))</f>
        <v>0.1158</v>
      </c>
      <c r="AR24" s="349"/>
      <c r="AS24" s="349"/>
      <c r="AT24" s="349"/>
      <c r="AU24" s="349"/>
      <c r="AV24" s="259"/>
      <c r="AW24" s="259"/>
      <c r="AX24" s="259"/>
      <c r="AY24" s="259"/>
      <c r="AZ24" s="259"/>
      <c r="BA24" s="259"/>
      <c r="BB24" s="259"/>
      <c r="BC24" s="259"/>
      <c r="BD24" s="259"/>
      <c r="BE24" s="259"/>
      <c r="BF24" s="259"/>
      <c r="BG24" s="117">
        <v>101020</v>
      </c>
      <c r="BH24" s="352"/>
      <c r="BJ24" s="148"/>
      <c r="BK24" s="151"/>
    </row>
    <row r="25" spans="1:63" s="81" customFormat="1" x14ac:dyDescent="0.25">
      <c r="A25" s="100" t="s">
        <v>178</v>
      </c>
      <c r="B25" s="79" t="s">
        <v>64</v>
      </c>
      <c r="C25" s="144">
        <f ca="1">((34*112)-(E25*112)-(F25))/112</f>
        <v>-1.4464285714285714</v>
      </c>
      <c r="D25" s="319" t="s">
        <v>169</v>
      </c>
      <c r="E25" s="57">
        <v>35</v>
      </c>
      <c r="F25" s="58">
        <f ca="1">7-41471+$D$1-112-111-112-112-112-112-112-112-112-112-112-112-112-112-112-112-112-112-112</f>
        <v>50</v>
      </c>
      <c r="G25" s="80"/>
      <c r="H25" s="139">
        <v>0</v>
      </c>
      <c r="I25" s="59">
        <v>12</v>
      </c>
      <c r="J25" s="199">
        <f>LOG(I25+1)*4/3</f>
        <v>1.4852578030757824</v>
      </c>
      <c r="K25" s="98">
        <f>(H25)*(H25)*(I25)</f>
        <v>0</v>
      </c>
      <c r="L25" s="98">
        <f>(H25+1)*(H25+1)*I25</f>
        <v>12</v>
      </c>
      <c r="M25" s="92">
        <v>5.3</v>
      </c>
      <c r="N25" s="190">
        <f>M25*10+19</f>
        <v>72</v>
      </c>
      <c r="O25" s="190" t="s">
        <v>256</v>
      </c>
      <c r="P25" s="335">
        <v>1.5</v>
      </c>
      <c r="Q25" s="191">
        <v>5</v>
      </c>
      <c r="R25" s="213">
        <f>(Q25/7)^0.5</f>
        <v>0.84515425472851657</v>
      </c>
      <c r="S25" s="213">
        <f>IF(Q25=7,1,((Q25+0.99)/7)^0.5)</f>
        <v>0.92504826128926143</v>
      </c>
      <c r="T25" s="117">
        <v>10370</v>
      </c>
      <c r="U25" s="290">
        <f>T25-BG25</f>
        <v>-430</v>
      </c>
      <c r="V25" s="291">
        <v>8340</v>
      </c>
      <c r="W25" s="109">
        <f>T25/V25</f>
        <v>1.2434052757793765</v>
      </c>
      <c r="X25" s="198">
        <v>0</v>
      </c>
      <c r="Y25" s="199">
        <v>5.95</v>
      </c>
      <c r="Z25" s="198">
        <v>14.1</v>
      </c>
      <c r="AA25" s="199">
        <v>2.95</v>
      </c>
      <c r="AB25" s="198">
        <v>8.9499999999999993</v>
      </c>
      <c r="AC25" s="199">
        <v>5.95</v>
      </c>
      <c r="AD25" s="198">
        <v>16.95</v>
      </c>
      <c r="AE25" s="347">
        <v>1357</v>
      </c>
      <c r="AF25" s="270">
        <f>(Z25+P25+J25)*(Q25/7)^0.5</f>
        <v>14.439678325403083</v>
      </c>
      <c r="AG25" s="270">
        <f>(Z25+P25+J25)*(IF(Q25=7, (Q25/7)^0.5, ((Q25+1)/7)^0.5))</f>
        <v>15.817875083883381</v>
      </c>
      <c r="AH25" s="109">
        <f>(((Y25+P25+J25)+(AB25+P25+J25)*2)/8)*(Q25/7)^0.5</f>
        <v>3.4657423720585152</v>
      </c>
      <c r="AI25" s="109">
        <f>(1.66*(AC25+J25+P25)+0.55*(AD25+J25+P25)-7.6)*(Q25/7)^0.5</f>
        <v>15.37920414526894</v>
      </c>
      <c r="AJ25" s="109">
        <f>((AD25+J25+P25)*0.7+(AC25+J25+P25)*0.3)*(Q25/7)^0.5</f>
        <v>14.059358910775252</v>
      </c>
      <c r="AK25" s="109">
        <f>(0.5*(AC25+P25+J25)+ 0.3*(AD25+P25+J25))/10</f>
        <v>1.0448206242460625</v>
      </c>
      <c r="AL25" s="109">
        <f>(0.4*(Y25+P25+J25)+0.3*(AD25+P25+J25))/10</f>
        <v>0.95546804621530479</v>
      </c>
      <c r="AM25" s="105">
        <f>(AD25+P25+(LOG(I25)*4/3))*(Q25/7)^0.5</f>
        <v>16.809195495368293</v>
      </c>
      <c r="AN25" s="105">
        <f>(AD25+P25+(LOG(I25)*4/3))*(IF(Q25=7, (Q25/7)^0.5, ((Q25+1)/7)^0.5))</f>
        <v>18.413551092654878</v>
      </c>
      <c r="AO25" s="191">
        <v>2</v>
      </c>
      <c r="AP25" s="191">
        <v>1</v>
      </c>
      <c r="AQ25" s="259">
        <f>IF(AO25=4,IF(AP25=0,0.137+0.0697,0.137+0.02),IF(AO25=3,IF(AP25=0,0.0958+0.0697,0.0958+0.02),IF(AO25=2,IF(AP25=0,0.0415+0.0697,0.0415+0.02),IF(AO25=1,IF(AP25=0,0.0294+0.0697,0.0294+0.02),IF(AO25=0,IF(AP25=0,0.0063+0.0697,0.0063+0.02))))))</f>
        <v>6.1499999999999999E-2</v>
      </c>
      <c r="AR25" s="349"/>
      <c r="AS25" s="349"/>
      <c r="AT25" s="349"/>
      <c r="AU25" s="349"/>
      <c r="AV25" s="259"/>
      <c r="AW25" s="259"/>
      <c r="AX25" s="259"/>
      <c r="AY25" s="259"/>
      <c r="AZ25" s="259"/>
      <c r="BA25" s="259"/>
      <c r="BB25" s="259"/>
      <c r="BC25" s="259"/>
      <c r="BD25" s="259"/>
      <c r="BE25" s="259"/>
      <c r="BF25" s="259"/>
      <c r="BG25" s="117">
        <v>10800</v>
      </c>
      <c r="BH25" s="352"/>
      <c r="BJ25" s="148"/>
      <c r="BK25" s="151"/>
    </row>
    <row r="26" spans="1:63" s="75" customFormat="1" x14ac:dyDescent="0.25">
      <c r="A26" s="143" t="s">
        <v>224</v>
      </c>
      <c r="B26" s="143" t="s">
        <v>64</v>
      </c>
      <c r="C26" s="144">
        <f ca="1">((34*112)-(E26*112)-(F26))/112</f>
        <v>-0.7767857142857143</v>
      </c>
      <c r="D26" s="319" t="s">
        <v>102</v>
      </c>
      <c r="E26" s="145">
        <v>34</v>
      </c>
      <c r="F26" s="150">
        <f ca="1">74-41471+$D$1-112-112-29-112-112-112-112-112-112-112-112-112-112-112-112-112-112-112-112-112</f>
        <v>87</v>
      </c>
      <c r="G26" s="146" t="s">
        <v>105</v>
      </c>
      <c r="H26" s="139">
        <v>3</v>
      </c>
      <c r="I26" s="102">
        <v>14.3</v>
      </c>
      <c r="J26" s="199">
        <f>LOG(I26+1)*4/3</f>
        <v>1.5795885744234652</v>
      </c>
      <c r="K26" s="98">
        <f>(H26)*(H26)*(I26)</f>
        <v>128.70000000000002</v>
      </c>
      <c r="L26" s="98">
        <f>(H26+1)*(H26+1)*I26</f>
        <v>228.8</v>
      </c>
      <c r="M26" s="147">
        <v>5.8</v>
      </c>
      <c r="N26" s="190">
        <f>M26*10+19</f>
        <v>77</v>
      </c>
      <c r="O26" s="190" t="s">
        <v>256</v>
      </c>
      <c r="P26" s="335">
        <v>1.5</v>
      </c>
      <c r="Q26" s="190">
        <v>5</v>
      </c>
      <c r="R26" s="213">
        <f>(Q26/7)^0.5</f>
        <v>0.84515425472851657</v>
      </c>
      <c r="S26" s="213">
        <f>IF(Q26=7,1,((Q26+0.99)/7)^0.5)</f>
        <v>0.92504826128926143</v>
      </c>
      <c r="T26" s="117">
        <v>4570</v>
      </c>
      <c r="U26" s="290">
        <f>T26-BG26</f>
        <v>-170</v>
      </c>
      <c r="V26" s="117">
        <v>1200</v>
      </c>
      <c r="W26" s="109">
        <f>T26/V26</f>
        <v>3.8083333333333331</v>
      </c>
      <c r="X26" s="198">
        <v>0</v>
      </c>
      <c r="Y26" s="199">
        <f>5+(5/7)+0.07+0.21+0.07+0.07+0.07+0.07+0.07+0.07+0.06+0.03+0.03+0.03+0.03+0.03+0.2*33/90+0.03+0.03+0.02+0.02+0.01+0.01+0.01+0.01</f>
        <v>6.8376190476190493</v>
      </c>
      <c r="Z26" s="198">
        <v>8.9499999999999993</v>
      </c>
      <c r="AA26" s="199">
        <f>7.9+0.165+0.165+0.21+0.13+0.03+0.03+0.03+0.02+0.02+0.02+0.01+0.01</f>
        <v>8.7399999999999967</v>
      </c>
      <c r="AB26" s="198">
        <v>9.9499999999999993</v>
      </c>
      <c r="AC26" s="199">
        <v>6.95</v>
      </c>
      <c r="AD26" s="198">
        <f>17.99+0.2+0.15+0.15+0.15+0.15+0.11+0.1</f>
        <v>18.999999999999993</v>
      </c>
      <c r="AE26" s="347">
        <v>1271</v>
      </c>
      <c r="AF26" s="270">
        <f>(Z26+P26+J26)*(Q26/7)^0.5</f>
        <v>10.166857966307541</v>
      </c>
      <c r="AG26" s="270">
        <f>(Z26+P26+J26)*(IF(Q26=7, (Q26/7)^0.5, ((Q26+1)/7)^0.5))</f>
        <v>11.137234894195476</v>
      </c>
      <c r="AH26" s="109">
        <f>(((Y26+P26+J26)+(AB26+P26+J26)*2)/8)*(Q26/7)^0.5</f>
        <v>3.8006993323584273</v>
      </c>
      <c r="AI26" s="109">
        <f>(1.66*(AC26+J26+P26)+0.55*(AD26+J26+P26)-7.6)*(Q26/7)^0.5</f>
        <v>17.911261786916143</v>
      </c>
      <c r="AJ26" s="109">
        <f>((AD26+J26+P26)*0.7+(AC26+J26+P26)*0.3)*(Q26/7)^0.5</f>
        <v>15.60542559548554</v>
      </c>
      <c r="AK26" s="109">
        <f>(0.5*(AC26+P26+J26)+ 0.3*(AD26+P26+J26))/10</f>
        <v>1.1638670859538771</v>
      </c>
      <c r="AL26" s="109">
        <f>(0.4*(Y26+P26+J26)+0.3*(AD26+P26+J26))/10</f>
        <v>1.0590759621144044</v>
      </c>
      <c r="AM26" s="105">
        <f>(AD26+P26+(LOG(I26)*4/3))*(Q26/7)^0.5</f>
        <v>18.627578445540959</v>
      </c>
      <c r="AN26" s="105">
        <f>(AD26+P26+(LOG(I26)*4/3))*(IF(Q26=7, (Q26/7)^0.5, ((Q26+1)/7)^0.5))</f>
        <v>20.405489812639601</v>
      </c>
      <c r="AO26" s="190">
        <v>4</v>
      </c>
      <c r="AP26" s="190">
        <v>2</v>
      </c>
      <c r="AQ26" s="259">
        <f>IF(AO26=4,IF(AP26=0,0.137+0.0697,0.137+0.02),IF(AO26=3,IF(AP26=0,0.0958+0.0697,0.0958+0.02),IF(AO26=2,IF(AP26=0,0.0415+0.0697,0.0415+0.02),IF(AO26=1,IF(AP26=0,0.0294+0.0697,0.0294+0.02),IF(AO26=0,IF(AP26=0,0.0063+0.0697,0.0063+0.02))))))</f>
        <v>0.157</v>
      </c>
      <c r="AR26" s="349"/>
      <c r="AS26" s="349"/>
      <c r="AT26" s="349"/>
      <c r="AU26" s="349"/>
      <c r="AV26" s="259"/>
      <c r="AW26" s="259"/>
      <c r="AX26" s="259"/>
      <c r="AY26" s="259"/>
      <c r="AZ26" s="259"/>
      <c r="BA26" s="259"/>
      <c r="BB26" s="259"/>
      <c r="BC26" s="259"/>
      <c r="BD26" s="259"/>
      <c r="BE26" s="259"/>
      <c r="BF26" s="259"/>
      <c r="BG26" s="117">
        <v>4740</v>
      </c>
      <c r="BH26" s="352"/>
      <c r="BJ26" s="148"/>
      <c r="BK26" s="151"/>
    </row>
    <row r="27" spans="1:63" s="82" customFormat="1" x14ac:dyDescent="0.25">
      <c r="A27" s="143" t="s">
        <v>250</v>
      </c>
      <c r="B27" s="143" t="s">
        <v>64</v>
      </c>
      <c r="C27" s="144">
        <f ca="1">((34*112)-(E27*112)-(F27))/112</f>
        <v>1.9464285714285714</v>
      </c>
      <c r="D27" s="319" t="s">
        <v>251</v>
      </c>
      <c r="E27" s="57">
        <v>32</v>
      </c>
      <c r="F27" s="58">
        <f ca="1">7-41471+$D$1-112-111-43-112-112-1-112-112-112-112-112-112-112-112-112-112-112-112-112-112-112</f>
        <v>6</v>
      </c>
      <c r="G27" s="80"/>
      <c r="H27" s="344">
        <v>5</v>
      </c>
      <c r="I27" s="59">
        <v>6.2</v>
      </c>
      <c r="J27" s="199">
        <f>LOG(I27+1)*4/3</f>
        <v>1.1431099952416914</v>
      </c>
      <c r="K27" s="98">
        <f>(H27)*(H27)*(I27)</f>
        <v>155</v>
      </c>
      <c r="L27" s="98">
        <f>(H27+1)*(H27+1)*I27</f>
        <v>223.20000000000002</v>
      </c>
      <c r="M27" s="92">
        <v>6.8</v>
      </c>
      <c r="N27" s="190">
        <f>M27*10+19</f>
        <v>87</v>
      </c>
      <c r="O27" s="190" t="s">
        <v>256</v>
      </c>
      <c r="P27" s="335">
        <v>1.5</v>
      </c>
      <c r="Q27" s="191">
        <v>4</v>
      </c>
      <c r="R27" s="213">
        <f>(Q27/7)^0.5</f>
        <v>0.7559289460184544</v>
      </c>
      <c r="S27" s="213">
        <f>IF(Q27=7,1,((Q27+0.99)/7)^0.5)</f>
        <v>0.84430867747355465</v>
      </c>
      <c r="T27" s="291">
        <v>10420</v>
      </c>
      <c r="U27" s="290">
        <f>T27-BG27</f>
        <v>-3930</v>
      </c>
      <c r="V27" s="291">
        <v>2040</v>
      </c>
      <c r="W27" s="109">
        <f>T27/V27</f>
        <v>5.1078431372549016</v>
      </c>
      <c r="X27" s="198">
        <v>0</v>
      </c>
      <c r="Y27" s="199">
        <f>4+0.01+0.01</f>
        <v>4.0199999999999996</v>
      </c>
      <c r="Z27" s="198">
        <v>5.95</v>
      </c>
      <c r="AA27" s="199">
        <f>4.9+0.25+0.05+0.05+0.05+0.04+0.03+0.03+0.03+0.02+0.02+0.02+0.02</f>
        <v>5.5099999999999989</v>
      </c>
      <c r="AB27" s="198">
        <v>10.95</v>
      </c>
      <c r="AC27" s="199">
        <v>7.95</v>
      </c>
      <c r="AD27" s="198">
        <v>14</v>
      </c>
      <c r="AE27" s="347">
        <v>938</v>
      </c>
      <c r="AF27" s="270">
        <f>(Z27+P27+J27)*(Q27/7)^0.5</f>
        <v>6.4957805817236975</v>
      </c>
      <c r="AG27" s="270">
        <f>(Z27+P27+J27)*(IF(Q27=7, (Q27/7)^0.5, ((Q27+1)/7)^0.5))</f>
        <v>7.2625034738286587</v>
      </c>
      <c r="AH27" s="109">
        <f>(((Y27+P27+J27)+(AB27+P27+J27)*2)/8)*(Q27/7)^0.5</f>
        <v>3.198461042442502</v>
      </c>
      <c r="AI27" s="109">
        <f>(1.66*(AC27+J27+P27)+0.55*(AD27+J27+P27)-7.6)*(Q27/7)^0.5</f>
        <v>14.467174605147093</v>
      </c>
      <c r="AJ27" s="109">
        <f>((AD27+J27+P27)*0.7+(AC27+J27+P27)*0.3)*(Q27/7)^0.5</f>
        <v>11.208997560148759</v>
      </c>
      <c r="AK27" s="109">
        <f>(0.5*(AC27+P27+J27)+ 0.3*(AD27+P27+J27))/10</f>
        <v>1.0289487996193352</v>
      </c>
      <c r="AL27" s="109">
        <f>(0.4*(Y27+P27+J27)+0.3*(AD27+P27+J27))/10</f>
        <v>0.76581769966691837</v>
      </c>
      <c r="AM27" s="105">
        <f>(AD27+P27+(LOG(I27)*4/3))*(Q27/7)^0.5</f>
        <v>12.515554416187639</v>
      </c>
      <c r="AN27" s="105">
        <f>(AD27+P27+(LOG(I27)*4/3))*(IF(Q27=7, (Q27/7)^0.5, ((Q27+1)/7)^0.5))</f>
        <v>13.992815225346629</v>
      </c>
      <c r="AO27" s="191">
        <v>2</v>
      </c>
      <c r="AP27" s="191">
        <v>1</v>
      </c>
      <c r="AQ27" s="259">
        <f>IF(AO27=4,IF(AP27=0,0.137+0.0697,0.137+0.02),IF(AO27=3,IF(AP27=0,0.0958+0.0697,0.0958+0.02),IF(AO27=2,IF(AP27=0,0.0415+0.0697,0.0415+0.02),IF(AO27=1,IF(AP27=0,0.0294+0.0697,0.0294+0.02),IF(AO27=0,IF(AP27=0,0.0063+0.0697,0.0063+0.02))))))</f>
        <v>6.1499999999999999E-2</v>
      </c>
      <c r="AR27" s="349"/>
      <c r="AS27" s="349"/>
      <c r="AT27" s="349"/>
      <c r="AU27" s="349"/>
      <c r="AV27" s="259"/>
      <c r="AW27" s="259"/>
      <c r="AX27" s="259"/>
      <c r="AY27" s="259"/>
      <c r="AZ27" s="259"/>
      <c r="BA27" s="259"/>
      <c r="BB27" s="259"/>
      <c r="BC27" s="259"/>
      <c r="BD27" s="259"/>
      <c r="BE27" s="259"/>
      <c r="BF27" s="259"/>
      <c r="BG27" s="291">
        <v>14350</v>
      </c>
      <c r="BH27" s="353"/>
      <c r="BJ27" s="148"/>
      <c r="BK27" s="151"/>
    </row>
    <row r="28" spans="1:63" x14ac:dyDescent="0.25">
      <c r="G28" s="2"/>
      <c r="H28"/>
      <c r="I28" s="84"/>
      <c r="J28" s="200"/>
      <c r="K28"/>
      <c r="T28" s="68">
        <f>SUM(T4:T27)</f>
        <v>380700</v>
      </c>
      <c r="U28" s="68">
        <f t="shared" ref="U28:V28" si="35">SUM(U4:U27)</f>
        <v>-21970</v>
      </c>
      <c r="V28" s="68">
        <f t="shared" si="35"/>
        <v>83256</v>
      </c>
      <c r="W28" s="108">
        <f t="shared" si="3"/>
        <v>4.572643413087345</v>
      </c>
      <c r="X28"/>
      <c r="AD28" s="106"/>
      <c r="AE28" s="68"/>
      <c r="AH28" s="68"/>
      <c r="AI28" s="68"/>
      <c r="AJ28" s="68"/>
      <c r="AK28" s="68"/>
      <c r="AL28" s="68"/>
      <c r="AM28" s="68"/>
      <c r="AN28" s="68"/>
    </row>
    <row r="29" spans="1:63" x14ac:dyDescent="0.25">
      <c r="G29" s="195"/>
      <c r="K29" s="195"/>
      <c r="M29" s="195"/>
      <c r="N29" s="195"/>
      <c r="Q29" s="195"/>
      <c r="T29" s="107"/>
      <c r="U29" s="107"/>
      <c r="V29" s="107"/>
      <c r="W29" s="89"/>
      <c r="AE29" s="89"/>
      <c r="AH29" s="89"/>
      <c r="AI29" s="89"/>
      <c r="AJ29" s="89"/>
      <c r="AK29" s="89"/>
      <c r="AL29" s="89"/>
      <c r="AM29" s="89"/>
      <c r="AN29" s="89"/>
    </row>
    <row r="30" spans="1:63" x14ac:dyDescent="0.25">
      <c r="I30" s="83"/>
      <c r="Y30" s="48"/>
    </row>
    <row r="31" spans="1:63" x14ac:dyDescent="0.25">
      <c r="D31" s="272"/>
      <c r="I31" s="83"/>
      <c r="P31" s="49"/>
      <c r="Y31" s="48"/>
      <c r="AE31" s="321"/>
    </row>
    <row r="32" spans="1:63" x14ac:dyDescent="0.25">
      <c r="D32" s="272"/>
      <c r="I32" s="83"/>
      <c r="P32" s="49"/>
      <c r="V32" s="333"/>
      <c r="Y32" s="48"/>
    </row>
    <row r="33" spans="3:40" x14ac:dyDescent="0.25">
      <c r="D33" s="273"/>
      <c r="I33" s="83"/>
      <c r="V33" s="333"/>
      <c r="Y33" s="48"/>
    </row>
    <row r="34" spans="3:40" x14ac:dyDescent="0.25">
      <c r="I34" s="83"/>
      <c r="Y34" s="48"/>
    </row>
    <row r="35" spans="3:40" x14ac:dyDescent="0.25">
      <c r="I35" s="83"/>
      <c r="V35" s="333"/>
      <c r="Y35" s="48"/>
    </row>
    <row r="36" spans="3:40" x14ac:dyDescent="0.25">
      <c r="I36" s="83"/>
      <c r="Y36" s="48"/>
    </row>
    <row r="37" spans="3:40" x14ac:dyDescent="0.25">
      <c r="I37" s="83"/>
      <c r="Y37" s="48"/>
    </row>
    <row r="38" spans="3:40" x14ac:dyDescent="0.25">
      <c r="C38"/>
      <c r="D38"/>
      <c r="G38"/>
      <c r="H38"/>
      <c r="I38" s="83"/>
      <c r="K38"/>
      <c r="M38"/>
      <c r="N38"/>
      <c r="O38"/>
      <c r="P38"/>
      <c r="Q38"/>
      <c r="R38"/>
      <c r="S38"/>
      <c r="V38"/>
      <c r="W38"/>
      <c r="X38"/>
      <c r="AE38"/>
      <c r="AH38"/>
      <c r="AI38"/>
      <c r="AK38"/>
      <c r="AL38"/>
      <c r="AM38"/>
      <c r="AN38"/>
    </row>
    <row r="39" spans="3:40" x14ac:dyDescent="0.25">
      <c r="C39"/>
      <c r="D39"/>
      <c r="G39"/>
      <c r="H39"/>
      <c r="I39" s="83"/>
      <c r="K39"/>
      <c r="M39"/>
      <c r="N39"/>
      <c r="O39"/>
      <c r="P39"/>
      <c r="Q39"/>
      <c r="R39"/>
      <c r="S39"/>
      <c r="V39"/>
      <c r="W39"/>
      <c r="X39"/>
      <c r="AE39"/>
      <c r="AH39"/>
      <c r="AI39"/>
      <c r="AK39"/>
      <c r="AL39"/>
      <c r="AM39"/>
      <c r="AN39"/>
    </row>
    <row r="40" spans="3:40" x14ac:dyDescent="0.25">
      <c r="C40"/>
      <c r="D40"/>
      <c r="G40"/>
      <c r="H40"/>
      <c r="I40" s="83"/>
      <c r="K40"/>
      <c r="M40"/>
      <c r="N40"/>
      <c r="O40"/>
      <c r="P40"/>
      <c r="Q40"/>
      <c r="R40"/>
      <c r="S40"/>
      <c r="V40"/>
      <c r="W40"/>
      <c r="X40"/>
      <c r="AE40"/>
      <c r="AH40"/>
      <c r="AI40"/>
      <c r="AK40"/>
      <c r="AL40"/>
      <c r="AM40"/>
      <c r="AN40"/>
    </row>
    <row r="41" spans="3:40" x14ac:dyDescent="0.25">
      <c r="C41"/>
      <c r="D41"/>
      <c r="G41"/>
      <c r="H41"/>
      <c r="I41" s="83"/>
      <c r="K41"/>
      <c r="M41"/>
      <c r="N41"/>
      <c r="O41"/>
      <c r="P41"/>
      <c r="Q41"/>
      <c r="R41"/>
      <c r="S41"/>
      <c r="V41"/>
      <c r="W41"/>
      <c r="X41"/>
      <c r="AE41"/>
      <c r="AH41"/>
      <c r="AI41"/>
      <c r="AK41"/>
      <c r="AL41"/>
      <c r="AM41"/>
      <c r="AN41"/>
    </row>
  </sheetData>
  <sortState ref="A5:BG31">
    <sortCondition descending="1" ref="B5:B31"/>
  </sortState>
  <mergeCells count="1">
    <mergeCell ref="E1:G1"/>
  </mergeCells>
  <conditionalFormatting sqref="N5:N27">
    <cfRule type="cellIs" dxfId="64" priority="479" operator="greaterThan">
      <formula>82</formula>
    </cfRule>
    <cfRule type="cellIs" dxfId="63" priority="480" operator="lessThan">
      <formula>79</formula>
    </cfRule>
  </conditionalFormatting>
  <conditionalFormatting sqref="Q5:Q27">
    <cfRule type="cellIs" dxfId="62" priority="453" operator="greaterThan">
      <formula>6</formula>
    </cfRule>
    <cfRule type="cellIs" dxfId="61" priority="454" operator="lessThan">
      <formula>5</formula>
    </cfRule>
  </conditionalFormatting>
  <conditionalFormatting sqref="R5:S27">
    <cfRule type="cellIs" dxfId="60" priority="447" operator="greaterThan">
      <formula>0.95</formula>
    </cfRule>
    <cfRule type="cellIs" dxfId="59" priority="448" operator="lessThan">
      <formula>0.85</formula>
    </cfRule>
  </conditionalFormatting>
  <conditionalFormatting sqref="N4">
    <cfRule type="cellIs" dxfId="58" priority="328" operator="greaterThan">
      <formula>82</formula>
    </cfRule>
    <cfRule type="cellIs" dxfId="57" priority="329" operator="lessThan">
      <formula>79</formula>
    </cfRule>
  </conditionalFormatting>
  <conditionalFormatting sqref="Q4">
    <cfRule type="cellIs" dxfId="56" priority="326" operator="greaterThan">
      <formula>6</formula>
    </cfRule>
    <cfRule type="cellIs" dxfId="55" priority="327" operator="lessThan">
      <formula>5</formula>
    </cfRule>
  </conditionalFormatting>
  <conditionalFormatting sqref="R4:S4">
    <cfRule type="cellIs" dxfId="54" priority="324" operator="greaterThan">
      <formula>0.95</formula>
    </cfRule>
    <cfRule type="cellIs" dxfId="53" priority="325" operator="lessThan">
      <formula>0.85</formula>
    </cfRule>
  </conditionalFormatting>
  <conditionalFormatting sqref="AQ4:AQ27">
    <cfRule type="cellIs" dxfId="52" priority="42" operator="lessThan">
      <formula>0.07</formula>
    </cfRule>
    <cfRule type="cellIs" dxfId="51" priority="43" operator="greaterThan">
      <formula>0.1</formula>
    </cfRule>
  </conditionalFormatting>
  <conditionalFormatting sqref="V4:V27">
    <cfRule type="dataBar" priority="34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{E7C097D9-B680-432D-BF62-5F3C642AF0AD}</x14:id>
        </ext>
      </extLst>
    </cfRule>
  </conditionalFormatting>
  <conditionalFormatting sqref="W4:W27">
    <cfRule type="dataBar" priority="34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{3567EDC3-F608-464A-AE0A-1EA832FCF3E8}</x14:id>
        </ext>
      </extLst>
    </cfRule>
  </conditionalFormatting>
  <conditionalFormatting sqref="T4:T27">
    <cfRule type="dataBar" priority="34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{6526EE56-1374-458B-BF7F-FE05CE7F5717}</x14:id>
        </ext>
      </extLst>
    </cfRule>
  </conditionalFormatting>
  <conditionalFormatting sqref="AE4:AE27">
    <cfRule type="dataBar" priority="34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{9C1C1947-295C-4847-A125-212D9BCEE319}</x14:id>
        </ext>
      </extLst>
    </cfRule>
  </conditionalFormatting>
  <conditionalFormatting sqref="P4:P27">
    <cfRule type="colorScale" priority="3464">
      <colorScale>
        <cfvo type="min"/>
        <cfvo type="max"/>
        <color rgb="FFFFEF9C"/>
        <color rgb="FF63BE7B"/>
      </colorScale>
    </cfRule>
  </conditionalFormatting>
  <conditionalFormatting sqref="C4:C27">
    <cfRule type="colorScale" priority="3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G27">
    <cfRule type="colorScale" priority="3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:AH27">
    <cfRule type="colorScale" priority="34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I4:AI27">
    <cfRule type="colorScale" priority="3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4:AJ27">
    <cfRule type="colorScale" priority="34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4:AL27">
    <cfRule type="colorScale" priority="3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N27">
    <cfRule type="colorScale" priority="34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X4:AD27">
    <cfRule type="cellIs" dxfId="50" priority="3480" operator="greaterThan">
      <formula>10</formula>
    </cfRule>
    <cfRule type="colorScale" priority="3481">
      <colorScale>
        <cfvo type="min"/>
        <cfvo type="max"/>
        <color rgb="FFFCFCFF"/>
        <color rgb="FF63BE7B"/>
      </colorScale>
    </cfRule>
  </conditionalFormatting>
  <conditionalFormatting sqref="I4:I27">
    <cfRule type="colorScale" priority="3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4:BH27">
    <cfRule type="dataBar" priority="34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{190BC4C4-46C6-4581-9B6D-BEE9C1D1F063}</x14:id>
        </ext>
      </extLst>
    </cfRule>
  </conditionalFormatting>
  <conditionalFormatting sqref="AR4:AU27">
    <cfRule type="colorScale" priority="3488">
      <colorScale>
        <cfvo type="min"/>
        <cfvo type="max"/>
        <color rgb="FFFCFCFF"/>
        <color rgb="FFF8696B"/>
      </colorScale>
    </cfRule>
  </conditionalFormatting>
  <conditionalFormatting sqref="AV4:BF27">
    <cfRule type="colorScale" priority="3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4:BH27">
    <cfRule type="dataBar" priority="34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{C9496D44-6FC8-4BB5-9FE4-056827D2203E}</x14:id>
        </ext>
      </extLst>
    </cfRule>
  </conditionalFormatting>
  <conditionalFormatting sqref="U4:U27">
    <cfRule type="dataBar" priority="349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{7BB4ADAD-44ED-41C2-BB15-58651F3681AE}</x14:id>
        </ext>
      </extLst>
    </cfRule>
  </conditionalFormatting>
  <conditionalFormatting sqref="BG4:BG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{BBBB7350-4B2A-4601-B5E0-16CDE282B06E}</x14:id>
        </ext>
      </extLst>
    </cfRule>
  </conditionalFormatting>
  <pageMargins left="0.7" right="0.7" top="0.75" bottom="0.75" header="0.3" footer="0.3"/>
  <pageSetup paperSize="9" scale="53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C097D9-B680-432D-BF62-5F3C642AF0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V4:V27</xm:sqref>
        </x14:conditionalFormatting>
        <x14:conditionalFormatting xmlns:xm="http://schemas.microsoft.com/office/excel/2006/main">
          <x14:cfRule type="dataBar" id="{3567EDC3-F608-464A-AE0A-1EA832FCF3E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W4:W27</xm:sqref>
        </x14:conditionalFormatting>
        <x14:conditionalFormatting xmlns:xm="http://schemas.microsoft.com/office/excel/2006/main">
          <x14:cfRule type="dataBar" id="{6526EE56-1374-458B-BF7F-FE05CE7F57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T4:T27</xm:sqref>
        </x14:conditionalFormatting>
        <x14:conditionalFormatting xmlns:xm="http://schemas.microsoft.com/office/excel/2006/main">
          <x14:cfRule type="dataBar" id="{9C1C1947-295C-4847-A125-212D9BCEE3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AE4:AE27</xm:sqref>
        </x14:conditionalFormatting>
        <x14:conditionalFormatting xmlns:xm="http://schemas.microsoft.com/office/excel/2006/main">
          <x14:cfRule type="dataBar" id="{190BC4C4-46C6-4581-9B6D-BEE9C1D1F0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BH4:BH27</xm:sqref>
        </x14:conditionalFormatting>
        <x14:conditionalFormatting xmlns:xm="http://schemas.microsoft.com/office/excel/2006/main">
          <x14:cfRule type="dataBar" id="{C9496D44-6FC8-4BB5-9FE4-056827D220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BH4:BH27</xm:sqref>
        </x14:conditionalFormatting>
        <x14:conditionalFormatting xmlns:xm="http://schemas.microsoft.com/office/excel/2006/main">
          <x14:cfRule type="dataBar" id="{7BB4ADAD-44ED-41C2-BB15-58651F3681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U4:U27</xm:sqref>
        </x14:conditionalFormatting>
        <x14:conditionalFormatting xmlns:xm="http://schemas.microsoft.com/office/excel/2006/main">
          <x14:cfRule type="dataBar" id="{BBBB7350-4B2A-4601-B5E0-16CDE282B0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BG4:BG27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B7A7-5252-42E9-8EE0-58005B86D58A}">
  <sheetPr>
    <tabColor rgb="FFFF0000"/>
  </sheetPr>
  <dimension ref="A2:AI34"/>
  <sheetViews>
    <sheetView workbookViewId="0">
      <selection activeCell="AG4" sqref="AG4"/>
    </sheetView>
  </sheetViews>
  <sheetFormatPr baseColWidth="10" defaultRowHeight="15" x14ac:dyDescent="0.25"/>
  <cols>
    <col min="1" max="1" width="5.140625" bestFit="1" customWidth="1"/>
    <col min="2" max="2" width="6.5703125" bestFit="1" customWidth="1"/>
    <col min="3" max="3" width="15.140625" bestFit="1" customWidth="1"/>
    <col min="4" max="4" width="12.28515625" bestFit="1" customWidth="1"/>
    <col min="5" max="5" width="5.5703125" bestFit="1" customWidth="1"/>
    <col min="6" max="6" width="5" bestFit="1" customWidth="1"/>
    <col min="7" max="9" width="4.5703125" bestFit="1" customWidth="1"/>
    <col min="10" max="11" width="3.5703125" bestFit="1" customWidth="1"/>
    <col min="12" max="13" width="4.5703125" bestFit="1" customWidth="1"/>
    <col min="14" max="14" width="7.28515625" bestFit="1" customWidth="1"/>
    <col min="15" max="15" width="7.7109375" bestFit="1" customWidth="1"/>
    <col min="16" max="16" width="11.28515625" customWidth="1"/>
    <col min="17" max="17" width="5.140625" bestFit="1" customWidth="1"/>
    <col min="18" max="18" width="6.5703125" bestFit="1" customWidth="1"/>
    <col min="19" max="19" width="12.28515625" bestFit="1" customWidth="1"/>
    <col min="20" max="20" width="5.5703125" bestFit="1" customWidth="1"/>
    <col min="21" max="21" width="5" bestFit="1" customWidth="1"/>
    <col min="22" max="24" width="4.5703125" bestFit="1" customWidth="1"/>
    <col min="25" max="26" width="3.5703125" bestFit="1" customWidth="1"/>
    <col min="27" max="28" width="4.5703125" bestFit="1" customWidth="1"/>
    <col min="29" max="29" width="7.28515625" bestFit="1" customWidth="1"/>
    <col min="30" max="30" width="7.7109375" bestFit="1" customWidth="1"/>
    <col min="31" max="31" width="11.28515625" customWidth="1"/>
    <col min="32" max="32" width="22.85546875" bestFit="1" customWidth="1"/>
    <col min="33" max="33" width="3.5703125" bestFit="1" customWidth="1"/>
    <col min="34" max="34" width="11.28515625" customWidth="1"/>
  </cols>
  <sheetData>
    <row r="2" spans="1:35" x14ac:dyDescent="0.25">
      <c r="B2" s="355"/>
      <c r="N2" s="51">
        <f>SUM(N4:N17)</f>
        <v>5960</v>
      </c>
      <c r="O2" s="51">
        <f>SUM(O4:O17)</f>
        <v>7201.2000000000007</v>
      </c>
      <c r="R2" s="355"/>
      <c r="AC2" s="51">
        <f>SUM(AC4:AC17)</f>
        <v>135443.92000000001</v>
      </c>
      <c r="AD2" s="51">
        <f>SUM(AD4:AD17)</f>
        <v>154644.09599999999</v>
      </c>
    </row>
    <row r="3" spans="1:35" x14ac:dyDescent="0.25">
      <c r="A3" s="96" t="s">
        <v>448</v>
      </c>
      <c r="B3" s="94" t="s">
        <v>100</v>
      </c>
      <c r="C3" s="94" t="s">
        <v>449</v>
      </c>
      <c r="D3" s="94" t="s">
        <v>319</v>
      </c>
      <c r="E3" s="94" t="s">
        <v>318</v>
      </c>
      <c r="F3" s="94" t="s">
        <v>61</v>
      </c>
      <c r="G3" s="94" t="s">
        <v>106</v>
      </c>
      <c r="H3" s="94" t="s">
        <v>77</v>
      </c>
      <c r="I3" s="94" t="s">
        <v>78</v>
      </c>
      <c r="J3" s="94" t="s">
        <v>79</v>
      </c>
      <c r="K3" s="94" t="s">
        <v>80</v>
      </c>
      <c r="L3" s="94" t="s">
        <v>81</v>
      </c>
      <c r="M3" s="94" t="s">
        <v>74</v>
      </c>
      <c r="N3" s="94" t="s">
        <v>65</v>
      </c>
      <c r="O3" s="163" t="s">
        <v>450</v>
      </c>
      <c r="Q3" s="96" t="s">
        <v>448</v>
      </c>
      <c r="R3" s="94" t="s">
        <v>100</v>
      </c>
      <c r="S3" s="94" t="s">
        <v>319</v>
      </c>
      <c r="T3" s="94" t="s">
        <v>318</v>
      </c>
      <c r="U3" s="94" t="s">
        <v>61</v>
      </c>
      <c r="V3" s="94" t="s">
        <v>106</v>
      </c>
      <c r="W3" s="94" t="s">
        <v>77</v>
      </c>
      <c r="X3" s="94" t="s">
        <v>78</v>
      </c>
      <c r="Y3" s="94" t="s">
        <v>79</v>
      </c>
      <c r="Z3" s="94" t="s">
        <v>80</v>
      </c>
      <c r="AA3" s="94" t="s">
        <v>81</v>
      </c>
      <c r="AB3" s="94" t="s">
        <v>74</v>
      </c>
      <c r="AC3" s="94" t="s">
        <v>65</v>
      </c>
      <c r="AD3" s="163" t="s">
        <v>450</v>
      </c>
      <c r="AF3" s="364" t="s">
        <v>309</v>
      </c>
      <c r="AG3">
        <v>0</v>
      </c>
      <c r="AI3" s="2" t="s">
        <v>443</v>
      </c>
    </row>
    <row r="4" spans="1:35" x14ac:dyDescent="0.25">
      <c r="A4" s="365" t="s">
        <v>170</v>
      </c>
      <c r="B4" s="366" t="s">
        <v>1</v>
      </c>
      <c r="C4" s="146"/>
      <c r="D4" s="146"/>
      <c r="E4" s="146"/>
      <c r="F4" s="146"/>
      <c r="G4" s="367">
        <v>2</v>
      </c>
      <c r="H4" s="147">
        <v>2</v>
      </c>
      <c r="I4" s="367">
        <v>2</v>
      </c>
      <c r="J4" s="147">
        <v>0</v>
      </c>
      <c r="K4" s="367">
        <v>0</v>
      </c>
      <c r="L4" s="147">
        <v>0</v>
      </c>
      <c r="M4" s="367">
        <v>2</v>
      </c>
      <c r="N4" s="122"/>
      <c r="O4" s="51"/>
      <c r="Q4" s="365" t="s">
        <v>170</v>
      </c>
      <c r="R4" s="366" t="str">
        <f t="shared" ref="R4:R17" si="0">B4</f>
        <v>POR</v>
      </c>
      <c r="S4" s="146"/>
      <c r="T4" s="146"/>
      <c r="U4" s="146"/>
      <c r="V4" s="367">
        <f t="shared" ref="V4:AC4" si="1">G4</f>
        <v>2</v>
      </c>
      <c r="W4" s="367">
        <f t="shared" si="1"/>
        <v>2</v>
      </c>
      <c r="X4" s="367">
        <f t="shared" si="1"/>
        <v>2</v>
      </c>
      <c r="Y4" s="367">
        <f t="shared" si="1"/>
        <v>0</v>
      </c>
      <c r="Z4" s="367">
        <f t="shared" si="1"/>
        <v>0</v>
      </c>
      <c r="AA4" s="367">
        <f t="shared" si="1"/>
        <v>0</v>
      </c>
      <c r="AB4" s="367">
        <f t="shared" si="1"/>
        <v>2</v>
      </c>
      <c r="AC4" s="122">
        <f t="shared" si="1"/>
        <v>0</v>
      </c>
      <c r="AD4" s="51">
        <f>AC4*1.2</f>
        <v>0</v>
      </c>
      <c r="AF4" s="364" t="s">
        <v>308</v>
      </c>
      <c r="AG4">
        <v>44</v>
      </c>
      <c r="AI4" t="s">
        <v>444</v>
      </c>
    </row>
    <row r="5" spans="1:35" x14ac:dyDescent="0.25">
      <c r="A5" s="365" t="s">
        <v>222</v>
      </c>
      <c r="B5" s="366" t="s">
        <v>2</v>
      </c>
      <c r="C5" s="80"/>
      <c r="D5" s="80" t="s">
        <v>451</v>
      </c>
      <c r="E5" s="80"/>
      <c r="F5" s="80"/>
      <c r="G5" s="101">
        <v>0</v>
      </c>
      <c r="H5" s="92">
        <v>2</v>
      </c>
      <c r="I5" s="92">
        <v>2</v>
      </c>
      <c r="J5" s="147">
        <v>2</v>
      </c>
      <c r="K5" s="101">
        <v>2</v>
      </c>
      <c r="L5" s="92">
        <v>2</v>
      </c>
      <c r="M5" s="101">
        <v>2</v>
      </c>
      <c r="N5" s="122"/>
      <c r="O5" s="51"/>
      <c r="Q5" s="365" t="s">
        <v>222</v>
      </c>
      <c r="R5" s="366" t="str">
        <f t="shared" si="0"/>
        <v>DEF</v>
      </c>
      <c r="S5" s="146" t="str">
        <f t="shared" ref="S5:S17" si="2">D5</f>
        <v>IMP/CAB</v>
      </c>
      <c r="T5" s="146"/>
      <c r="U5" s="146"/>
      <c r="V5" s="367">
        <f t="shared" ref="V5:V17" si="3">G5</f>
        <v>0</v>
      </c>
      <c r="W5" s="367">
        <f t="shared" ref="W5:W17" si="4">H5</f>
        <v>2</v>
      </c>
      <c r="X5" s="367">
        <f t="shared" ref="X5:X17" si="5">I5</f>
        <v>2</v>
      </c>
      <c r="Y5" s="367">
        <f t="shared" ref="Y5:Y17" si="6">J5</f>
        <v>2</v>
      </c>
      <c r="Z5" s="367">
        <f t="shared" ref="Z5:Z17" si="7">K5</f>
        <v>2</v>
      </c>
      <c r="AA5" s="367">
        <f t="shared" ref="AA5:AA17" si="8">L5</f>
        <v>2</v>
      </c>
      <c r="AB5" s="367">
        <f t="shared" ref="AB5:AB17" si="9">M5</f>
        <v>2</v>
      </c>
      <c r="AC5" s="122">
        <f>N5</f>
        <v>0</v>
      </c>
      <c r="AD5" s="51">
        <f t="shared" ref="AD5:AD17" si="10">AC5*1.2</f>
        <v>0</v>
      </c>
      <c r="AF5" s="364" t="s">
        <v>0</v>
      </c>
      <c r="AG5">
        <v>0</v>
      </c>
      <c r="AI5" t="s">
        <v>445</v>
      </c>
    </row>
    <row r="6" spans="1:35" x14ac:dyDescent="0.25">
      <c r="A6" s="365" t="s">
        <v>172</v>
      </c>
      <c r="B6" s="366" t="s">
        <v>2</v>
      </c>
      <c r="C6" s="80"/>
      <c r="D6" s="80" t="s">
        <v>451</v>
      </c>
      <c r="E6" s="80"/>
      <c r="F6" s="80"/>
      <c r="G6" s="101">
        <v>0</v>
      </c>
      <c r="H6" s="92">
        <v>2</v>
      </c>
      <c r="I6" s="92">
        <v>2</v>
      </c>
      <c r="J6" s="147">
        <v>2</v>
      </c>
      <c r="K6" s="101">
        <v>2</v>
      </c>
      <c r="L6" s="92">
        <v>2</v>
      </c>
      <c r="M6" s="101">
        <v>2</v>
      </c>
      <c r="N6" s="122"/>
      <c r="O6" s="51"/>
      <c r="Q6" s="365" t="s">
        <v>172</v>
      </c>
      <c r="R6" s="366" t="str">
        <f t="shared" si="0"/>
        <v>DEF</v>
      </c>
      <c r="S6" s="146" t="str">
        <f t="shared" si="2"/>
        <v>IMP/CAB</v>
      </c>
      <c r="T6" s="146"/>
      <c r="U6" s="146"/>
      <c r="V6" s="367">
        <f t="shared" si="3"/>
        <v>0</v>
      </c>
      <c r="W6" s="367">
        <f t="shared" si="4"/>
        <v>2</v>
      </c>
      <c r="X6" s="367">
        <f t="shared" si="5"/>
        <v>2</v>
      </c>
      <c r="Y6" s="367">
        <f t="shared" si="6"/>
        <v>2</v>
      </c>
      <c r="Z6" s="367">
        <f t="shared" si="7"/>
        <v>2</v>
      </c>
      <c r="AA6" s="367">
        <f t="shared" si="8"/>
        <v>2</v>
      </c>
      <c r="AB6" s="367">
        <f t="shared" si="9"/>
        <v>2</v>
      </c>
      <c r="AC6" s="122">
        <f>N6</f>
        <v>0</v>
      </c>
      <c r="AD6" s="51">
        <f t="shared" si="10"/>
        <v>0</v>
      </c>
      <c r="AF6" s="364" t="s">
        <v>327</v>
      </c>
      <c r="AG6">
        <v>17</v>
      </c>
      <c r="AI6" t="s">
        <v>446</v>
      </c>
    </row>
    <row r="7" spans="1:35" x14ac:dyDescent="0.25">
      <c r="A7" s="365" t="s">
        <v>174</v>
      </c>
      <c r="B7" s="366" t="s">
        <v>2</v>
      </c>
      <c r="C7" s="80"/>
      <c r="D7" s="80" t="s">
        <v>451</v>
      </c>
      <c r="E7" s="80"/>
      <c r="F7" s="80"/>
      <c r="G7" s="101">
        <v>0</v>
      </c>
      <c r="H7" s="92">
        <v>2</v>
      </c>
      <c r="I7" s="92">
        <v>2</v>
      </c>
      <c r="J7" s="147">
        <v>2</v>
      </c>
      <c r="K7" s="101">
        <v>2</v>
      </c>
      <c r="L7" s="92">
        <v>2</v>
      </c>
      <c r="M7" s="101">
        <v>2</v>
      </c>
      <c r="N7" s="122"/>
      <c r="O7" s="51"/>
      <c r="Q7" s="365" t="s">
        <v>174</v>
      </c>
      <c r="R7" s="366" t="str">
        <f t="shared" si="0"/>
        <v>DEF</v>
      </c>
      <c r="S7" s="146" t="str">
        <f t="shared" si="2"/>
        <v>IMP/CAB</v>
      </c>
      <c r="T7" s="146"/>
      <c r="U7" s="146"/>
      <c r="V7" s="367">
        <f t="shared" si="3"/>
        <v>0</v>
      </c>
      <c r="W7" s="367">
        <f t="shared" si="4"/>
        <v>2</v>
      </c>
      <c r="X7" s="367">
        <f t="shared" si="5"/>
        <v>2</v>
      </c>
      <c r="Y7" s="367">
        <f t="shared" si="6"/>
        <v>2</v>
      </c>
      <c r="Z7" s="367">
        <f t="shared" si="7"/>
        <v>2</v>
      </c>
      <c r="AA7" s="367">
        <f t="shared" si="8"/>
        <v>2</v>
      </c>
      <c r="AB7" s="367">
        <f t="shared" si="9"/>
        <v>2</v>
      </c>
      <c r="AC7" s="122">
        <f>N7</f>
        <v>0</v>
      </c>
      <c r="AD7" s="51">
        <f t="shared" si="10"/>
        <v>0</v>
      </c>
      <c r="AF7" s="364" t="s">
        <v>246</v>
      </c>
      <c r="AG7">
        <f>AG5+AG4+AG3+AG6</f>
        <v>61</v>
      </c>
      <c r="AI7" t="s">
        <v>447</v>
      </c>
    </row>
    <row r="8" spans="1:35" x14ac:dyDescent="0.25">
      <c r="A8" s="365" t="s">
        <v>178</v>
      </c>
      <c r="B8" s="366" t="s">
        <v>2</v>
      </c>
      <c r="C8" s="80"/>
      <c r="D8" s="80" t="s">
        <v>451</v>
      </c>
      <c r="E8" s="80"/>
      <c r="F8" s="80"/>
      <c r="G8" s="101">
        <v>0</v>
      </c>
      <c r="H8" s="92">
        <v>2</v>
      </c>
      <c r="I8" s="92">
        <v>2</v>
      </c>
      <c r="J8" s="147">
        <v>2</v>
      </c>
      <c r="K8" s="101">
        <v>2</v>
      </c>
      <c r="L8" s="92">
        <v>2</v>
      </c>
      <c r="M8" s="101">
        <v>2</v>
      </c>
      <c r="N8" s="122"/>
      <c r="O8" s="51"/>
      <c r="Q8" s="365" t="s">
        <v>178</v>
      </c>
      <c r="R8" s="366" t="str">
        <f t="shared" si="0"/>
        <v>DEF</v>
      </c>
      <c r="S8" s="146" t="str">
        <f t="shared" si="2"/>
        <v>IMP/CAB</v>
      </c>
      <c r="T8" s="146"/>
      <c r="U8" s="146"/>
      <c r="V8" s="367">
        <f t="shared" si="3"/>
        <v>0</v>
      </c>
      <c r="W8" s="367">
        <f t="shared" si="4"/>
        <v>2</v>
      </c>
      <c r="X8" s="367">
        <f t="shared" si="5"/>
        <v>2</v>
      </c>
      <c r="Y8" s="367">
        <f t="shared" si="6"/>
        <v>2</v>
      </c>
      <c r="Z8" s="367">
        <f t="shared" si="7"/>
        <v>2</v>
      </c>
      <c r="AA8" s="367">
        <f t="shared" si="8"/>
        <v>2</v>
      </c>
      <c r="AB8" s="367">
        <f t="shared" si="9"/>
        <v>2</v>
      </c>
      <c r="AC8" s="122">
        <f>N8</f>
        <v>0</v>
      </c>
      <c r="AD8" s="51">
        <f t="shared" si="10"/>
        <v>0</v>
      </c>
      <c r="AF8" s="364" t="s">
        <v>60</v>
      </c>
      <c r="AG8" s="83">
        <f>AG7/16</f>
        <v>3.8125</v>
      </c>
    </row>
    <row r="9" spans="1:35" x14ac:dyDescent="0.25">
      <c r="A9" s="365" t="s">
        <v>173</v>
      </c>
      <c r="B9" s="366" t="s">
        <v>2</v>
      </c>
      <c r="C9" s="80"/>
      <c r="D9" s="80" t="s">
        <v>451</v>
      </c>
      <c r="E9" s="80"/>
      <c r="F9" s="80"/>
      <c r="G9" s="101">
        <v>0</v>
      </c>
      <c r="H9" s="92">
        <v>2</v>
      </c>
      <c r="I9" s="92">
        <v>2</v>
      </c>
      <c r="J9" s="147">
        <v>2</v>
      </c>
      <c r="K9" s="101">
        <v>2</v>
      </c>
      <c r="L9" s="92">
        <v>2</v>
      </c>
      <c r="M9" s="101">
        <v>2</v>
      </c>
      <c r="N9" s="122"/>
      <c r="O9" s="51"/>
      <c r="Q9" s="365" t="s">
        <v>173</v>
      </c>
      <c r="R9" s="366" t="str">
        <f t="shared" si="0"/>
        <v>DEF</v>
      </c>
      <c r="S9" s="146" t="str">
        <f t="shared" si="2"/>
        <v>IMP/CAB</v>
      </c>
      <c r="T9" s="146"/>
      <c r="U9" s="146"/>
      <c r="V9" s="367">
        <f t="shared" si="3"/>
        <v>0</v>
      </c>
      <c r="W9" s="367">
        <f t="shared" si="4"/>
        <v>2</v>
      </c>
      <c r="X9" s="367">
        <f t="shared" si="5"/>
        <v>2</v>
      </c>
      <c r="Y9" s="367">
        <f t="shared" si="6"/>
        <v>2</v>
      </c>
      <c r="Z9" s="367">
        <f t="shared" si="7"/>
        <v>2</v>
      </c>
      <c r="AA9" s="367">
        <f t="shared" si="8"/>
        <v>2</v>
      </c>
      <c r="AB9" s="367">
        <f t="shared" si="9"/>
        <v>2</v>
      </c>
      <c r="AC9" s="122">
        <f>N9</f>
        <v>0</v>
      </c>
      <c r="AD9" s="51">
        <f t="shared" si="10"/>
        <v>0</v>
      </c>
    </row>
    <row r="10" spans="1:35" x14ac:dyDescent="0.25">
      <c r="A10" s="365" t="s">
        <v>175</v>
      </c>
      <c r="B10" s="366" t="s">
        <v>452</v>
      </c>
      <c r="C10" s="319" t="str">
        <f>PLANTILLA!D13</f>
        <v>I. Vanags</v>
      </c>
      <c r="D10" s="80" t="str">
        <f>PLANTILLA!G13</f>
        <v>CAB</v>
      </c>
      <c r="E10" s="80">
        <v>18</v>
      </c>
      <c r="F10" s="80">
        <v>64</v>
      </c>
      <c r="G10" s="101">
        <f>PLANTILLA!X13</f>
        <v>0</v>
      </c>
      <c r="H10" s="101">
        <f>PLANTILLA!Y13</f>
        <v>4</v>
      </c>
      <c r="I10" s="101">
        <f>PLANTILLA!Z13</f>
        <v>7.4</v>
      </c>
      <c r="J10" s="101">
        <f>PLANTILLA!AA13</f>
        <v>3</v>
      </c>
      <c r="K10" s="101">
        <f>PLANTILLA!AB13</f>
        <v>4</v>
      </c>
      <c r="L10" s="101">
        <f>PLANTILLA!AC13</f>
        <v>7</v>
      </c>
      <c r="M10" s="101">
        <f>PLANTILLA!AD13</f>
        <v>6</v>
      </c>
      <c r="N10" s="122">
        <f>PLANTILLA!V13</f>
        <v>684</v>
      </c>
      <c r="O10" s="51">
        <v>870</v>
      </c>
      <c r="Q10" s="365" t="s">
        <v>175</v>
      </c>
      <c r="R10" s="366" t="str">
        <f t="shared" si="0"/>
        <v>Inners</v>
      </c>
      <c r="S10" s="146" t="str">
        <f t="shared" si="2"/>
        <v>CAB</v>
      </c>
      <c r="T10" s="146">
        <f>E10+3+1</f>
        <v>22</v>
      </c>
      <c r="U10" s="146">
        <f>F10+13*7-122</f>
        <v>33</v>
      </c>
      <c r="V10" s="367">
        <f t="shared" si="3"/>
        <v>0</v>
      </c>
      <c r="W10" s="367">
        <f t="shared" si="4"/>
        <v>4</v>
      </c>
      <c r="X10" s="367">
        <f>13+7/10</f>
        <v>13.7</v>
      </c>
      <c r="Y10" s="367">
        <f t="shared" si="6"/>
        <v>3</v>
      </c>
      <c r="Z10" s="367">
        <f t="shared" si="7"/>
        <v>4</v>
      </c>
      <c r="AA10" s="367">
        <f>10+1/6</f>
        <v>10.166666666666666</v>
      </c>
      <c r="AB10" s="367">
        <f t="shared" si="9"/>
        <v>6</v>
      </c>
      <c r="AC10" s="122">
        <f>(20000+1500+125+125)*1.02</f>
        <v>22185</v>
      </c>
      <c r="AD10" s="51">
        <f t="shared" si="10"/>
        <v>26622</v>
      </c>
    </row>
    <row r="11" spans="1:35" x14ac:dyDescent="0.25">
      <c r="A11" s="365" t="s">
        <v>179</v>
      </c>
      <c r="B11" s="366" t="s">
        <v>452</v>
      </c>
      <c r="C11" s="319" t="str">
        <f>PLANTILLA!D14</f>
        <v>I. Stone</v>
      </c>
      <c r="D11" s="80" t="str">
        <f>PLANTILLA!G14</f>
        <v>RAP</v>
      </c>
      <c r="E11" s="80">
        <v>18</v>
      </c>
      <c r="F11" s="80">
        <v>7</v>
      </c>
      <c r="G11" s="101">
        <f>PLANTILLA!X14</f>
        <v>0</v>
      </c>
      <c r="H11" s="101">
        <f>PLANTILLA!Y14</f>
        <v>3</v>
      </c>
      <c r="I11" s="101">
        <f>PLANTILLA!Z14</f>
        <v>5.25</v>
      </c>
      <c r="J11" s="101">
        <f>PLANTILLA!AA14</f>
        <v>2</v>
      </c>
      <c r="K11" s="101">
        <f>PLANTILLA!AB14</f>
        <v>6</v>
      </c>
      <c r="L11" s="101">
        <f>PLANTILLA!AC14</f>
        <v>9</v>
      </c>
      <c r="M11" s="101">
        <f>PLANTILLA!AD14</f>
        <v>2</v>
      </c>
      <c r="N11" s="122">
        <f>PLANTILLA!V14</f>
        <v>1490</v>
      </c>
      <c r="O11" s="51">
        <f t="shared" ref="O11:O15" si="11">N11*1.2</f>
        <v>1788</v>
      </c>
      <c r="Q11" s="365" t="s">
        <v>179</v>
      </c>
      <c r="R11" s="366" t="str">
        <f t="shared" si="0"/>
        <v>Inners</v>
      </c>
      <c r="S11" s="146" t="str">
        <f t="shared" si="2"/>
        <v>RAP</v>
      </c>
      <c r="T11" s="146">
        <f>E11+3</f>
        <v>21</v>
      </c>
      <c r="U11" s="146">
        <f>F11+13*7</f>
        <v>98</v>
      </c>
      <c r="V11" s="367">
        <f t="shared" si="3"/>
        <v>0</v>
      </c>
      <c r="W11" s="367">
        <f t="shared" si="4"/>
        <v>3</v>
      </c>
      <c r="X11" s="367">
        <v>13</v>
      </c>
      <c r="Y11" s="367">
        <f t="shared" si="6"/>
        <v>2</v>
      </c>
      <c r="Z11" s="367">
        <f t="shared" si="7"/>
        <v>6</v>
      </c>
      <c r="AA11" s="367">
        <f>11+4/7</f>
        <v>11.571428571428571</v>
      </c>
      <c r="AB11" s="367">
        <f t="shared" si="9"/>
        <v>2</v>
      </c>
      <c r="AC11" s="122">
        <f>(14490+3125+145)*1.008</f>
        <v>17902.080000000002</v>
      </c>
      <c r="AD11" s="51">
        <f>AC11</f>
        <v>17902.080000000002</v>
      </c>
    </row>
    <row r="12" spans="1:35" x14ac:dyDescent="0.25">
      <c r="A12" s="365" t="s">
        <v>224</v>
      </c>
      <c r="B12" s="366" t="s">
        <v>452</v>
      </c>
      <c r="C12" s="319" t="str">
        <f>PLANTILLA!D15</f>
        <v>G. Piscaer</v>
      </c>
      <c r="D12" s="80" t="str">
        <f>PLANTILLA!G15</f>
        <v>IMP</v>
      </c>
      <c r="E12" s="80">
        <v>18</v>
      </c>
      <c r="F12" s="80">
        <v>80</v>
      </c>
      <c r="G12" s="101">
        <f>PLANTILLA!X15</f>
        <v>0</v>
      </c>
      <c r="H12" s="101">
        <f>PLANTILLA!Y15</f>
        <v>4</v>
      </c>
      <c r="I12" s="101">
        <f>PLANTILLA!Z15</f>
        <v>8.1999999999999993</v>
      </c>
      <c r="J12" s="101">
        <f>PLANTILLA!AA15</f>
        <v>3</v>
      </c>
      <c r="K12" s="101">
        <f>PLANTILLA!AB15</f>
        <v>2</v>
      </c>
      <c r="L12" s="101">
        <f>PLANTILLA!AC15</f>
        <v>8</v>
      </c>
      <c r="M12" s="101">
        <f>PLANTILLA!AD15</f>
        <v>0</v>
      </c>
      <c r="N12" s="122">
        <f>PLANTILLA!V15</f>
        <v>1044</v>
      </c>
      <c r="O12" s="51">
        <f t="shared" si="11"/>
        <v>1252.8</v>
      </c>
      <c r="Q12" s="365" t="s">
        <v>224</v>
      </c>
      <c r="R12" s="366" t="str">
        <f t="shared" si="0"/>
        <v>Inners</v>
      </c>
      <c r="S12" s="146" t="str">
        <f t="shared" si="2"/>
        <v>IMP</v>
      </c>
      <c r="T12" s="146">
        <f t="shared" ref="T12:T13" si="12">E12+3+1</f>
        <v>22</v>
      </c>
      <c r="U12" s="146">
        <f t="shared" ref="U12:U13" si="13">F12+13*7-122</f>
        <v>49</v>
      </c>
      <c r="V12" s="367">
        <f t="shared" si="3"/>
        <v>0</v>
      </c>
      <c r="W12" s="367">
        <f t="shared" si="4"/>
        <v>4</v>
      </c>
      <c r="X12" s="367">
        <f>14+1/11</f>
        <v>14.090909090909092</v>
      </c>
      <c r="Y12" s="367">
        <f t="shared" si="6"/>
        <v>3</v>
      </c>
      <c r="Z12" s="367">
        <f t="shared" si="7"/>
        <v>2</v>
      </c>
      <c r="AA12" s="367">
        <f>10+6/7</f>
        <v>10.857142857142858</v>
      </c>
      <c r="AB12" s="367">
        <f t="shared" si="9"/>
        <v>0</v>
      </c>
      <c r="AC12" s="122">
        <f>(23500+2295+125)*1</f>
        <v>25920</v>
      </c>
      <c r="AD12" s="51">
        <f t="shared" si="10"/>
        <v>31104</v>
      </c>
    </row>
    <row r="13" spans="1:35" x14ac:dyDescent="0.25">
      <c r="A13" s="365" t="s">
        <v>176</v>
      </c>
      <c r="B13" s="366" t="s">
        <v>452</v>
      </c>
      <c r="C13" s="319" t="str">
        <f>PLANTILLA!D16</f>
        <v>M. Bondarewski</v>
      </c>
      <c r="D13" s="80" t="str">
        <f>PLANTILLA!G16</f>
        <v>RAP</v>
      </c>
      <c r="E13" s="80">
        <v>18</v>
      </c>
      <c r="F13" s="80">
        <v>80</v>
      </c>
      <c r="G13" s="101">
        <f>PLANTILLA!X16</f>
        <v>0</v>
      </c>
      <c r="H13" s="101">
        <f>PLANTILLA!Y16</f>
        <v>2</v>
      </c>
      <c r="I13" s="101">
        <f>PLANTILLA!Z16</f>
        <v>8.4</v>
      </c>
      <c r="J13" s="101">
        <f>PLANTILLA!AA16</f>
        <v>5</v>
      </c>
      <c r="K13" s="101">
        <f>PLANTILLA!AB16</f>
        <v>4</v>
      </c>
      <c r="L13" s="101">
        <f>PLANTILLA!AC16</f>
        <v>8</v>
      </c>
      <c r="M13" s="101">
        <f>PLANTILLA!AD16</f>
        <v>6</v>
      </c>
      <c r="N13" s="122">
        <f>PLANTILLA!V16</f>
        <v>924</v>
      </c>
      <c r="O13" s="51">
        <f t="shared" si="11"/>
        <v>1108.8</v>
      </c>
      <c r="Q13" s="365" t="s">
        <v>176</v>
      </c>
      <c r="R13" s="366" t="str">
        <f t="shared" si="0"/>
        <v>Inners</v>
      </c>
      <c r="S13" s="146" t="str">
        <f t="shared" si="2"/>
        <v>RAP</v>
      </c>
      <c r="T13" s="146">
        <f t="shared" si="12"/>
        <v>22</v>
      </c>
      <c r="U13" s="146">
        <f t="shared" si="13"/>
        <v>49</v>
      </c>
      <c r="V13" s="367">
        <f t="shared" si="3"/>
        <v>0</v>
      </c>
      <c r="W13" s="367">
        <f t="shared" si="4"/>
        <v>2</v>
      </c>
      <c r="X13" s="367">
        <f>14+1/11</f>
        <v>14.090909090909092</v>
      </c>
      <c r="Y13" s="367">
        <f t="shared" si="6"/>
        <v>5</v>
      </c>
      <c r="Z13" s="367">
        <f t="shared" si="7"/>
        <v>4</v>
      </c>
      <c r="AA13" s="367">
        <f>10+6/7</f>
        <v>10.857142857142858</v>
      </c>
      <c r="AB13" s="367">
        <f t="shared" si="9"/>
        <v>6</v>
      </c>
      <c r="AC13" s="122">
        <f>(23500+2295+125+125)*1.02</f>
        <v>26565.9</v>
      </c>
      <c r="AD13" s="51">
        <f t="shared" si="10"/>
        <v>31879.08</v>
      </c>
    </row>
    <row r="14" spans="1:35" x14ac:dyDescent="0.25">
      <c r="A14" s="365" t="s">
        <v>177</v>
      </c>
      <c r="B14" s="366" t="s">
        <v>452</v>
      </c>
      <c r="C14" s="319" t="str">
        <f>PLANTILLA!D17</f>
        <v>J. Vartiainen</v>
      </c>
      <c r="D14" s="80" t="str">
        <f>PLANTILLA!G17</f>
        <v>CAB</v>
      </c>
      <c r="E14" s="80">
        <v>19</v>
      </c>
      <c r="F14" s="80">
        <v>14</v>
      </c>
      <c r="G14" s="101">
        <f>PLANTILLA!X17</f>
        <v>0</v>
      </c>
      <c r="H14" s="101">
        <f>PLANTILLA!Y17</f>
        <v>7</v>
      </c>
      <c r="I14" s="101">
        <f>PLANTILLA!Z17</f>
        <v>7.3111111111111109</v>
      </c>
      <c r="J14" s="101">
        <f>PLANTILLA!AA17</f>
        <v>1</v>
      </c>
      <c r="K14" s="101">
        <f>PLANTILLA!AB17</f>
        <v>1</v>
      </c>
      <c r="L14" s="101">
        <f>PLANTILLA!AC17</f>
        <v>6</v>
      </c>
      <c r="M14" s="101">
        <f>PLANTILLA!AD17</f>
        <v>1</v>
      </c>
      <c r="N14" s="122">
        <f>PLANTILLA!V17</f>
        <v>948</v>
      </c>
      <c r="O14" s="51">
        <f t="shared" si="11"/>
        <v>1137.5999999999999</v>
      </c>
      <c r="Q14" s="365" t="s">
        <v>177</v>
      </c>
      <c r="R14" s="366" t="str">
        <f t="shared" si="0"/>
        <v>Inners</v>
      </c>
      <c r="S14" s="146" t="str">
        <f t="shared" si="2"/>
        <v>CAB</v>
      </c>
      <c r="T14" s="146">
        <f>E14+3</f>
        <v>22</v>
      </c>
      <c r="U14" s="146">
        <f>F14+13*7</f>
        <v>105</v>
      </c>
      <c r="V14" s="367">
        <f t="shared" si="3"/>
        <v>0</v>
      </c>
      <c r="W14" s="367">
        <f t="shared" si="4"/>
        <v>7</v>
      </c>
      <c r="X14" s="367">
        <f>13+6/9</f>
        <v>13.666666666666666</v>
      </c>
      <c r="Y14" s="367">
        <f t="shared" si="6"/>
        <v>1</v>
      </c>
      <c r="Z14" s="367">
        <f t="shared" si="7"/>
        <v>1</v>
      </c>
      <c r="AA14" s="367">
        <f>9+3/6</f>
        <v>9.5</v>
      </c>
      <c r="AB14" s="367">
        <f t="shared" si="9"/>
        <v>1</v>
      </c>
      <c r="AC14" s="122">
        <f>(20000+1020+225)*1.004</f>
        <v>21329.98</v>
      </c>
      <c r="AD14" s="51">
        <f t="shared" si="10"/>
        <v>25595.975999999999</v>
      </c>
    </row>
    <row r="15" spans="1:35" x14ac:dyDescent="0.25">
      <c r="A15" s="365" t="s">
        <v>171</v>
      </c>
      <c r="B15" s="366" t="s">
        <v>452</v>
      </c>
      <c r="C15" s="319" t="str">
        <f>PLANTILLA!D18</f>
        <v>R. Forsyth</v>
      </c>
      <c r="D15" s="80" t="str">
        <f>PLANTILLA!G18</f>
        <v>POT</v>
      </c>
      <c r="E15" s="80">
        <v>19</v>
      </c>
      <c r="F15" s="80">
        <v>9</v>
      </c>
      <c r="G15" s="101">
        <f>PLANTILLA!X18</f>
        <v>0</v>
      </c>
      <c r="H15" s="101">
        <f>PLANTILLA!Y18</f>
        <v>7</v>
      </c>
      <c r="I15" s="101">
        <f>PLANTILLA!Z18</f>
        <v>7.4</v>
      </c>
      <c r="J15" s="101">
        <f>PLANTILLA!AA18</f>
        <v>2</v>
      </c>
      <c r="K15" s="101">
        <f>PLANTILLA!AB18</f>
        <v>4</v>
      </c>
      <c r="L15" s="101">
        <f>PLANTILLA!AC18</f>
        <v>6</v>
      </c>
      <c r="M15" s="101">
        <f>PLANTILLA!AD18</f>
        <v>2</v>
      </c>
      <c r="N15" s="122">
        <f>PLANTILLA!V18</f>
        <v>870</v>
      </c>
      <c r="O15" s="51">
        <f t="shared" si="11"/>
        <v>1044</v>
      </c>
      <c r="Q15" s="365" t="s">
        <v>171</v>
      </c>
      <c r="R15" s="366" t="str">
        <f t="shared" si="0"/>
        <v>Inners</v>
      </c>
      <c r="S15" s="146" t="str">
        <f t="shared" si="2"/>
        <v>POT</v>
      </c>
      <c r="T15" s="146">
        <f>E15+3</f>
        <v>22</v>
      </c>
      <c r="U15" s="146">
        <f>F15+13*7</f>
        <v>100</v>
      </c>
      <c r="V15" s="367">
        <f t="shared" si="3"/>
        <v>0</v>
      </c>
      <c r="W15" s="367">
        <f t="shared" si="4"/>
        <v>7</v>
      </c>
      <c r="X15" s="367">
        <f>13+6/9</f>
        <v>13.666666666666666</v>
      </c>
      <c r="Y15" s="367">
        <f t="shared" si="6"/>
        <v>2</v>
      </c>
      <c r="Z15" s="367">
        <f t="shared" si="7"/>
        <v>4</v>
      </c>
      <c r="AA15" s="367">
        <f>9+3/6</f>
        <v>9.5</v>
      </c>
      <c r="AB15" s="367">
        <f t="shared" si="9"/>
        <v>2</v>
      </c>
      <c r="AC15" s="122">
        <f>(20000+1020+225+125)*1.008</f>
        <v>21540.959999999999</v>
      </c>
      <c r="AD15" s="51">
        <f>AC15</f>
        <v>21540.959999999999</v>
      </c>
    </row>
    <row r="16" spans="1:35" x14ac:dyDescent="0.25">
      <c r="A16" s="365" t="s">
        <v>216</v>
      </c>
      <c r="B16" s="366" t="s">
        <v>277</v>
      </c>
      <c r="C16" s="80"/>
      <c r="D16" s="80" t="s">
        <v>453</v>
      </c>
      <c r="E16" s="80"/>
      <c r="F16" s="80"/>
      <c r="G16" s="101">
        <v>0</v>
      </c>
      <c r="H16" s="92">
        <v>2</v>
      </c>
      <c r="I16" s="92">
        <v>2</v>
      </c>
      <c r="J16" s="147">
        <v>2</v>
      </c>
      <c r="K16" s="101">
        <v>2</v>
      </c>
      <c r="L16" s="92">
        <v>2</v>
      </c>
      <c r="M16" s="101">
        <v>2</v>
      </c>
      <c r="N16" s="122"/>
      <c r="O16" s="51"/>
      <c r="Q16" s="365" t="s">
        <v>216</v>
      </c>
      <c r="R16" s="366" t="str">
        <f t="shared" si="0"/>
        <v>DD</v>
      </c>
      <c r="S16" s="146" t="str">
        <f t="shared" si="2"/>
        <v>RAP/IMP/CAB</v>
      </c>
      <c r="T16" s="146"/>
      <c r="U16" s="146"/>
      <c r="V16" s="367">
        <f t="shared" si="3"/>
        <v>0</v>
      </c>
      <c r="W16" s="367">
        <f t="shared" si="4"/>
        <v>2</v>
      </c>
      <c r="X16" s="367">
        <f t="shared" si="5"/>
        <v>2</v>
      </c>
      <c r="Y16" s="367">
        <f t="shared" si="6"/>
        <v>2</v>
      </c>
      <c r="Z16" s="367">
        <f t="shared" si="7"/>
        <v>2</v>
      </c>
      <c r="AA16" s="367">
        <f t="shared" si="8"/>
        <v>2</v>
      </c>
      <c r="AB16" s="367">
        <f t="shared" si="9"/>
        <v>2</v>
      </c>
      <c r="AC16" s="122">
        <f>N16</f>
        <v>0</v>
      </c>
      <c r="AD16" s="51">
        <f t="shared" si="10"/>
        <v>0</v>
      </c>
    </row>
    <row r="17" spans="1:33" x14ac:dyDescent="0.25">
      <c r="A17" s="365" t="s">
        <v>223</v>
      </c>
      <c r="B17" s="366" t="s">
        <v>277</v>
      </c>
      <c r="C17" s="80"/>
      <c r="D17" s="80" t="s">
        <v>453</v>
      </c>
      <c r="E17" s="80"/>
      <c r="F17" s="80"/>
      <c r="G17" s="101">
        <v>0</v>
      </c>
      <c r="H17" s="92">
        <v>2</v>
      </c>
      <c r="I17" s="92">
        <v>2</v>
      </c>
      <c r="J17" s="147">
        <v>2</v>
      </c>
      <c r="K17" s="101">
        <v>2</v>
      </c>
      <c r="L17" s="92">
        <v>2</v>
      </c>
      <c r="M17" s="101">
        <v>2</v>
      </c>
      <c r="N17" s="122"/>
      <c r="O17" s="51"/>
      <c r="Q17" s="365" t="s">
        <v>223</v>
      </c>
      <c r="R17" s="366" t="str">
        <f t="shared" si="0"/>
        <v>DD</v>
      </c>
      <c r="S17" s="146" t="str">
        <f t="shared" si="2"/>
        <v>RAP/IMP/CAB</v>
      </c>
      <c r="T17" s="146"/>
      <c r="U17" s="146"/>
      <c r="V17" s="367">
        <f t="shared" si="3"/>
        <v>0</v>
      </c>
      <c r="W17" s="367">
        <f t="shared" si="4"/>
        <v>2</v>
      </c>
      <c r="X17" s="367">
        <f t="shared" si="5"/>
        <v>2</v>
      </c>
      <c r="Y17" s="367">
        <f t="shared" si="6"/>
        <v>2</v>
      </c>
      <c r="Z17" s="367">
        <f t="shared" si="7"/>
        <v>2</v>
      </c>
      <c r="AA17" s="367">
        <f t="shared" si="8"/>
        <v>2</v>
      </c>
      <c r="AB17" s="367">
        <f t="shared" si="9"/>
        <v>2</v>
      </c>
      <c r="AC17" s="122">
        <f>N17</f>
        <v>0</v>
      </c>
      <c r="AD17" s="51">
        <f t="shared" si="10"/>
        <v>0</v>
      </c>
    </row>
    <row r="19" spans="1:33" x14ac:dyDescent="0.25">
      <c r="B19" s="355"/>
      <c r="N19" s="51">
        <f>SUM(N21:N34)</f>
        <v>305878.36</v>
      </c>
      <c r="O19" s="51">
        <f>SUM(O21:O34)</f>
        <v>359165.42400000012</v>
      </c>
      <c r="R19" s="355"/>
      <c r="AC19" s="51">
        <f>SUM(AC21:AC34)</f>
        <v>314127.67499999999</v>
      </c>
      <c r="AD19" s="51">
        <f>SUM(AD21:AD34)</f>
        <v>376953.20999999996</v>
      </c>
    </row>
    <row r="20" spans="1:33" x14ac:dyDescent="0.25">
      <c r="A20" s="96" t="s">
        <v>448</v>
      </c>
      <c r="B20" s="94" t="s">
        <v>100</v>
      </c>
      <c r="C20" s="94" t="s">
        <v>449</v>
      </c>
      <c r="D20" s="94" t="s">
        <v>319</v>
      </c>
      <c r="E20" s="94" t="s">
        <v>318</v>
      </c>
      <c r="F20" s="94" t="s">
        <v>61</v>
      </c>
      <c r="G20" s="94" t="s">
        <v>106</v>
      </c>
      <c r="H20" s="94" t="s">
        <v>77</v>
      </c>
      <c r="I20" s="94" t="s">
        <v>78</v>
      </c>
      <c r="J20" s="94" t="s">
        <v>79</v>
      </c>
      <c r="K20" s="94" t="s">
        <v>80</v>
      </c>
      <c r="L20" s="94" t="s">
        <v>81</v>
      </c>
      <c r="M20" s="94" t="s">
        <v>74</v>
      </c>
      <c r="N20" s="94" t="s">
        <v>65</v>
      </c>
      <c r="O20" s="163" t="s">
        <v>450</v>
      </c>
      <c r="Q20" s="96" t="s">
        <v>448</v>
      </c>
      <c r="R20" s="94" t="s">
        <v>100</v>
      </c>
      <c r="S20" s="94" t="s">
        <v>319</v>
      </c>
      <c r="T20" s="94" t="s">
        <v>318</v>
      </c>
      <c r="U20" s="94" t="s">
        <v>61</v>
      </c>
      <c r="V20" s="94" t="s">
        <v>106</v>
      </c>
      <c r="W20" s="94" t="s">
        <v>77</v>
      </c>
      <c r="X20" s="94" t="s">
        <v>78</v>
      </c>
      <c r="Y20" s="94" t="s">
        <v>79</v>
      </c>
      <c r="Z20" s="94" t="s">
        <v>80</v>
      </c>
      <c r="AA20" s="94" t="s">
        <v>81</v>
      </c>
      <c r="AB20" s="94" t="s">
        <v>74</v>
      </c>
      <c r="AC20" s="94" t="s">
        <v>65</v>
      </c>
      <c r="AD20" s="163" t="s">
        <v>450</v>
      </c>
      <c r="AF20" s="364" t="s">
        <v>309</v>
      </c>
      <c r="AG20">
        <v>0</v>
      </c>
    </row>
    <row r="21" spans="1:33" x14ac:dyDescent="0.25">
      <c r="A21" s="365" t="str">
        <f>A4</f>
        <v>#1</v>
      </c>
      <c r="B21" s="366" t="str">
        <f>B4</f>
        <v>POR</v>
      </c>
      <c r="C21" s="146" t="s">
        <v>311</v>
      </c>
      <c r="D21" s="146">
        <f>D4</f>
        <v>0</v>
      </c>
      <c r="E21" s="146">
        <v>22</v>
      </c>
      <c r="F21" s="146">
        <v>50</v>
      </c>
      <c r="G21" s="367">
        <v>15</v>
      </c>
      <c r="H21" s="367">
        <v>4</v>
      </c>
      <c r="I21" s="367">
        <f t="shared" ref="I21:L21" si="14">X4</f>
        <v>2</v>
      </c>
      <c r="J21" s="367">
        <f t="shared" si="14"/>
        <v>0</v>
      </c>
      <c r="K21" s="367">
        <f t="shared" si="14"/>
        <v>0</v>
      </c>
      <c r="L21" s="367">
        <f t="shared" si="14"/>
        <v>0</v>
      </c>
      <c r="M21" s="367">
        <v>4</v>
      </c>
      <c r="N21" s="122">
        <f>(24270+125)*1.012</f>
        <v>24687.74</v>
      </c>
      <c r="O21" s="122">
        <f>N21*1.2</f>
        <v>29625.288</v>
      </c>
      <c r="Q21" s="365" t="s">
        <v>170</v>
      </c>
      <c r="R21" s="366" t="str">
        <f t="shared" ref="R21:R34" si="15">B21</f>
        <v>POR</v>
      </c>
      <c r="S21" s="146"/>
      <c r="T21" s="146"/>
      <c r="U21" s="146"/>
      <c r="V21" s="367">
        <f>G21</f>
        <v>15</v>
      </c>
      <c r="W21" s="367">
        <f t="shared" ref="W21:AA21" si="16">H21</f>
        <v>4</v>
      </c>
      <c r="X21" s="367">
        <f t="shared" si="16"/>
        <v>2</v>
      </c>
      <c r="Y21" s="367">
        <f t="shared" si="16"/>
        <v>0</v>
      </c>
      <c r="Z21" s="367">
        <f t="shared" si="16"/>
        <v>0</v>
      </c>
      <c r="AA21" s="367">
        <f t="shared" si="16"/>
        <v>0</v>
      </c>
      <c r="AB21" s="367">
        <v>17</v>
      </c>
      <c r="AC21" s="122">
        <f>(24270+125)*1.047</f>
        <v>25541.564999999999</v>
      </c>
      <c r="AD21" s="51">
        <f>AC21*1.2</f>
        <v>30649.877999999997</v>
      </c>
      <c r="AF21" s="364" t="s">
        <v>308</v>
      </c>
      <c r="AG21">
        <v>0</v>
      </c>
    </row>
    <row r="22" spans="1:33" x14ac:dyDescent="0.25">
      <c r="A22" s="365" t="str">
        <f t="shared" ref="A22:B22" si="17">A5</f>
        <v>#2</v>
      </c>
      <c r="B22" s="366" t="str">
        <f t="shared" si="17"/>
        <v>DEF</v>
      </c>
      <c r="C22" s="146" t="s">
        <v>66</v>
      </c>
      <c r="D22" s="146" t="s">
        <v>220</v>
      </c>
      <c r="E22" s="146">
        <v>22</v>
      </c>
      <c r="F22" s="146">
        <v>50</v>
      </c>
      <c r="G22" s="367">
        <f t="shared" ref="G22:G33" si="18">V5</f>
        <v>0</v>
      </c>
      <c r="H22" s="367">
        <v>14</v>
      </c>
      <c r="I22" s="367">
        <v>5</v>
      </c>
      <c r="J22" s="367">
        <f t="shared" ref="J22:J33" si="19">Y5</f>
        <v>2</v>
      </c>
      <c r="K22" s="367">
        <f t="shared" ref="K22:K33" si="20">Z5</f>
        <v>2</v>
      </c>
      <c r="L22" s="367">
        <v>7</v>
      </c>
      <c r="M22" s="367">
        <v>3</v>
      </c>
      <c r="N22" s="122">
        <f>(18370+135+245)*1.012</f>
        <v>18975</v>
      </c>
      <c r="O22" s="122">
        <f t="shared" ref="O22:O26" si="21">N22*1.2</f>
        <v>22770</v>
      </c>
      <c r="Q22" s="365" t="s">
        <v>222</v>
      </c>
      <c r="R22" s="366" t="str">
        <f t="shared" si="15"/>
        <v>DEF</v>
      </c>
      <c r="S22" s="146" t="str">
        <f t="shared" ref="S22:S34" si="22">D22</f>
        <v>CAB</v>
      </c>
      <c r="T22" s="146"/>
      <c r="U22" s="146"/>
      <c r="V22" s="367">
        <f t="shared" ref="V22:V34" si="23">G22</f>
        <v>0</v>
      </c>
      <c r="W22" s="367">
        <f t="shared" ref="W22:W34" si="24">H22</f>
        <v>14</v>
      </c>
      <c r="X22" s="367">
        <f t="shared" ref="X22:X34" si="25">I22</f>
        <v>5</v>
      </c>
      <c r="Y22" s="367">
        <f t="shared" ref="Y22:Y34" si="26">J22</f>
        <v>2</v>
      </c>
      <c r="Z22" s="367">
        <f t="shared" ref="Z22:Z34" si="27">K22</f>
        <v>2</v>
      </c>
      <c r="AA22" s="367">
        <f t="shared" ref="AA22:AA34" si="28">L22</f>
        <v>7</v>
      </c>
      <c r="AB22" s="367">
        <v>14</v>
      </c>
      <c r="AC22" s="122">
        <f>(18370+135+245)*1.04</f>
        <v>19500</v>
      </c>
      <c r="AD22" s="51">
        <f t="shared" ref="AD22:AD34" si="29">AC22*1.2</f>
        <v>23400</v>
      </c>
      <c r="AF22" s="364" t="s">
        <v>0</v>
      </c>
      <c r="AG22">
        <v>16</v>
      </c>
    </row>
    <row r="23" spans="1:33" x14ac:dyDescent="0.25">
      <c r="A23" s="365" t="str">
        <f t="shared" ref="A23:B23" si="30">A6</f>
        <v>#3</v>
      </c>
      <c r="B23" s="366" t="str">
        <f t="shared" si="30"/>
        <v>DEF</v>
      </c>
      <c r="C23" s="146" t="s">
        <v>66</v>
      </c>
      <c r="D23" s="146" t="s">
        <v>220</v>
      </c>
      <c r="E23" s="146">
        <v>22</v>
      </c>
      <c r="F23" s="146">
        <v>50</v>
      </c>
      <c r="G23" s="367">
        <f t="shared" ref="G23:G26" si="31">V6</f>
        <v>0</v>
      </c>
      <c r="H23" s="367">
        <v>14</v>
      </c>
      <c r="I23" s="367">
        <v>5</v>
      </c>
      <c r="J23" s="367">
        <f t="shared" ref="J23:J26" si="32">Y6</f>
        <v>2</v>
      </c>
      <c r="K23" s="367">
        <f t="shared" ref="K23:K26" si="33">Z6</f>
        <v>2</v>
      </c>
      <c r="L23" s="367">
        <v>7</v>
      </c>
      <c r="M23" s="367">
        <v>3</v>
      </c>
      <c r="N23" s="122">
        <f>(18370+135+245)*1.012</f>
        <v>18975</v>
      </c>
      <c r="O23" s="122">
        <f t="shared" si="21"/>
        <v>22770</v>
      </c>
      <c r="Q23" s="365" t="s">
        <v>172</v>
      </c>
      <c r="R23" s="366" t="str">
        <f t="shared" si="15"/>
        <v>DEF</v>
      </c>
      <c r="S23" s="146" t="str">
        <f t="shared" si="22"/>
        <v>CAB</v>
      </c>
      <c r="T23" s="146"/>
      <c r="U23" s="146"/>
      <c r="V23" s="367">
        <f t="shared" si="23"/>
        <v>0</v>
      </c>
      <c r="W23" s="367">
        <f t="shared" si="24"/>
        <v>14</v>
      </c>
      <c r="X23" s="367">
        <f t="shared" si="25"/>
        <v>5</v>
      </c>
      <c r="Y23" s="367">
        <f t="shared" si="26"/>
        <v>2</v>
      </c>
      <c r="Z23" s="367">
        <f t="shared" si="27"/>
        <v>2</v>
      </c>
      <c r="AA23" s="367">
        <f t="shared" si="28"/>
        <v>7</v>
      </c>
      <c r="AB23" s="367">
        <v>14</v>
      </c>
      <c r="AC23" s="122">
        <f t="shared" ref="AC23:AC26" si="34">(18370+135+245)*1.04</f>
        <v>19500</v>
      </c>
      <c r="AD23" s="51">
        <f t="shared" si="29"/>
        <v>23400</v>
      </c>
      <c r="AF23" s="364" t="s">
        <v>327</v>
      </c>
      <c r="AG23">
        <v>0</v>
      </c>
    </row>
    <row r="24" spans="1:33" x14ac:dyDescent="0.25">
      <c r="A24" s="365" t="str">
        <f t="shared" ref="A24:B24" si="35">A7</f>
        <v>#4</v>
      </c>
      <c r="B24" s="366" t="str">
        <f t="shared" si="35"/>
        <v>DEF</v>
      </c>
      <c r="C24" s="146" t="s">
        <v>66</v>
      </c>
      <c r="D24" s="146" t="s">
        <v>220</v>
      </c>
      <c r="E24" s="146">
        <v>22</v>
      </c>
      <c r="F24" s="146">
        <v>50</v>
      </c>
      <c r="G24" s="367">
        <f t="shared" si="31"/>
        <v>0</v>
      </c>
      <c r="H24" s="367">
        <v>14</v>
      </c>
      <c r="I24" s="367">
        <v>5</v>
      </c>
      <c r="J24" s="367">
        <f t="shared" si="32"/>
        <v>2</v>
      </c>
      <c r="K24" s="367">
        <f t="shared" si="33"/>
        <v>2</v>
      </c>
      <c r="L24" s="367">
        <v>7</v>
      </c>
      <c r="M24" s="367">
        <v>3</v>
      </c>
      <c r="N24" s="122">
        <f>(18370+135+245)*1.012</f>
        <v>18975</v>
      </c>
      <c r="O24" s="122">
        <f t="shared" si="21"/>
        <v>22770</v>
      </c>
      <c r="Q24" s="365" t="s">
        <v>174</v>
      </c>
      <c r="R24" s="366" t="str">
        <f t="shared" si="15"/>
        <v>DEF</v>
      </c>
      <c r="S24" s="146" t="str">
        <f t="shared" si="22"/>
        <v>CAB</v>
      </c>
      <c r="T24" s="146"/>
      <c r="U24" s="146"/>
      <c r="V24" s="367">
        <f t="shared" si="23"/>
        <v>0</v>
      </c>
      <c r="W24" s="367">
        <f t="shared" si="24"/>
        <v>14</v>
      </c>
      <c r="X24" s="367">
        <f t="shared" si="25"/>
        <v>5</v>
      </c>
      <c r="Y24" s="367">
        <f t="shared" si="26"/>
        <v>2</v>
      </c>
      <c r="Z24" s="367">
        <f t="shared" si="27"/>
        <v>2</v>
      </c>
      <c r="AA24" s="367">
        <f t="shared" si="28"/>
        <v>7</v>
      </c>
      <c r="AB24" s="367">
        <v>14</v>
      </c>
      <c r="AC24" s="122">
        <f t="shared" si="34"/>
        <v>19500</v>
      </c>
      <c r="AD24" s="51">
        <f t="shared" si="29"/>
        <v>23400</v>
      </c>
      <c r="AF24" s="364" t="s">
        <v>246</v>
      </c>
      <c r="AG24">
        <f>AG22+AG21+AG20+AG23</f>
        <v>16</v>
      </c>
    </row>
    <row r="25" spans="1:33" x14ac:dyDescent="0.25">
      <c r="A25" s="365" t="str">
        <f t="shared" ref="A25:B25" si="36">A8</f>
        <v>#5</v>
      </c>
      <c r="B25" s="366" t="str">
        <f t="shared" si="36"/>
        <v>DEF</v>
      </c>
      <c r="C25" s="146" t="s">
        <v>66</v>
      </c>
      <c r="D25" s="146" t="s">
        <v>220</v>
      </c>
      <c r="E25" s="146">
        <v>22</v>
      </c>
      <c r="F25" s="146">
        <v>50</v>
      </c>
      <c r="G25" s="367">
        <f t="shared" si="31"/>
        <v>0</v>
      </c>
      <c r="H25" s="367">
        <v>14</v>
      </c>
      <c r="I25" s="367">
        <v>5</v>
      </c>
      <c r="J25" s="367">
        <f t="shared" si="32"/>
        <v>2</v>
      </c>
      <c r="K25" s="367">
        <f t="shared" si="33"/>
        <v>2</v>
      </c>
      <c r="L25" s="367">
        <v>7</v>
      </c>
      <c r="M25" s="367">
        <v>3</v>
      </c>
      <c r="N25" s="122">
        <f>(18370+135+245)*1.012</f>
        <v>18975</v>
      </c>
      <c r="O25" s="122">
        <f t="shared" si="21"/>
        <v>22770</v>
      </c>
      <c r="Q25" s="365" t="s">
        <v>178</v>
      </c>
      <c r="R25" s="366" t="str">
        <f t="shared" si="15"/>
        <v>DEF</v>
      </c>
      <c r="S25" s="146" t="str">
        <f t="shared" si="22"/>
        <v>CAB</v>
      </c>
      <c r="T25" s="146"/>
      <c r="U25" s="146"/>
      <c r="V25" s="367">
        <f t="shared" si="23"/>
        <v>0</v>
      </c>
      <c r="W25" s="367">
        <f t="shared" si="24"/>
        <v>14</v>
      </c>
      <c r="X25" s="367">
        <f t="shared" si="25"/>
        <v>5</v>
      </c>
      <c r="Y25" s="367">
        <f t="shared" si="26"/>
        <v>2</v>
      </c>
      <c r="Z25" s="367">
        <f t="shared" si="27"/>
        <v>2</v>
      </c>
      <c r="AA25" s="367">
        <f t="shared" si="28"/>
        <v>7</v>
      </c>
      <c r="AB25" s="367">
        <v>14</v>
      </c>
      <c r="AC25" s="122">
        <f t="shared" si="34"/>
        <v>19500</v>
      </c>
      <c r="AD25" s="51">
        <f t="shared" si="29"/>
        <v>23400</v>
      </c>
      <c r="AF25" s="364" t="s">
        <v>60</v>
      </c>
      <c r="AG25" s="83">
        <f>AG24/16</f>
        <v>1</v>
      </c>
    </row>
    <row r="26" spans="1:33" x14ac:dyDescent="0.25">
      <c r="A26" s="365" t="str">
        <f t="shared" ref="A26:B26" si="37">A9</f>
        <v>#6</v>
      </c>
      <c r="B26" s="366" t="str">
        <f t="shared" si="37"/>
        <v>DEF</v>
      </c>
      <c r="C26" s="146" t="s">
        <v>66</v>
      </c>
      <c r="D26" s="146" t="s">
        <v>220</v>
      </c>
      <c r="E26" s="146">
        <v>22</v>
      </c>
      <c r="F26" s="146">
        <v>50</v>
      </c>
      <c r="G26" s="367">
        <f t="shared" si="31"/>
        <v>0</v>
      </c>
      <c r="H26" s="367">
        <v>14</v>
      </c>
      <c r="I26" s="367">
        <v>5</v>
      </c>
      <c r="J26" s="367">
        <f t="shared" si="32"/>
        <v>2</v>
      </c>
      <c r="K26" s="367">
        <f t="shared" si="33"/>
        <v>2</v>
      </c>
      <c r="L26" s="367">
        <v>7</v>
      </c>
      <c r="M26" s="367">
        <v>3</v>
      </c>
      <c r="N26" s="122">
        <f>(18370+135+245)*1.012</f>
        <v>18975</v>
      </c>
      <c r="O26" s="122">
        <f t="shared" si="21"/>
        <v>22770</v>
      </c>
      <c r="Q26" s="365" t="s">
        <v>173</v>
      </c>
      <c r="R26" s="366" t="str">
        <f t="shared" si="15"/>
        <v>DEF</v>
      </c>
      <c r="S26" s="146" t="str">
        <f t="shared" si="22"/>
        <v>CAB</v>
      </c>
      <c r="T26" s="146"/>
      <c r="U26" s="146"/>
      <c r="V26" s="367">
        <f t="shared" si="23"/>
        <v>0</v>
      </c>
      <c r="W26" s="367">
        <f t="shared" si="24"/>
        <v>14</v>
      </c>
      <c r="X26" s="367">
        <f t="shared" si="25"/>
        <v>5</v>
      </c>
      <c r="Y26" s="367">
        <f t="shared" si="26"/>
        <v>2</v>
      </c>
      <c r="Z26" s="367">
        <f t="shared" si="27"/>
        <v>2</v>
      </c>
      <c r="AA26" s="367">
        <f t="shared" si="28"/>
        <v>7</v>
      </c>
      <c r="AB26" s="367">
        <v>14</v>
      </c>
      <c r="AC26" s="122">
        <f t="shared" si="34"/>
        <v>19500</v>
      </c>
      <c r="AD26" s="51">
        <f t="shared" si="29"/>
        <v>23400</v>
      </c>
    </row>
    <row r="27" spans="1:33" x14ac:dyDescent="0.25">
      <c r="A27" s="365" t="str">
        <f t="shared" ref="A27:D27" si="38">A10</f>
        <v>#7</v>
      </c>
      <c r="B27" s="366" t="str">
        <f t="shared" si="38"/>
        <v>Inners</v>
      </c>
      <c r="C27" s="146" t="str">
        <f t="shared" si="38"/>
        <v>I. Vanags</v>
      </c>
      <c r="D27" s="146" t="str">
        <f t="shared" si="38"/>
        <v>CAB</v>
      </c>
      <c r="E27" s="146">
        <f>T10</f>
        <v>22</v>
      </c>
      <c r="F27" s="146">
        <f>U10</f>
        <v>33</v>
      </c>
      <c r="G27" s="367">
        <f t="shared" si="18"/>
        <v>0</v>
      </c>
      <c r="H27" s="367">
        <f t="shared" ref="H27:H33" si="39">W10</f>
        <v>4</v>
      </c>
      <c r="I27" s="367">
        <f t="shared" ref="I27:I32" si="40">X10</f>
        <v>13.7</v>
      </c>
      <c r="J27" s="367">
        <f t="shared" si="19"/>
        <v>3</v>
      </c>
      <c r="K27" s="367">
        <f t="shared" si="20"/>
        <v>4</v>
      </c>
      <c r="L27" s="367">
        <f t="shared" ref="L27:L32" si="41">AA10</f>
        <v>10.166666666666666</v>
      </c>
      <c r="M27" s="367">
        <f t="shared" ref="M27:M32" si="42">AB10</f>
        <v>6</v>
      </c>
      <c r="N27" s="122">
        <f t="shared" ref="N27:O27" si="43">AC10</f>
        <v>22185</v>
      </c>
      <c r="O27" s="122">
        <f t="shared" si="43"/>
        <v>26622</v>
      </c>
      <c r="Q27" s="365" t="s">
        <v>175</v>
      </c>
      <c r="R27" s="366" t="str">
        <f t="shared" si="15"/>
        <v>Inners</v>
      </c>
      <c r="S27" s="146" t="str">
        <f t="shared" si="22"/>
        <v>CAB</v>
      </c>
      <c r="T27" s="146">
        <f>E27+1</f>
        <v>23</v>
      </c>
      <c r="U27" s="146">
        <f>F27</f>
        <v>33</v>
      </c>
      <c r="V27" s="367">
        <f t="shared" si="23"/>
        <v>0</v>
      </c>
      <c r="W27" s="367">
        <f t="shared" si="24"/>
        <v>4</v>
      </c>
      <c r="X27" s="367">
        <f t="shared" si="25"/>
        <v>13.7</v>
      </c>
      <c r="Y27" s="367">
        <f t="shared" si="26"/>
        <v>3</v>
      </c>
      <c r="Z27" s="367">
        <f t="shared" si="27"/>
        <v>4</v>
      </c>
      <c r="AA27" s="367">
        <f t="shared" si="28"/>
        <v>10.166666666666666</v>
      </c>
      <c r="AB27" s="367">
        <v>15</v>
      </c>
      <c r="AC27" s="122">
        <f>(20000+1500+125+125)*1.043</f>
        <v>22685.25</v>
      </c>
      <c r="AD27" s="51">
        <f t="shared" si="29"/>
        <v>27222.3</v>
      </c>
    </row>
    <row r="28" spans="1:33" x14ac:dyDescent="0.25">
      <c r="A28" s="365" t="str">
        <f t="shared" ref="A28:D28" si="44">A11</f>
        <v>#8</v>
      </c>
      <c r="B28" s="366" t="str">
        <f t="shared" si="44"/>
        <v>Inners</v>
      </c>
      <c r="C28" s="146" t="str">
        <f t="shared" si="44"/>
        <v>I. Stone</v>
      </c>
      <c r="D28" s="146" t="str">
        <f t="shared" si="44"/>
        <v>RAP</v>
      </c>
      <c r="E28" s="146">
        <f t="shared" ref="E28:F32" si="45">T11</f>
        <v>21</v>
      </c>
      <c r="F28" s="146">
        <f t="shared" si="45"/>
        <v>98</v>
      </c>
      <c r="G28" s="367">
        <f t="shared" si="18"/>
        <v>0</v>
      </c>
      <c r="H28" s="367">
        <f t="shared" si="39"/>
        <v>3</v>
      </c>
      <c r="I28" s="367">
        <f t="shared" si="40"/>
        <v>13</v>
      </c>
      <c r="J28" s="367">
        <f t="shared" si="19"/>
        <v>2</v>
      </c>
      <c r="K28" s="367">
        <f t="shared" si="20"/>
        <v>6</v>
      </c>
      <c r="L28" s="367">
        <f t="shared" si="41"/>
        <v>11.571428571428571</v>
      </c>
      <c r="M28" s="367">
        <f t="shared" si="42"/>
        <v>2</v>
      </c>
      <c r="N28" s="122">
        <f t="shared" ref="N28:O28" si="46">AC11</f>
        <v>17902.080000000002</v>
      </c>
      <c r="O28" s="122">
        <f t="shared" si="46"/>
        <v>17902.080000000002</v>
      </c>
      <c r="Q28" s="365" t="s">
        <v>179</v>
      </c>
      <c r="R28" s="366" t="str">
        <f t="shared" si="15"/>
        <v>Inners</v>
      </c>
      <c r="S28" s="146" t="str">
        <f t="shared" si="22"/>
        <v>RAP</v>
      </c>
      <c r="T28" s="146">
        <f t="shared" ref="T28:T32" si="47">E28+1</f>
        <v>22</v>
      </c>
      <c r="U28" s="146">
        <f t="shared" ref="U28:U32" si="48">F28</f>
        <v>98</v>
      </c>
      <c r="V28" s="367">
        <f t="shared" si="23"/>
        <v>0</v>
      </c>
      <c r="W28" s="367">
        <f t="shared" si="24"/>
        <v>3</v>
      </c>
      <c r="X28" s="367">
        <f t="shared" si="25"/>
        <v>13</v>
      </c>
      <c r="Y28" s="367">
        <f t="shared" si="26"/>
        <v>2</v>
      </c>
      <c r="Z28" s="367">
        <f t="shared" si="27"/>
        <v>6</v>
      </c>
      <c r="AA28" s="367">
        <f t="shared" si="28"/>
        <v>11.571428571428571</v>
      </c>
      <c r="AB28" s="367">
        <v>13.5</v>
      </c>
      <c r="AC28" s="122">
        <f>(14490+3125+145)*1.038</f>
        <v>18434.88</v>
      </c>
      <c r="AD28" s="51">
        <f t="shared" si="29"/>
        <v>22121.856</v>
      </c>
    </row>
    <row r="29" spans="1:33" x14ac:dyDescent="0.25">
      <c r="A29" s="365" t="str">
        <f t="shared" ref="A29:D29" si="49">A12</f>
        <v>#9</v>
      </c>
      <c r="B29" s="366" t="str">
        <f t="shared" si="49"/>
        <v>Inners</v>
      </c>
      <c r="C29" s="146" t="str">
        <f t="shared" si="49"/>
        <v>G. Piscaer</v>
      </c>
      <c r="D29" s="146" t="str">
        <f t="shared" si="49"/>
        <v>IMP</v>
      </c>
      <c r="E29" s="146">
        <f t="shared" si="45"/>
        <v>22</v>
      </c>
      <c r="F29" s="146">
        <f t="shared" si="45"/>
        <v>49</v>
      </c>
      <c r="G29" s="367">
        <f t="shared" si="18"/>
        <v>0</v>
      </c>
      <c r="H29" s="367">
        <f t="shared" si="39"/>
        <v>4</v>
      </c>
      <c r="I29" s="367">
        <f t="shared" si="40"/>
        <v>14.090909090909092</v>
      </c>
      <c r="J29" s="367">
        <f t="shared" si="19"/>
        <v>3</v>
      </c>
      <c r="K29" s="367">
        <f t="shared" si="20"/>
        <v>2</v>
      </c>
      <c r="L29" s="367">
        <f t="shared" si="41"/>
        <v>10.857142857142858</v>
      </c>
      <c r="M29" s="367">
        <f t="shared" si="42"/>
        <v>0</v>
      </c>
      <c r="N29" s="122">
        <f t="shared" ref="N29:O29" si="50">AC12</f>
        <v>25920</v>
      </c>
      <c r="O29" s="122">
        <f t="shared" si="50"/>
        <v>31104</v>
      </c>
      <c r="Q29" s="365" t="s">
        <v>224</v>
      </c>
      <c r="R29" s="366" t="str">
        <f t="shared" si="15"/>
        <v>Inners</v>
      </c>
      <c r="S29" s="146" t="str">
        <f t="shared" si="22"/>
        <v>IMP</v>
      </c>
      <c r="T29" s="146">
        <f t="shared" si="47"/>
        <v>23</v>
      </c>
      <c r="U29" s="146">
        <f t="shared" si="48"/>
        <v>49</v>
      </c>
      <c r="V29" s="367">
        <f t="shared" si="23"/>
        <v>0</v>
      </c>
      <c r="W29" s="367">
        <f t="shared" si="24"/>
        <v>4</v>
      </c>
      <c r="X29" s="367">
        <f t="shared" si="25"/>
        <v>14.090909090909092</v>
      </c>
      <c r="Y29" s="367">
        <f t="shared" si="26"/>
        <v>3</v>
      </c>
      <c r="Z29" s="367">
        <f t="shared" si="27"/>
        <v>2</v>
      </c>
      <c r="AA29" s="367">
        <f t="shared" si="28"/>
        <v>10.857142857142858</v>
      </c>
      <c r="AB29" s="367">
        <v>12.5</v>
      </c>
      <c r="AC29" s="122">
        <f>(23500+2295+125)*1.035</f>
        <v>26827.199999999997</v>
      </c>
      <c r="AD29" s="51">
        <f t="shared" si="29"/>
        <v>32192.639999999996</v>
      </c>
    </row>
    <row r="30" spans="1:33" x14ac:dyDescent="0.25">
      <c r="A30" s="365" t="str">
        <f t="shared" ref="A30:D30" si="51">A13</f>
        <v>#10</v>
      </c>
      <c r="B30" s="366" t="str">
        <f t="shared" si="51"/>
        <v>Inners</v>
      </c>
      <c r="C30" s="146" t="str">
        <f t="shared" si="51"/>
        <v>M. Bondarewski</v>
      </c>
      <c r="D30" s="146" t="str">
        <f t="shared" si="51"/>
        <v>RAP</v>
      </c>
      <c r="E30" s="146">
        <f t="shared" si="45"/>
        <v>22</v>
      </c>
      <c r="F30" s="146">
        <f t="shared" si="45"/>
        <v>49</v>
      </c>
      <c r="G30" s="367">
        <f t="shared" si="18"/>
        <v>0</v>
      </c>
      <c r="H30" s="367">
        <f t="shared" si="39"/>
        <v>2</v>
      </c>
      <c r="I30" s="367">
        <f t="shared" si="40"/>
        <v>14.090909090909092</v>
      </c>
      <c r="J30" s="367">
        <f t="shared" si="19"/>
        <v>5</v>
      </c>
      <c r="K30" s="367">
        <f t="shared" si="20"/>
        <v>4</v>
      </c>
      <c r="L30" s="367">
        <f t="shared" si="41"/>
        <v>10.857142857142858</v>
      </c>
      <c r="M30" s="367">
        <f t="shared" si="42"/>
        <v>6</v>
      </c>
      <c r="N30" s="122">
        <f t="shared" ref="N30:O30" si="52">AC13</f>
        <v>26565.9</v>
      </c>
      <c r="O30" s="122">
        <f t="shared" si="52"/>
        <v>31879.08</v>
      </c>
      <c r="Q30" s="365" t="s">
        <v>176</v>
      </c>
      <c r="R30" s="366" t="str">
        <f t="shared" si="15"/>
        <v>Inners</v>
      </c>
      <c r="S30" s="146" t="str">
        <f t="shared" si="22"/>
        <v>RAP</v>
      </c>
      <c r="T30" s="146">
        <f t="shared" si="47"/>
        <v>23</v>
      </c>
      <c r="U30" s="146">
        <f t="shared" si="48"/>
        <v>49</v>
      </c>
      <c r="V30" s="367">
        <f t="shared" si="23"/>
        <v>0</v>
      </c>
      <c r="W30" s="367">
        <f t="shared" si="24"/>
        <v>2</v>
      </c>
      <c r="X30" s="367">
        <f t="shared" si="25"/>
        <v>14.090909090909092</v>
      </c>
      <c r="Y30" s="367">
        <f t="shared" si="26"/>
        <v>5</v>
      </c>
      <c r="Z30" s="367">
        <f t="shared" si="27"/>
        <v>4</v>
      </c>
      <c r="AA30" s="367">
        <f t="shared" si="28"/>
        <v>10.857142857142858</v>
      </c>
      <c r="AB30" s="367">
        <v>15</v>
      </c>
      <c r="AC30" s="122">
        <f>(23500+2295+125+125)*1.043</f>
        <v>27164.934999999998</v>
      </c>
      <c r="AD30" s="51">
        <f t="shared" si="29"/>
        <v>32597.921999999995</v>
      </c>
    </row>
    <row r="31" spans="1:33" x14ac:dyDescent="0.25">
      <c r="A31" s="365" t="str">
        <f t="shared" ref="A31:D31" si="53">A14</f>
        <v>#11</v>
      </c>
      <c r="B31" s="366" t="str">
        <f t="shared" si="53"/>
        <v>Inners</v>
      </c>
      <c r="C31" s="146" t="str">
        <f t="shared" si="53"/>
        <v>J. Vartiainen</v>
      </c>
      <c r="D31" s="146" t="str">
        <f t="shared" si="53"/>
        <v>CAB</v>
      </c>
      <c r="E31" s="146">
        <f t="shared" si="45"/>
        <v>22</v>
      </c>
      <c r="F31" s="146">
        <f t="shared" si="45"/>
        <v>105</v>
      </c>
      <c r="G31" s="367">
        <f t="shared" si="18"/>
        <v>0</v>
      </c>
      <c r="H31" s="367">
        <f t="shared" si="39"/>
        <v>7</v>
      </c>
      <c r="I31" s="367">
        <f t="shared" si="40"/>
        <v>13.666666666666666</v>
      </c>
      <c r="J31" s="367">
        <f t="shared" si="19"/>
        <v>1</v>
      </c>
      <c r="K31" s="367">
        <f t="shared" si="20"/>
        <v>1</v>
      </c>
      <c r="L31" s="367">
        <f t="shared" si="41"/>
        <v>9.5</v>
      </c>
      <c r="M31" s="367">
        <f t="shared" si="42"/>
        <v>1</v>
      </c>
      <c r="N31" s="122">
        <f t="shared" ref="N31:O31" si="54">AC14</f>
        <v>21329.98</v>
      </c>
      <c r="O31" s="122">
        <f t="shared" si="54"/>
        <v>25595.975999999999</v>
      </c>
      <c r="Q31" s="365" t="s">
        <v>177</v>
      </c>
      <c r="R31" s="366" t="str">
        <f t="shared" si="15"/>
        <v>Inners</v>
      </c>
      <c r="S31" s="146" t="str">
        <f t="shared" si="22"/>
        <v>CAB</v>
      </c>
      <c r="T31" s="146">
        <f t="shared" si="47"/>
        <v>23</v>
      </c>
      <c r="U31" s="146">
        <f t="shared" si="48"/>
        <v>105</v>
      </c>
      <c r="V31" s="367">
        <f t="shared" si="23"/>
        <v>0</v>
      </c>
      <c r="W31" s="367">
        <f t="shared" si="24"/>
        <v>7</v>
      </c>
      <c r="X31" s="367">
        <f t="shared" si="25"/>
        <v>13.666666666666666</v>
      </c>
      <c r="Y31" s="367">
        <f t="shared" si="26"/>
        <v>1</v>
      </c>
      <c r="Z31" s="367">
        <f t="shared" si="27"/>
        <v>1</v>
      </c>
      <c r="AA31" s="367">
        <f t="shared" si="28"/>
        <v>9.5</v>
      </c>
      <c r="AB31" s="367">
        <v>13</v>
      </c>
      <c r="AC31" s="122">
        <f>(20000+1020+225)*1.037</f>
        <v>22031.064999999999</v>
      </c>
      <c r="AD31" s="51">
        <f t="shared" si="29"/>
        <v>26437.277999999998</v>
      </c>
    </row>
    <row r="32" spans="1:33" x14ac:dyDescent="0.25">
      <c r="A32" s="365" t="str">
        <f t="shared" ref="A32:D32" si="55">A15</f>
        <v>#12</v>
      </c>
      <c r="B32" s="366" t="str">
        <f t="shared" si="55"/>
        <v>Inners</v>
      </c>
      <c r="C32" s="146" t="str">
        <f t="shared" si="55"/>
        <v>R. Forsyth</v>
      </c>
      <c r="D32" s="146" t="str">
        <f t="shared" si="55"/>
        <v>POT</v>
      </c>
      <c r="E32" s="146">
        <f t="shared" si="45"/>
        <v>22</v>
      </c>
      <c r="F32" s="146">
        <f t="shared" si="45"/>
        <v>100</v>
      </c>
      <c r="G32" s="367">
        <f t="shared" si="18"/>
        <v>0</v>
      </c>
      <c r="H32" s="367">
        <f t="shared" si="39"/>
        <v>7</v>
      </c>
      <c r="I32" s="367">
        <f t="shared" si="40"/>
        <v>13.666666666666666</v>
      </c>
      <c r="J32" s="367">
        <f t="shared" si="19"/>
        <v>2</v>
      </c>
      <c r="K32" s="367">
        <f t="shared" si="20"/>
        <v>4</v>
      </c>
      <c r="L32" s="367">
        <f t="shared" si="41"/>
        <v>9.5</v>
      </c>
      <c r="M32" s="367">
        <f t="shared" si="42"/>
        <v>2</v>
      </c>
      <c r="N32" s="122">
        <f t="shared" ref="N32:O32" si="56">AC15</f>
        <v>21540.959999999999</v>
      </c>
      <c r="O32" s="122">
        <f t="shared" si="56"/>
        <v>21540.959999999999</v>
      </c>
      <c r="Q32" s="365" t="s">
        <v>171</v>
      </c>
      <c r="R32" s="366" t="str">
        <f t="shared" si="15"/>
        <v>Inners</v>
      </c>
      <c r="S32" s="146" t="str">
        <f t="shared" si="22"/>
        <v>POT</v>
      </c>
      <c r="T32" s="146">
        <f t="shared" si="47"/>
        <v>23</v>
      </c>
      <c r="U32" s="146">
        <f t="shared" si="48"/>
        <v>100</v>
      </c>
      <c r="V32" s="367">
        <f t="shared" si="23"/>
        <v>0</v>
      </c>
      <c r="W32" s="367">
        <f t="shared" si="24"/>
        <v>7</v>
      </c>
      <c r="X32" s="367">
        <f t="shared" si="25"/>
        <v>13.666666666666666</v>
      </c>
      <c r="Y32" s="367">
        <f t="shared" si="26"/>
        <v>2</v>
      </c>
      <c r="Z32" s="367">
        <f t="shared" si="27"/>
        <v>4</v>
      </c>
      <c r="AA32" s="367">
        <f t="shared" si="28"/>
        <v>9.5</v>
      </c>
      <c r="AB32" s="367">
        <v>13.5</v>
      </c>
      <c r="AC32" s="122">
        <f>(20000+1020+225+125)*1.038</f>
        <v>22182.06</v>
      </c>
      <c r="AD32" s="51">
        <f t="shared" si="29"/>
        <v>26618.472000000002</v>
      </c>
    </row>
    <row r="33" spans="1:30" x14ac:dyDescent="0.25">
      <c r="A33" s="365" t="str">
        <f t="shared" ref="A33:D33" si="57">A16</f>
        <v>#13</v>
      </c>
      <c r="B33" s="366" t="str">
        <f t="shared" si="57"/>
        <v>DD</v>
      </c>
      <c r="C33" s="146" t="s">
        <v>454</v>
      </c>
      <c r="D33" s="146" t="str">
        <f t="shared" si="57"/>
        <v>RAP/IMP/CAB</v>
      </c>
      <c r="E33" s="146">
        <v>22</v>
      </c>
      <c r="F33" s="146">
        <v>50</v>
      </c>
      <c r="G33" s="367">
        <f t="shared" si="18"/>
        <v>0</v>
      </c>
      <c r="H33" s="367">
        <f t="shared" si="39"/>
        <v>2</v>
      </c>
      <c r="I33" s="367">
        <v>14</v>
      </c>
      <c r="J33" s="367">
        <f t="shared" si="19"/>
        <v>2</v>
      </c>
      <c r="K33" s="367">
        <f t="shared" si="20"/>
        <v>2</v>
      </c>
      <c r="L33" s="367">
        <v>11</v>
      </c>
      <c r="M33" s="367">
        <v>10</v>
      </c>
      <c r="N33" s="122">
        <f>(22400+2295)*1.03</f>
        <v>25435.850000000002</v>
      </c>
      <c r="O33" s="122">
        <f t="shared" ref="O33:O34" si="58">N33*1.2</f>
        <v>30523.02</v>
      </c>
      <c r="Q33" s="365" t="s">
        <v>216</v>
      </c>
      <c r="R33" s="366" t="str">
        <f t="shared" si="15"/>
        <v>DD</v>
      </c>
      <c r="S33" s="146" t="str">
        <f t="shared" si="22"/>
        <v>RAP/IMP/CAB</v>
      </c>
      <c r="T33" s="146"/>
      <c r="U33" s="146"/>
      <c r="V33" s="367">
        <f t="shared" si="23"/>
        <v>0</v>
      </c>
      <c r="W33" s="367">
        <f t="shared" si="24"/>
        <v>2</v>
      </c>
      <c r="X33" s="367">
        <f t="shared" si="25"/>
        <v>14</v>
      </c>
      <c r="Y33" s="367">
        <f t="shared" si="26"/>
        <v>2</v>
      </c>
      <c r="Z33" s="367">
        <f t="shared" si="27"/>
        <v>2</v>
      </c>
      <c r="AA33" s="367">
        <f t="shared" si="28"/>
        <v>11</v>
      </c>
      <c r="AB33" s="367">
        <v>18</v>
      </c>
      <c r="AC33" s="122">
        <f>(22400+2295)*1.048</f>
        <v>25880.36</v>
      </c>
      <c r="AD33" s="51">
        <f t="shared" si="29"/>
        <v>31056.432000000001</v>
      </c>
    </row>
    <row r="34" spans="1:30" x14ac:dyDescent="0.25">
      <c r="A34" s="365" t="str">
        <f t="shared" ref="A34:D34" si="59">A17</f>
        <v>#14</v>
      </c>
      <c r="B34" s="366" t="str">
        <f t="shared" si="59"/>
        <v>DD</v>
      </c>
      <c r="C34" s="146" t="s">
        <v>454</v>
      </c>
      <c r="D34" s="146" t="str">
        <f t="shared" si="59"/>
        <v>RAP/IMP/CAB</v>
      </c>
      <c r="E34" s="146">
        <v>22</v>
      </c>
      <c r="F34" s="146">
        <v>50</v>
      </c>
      <c r="G34" s="367">
        <f t="shared" ref="G34" si="60">V17</f>
        <v>0</v>
      </c>
      <c r="H34" s="367">
        <f t="shared" ref="H34" si="61">W17</f>
        <v>2</v>
      </c>
      <c r="I34" s="367">
        <v>14</v>
      </c>
      <c r="J34" s="367">
        <f t="shared" ref="J34" si="62">Y17</f>
        <v>2</v>
      </c>
      <c r="K34" s="367">
        <f t="shared" ref="K34" si="63">Z17</f>
        <v>2</v>
      </c>
      <c r="L34" s="367">
        <v>11</v>
      </c>
      <c r="M34" s="367">
        <v>10</v>
      </c>
      <c r="N34" s="122">
        <f>(22400+2295)*1.03</f>
        <v>25435.850000000002</v>
      </c>
      <c r="O34" s="122">
        <f t="shared" si="58"/>
        <v>30523.02</v>
      </c>
      <c r="Q34" s="365" t="s">
        <v>223</v>
      </c>
      <c r="R34" s="366" t="str">
        <f t="shared" si="15"/>
        <v>DD</v>
      </c>
      <c r="S34" s="146" t="str">
        <f t="shared" si="22"/>
        <v>RAP/IMP/CAB</v>
      </c>
      <c r="T34" s="146"/>
      <c r="U34" s="146"/>
      <c r="V34" s="367">
        <f t="shared" si="23"/>
        <v>0</v>
      </c>
      <c r="W34" s="367">
        <f t="shared" si="24"/>
        <v>2</v>
      </c>
      <c r="X34" s="367">
        <f t="shared" si="25"/>
        <v>14</v>
      </c>
      <c r="Y34" s="367">
        <f t="shared" si="26"/>
        <v>2</v>
      </c>
      <c r="Z34" s="367">
        <f t="shared" si="27"/>
        <v>2</v>
      </c>
      <c r="AA34" s="367">
        <f t="shared" si="28"/>
        <v>11</v>
      </c>
      <c r="AB34" s="367">
        <v>18</v>
      </c>
      <c r="AC34" s="122">
        <f>(22400+2295)*1.048</f>
        <v>25880.36</v>
      </c>
      <c r="AD34" s="51">
        <f t="shared" si="29"/>
        <v>31056.432000000001</v>
      </c>
    </row>
  </sheetData>
  <conditionalFormatting sqref="V4:AB17">
    <cfRule type="colorScale" priority="5">
      <colorScale>
        <cfvo type="min"/>
        <cfvo type="max"/>
        <color rgb="FFFFEF9C"/>
        <color rgb="FF63BE7B"/>
      </colorScale>
    </cfRule>
  </conditionalFormatting>
  <conditionalFormatting sqref="G4:M17">
    <cfRule type="colorScale" priority="3">
      <colorScale>
        <cfvo type="min"/>
        <cfvo type="max"/>
        <color rgb="FFFFEF9C"/>
        <color rgb="FF63BE7B"/>
      </colorScale>
    </cfRule>
  </conditionalFormatting>
  <conditionalFormatting sqref="V21:AB34">
    <cfRule type="colorScale" priority="2">
      <colorScale>
        <cfvo type="min"/>
        <cfvo type="max"/>
        <color rgb="FFFFEF9C"/>
        <color rgb="FF63BE7B"/>
      </colorScale>
    </cfRule>
  </conditionalFormatting>
  <conditionalFormatting sqref="G21:M3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CK33"/>
  <sheetViews>
    <sheetView workbookViewId="0">
      <pane xSplit="17" ySplit="2" topLeftCell="R3" activePane="bottomRight" state="frozen"/>
      <selection pane="topRight" activeCell="R1" sqref="R1"/>
      <selection pane="bottomLeft" activeCell="A3" sqref="A3"/>
      <selection pane="bottomRight" activeCell="E15" sqref="E15"/>
    </sheetView>
  </sheetViews>
  <sheetFormatPr baseColWidth="10" defaultColWidth="11.42578125" defaultRowHeight="15" x14ac:dyDescent="0.25"/>
  <cols>
    <col min="1" max="1" width="13.7109375" bestFit="1" customWidth="1"/>
    <col min="2" max="2" width="5.5703125" bestFit="1" customWidth="1"/>
    <col min="3" max="3" width="5.42578125" bestFit="1" customWidth="1"/>
    <col min="4" max="4" width="6.5703125" bestFit="1" customWidth="1"/>
    <col min="5" max="5" width="13" bestFit="1" customWidth="1"/>
    <col min="6" max="6" width="4.5703125" style="200" bestFit="1" customWidth="1"/>
    <col min="7" max="7" width="5.42578125" bestFit="1" customWidth="1"/>
    <col min="8" max="8" width="5.7109375" bestFit="1" customWidth="1"/>
    <col min="9" max="9" width="8.42578125" bestFit="1" customWidth="1"/>
    <col min="10" max="10" width="4.5703125" bestFit="1" customWidth="1"/>
    <col min="11" max="11" width="5.5703125" bestFit="1" customWidth="1"/>
    <col min="12" max="15" width="6.140625" bestFit="1" customWidth="1"/>
    <col min="16" max="17" width="5.5703125" bestFit="1" customWidth="1"/>
    <col min="18" max="18" width="4.85546875" bestFit="1" customWidth="1"/>
    <col min="19" max="19" width="5.5703125" bestFit="1" customWidth="1"/>
    <col min="20" max="21" width="6.140625" bestFit="1" customWidth="1"/>
    <col min="22" max="22" width="6.85546875" bestFit="1" customWidth="1"/>
    <col min="23" max="23" width="7.140625" bestFit="1" customWidth="1"/>
    <col min="24" max="24" width="7.7109375" bestFit="1" customWidth="1"/>
    <col min="25" max="25" width="7.85546875" bestFit="1" customWidth="1"/>
    <col min="26" max="26" width="7.42578125" bestFit="1" customWidth="1"/>
    <col min="27" max="27" width="10" bestFit="1" customWidth="1"/>
    <col min="28" max="28" width="7.85546875" bestFit="1" customWidth="1"/>
    <col min="29" max="29" width="7.42578125" bestFit="1" customWidth="1"/>
    <col min="30" max="30" width="5.140625" bestFit="1" customWidth="1"/>
    <col min="31" max="31" width="7.42578125" bestFit="1" customWidth="1"/>
    <col min="32" max="32" width="7.85546875" bestFit="1" customWidth="1"/>
    <col min="33" max="33" width="7.42578125" bestFit="1" customWidth="1"/>
    <col min="34" max="34" width="5.140625" bestFit="1" customWidth="1"/>
    <col min="35" max="35" width="9.7109375" bestFit="1" customWidth="1"/>
    <col min="36" max="36" width="7.85546875" bestFit="1" customWidth="1"/>
    <col min="37" max="37" width="5.140625" bestFit="1" customWidth="1"/>
    <col min="38" max="38" width="6.42578125" bestFit="1" customWidth="1"/>
    <col min="39" max="39" width="7.42578125" bestFit="1" customWidth="1"/>
    <col min="40" max="40" width="7.85546875" bestFit="1" customWidth="1"/>
    <col min="41" max="41" width="5.140625" bestFit="1" customWidth="1"/>
    <col min="42" max="42" width="6.42578125" bestFit="1" customWidth="1"/>
    <col min="43" max="43" width="7.42578125" bestFit="1" customWidth="1"/>
    <col min="44" max="44" width="7.85546875" bestFit="1" customWidth="1"/>
    <col min="45" max="45" width="7.42578125" bestFit="1" customWidth="1"/>
    <col min="46" max="46" width="5.5703125" bestFit="1" customWidth="1"/>
    <col min="47" max="47" width="6.42578125" bestFit="1" customWidth="1"/>
    <col min="48" max="48" width="6.85546875" bestFit="1" customWidth="1"/>
    <col min="49" max="49" width="6.42578125" bestFit="1" customWidth="1"/>
    <col min="50" max="50" width="7.42578125" bestFit="1" customWidth="1"/>
    <col min="51" max="51" width="7.85546875" bestFit="1" customWidth="1"/>
    <col min="52" max="52" width="7.42578125" bestFit="1" customWidth="1"/>
    <col min="53" max="53" width="5.5703125" bestFit="1" customWidth="1"/>
    <col min="54" max="54" width="6.42578125" bestFit="1" customWidth="1"/>
    <col min="55" max="55" width="6.85546875" bestFit="1" customWidth="1"/>
    <col min="56" max="56" width="6.42578125" bestFit="1" customWidth="1"/>
    <col min="57" max="57" width="7.42578125" bestFit="1" customWidth="1"/>
    <col min="58" max="58" width="7.85546875" bestFit="1" customWidth="1"/>
    <col min="59" max="59" width="5.5703125" bestFit="1" customWidth="1"/>
    <col min="60" max="60" width="6.42578125" bestFit="1" customWidth="1"/>
    <col min="61" max="61" width="6.85546875" bestFit="1" customWidth="1"/>
    <col min="62" max="62" width="7.42578125" bestFit="1" customWidth="1"/>
    <col min="63" max="63" width="7.85546875" bestFit="1" customWidth="1"/>
    <col min="64" max="64" width="5.140625" bestFit="1" customWidth="1"/>
    <col min="65" max="65" width="6.42578125" bestFit="1" customWidth="1"/>
    <col min="66" max="66" width="6.85546875" bestFit="1" customWidth="1"/>
    <col min="67" max="67" width="7.42578125" bestFit="1" customWidth="1"/>
    <col min="68" max="68" width="7.85546875" bestFit="1" customWidth="1"/>
    <col min="69" max="69" width="5.140625" bestFit="1" customWidth="1"/>
    <col min="70" max="70" width="6.42578125" bestFit="1" customWidth="1"/>
    <col min="71" max="71" width="6.85546875" bestFit="1" customWidth="1"/>
    <col min="72" max="72" width="7.42578125" bestFit="1" customWidth="1"/>
    <col min="73" max="73" width="7.85546875" bestFit="1" customWidth="1"/>
    <col min="74" max="74" width="5.140625" bestFit="1" customWidth="1"/>
    <col min="75" max="75" width="6.42578125" bestFit="1" customWidth="1"/>
    <col min="76" max="76" width="6.85546875" bestFit="1" customWidth="1"/>
    <col min="77" max="77" width="7.42578125" bestFit="1" customWidth="1"/>
    <col min="78" max="78" width="7.85546875" bestFit="1" customWidth="1"/>
    <col min="79" max="79" width="5.5703125" bestFit="1" customWidth="1"/>
    <col min="80" max="80" width="6.42578125" bestFit="1" customWidth="1"/>
    <col min="81" max="81" width="6.85546875" bestFit="1" customWidth="1"/>
    <col min="82" max="82" width="5.140625" bestFit="1" customWidth="1"/>
    <col min="83" max="83" width="6.42578125" bestFit="1" customWidth="1"/>
    <col min="84" max="84" width="6.85546875" bestFit="1" customWidth="1"/>
    <col min="85" max="86" width="6.42578125" bestFit="1" customWidth="1"/>
    <col min="87" max="87" width="6.85546875" bestFit="1" customWidth="1"/>
    <col min="88" max="88" width="6.42578125" bestFit="1" customWidth="1"/>
    <col min="89" max="89" width="5.140625" bestFit="1" customWidth="1"/>
  </cols>
  <sheetData>
    <row r="1" spans="1:89" x14ac:dyDescent="0.25">
      <c r="A1" s="87"/>
      <c r="D1" s="200"/>
      <c r="X1" t="s">
        <v>311</v>
      </c>
      <c r="AA1" t="s">
        <v>312</v>
      </c>
      <c r="AE1" t="s">
        <v>313</v>
      </c>
      <c r="AI1" t="s">
        <v>314</v>
      </c>
      <c r="AM1" t="s">
        <v>315</v>
      </c>
      <c r="AQ1" t="s">
        <v>310</v>
      </c>
      <c r="AX1" t="s">
        <v>316</v>
      </c>
      <c r="BE1" t="s">
        <v>221</v>
      </c>
      <c r="BJ1" t="s">
        <v>317</v>
      </c>
      <c r="BO1" t="s">
        <v>296</v>
      </c>
      <c r="BT1" t="s">
        <v>363</v>
      </c>
      <c r="BY1" t="s">
        <v>293</v>
      </c>
      <c r="CD1" t="s">
        <v>277</v>
      </c>
      <c r="CH1" t="s">
        <v>64</v>
      </c>
    </row>
    <row r="2" spans="1:89" x14ac:dyDescent="0.25">
      <c r="A2" s="201" t="s">
        <v>71</v>
      </c>
      <c r="B2" s="201" t="s">
        <v>318</v>
      </c>
      <c r="C2" s="201" t="s">
        <v>61</v>
      </c>
      <c r="D2" s="202" t="s">
        <v>319</v>
      </c>
      <c r="E2" s="201" t="s">
        <v>320</v>
      </c>
      <c r="F2" s="203" t="s">
        <v>321</v>
      </c>
      <c r="G2" s="203" t="s">
        <v>322</v>
      </c>
      <c r="H2" s="203" t="s">
        <v>323</v>
      </c>
      <c r="I2" s="204" t="s">
        <v>324</v>
      </c>
      <c r="J2" s="205" t="s">
        <v>325</v>
      </c>
      <c r="K2" s="205" t="s">
        <v>1</v>
      </c>
      <c r="L2" s="205" t="s">
        <v>2</v>
      </c>
      <c r="M2" s="205" t="s">
        <v>326</v>
      </c>
      <c r="N2" s="205" t="s">
        <v>63</v>
      </c>
      <c r="O2" s="205" t="s">
        <v>262</v>
      </c>
      <c r="P2" s="205" t="s">
        <v>327</v>
      </c>
      <c r="Q2" s="205" t="s">
        <v>0</v>
      </c>
      <c r="R2" s="206" t="s">
        <v>257</v>
      </c>
      <c r="S2" s="206" t="s">
        <v>376</v>
      </c>
      <c r="T2" s="206" t="s">
        <v>328</v>
      </c>
      <c r="U2" s="206" t="s">
        <v>329</v>
      </c>
      <c r="V2" s="206" t="s">
        <v>265</v>
      </c>
      <c r="W2" s="206" t="s">
        <v>266</v>
      </c>
      <c r="X2" s="207" t="s">
        <v>330</v>
      </c>
      <c r="Y2" s="207" t="s">
        <v>331</v>
      </c>
      <c r="Z2" s="207" t="s">
        <v>330</v>
      </c>
      <c r="AA2" s="208" t="s">
        <v>330</v>
      </c>
      <c r="AB2" s="208" t="s">
        <v>331</v>
      </c>
      <c r="AC2" s="208" t="s">
        <v>330</v>
      </c>
      <c r="AD2" s="208" t="s">
        <v>62</v>
      </c>
      <c r="AE2" s="208" t="s">
        <v>330</v>
      </c>
      <c r="AF2" s="208" t="s">
        <v>331</v>
      </c>
      <c r="AG2" s="208" t="s">
        <v>330</v>
      </c>
      <c r="AH2" s="208" t="s">
        <v>62</v>
      </c>
      <c r="AI2" s="207" t="s">
        <v>330</v>
      </c>
      <c r="AJ2" s="207" t="s">
        <v>331</v>
      </c>
      <c r="AK2" s="207" t="s">
        <v>62</v>
      </c>
      <c r="AL2" s="207" t="s">
        <v>332</v>
      </c>
      <c r="AM2" s="207" t="s">
        <v>330</v>
      </c>
      <c r="AN2" s="207" t="s">
        <v>331</v>
      </c>
      <c r="AO2" s="207" t="s">
        <v>62</v>
      </c>
      <c r="AP2" s="207" t="s">
        <v>332</v>
      </c>
      <c r="AQ2" s="207" t="s">
        <v>330</v>
      </c>
      <c r="AR2" s="207" t="s">
        <v>331</v>
      </c>
      <c r="AS2" s="207" t="s">
        <v>330</v>
      </c>
      <c r="AT2" s="207" t="s">
        <v>62</v>
      </c>
      <c r="AU2" s="207" t="s">
        <v>332</v>
      </c>
      <c r="AV2" s="207" t="s">
        <v>333</v>
      </c>
      <c r="AW2" s="207" t="s">
        <v>332</v>
      </c>
      <c r="AX2" s="207" t="s">
        <v>330</v>
      </c>
      <c r="AY2" s="207" t="s">
        <v>331</v>
      </c>
      <c r="AZ2" s="207" t="s">
        <v>330</v>
      </c>
      <c r="BA2" s="207" t="s">
        <v>62</v>
      </c>
      <c r="BB2" s="207" t="s">
        <v>332</v>
      </c>
      <c r="BC2" s="207" t="s">
        <v>333</v>
      </c>
      <c r="BD2" s="207" t="s">
        <v>332</v>
      </c>
      <c r="BE2" s="208" t="s">
        <v>330</v>
      </c>
      <c r="BF2" s="208" t="s">
        <v>331</v>
      </c>
      <c r="BG2" s="208" t="s">
        <v>62</v>
      </c>
      <c r="BH2" s="208" t="s">
        <v>332</v>
      </c>
      <c r="BI2" s="208" t="s">
        <v>333</v>
      </c>
      <c r="BJ2" s="208" t="s">
        <v>330</v>
      </c>
      <c r="BK2" s="208" t="s">
        <v>331</v>
      </c>
      <c r="BL2" s="208" t="s">
        <v>62</v>
      </c>
      <c r="BM2" s="208" t="s">
        <v>332</v>
      </c>
      <c r="BN2" s="208" t="s">
        <v>333</v>
      </c>
      <c r="BO2" s="207" t="s">
        <v>330</v>
      </c>
      <c r="BP2" s="207" t="s">
        <v>331</v>
      </c>
      <c r="BQ2" s="207" t="s">
        <v>62</v>
      </c>
      <c r="BR2" s="207" t="s">
        <v>332</v>
      </c>
      <c r="BS2" s="207" t="s">
        <v>333</v>
      </c>
      <c r="BT2" s="207" t="s">
        <v>330</v>
      </c>
      <c r="BU2" s="207" t="s">
        <v>331</v>
      </c>
      <c r="BV2" s="207" t="s">
        <v>62</v>
      </c>
      <c r="BW2" s="207" t="s">
        <v>332</v>
      </c>
      <c r="BX2" s="207" t="s">
        <v>333</v>
      </c>
      <c r="BY2" s="207" t="s">
        <v>330</v>
      </c>
      <c r="BZ2" s="207" t="s">
        <v>331</v>
      </c>
      <c r="CA2" s="207" t="s">
        <v>62</v>
      </c>
      <c r="CB2" s="207" t="s">
        <v>332</v>
      </c>
      <c r="CC2" s="207" t="s">
        <v>333</v>
      </c>
      <c r="CD2" s="208" t="s">
        <v>62</v>
      </c>
      <c r="CE2" s="208" t="s">
        <v>332</v>
      </c>
      <c r="CF2" s="208" t="s">
        <v>333</v>
      </c>
      <c r="CG2" s="208" t="s">
        <v>332</v>
      </c>
      <c r="CH2" s="207" t="s">
        <v>332</v>
      </c>
      <c r="CI2" s="207" t="s">
        <v>333</v>
      </c>
      <c r="CJ2" s="207" t="s">
        <v>332</v>
      </c>
      <c r="CK2" s="207" t="s">
        <v>62</v>
      </c>
    </row>
    <row r="3" spans="1:89" x14ac:dyDescent="0.25">
      <c r="A3" t="str">
        <f>PLANTILLA!D4</f>
        <v>D. Gehmacher</v>
      </c>
      <c r="B3" s="200">
        <f>PLANTILLA!E4</f>
        <v>35</v>
      </c>
      <c r="C3" s="122">
        <f ca="1">PLANTILLA!F4</f>
        <v>3</v>
      </c>
      <c r="D3" s="200">
        <f>PLANTILLA!G4</f>
        <v>0</v>
      </c>
      <c r="E3" s="287">
        <f>PLANTILLA!O4</f>
        <v>42468</v>
      </c>
      <c r="F3" s="122">
        <f>PLANTILLA!Q4</f>
        <v>5</v>
      </c>
      <c r="G3" s="154">
        <f>(F3/7)^0.5</f>
        <v>0.84515425472851657</v>
      </c>
      <c r="H3" s="154">
        <f>IF(F3=7,1,((F3+0.99)/7)^0.5)</f>
        <v>0.92504826128926143</v>
      </c>
      <c r="I3" s="209">
        <f ca="1">PLANTILLA!P4</f>
        <v>1</v>
      </c>
      <c r="J3" s="210">
        <f>PLANTILLA!I4</f>
        <v>23.7</v>
      </c>
      <c r="K3" s="49">
        <f>PLANTILLA!X4</f>
        <v>16.666666666666668</v>
      </c>
      <c r="L3" s="49">
        <f>PLANTILLA!Y4</f>
        <v>11.95</v>
      </c>
      <c r="M3" s="49">
        <f>PLANTILLA!Z4</f>
        <v>2.0699999999999985</v>
      </c>
      <c r="N3" s="49">
        <f>PLANTILLA!AA4</f>
        <v>2.149999999999999</v>
      </c>
      <c r="O3" s="49">
        <f>PLANTILLA!AB4</f>
        <v>0.95</v>
      </c>
      <c r="P3" s="49">
        <f>PLANTILLA!AC4</f>
        <v>0</v>
      </c>
      <c r="Q3" s="49">
        <f>PLANTILLA!AD4</f>
        <v>18.2</v>
      </c>
      <c r="R3" s="210">
        <f>((2*(O3+1))+(L3+1))/8</f>
        <v>2.1062499999999997</v>
      </c>
      <c r="S3" s="210">
        <f ca="1">1.66*(P3+(LOG(J3)*4/3)+I3)+0.55*(Q3+(LOG(J3)*4/3)+I3)-7.6</f>
        <v>8.6709251262431071</v>
      </c>
      <c r="T3" s="49">
        <f>(0.5*P3+ 0.3*Q3)/10</f>
        <v>0.54600000000000004</v>
      </c>
      <c r="U3" s="49">
        <f>(0.4*L3+0.3*Q3)/10</f>
        <v>1.024</v>
      </c>
      <c r="V3" s="210">
        <f ca="1">IF(TODAY()-E3&gt;335,(Q3+1+(LOG(J3)*4/3))*(F3/7)^0.5,(Q3+((TODAY()-E3)^0.5)/(336^0.5)+(LOG(J3)*4/3))*(F3/7)^0.5)</f>
        <v>17.776127575869424</v>
      </c>
      <c r="W3" s="210">
        <f ca="1">IF(F3=7,V3,IF(TODAY()-E3&gt;335,(Q3+1+(LOG(J3)*4/3))*((F3+0.99)/7)^0.5,(Q3+((TODAY()-E3)^0.5)/(336^0.5)+(LOG(J3)*4/3))*((F3+0.99)/7)^0.5))</f>
        <v>19.456538039669731</v>
      </c>
      <c r="X3" s="83">
        <f ca="1">((K3+I3+(LOG(J3)*4/3))*0.597)+((L3+I3+(LOG(J3)*4/3))*0.276)</f>
        <v>15.721407074755762</v>
      </c>
      <c r="Y3" s="83">
        <f ca="1">((K3+I3+(LOG(J3)*4/3))*0.866)+((L3+I3+(LOG(J3)*4/3))*0.425)</f>
        <v>23.169483486265392</v>
      </c>
      <c r="Z3" s="83">
        <f ca="1">X3</f>
        <v>15.721407074755762</v>
      </c>
      <c r="AA3" s="83">
        <f ca="1">((L3+I3+(LOG(J3)*4/3))*0.516)</f>
        <v>7.6280268620549521</v>
      </c>
      <c r="AB3" s="83">
        <f ca="1">(L3+I3+(LOG(J3)*4/3))*1</f>
        <v>14.782997794680139</v>
      </c>
      <c r="AC3" s="83">
        <f ca="1">AA3/2</f>
        <v>3.814013431027476</v>
      </c>
      <c r="AD3" s="83">
        <f ca="1">(M3+I3+(LOG(J3)*4/3))*0.238</f>
        <v>1.1669134751338726</v>
      </c>
      <c r="AE3" s="83">
        <f ca="1">((L3+I3+(LOG(J3)*4/3))*0.378)</f>
        <v>5.5879731663890926</v>
      </c>
      <c r="AF3" s="83">
        <f ca="1">(L3+I3+(LOG(J3)*4/3))*0.723</f>
        <v>10.68810740555374</v>
      </c>
      <c r="AG3" s="83">
        <f ca="1">AE3/2</f>
        <v>2.7939865831945463</v>
      </c>
      <c r="AH3" s="83">
        <f ca="1">(M3+I3+(LOG(J3)*4/3))*0.385</f>
        <v>1.8876541509518527</v>
      </c>
      <c r="AI3" s="83">
        <f ca="1">((L3+I3+(LOG(J3)*4/3))*0.92)</f>
        <v>13.600357971105728</v>
      </c>
      <c r="AJ3" s="83">
        <f ca="1">(L3+I3+(LOG(J3)*4/3))*0.414</f>
        <v>6.1201610869975767</v>
      </c>
      <c r="AK3" s="83">
        <f ca="1">((M3+I3+(LOG(J3)*4/3))*0.167)</f>
        <v>0.8188006317115829</v>
      </c>
      <c r="AL3" s="83">
        <f ca="1">(N3+I3+(LOG(J3)*4/3))*0.588</f>
        <v>2.9300027032719207</v>
      </c>
      <c r="AM3" s="83">
        <f ca="1">((L3+I3+(LOG(J3)*4/3))*0.754)</f>
        <v>11.146380337188825</v>
      </c>
      <c r="AN3" s="83">
        <f ca="1">((L3+I3+(LOG(J3)*4/3))*0.708)</f>
        <v>10.466362438633537</v>
      </c>
      <c r="AO3" s="83">
        <f ca="1">((Q3+I3+(LOG(J3)*4/3))*0.167)</f>
        <v>3.5125106317115833</v>
      </c>
      <c r="AP3" s="83">
        <f ca="1">((R3+I3+(LOG(J3)*4/3))*0.288)</f>
        <v>1.4225033648678798</v>
      </c>
      <c r="AQ3" s="83">
        <f ca="1">((L3+I3+(LOG(J3)*4/3))*0.27)</f>
        <v>3.9914094045636377</v>
      </c>
      <c r="AR3" s="83">
        <f ca="1">((L3+I3+(LOG(J3)*4/3))*0.594)</f>
        <v>8.7811006900400024</v>
      </c>
      <c r="AS3" s="83">
        <f ca="1">AQ3/2</f>
        <v>1.9957047022818188</v>
      </c>
      <c r="AT3" s="83">
        <f ca="1">((M3+I3+(LOG(J3)*4/3))*0.944)</f>
        <v>4.6284299181780488</v>
      </c>
      <c r="AU3" s="83">
        <f ca="1">((O3+I3+(LOG(J3)*4/3))*0.13)</f>
        <v>0.49178971330841803</v>
      </c>
      <c r="AV3" s="83">
        <f ca="1">((P3+I3+(LOG(J3)*4/3))*0.173)+((O3+I3+(LOG(J3)*4/3))*0.12)</f>
        <v>0.94406835384128052</v>
      </c>
      <c r="AW3" s="83">
        <f ca="1">AU3/2</f>
        <v>0.24589485665420902</v>
      </c>
      <c r="AX3" s="83">
        <f ca="1">((L3+I3+(LOG(J3)*4/3))*0.189)</f>
        <v>2.7939865831945463</v>
      </c>
      <c r="AY3" s="83">
        <f ca="1">((L3+I3+(LOG(J3)*4/3))*0.4)</f>
        <v>5.9131991178720558</v>
      </c>
      <c r="AZ3" s="83">
        <f ca="1">AX3/2</f>
        <v>1.3969932915972731</v>
      </c>
      <c r="BA3" s="83">
        <f ca="1">((M3+I3+(LOG(J3)*4/3))*1)</f>
        <v>4.9029977946801369</v>
      </c>
      <c r="BB3" s="83">
        <f ca="1">((O3+I3+(LOG(J3)*4/3))*0.253)</f>
        <v>0.95709844205407502</v>
      </c>
      <c r="BC3" s="83">
        <f ca="1">((P3+I3+(LOG(J3)*4/3))*0.21)+((O3+I3+(LOG(J3)*4/3))*0.341)</f>
        <v>1.8849317848687566</v>
      </c>
      <c r="BD3" s="83">
        <f ca="1">BB3/2</f>
        <v>0.47854922102703751</v>
      </c>
      <c r="BE3" s="83">
        <f ca="1">((L3+I3+(LOG(J3)*4/3))*0.291)</f>
        <v>4.3018523582519199</v>
      </c>
      <c r="BF3" s="83">
        <f ca="1">((L3+I3+(LOG(J3)*4/3))*0.348)</f>
        <v>5.144483232548688</v>
      </c>
      <c r="BG3" s="83">
        <f ca="1">((M3+I3+(LOG(J3)*4/3))*0.881)</f>
        <v>4.3195410571132005</v>
      </c>
      <c r="BH3" s="83">
        <f ca="1">((N3+I3+(LOG(J3)*4/3))*0.574)+((O3+I3+(LOG(J3)*4/3))*0.315)</f>
        <v>4.0518850394706423</v>
      </c>
      <c r="BI3" s="83">
        <f ca="1">((O3+I3+(LOG(J3)*4/3))*0.241)</f>
        <v>0.91170246851791337</v>
      </c>
      <c r="BJ3" s="83">
        <f ca="1">((L3+I3+(LOG(J3)*4/3))*0.485)</f>
        <v>7.1697539304198674</v>
      </c>
      <c r="BK3" s="83">
        <f ca="1">((L3+I3+(LOG(J3)*4/3))*0.264)</f>
        <v>3.9027114177955569</v>
      </c>
      <c r="BL3" s="83">
        <f ca="1">((M3+I3+(LOG(J3)*4/3))*0.381)</f>
        <v>1.8680421597731323</v>
      </c>
      <c r="BM3" s="83">
        <f ca="1">((N3+I3+(LOG(J3)*4/3))*0.673)+((O3+I3+(LOG(J3)*4/3))*0.201)</f>
        <v>4.1139400725504407</v>
      </c>
      <c r="BN3" s="83">
        <f ca="1">((O3+I3+(LOG(J3)*4/3))*0.052)</f>
        <v>0.1967158853233672</v>
      </c>
      <c r="BO3" s="83">
        <f ca="1">((L3+I3+(LOG(J3)*4/3))*0.18)</f>
        <v>2.6609396030424248</v>
      </c>
      <c r="BP3" s="83">
        <f ca="1">(L3+I3+(LOG(J3)*4/3))*0.068</f>
        <v>1.0052438500382495</v>
      </c>
      <c r="BQ3" s="83">
        <f ca="1">((M3+I3+(LOG(J3)*4/3))*0.305)</f>
        <v>1.4954143273774416</v>
      </c>
      <c r="BR3" s="83">
        <f ca="1">((N3+I3+(LOG(J3)*4/3))*1)+((O3+I3+(LOG(J3)*4/3))*0.286)</f>
        <v>6.0649351639586575</v>
      </c>
      <c r="BS3" s="83">
        <f ca="1">((O3+I3+(LOG(J3)*4/3))*0.135)</f>
        <v>0.51070470228181875</v>
      </c>
      <c r="BT3" s="83">
        <f ca="1">((L3+I3+(LOG(J3)*4/3))*0.284)</f>
        <v>4.1983713736891586</v>
      </c>
      <c r="BU3" s="83">
        <f ca="1">(L3+I3+(LOG(J3)*4/3))*0.244</f>
        <v>3.6070514619019538</v>
      </c>
      <c r="BV3" s="83">
        <f ca="1">((M3+I3+(LOG(J3)*4/3))*0.455)</f>
        <v>2.2308639965794623</v>
      </c>
      <c r="BW3" s="83">
        <f ca="1">((N3+I3+(LOG(J3)*4/3))*0.864)+((O3+I3+(LOG(J3)*4/3))*0.244)</f>
        <v>5.2283615565055932</v>
      </c>
      <c r="BX3" s="83">
        <f ca="1">((O3+I3+(LOG(J3)*4/3))*0.121)</f>
        <v>0.45774273315629677</v>
      </c>
      <c r="BY3" s="83">
        <f ca="1">((L3+I3+(LOG(J3)*4/3))*0.284)</f>
        <v>4.1983713736891586</v>
      </c>
      <c r="BZ3" s="83">
        <f ca="1">((L3+I3+(LOG(J3)*4/3))*0.244)</f>
        <v>3.6070514619019538</v>
      </c>
      <c r="CA3" s="83">
        <f ca="1">((M3+I3+(LOG(J3)*4/3))*0.631)</f>
        <v>3.0937916084431665</v>
      </c>
      <c r="CB3" s="83">
        <f ca="1">((N3+I3+(LOG(J3)*4/3))*0.702)+((O3+I3+(LOG(J3)*4/3))*0.193)</f>
        <v>4.2281830262387228</v>
      </c>
      <c r="CC3" s="83">
        <f ca="1">((O3+I3+(LOG(J3)*4/3))*0.148)</f>
        <v>0.55988367361266045</v>
      </c>
      <c r="CD3" s="83">
        <f ca="1">((M3+I3+(LOG(J3)*4/3))*0.406)</f>
        <v>1.9906171046401357</v>
      </c>
      <c r="CE3" s="83">
        <f ca="1">IF(D3="TEC",((N3+I3+(LOG(J3)*4/3))*0.15)+((O3+I3+(LOG(J3)*4/3))*0.324)+((P3+I3+(LOG(J3)*4/3))*0.127),(((N3+I3+(LOG(J3)*4/3))*0.144)+((O3+I3+(LOG(J3)*4/3))*0.25)+((P3+I3+(LOG(J3)*4/3))*0.127)))</f>
        <v>2.0230918510283522</v>
      </c>
      <c r="CF3" s="83">
        <f ca="1">((O3+I3+(LOG(J3)*4/3))*0.543)+((P3+I3+(LOG(J3)*4/3))*0.583)</f>
        <v>3.7058055168098356</v>
      </c>
      <c r="CG3" s="83">
        <f ca="1">CE3</f>
        <v>2.0230918510283522</v>
      </c>
      <c r="CH3" s="83">
        <f ca="1">((P3+1+(LOG(J3)*4/3))*0.26)+((N3+I3+(LOG(J3)*4/3))*0.221)+((O3+I3+(LOG(J3)*4/3))*0.142)</f>
        <v>2.375007626085726</v>
      </c>
      <c r="CI3" s="83">
        <f ca="1">((P3+I3+(LOG(J3)*4/3))*1)+((O3+I3+(LOG(J3)*4/3))*0.369)</f>
        <v>4.2289239809171093</v>
      </c>
      <c r="CJ3" s="83">
        <f ca="1">CH3</f>
        <v>2.375007626085726</v>
      </c>
      <c r="CK3" s="83">
        <f ca="1">((M3+I3+(LOG(J3)*4/3))*0.25)</f>
        <v>1.2257494486700342</v>
      </c>
    </row>
    <row r="4" spans="1:89" x14ac:dyDescent="0.25">
      <c r="A4" t="str">
        <f>PLANTILLA!D5</f>
        <v>T. Hammond</v>
      </c>
      <c r="B4" s="355">
        <f>PLANTILLA!E5</f>
        <v>39</v>
      </c>
      <c r="C4" s="122">
        <f ca="1">PLANTILLA!F5</f>
        <v>12</v>
      </c>
      <c r="D4" s="355" t="str">
        <f>PLANTILLA!G5</f>
        <v>CAB</v>
      </c>
      <c r="E4" s="287">
        <v>36526</v>
      </c>
      <c r="F4" s="122">
        <f>PLANTILLA!Q5</f>
        <v>4</v>
      </c>
      <c r="G4" s="154">
        <f t="shared" ref="G4:G26" si="0">(F4/7)^0.5</f>
        <v>0.7559289460184544</v>
      </c>
      <c r="H4" s="154">
        <f t="shared" ref="H4:H26" si="1">IF(F4=7,1,((F4+0.99)/7)^0.5)</f>
        <v>0.84430867747355465</v>
      </c>
      <c r="I4" s="209">
        <f>PLANTILLA!P5</f>
        <v>1.5</v>
      </c>
      <c r="J4" s="210">
        <f>PLANTILLA!I5</f>
        <v>8.4</v>
      </c>
      <c r="K4" s="49">
        <f>PLANTILLA!X5</f>
        <v>7.95</v>
      </c>
      <c r="L4" s="49">
        <f>PLANTILLA!Y5</f>
        <v>7.95</v>
      </c>
      <c r="M4" s="49">
        <f>PLANTILLA!Z5</f>
        <v>0.95</v>
      </c>
      <c r="N4" s="49">
        <f>PLANTILLA!AA5</f>
        <v>0.95</v>
      </c>
      <c r="O4" s="49">
        <f>PLANTILLA!AB5</f>
        <v>1.95</v>
      </c>
      <c r="P4" s="49">
        <f>PLANTILLA!AC5</f>
        <v>0</v>
      </c>
      <c r="Q4" s="49">
        <f>PLANTILLA!AD5</f>
        <v>14.95</v>
      </c>
      <c r="R4" s="210">
        <f t="shared" ref="R4:R26" si="2">((2*(O4+1))+(L4+1))/8</f>
        <v>1.85625</v>
      </c>
      <c r="S4" s="210">
        <f t="shared" ref="S4:S26" si="3">1.66*(P4+(LOG(J4)*4/3)+I4)+0.55*(Q4+(LOG(J4)*4/3)+I4)-7.6</f>
        <v>6.6610429629290131</v>
      </c>
      <c r="T4" s="49">
        <f t="shared" ref="T4:T26" si="4">(0.5*P4+ 0.3*Q4)/10</f>
        <v>0.44849999999999995</v>
      </c>
      <c r="U4" s="49">
        <f t="shared" ref="U4:U26" si="5">(0.4*L4+0.3*Q4)/10</f>
        <v>0.76649999999999996</v>
      </c>
      <c r="V4" s="210">
        <f t="shared" ref="V4:V26" ca="1" si="6">IF(TODAY()-E4&gt;335,(Q4+1+(LOG(J4)*4/3))*(F4/7)^0.5,(Q4+((TODAY()-E4)^0.5)/(336^0.5)+(LOG(J4)*4/3))*(F4/7)^0.5)</f>
        <v>12.988652644380277</v>
      </c>
      <c r="W4" s="210">
        <f t="shared" ref="W4:W26" ca="1" si="7">IF(F4=7,V4,IF(TODAY()-E4&gt;335,(Q4+1+(LOG(J4)*4/3))*((F4+0.99)/7)^0.5,(Q4+((TODAY()-E4)^0.5)/(336^0.5)+(LOG(J4)*4/3))*((F4+0.99)/7)^0.5))</f>
        <v>14.507226101211341</v>
      </c>
      <c r="X4" s="83">
        <f t="shared" ref="X4:X26" si="8">((K4+I4+(LOG(J4)*4/3))*0.597)+((L4+I4+(LOG(J4)*4/3))*0.276)</f>
        <v>9.3257110889760302</v>
      </c>
      <c r="Y4" s="83">
        <f t="shared" ref="Y4:Y26" si="9">((K4+I4+(LOG(J4)*4/3))*0.866)+((L4+I4+(LOG(J4)*4/3))*0.425)</f>
        <v>13.790942744407852</v>
      </c>
      <c r="Z4" s="83">
        <f t="shared" ref="Z4:Z26" si="10">X4</f>
        <v>9.3257110889760302</v>
      </c>
      <c r="AA4" s="83">
        <f t="shared" ref="AA4:AA26" si="11">((L4+I4+(LOG(J4)*4/3))*0.516)</f>
        <v>5.5121041488105744</v>
      </c>
      <c r="AB4" s="83">
        <f t="shared" ref="AB4:AB26" si="12">(L4+I4+(LOG(J4)*4/3))*1</f>
        <v>10.682372381415842</v>
      </c>
      <c r="AC4" s="83">
        <f t="shared" ref="AC4:AC26" si="13">AA4/2</f>
        <v>2.7560520744052872</v>
      </c>
      <c r="AD4" s="83">
        <f t="shared" ref="AD4:AD26" si="14">(M4+I4+(LOG(J4)*4/3))*0.238</f>
        <v>0.87640462677697051</v>
      </c>
      <c r="AE4" s="83">
        <f t="shared" ref="AE4:AE26" si="15">((L4+I4+(LOG(J4)*4/3))*0.378)</f>
        <v>4.0379367601751879</v>
      </c>
      <c r="AF4" s="83">
        <f t="shared" ref="AF4:AF26" si="16">(L4+I4+(LOG(J4)*4/3))*0.723</f>
        <v>7.7233552317636534</v>
      </c>
      <c r="AG4" s="83">
        <f t="shared" ref="AG4:AG26" si="17">AE4/2</f>
        <v>2.0189683800875939</v>
      </c>
      <c r="AH4" s="83">
        <f t="shared" ref="AH4:AH26" si="18">(M4+I4+(LOG(J4)*4/3))*0.385</f>
        <v>1.4177133668450994</v>
      </c>
      <c r="AI4" s="83">
        <f t="shared" ref="AI4:AI26" si="19">((L4+I4+(LOG(J4)*4/3))*0.92)</f>
        <v>9.8277825909025758</v>
      </c>
      <c r="AJ4" s="83">
        <f t="shared" ref="AJ4:AJ26" si="20">(L4+I4+(LOG(J4)*4/3))*0.414</f>
        <v>4.4225021659061587</v>
      </c>
      <c r="AK4" s="83">
        <f t="shared" ref="AK4:AK26" si="21">((M4+I4+(LOG(J4)*4/3))*0.167)</f>
        <v>0.61495618769644578</v>
      </c>
      <c r="AL4" s="83">
        <f t="shared" ref="AL4:AL26" si="22">(N4+I4+(LOG(J4)*4/3))*0.588</f>
        <v>2.1652349602725152</v>
      </c>
      <c r="AM4" s="83">
        <f t="shared" ref="AM4:AM26" si="23">((L4+I4+(LOG(J4)*4/3))*0.754)</f>
        <v>8.0545087755875446</v>
      </c>
      <c r="AN4" s="83">
        <f t="shared" ref="AN4:AN26" si="24">((L4+I4+(LOG(J4)*4/3))*0.708)</f>
        <v>7.5631196460424155</v>
      </c>
      <c r="AO4" s="83">
        <f t="shared" ref="AO4:AO26" si="25">((Q4+I4+(LOG(J4)*4/3))*0.167)</f>
        <v>2.9529561876964459</v>
      </c>
      <c r="AP4" s="83">
        <f t="shared" ref="AP4:AP26" si="26">((R4+I4+(LOG(J4)*4/3))*0.288)</f>
        <v>1.3215232458477624</v>
      </c>
      <c r="AQ4" s="83">
        <f t="shared" ref="AQ4:AQ26" si="27">((L4+I4+(LOG(J4)*4/3))*0.27)</f>
        <v>2.8842405429822775</v>
      </c>
      <c r="AR4" s="83">
        <f t="shared" ref="AR4:AR26" si="28">((L4+I4+(LOG(J4)*4/3))*0.594)</f>
        <v>6.3453291945610095</v>
      </c>
      <c r="AS4" s="83">
        <f t="shared" ref="AS4:AS26" si="29">AQ4/2</f>
        <v>1.4421202714911387</v>
      </c>
      <c r="AT4" s="83">
        <f t="shared" ref="AT4:AT26" si="30">((M4+I4+(LOG(J4)*4/3))*0.944)</f>
        <v>3.4761595280565549</v>
      </c>
      <c r="AU4" s="83">
        <f t="shared" ref="AU4:AU26" si="31">((O4+I4+(LOG(J4)*4/3))*0.13)</f>
        <v>0.60870840958405947</v>
      </c>
      <c r="AV4" s="83">
        <f t="shared" ref="AV4:AV26" si="32">((P4+I4+(LOG(J4)*4/3))*0.173)+((O4+I4+(LOG(J4)*4/3))*0.12)</f>
        <v>1.0345851077548418</v>
      </c>
      <c r="AW4" s="83">
        <f t="shared" ref="AW4:AW26" si="33">AU4/2</f>
        <v>0.30435420479202974</v>
      </c>
      <c r="AX4" s="83">
        <f t="shared" ref="AX4:AX26" si="34">((L4+I4+(LOG(J4)*4/3))*0.189)</f>
        <v>2.0189683800875939</v>
      </c>
      <c r="AY4" s="83">
        <f t="shared" ref="AY4:AY26" si="35">((L4+I4+(LOG(J4)*4/3))*0.4)</f>
        <v>4.2729489525663373</v>
      </c>
      <c r="AZ4" s="83">
        <f t="shared" ref="AZ4:AZ26" si="36">AX4/2</f>
        <v>1.009484190043797</v>
      </c>
      <c r="BA4" s="83">
        <f t="shared" ref="BA4:BA26" si="37">((M4+I4+(LOG(J4)*4/3))*1)</f>
        <v>3.6823723814158424</v>
      </c>
      <c r="BB4" s="83">
        <f t="shared" ref="BB4:BB26" si="38">((O4+I4+(LOG(J4)*4/3))*0.253)</f>
        <v>1.1846402124982081</v>
      </c>
      <c r="BC4" s="83">
        <f t="shared" ref="BC4:BC26" si="39">((P4+I4+(LOG(J4)*4/3))*0.21)+((O4+I4+(LOG(J4)*4/3))*0.341)</f>
        <v>2.1704871821601293</v>
      </c>
      <c r="BD4" s="83">
        <f t="shared" ref="BD4:BD26" si="40">BB4/2</f>
        <v>0.59232010624910403</v>
      </c>
      <c r="BE4" s="83">
        <f t="shared" ref="BE4:BE26" si="41">((L4+I4+(LOG(J4)*4/3))*0.291)</f>
        <v>3.1085703629920096</v>
      </c>
      <c r="BF4" s="83">
        <f t="shared" ref="BF4:BF26" si="42">((L4+I4+(LOG(J4)*4/3))*0.348)</f>
        <v>3.7174655887327126</v>
      </c>
      <c r="BG4" s="83">
        <f t="shared" ref="BG4:BG26" si="43">((M4+I4+(LOG(J4)*4/3))*0.881)</f>
        <v>3.2441700680273571</v>
      </c>
      <c r="BH4" s="83">
        <f t="shared" ref="BH4:BH26" si="44">((N4+I4+(LOG(J4)*4/3))*0.574)+((O4+I4+(LOG(J4)*4/3))*0.315)</f>
        <v>3.5886290470786841</v>
      </c>
      <c r="BI4" s="83">
        <f t="shared" ref="BI4:BI26" si="45">((O4+I4+(LOG(J4)*4/3))*0.241)</f>
        <v>1.1284517439212178</v>
      </c>
      <c r="BJ4" s="83">
        <f t="shared" ref="BJ4:BJ26" si="46">((L4+I4+(LOG(J4)*4/3))*0.485)</f>
        <v>5.1809506049866831</v>
      </c>
      <c r="BK4" s="83">
        <f t="shared" ref="BK4:BK26" si="47">((L4+I4+(LOG(J4)*4/3))*0.264)</f>
        <v>2.8201463086937824</v>
      </c>
      <c r="BL4" s="83">
        <f t="shared" ref="BL4:BL26" si="48">((M4+I4+(LOG(J4)*4/3))*0.381)</f>
        <v>1.4029838773194361</v>
      </c>
      <c r="BM4" s="83">
        <f t="shared" ref="BM4:BM26" si="49">((N4+I4+(LOG(J4)*4/3))*0.673)+((O4+I4+(LOG(J4)*4/3))*0.201)</f>
        <v>3.4193934613574464</v>
      </c>
      <c r="BN4" s="83">
        <f t="shared" ref="BN4:BN26" si="50">((O4+I4+(LOG(J4)*4/3))*0.052)</f>
        <v>0.24348336383362376</v>
      </c>
      <c r="BO4" s="83">
        <f t="shared" ref="BO4:BO26" si="51">((L4+I4+(LOG(J4)*4/3))*0.18)</f>
        <v>1.9228270286548514</v>
      </c>
      <c r="BP4" s="83">
        <f t="shared" ref="BP4:BP26" si="52">(L4+I4+(LOG(J4)*4/3))*0.068</f>
        <v>0.72640132193627727</v>
      </c>
      <c r="BQ4" s="83">
        <f t="shared" ref="BQ4:BQ26" si="53">((M4+I4+(LOG(J4)*4/3))*0.305)</f>
        <v>1.1231235763318319</v>
      </c>
      <c r="BR4" s="83">
        <f t="shared" ref="BR4:BR26" si="54">((N4+I4+(LOG(J4)*4/3))*1)+((O4+I4+(LOG(J4)*4/3))*0.286)</f>
        <v>5.0215308825007732</v>
      </c>
      <c r="BS4" s="83">
        <f t="shared" ref="BS4:BS26" si="55">((O4+I4+(LOG(J4)*4/3))*0.135)</f>
        <v>0.6321202714911387</v>
      </c>
      <c r="BT4" s="83">
        <f t="shared" ref="BT4:BT26" si="56">((L4+I4+(LOG(J4)*4/3))*0.284)</f>
        <v>3.0337937563220989</v>
      </c>
      <c r="BU4" s="83">
        <f t="shared" ref="BU4:BU26" si="57">(L4+I4+(LOG(J4)*4/3))*0.244</f>
        <v>2.6064988610654654</v>
      </c>
      <c r="BV4" s="83">
        <f t="shared" ref="BV4:BV26" si="58">((M4+I4+(LOG(J4)*4/3))*0.455)</f>
        <v>1.6754794335442085</v>
      </c>
      <c r="BW4" s="83">
        <f t="shared" ref="BW4:BW26" si="59">((N4+I4+(LOG(J4)*4/3))*0.864)+((O4+I4+(LOG(J4)*4/3))*0.244)</f>
        <v>4.3240685986087533</v>
      </c>
      <c r="BX4" s="83">
        <f t="shared" ref="BX4:BX26" si="60">((O4+I4+(LOG(J4)*4/3))*0.121)</f>
        <v>0.56656705815131692</v>
      </c>
      <c r="BY4" s="83">
        <f t="shared" ref="BY4:BY26" si="61">((L4+I4+(LOG(J4)*4/3))*0.284)</f>
        <v>3.0337937563220989</v>
      </c>
      <c r="BZ4" s="83">
        <f t="shared" ref="BZ4:BZ26" si="62">((L4+I4+(LOG(J4)*4/3))*0.244)</f>
        <v>2.6064988610654654</v>
      </c>
      <c r="CA4" s="83">
        <f t="shared" ref="CA4:CA26" si="63">((M4+I4+(LOG(J4)*4/3))*0.631)</f>
        <v>2.3235769726733966</v>
      </c>
      <c r="CB4" s="83">
        <f t="shared" ref="CB4:CB26" si="64">((N4+I4+(LOG(J4)*4/3))*0.702)+((O4+I4+(LOG(J4)*4/3))*0.193)</f>
        <v>3.4887232813671787</v>
      </c>
      <c r="CC4" s="83">
        <f t="shared" ref="CC4:CC26" si="65">((O4+I4+(LOG(J4)*4/3))*0.148)</f>
        <v>0.69299111244954459</v>
      </c>
      <c r="CD4" s="83">
        <f t="shared" ref="CD4:CD26" si="66">((M4+I4+(LOG(J4)*4/3))*0.406)</f>
        <v>1.4950431868548322</v>
      </c>
      <c r="CE4" s="83">
        <f t="shared" ref="CE4:CE26" si="67">IF(D4="TEC",((N4+I4+(LOG(J4)*4/3))*0.15)+((O4+I4+(LOG(J4)*4/3))*0.324)+((P4+I4+(LOG(J4)*4/3))*0.127),(((N4+I4+(LOG(J4)*4/3))*0.144)+((O4+I4+(LOG(J4)*4/3))*0.25)+((P4+I4+(LOG(J4)*4/3))*0.127)))</f>
        <v>2.0478660107176538</v>
      </c>
      <c r="CF4" s="83">
        <f t="shared" ref="CF4:CF26" si="68">((O4+I4+(LOG(J4)*4/3))*0.543)+((P4+I4+(LOG(J4)*4/3))*0.583)</f>
        <v>4.135501301474239</v>
      </c>
      <c r="CG4" s="83">
        <f t="shared" ref="CG4:CG26" si="69">CE4</f>
        <v>2.0478660107176538</v>
      </c>
      <c r="CH4" s="83">
        <f t="shared" ref="CH4:CH26" si="70">((P4+1+(LOG(J4)*4/3))*0.26)+((N4+I4+(LOG(J4)*4/3))*0.221)+((O4+I4+(LOG(J4)*4/3))*0.142)</f>
        <v>2.0591179936220696</v>
      </c>
      <c r="CI4" s="83">
        <f t="shared" ref="CI4:CI26" si="71">((P4+I4+(LOG(J4)*4/3))*1)+((O4+I4+(LOG(J4)*4/3))*0.369)</f>
        <v>4.4601677901582875</v>
      </c>
      <c r="CJ4" s="83">
        <f t="shared" ref="CJ4:CJ26" si="72">CH4</f>
        <v>2.0591179936220696</v>
      </c>
      <c r="CK4" s="83">
        <f t="shared" ref="CK4:CK26" si="73">((M4+I4+(LOG(J4)*4/3))*0.25)</f>
        <v>0.92059309535396061</v>
      </c>
    </row>
    <row r="5" spans="1:89" x14ac:dyDescent="0.25">
      <c r="A5" t="str">
        <f>PLANTILLA!D6</f>
        <v>E. Toney</v>
      </c>
      <c r="B5" s="355">
        <f>PLANTILLA!E6</f>
        <v>36</v>
      </c>
      <c r="C5" s="122">
        <f ca="1">PLANTILLA!F6</f>
        <v>14</v>
      </c>
      <c r="D5" s="355">
        <f>PLANTILLA!G6</f>
        <v>0</v>
      </c>
      <c r="E5" s="287">
        <v>36526</v>
      </c>
      <c r="F5" s="122">
        <f>PLANTILLA!Q6</f>
        <v>5</v>
      </c>
      <c r="G5" s="154">
        <f t="shared" si="0"/>
        <v>0.84515425472851657</v>
      </c>
      <c r="H5" s="154">
        <f t="shared" si="1"/>
        <v>0.92504826128926143</v>
      </c>
      <c r="I5" s="209">
        <f>PLANTILLA!P6</f>
        <v>1.5</v>
      </c>
      <c r="J5" s="210">
        <f>PLANTILLA!I6</f>
        <v>18</v>
      </c>
      <c r="K5" s="49">
        <f>PLANTILLA!X6</f>
        <v>0</v>
      </c>
      <c r="L5" s="49">
        <f>PLANTILLA!Y6</f>
        <v>11.95</v>
      </c>
      <c r="M5" s="49">
        <f>PLANTILLA!Z6</f>
        <v>12.95</v>
      </c>
      <c r="N5" s="49">
        <f>PLANTILLA!AA6</f>
        <v>8.9499999999999993</v>
      </c>
      <c r="O5" s="49">
        <f>PLANTILLA!AB6</f>
        <v>8.9499999999999993</v>
      </c>
      <c r="P5" s="49">
        <f>PLANTILLA!AC6</f>
        <v>1.95</v>
      </c>
      <c r="Q5" s="49">
        <f>PLANTILLA!AD6</f>
        <v>17.177777777777774</v>
      </c>
      <c r="R5" s="210">
        <f t="shared" si="2"/>
        <v>4.1062499999999993</v>
      </c>
      <c r="S5" s="210">
        <f t="shared" si="3"/>
        <v>12.098647426148853</v>
      </c>
      <c r="T5" s="49">
        <f t="shared" si="4"/>
        <v>0.61283333333333312</v>
      </c>
      <c r="U5" s="49">
        <f t="shared" si="5"/>
        <v>0.99333333333333318</v>
      </c>
      <c r="V5" s="210">
        <f t="shared" ca="1" si="6"/>
        <v>16.777558095107409</v>
      </c>
      <c r="W5" s="210">
        <f t="shared" ca="1" si="7"/>
        <v>18.363571925155941</v>
      </c>
      <c r="X5" s="83">
        <f t="shared" si="8"/>
        <v>6.0688371959402483</v>
      </c>
      <c r="Y5" s="83">
        <f t="shared" si="9"/>
        <v>9.1759924054511579</v>
      </c>
      <c r="Z5" s="83">
        <f t="shared" si="10"/>
        <v>6.0688371959402483</v>
      </c>
      <c r="AA5" s="83">
        <f t="shared" si="11"/>
        <v>7.8038274835110739</v>
      </c>
      <c r="AB5" s="83">
        <f t="shared" si="12"/>
        <v>15.123696673471073</v>
      </c>
      <c r="AC5" s="83">
        <f t="shared" si="13"/>
        <v>3.901913741755537</v>
      </c>
      <c r="AD5" s="83">
        <f t="shared" si="14"/>
        <v>3.8374398082861152</v>
      </c>
      <c r="AE5" s="83">
        <f t="shared" si="15"/>
        <v>5.7167573425720661</v>
      </c>
      <c r="AF5" s="83">
        <f t="shared" si="16"/>
        <v>10.934432694919586</v>
      </c>
      <c r="AG5" s="83">
        <f t="shared" si="17"/>
        <v>2.8583786712860331</v>
      </c>
      <c r="AH5" s="83">
        <f t="shared" si="18"/>
        <v>6.2076232192863632</v>
      </c>
      <c r="AI5" s="83">
        <f t="shared" si="19"/>
        <v>13.913800939593388</v>
      </c>
      <c r="AJ5" s="83">
        <f t="shared" si="20"/>
        <v>6.2612104228170242</v>
      </c>
      <c r="AK5" s="83">
        <f t="shared" si="21"/>
        <v>2.6926573444696693</v>
      </c>
      <c r="AL5" s="83">
        <f t="shared" si="22"/>
        <v>7.1287336440009907</v>
      </c>
      <c r="AM5" s="83">
        <f t="shared" si="23"/>
        <v>11.403267291797189</v>
      </c>
      <c r="AN5" s="83">
        <f t="shared" si="24"/>
        <v>10.70757724481752</v>
      </c>
      <c r="AO5" s="83">
        <f t="shared" si="25"/>
        <v>3.398696233358558</v>
      </c>
      <c r="AP5" s="83">
        <f t="shared" si="26"/>
        <v>2.0966246419596692</v>
      </c>
      <c r="AQ5" s="83">
        <f t="shared" si="27"/>
        <v>4.0833981018371901</v>
      </c>
      <c r="AR5" s="83">
        <f t="shared" si="28"/>
        <v>8.9834758240418164</v>
      </c>
      <c r="AS5" s="83">
        <f t="shared" si="29"/>
        <v>2.041699050918595</v>
      </c>
      <c r="AT5" s="83">
        <f t="shared" si="30"/>
        <v>15.220769659756693</v>
      </c>
      <c r="AU5" s="83">
        <f t="shared" si="31"/>
        <v>1.5760805675512395</v>
      </c>
      <c r="AV5" s="83">
        <f t="shared" si="32"/>
        <v>2.3412431253270247</v>
      </c>
      <c r="AW5" s="83">
        <f t="shared" si="33"/>
        <v>0.78804028377561974</v>
      </c>
      <c r="AX5" s="83">
        <f t="shared" si="34"/>
        <v>2.8583786712860331</v>
      </c>
      <c r="AY5" s="83">
        <f t="shared" si="35"/>
        <v>6.0494786693884297</v>
      </c>
      <c r="AZ5" s="83">
        <f t="shared" si="36"/>
        <v>1.4291893356430165</v>
      </c>
      <c r="BA5" s="83">
        <f t="shared" si="37"/>
        <v>16.123696673471073</v>
      </c>
      <c r="BB5" s="83">
        <f t="shared" si="38"/>
        <v>3.0672952583881816</v>
      </c>
      <c r="BC5" s="83">
        <f t="shared" si="39"/>
        <v>5.2101568670825618</v>
      </c>
      <c r="BD5" s="83">
        <f t="shared" si="40"/>
        <v>1.5336476291940908</v>
      </c>
      <c r="BE5" s="83">
        <f t="shared" si="41"/>
        <v>4.4009957319800819</v>
      </c>
      <c r="BF5" s="83">
        <f t="shared" si="42"/>
        <v>5.2630464423679335</v>
      </c>
      <c r="BG5" s="83">
        <f t="shared" si="43"/>
        <v>14.204976769328015</v>
      </c>
      <c r="BH5" s="83">
        <f t="shared" si="44"/>
        <v>10.777966342715784</v>
      </c>
      <c r="BI5" s="83">
        <f t="shared" si="45"/>
        <v>2.9218108983065285</v>
      </c>
      <c r="BJ5" s="83">
        <f t="shared" si="46"/>
        <v>7.3349928866334704</v>
      </c>
      <c r="BK5" s="83">
        <f t="shared" si="47"/>
        <v>3.9926559217963637</v>
      </c>
      <c r="BL5" s="83">
        <f t="shared" si="48"/>
        <v>6.1431284325924791</v>
      </c>
      <c r="BM5" s="83">
        <f t="shared" si="49"/>
        <v>10.596110892613719</v>
      </c>
      <c r="BN5" s="83">
        <f t="shared" si="50"/>
        <v>0.63043222702049584</v>
      </c>
      <c r="BO5" s="83">
        <f t="shared" si="51"/>
        <v>2.7222654012247931</v>
      </c>
      <c r="BP5" s="83">
        <f t="shared" si="52"/>
        <v>1.028411373796033</v>
      </c>
      <c r="BQ5" s="83">
        <f t="shared" si="53"/>
        <v>4.917727485408677</v>
      </c>
      <c r="BR5" s="83">
        <f t="shared" si="54"/>
        <v>15.591073922083801</v>
      </c>
      <c r="BS5" s="83">
        <f t="shared" si="55"/>
        <v>1.636699050918595</v>
      </c>
      <c r="BT5" s="83">
        <f t="shared" si="56"/>
        <v>4.2951298552657846</v>
      </c>
      <c r="BU5" s="83">
        <f t="shared" si="57"/>
        <v>3.690181988326942</v>
      </c>
      <c r="BV5" s="83">
        <f t="shared" si="58"/>
        <v>7.3362819864293387</v>
      </c>
      <c r="BW5" s="83">
        <f t="shared" si="59"/>
        <v>13.43305591420595</v>
      </c>
      <c r="BX5" s="83">
        <f t="shared" si="60"/>
        <v>1.4669672974899999</v>
      </c>
      <c r="BY5" s="83">
        <f t="shared" si="61"/>
        <v>4.2951298552657846</v>
      </c>
      <c r="BZ5" s="83">
        <f t="shared" si="62"/>
        <v>3.690181988326942</v>
      </c>
      <c r="CA5" s="83">
        <f t="shared" si="63"/>
        <v>10.174052600960247</v>
      </c>
      <c r="CB5" s="83">
        <f t="shared" si="64"/>
        <v>10.85070852275661</v>
      </c>
      <c r="CC5" s="83">
        <f t="shared" si="65"/>
        <v>1.7943071076737187</v>
      </c>
      <c r="CD5" s="83">
        <f t="shared" si="66"/>
        <v>6.5462208494292566</v>
      </c>
      <c r="CE5" s="83">
        <f t="shared" si="67"/>
        <v>5.4274459668784294</v>
      </c>
      <c r="CF5" s="83">
        <f t="shared" si="68"/>
        <v>9.5702824543284297</v>
      </c>
      <c r="CG5" s="83">
        <f t="shared" si="69"/>
        <v>5.4274459668784294</v>
      </c>
      <c r="CH5" s="83">
        <f t="shared" si="70"/>
        <v>5.6030630275724791</v>
      </c>
      <c r="CI5" s="83">
        <f t="shared" si="71"/>
        <v>9.5973407459819011</v>
      </c>
      <c r="CJ5" s="83">
        <f t="shared" si="72"/>
        <v>5.6030630275724791</v>
      </c>
      <c r="CK5" s="83">
        <f t="shared" si="73"/>
        <v>4.0309241683677683</v>
      </c>
    </row>
    <row r="6" spans="1:89" x14ac:dyDescent="0.25">
      <c r="A6" t="str">
        <f>PLANTILLA!D7</f>
        <v>B. Bartolache</v>
      </c>
      <c r="B6" s="355">
        <f>PLANTILLA!E7</f>
        <v>35</v>
      </c>
      <c r="C6" s="122">
        <f ca="1">PLANTILLA!F7</f>
        <v>111</v>
      </c>
      <c r="D6" s="355">
        <f>PLANTILLA!G7</f>
        <v>0</v>
      </c>
      <c r="E6" s="287">
        <v>36526</v>
      </c>
      <c r="F6" s="122">
        <f>PLANTILLA!Q7</f>
        <v>6</v>
      </c>
      <c r="G6" s="154">
        <f t="shared" si="0"/>
        <v>0.92582009977255142</v>
      </c>
      <c r="H6" s="154">
        <f t="shared" si="1"/>
        <v>0.99928545900129484</v>
      </c>
      <c r="I6" s="209">
        <f>PLANTILLA!P7</f>
        <v>1.5</v>
      </c>
      <c r="J6" s="210">
        <f>PLANTILLA!I7</f>
        <v>11.8</v>
      </c>
      <c r="K6" s="49">
        <f>PLANTILLA!X7</f>
        <v>0</v>
      </c>
      <c r="L6" s="49">
        <f>PLANTILLA!Y7</f>
        <v>11.95</v>
      </c>
      <c r="M6" s="49">
        <f>PLANTILLA!Z7</f>
        <v>5.95</v>
      </c>
      <c r="N6" s="49">
        <f>PLANTILLA!AA7</f>
        <v>6.95</v>
      </c>
      <c r="O6" s="49">
        <f>PLANTILLA!AB7</f>
        <v>7.95</v>
      </c>
      <c r="P6" s="49">
        <f>PLANTILLA!AC7</f>
        <v>2.95</v>
      </c>
      <c r="Q6" s="49">
        <f>PLANTILLA!AD7</f>
        <v>16</v>
      </c>
      <c r="R6" s="210">
        <f t="shared" si="2"/>
        <v>3.8562499999999997</v>
      </c>
      <c r="S6" s="210">
        <f t="shared" si="3"/>
        <v>12.570478981528717</v>
      </c>
      <c r="T6" s="49">
        <f t="shared" si="4"/>
        <v>0.62750000000000006</v>
      </c>
      <c r="U6" s="49">
        <f t="shared" si="5"/>
        <v>0.95799999999999996</v>
      </c>
      <c r="V6" s="210">
        <f t="shared" ca="1" si="6"/>
        <v>17.062101572064787</v>
      </c>
      <c r="W6" s="210">
        <f t="shared" ca="1" si="7"/>
        <v>18.416007607910185</v>
      </c>
      <c r="X6" s="83">
        <f t="shared" si="8"/>
        <v>5.8553706565043298</v>
      </c>
      <c r="Y6" s="83">
        <f t="shared" si="9"/>
        <v>8.8603162285762771</v>
      </c>
      <c r="Z6" s="83">
        <f t="shared" si="10"/>
        <v>5.8553706565043298</v>
      </c>
      <c r="AA6" s="83">
        <f t="shared" si="11"/>
        <v>7.6776548210266142</v>
      </c>
      <c r="AB6" s="83">
        <f t="shared" si="12"/>
        <v>14.879176009741499</v>
      </c>
      <c r="AC6" s="83">
        <f t="shared" si="13"/>
        <v>3.8388274105133071</v>
      </c>
      <c r="AD6" s="83">
        <f t="shared" si="14"/>
        <v>2.1132438903184774</v>
      </c>
      <c r="AE6" s="83">
        <f t="shared" si="15"/>
        <v>5.6243285316822869</v>
      </c>
      <c r="AF6" s="83">
        <f t="shared" si="16"/>
        <v>10.757644255043104</v>
      </c>
      <c r="AG6" s="83">
        <f t="shared" si="17"/>
        <v>2.8121642658411434</v>
      </c>
      <c r="AH6" s="83">
        <f t="shared" si="18"/>
        <v>3.418482763750478</v>
      </c>
      <c r="AI6" s="83">
        <f t="shared" si="19"/>
        <v>13.68884192896218</v>
      </c>
      <c r="AJ6" s="83">
        <f t="shared" si="20"/>
        <v>6.1599788680329803</v>
      </c>
      <c r="AK6" s="83">
        <f t="shared" si="21"/>
        <v>1.4828223936268308</v>
      </c>
      <c r="AL6" s="83">
        <f t="shared" si="22"/>
        <v>5.8089554937280017</v>
      </c>
      <c r="AM6" s="83">
        <f t="shared" si="23"/>
        <v>11.218898711345091</v>
      </c>
      <c r="AN6" s="83">
        <f t="shared" si="24"/>
        <v>10.534456614896982</v>
      </c>
      <c r="AO6" s="83">
        <f t="shared" si="25"/>
        <v>3.1611723936268308</v>
      </c>
      <c r="AP6" s="83">
        <f t="shared" si="26"/>
        <v>1.9542026908055519</v>
      </c>
      <c r="AQ6" s="83">
        <f t="shared" si="27"/>
        <v>4.0173775226302046</v>
      </c>
      <c r="AR6" s="83">
        <f t="shared" si="28"/>
        <v>8.8382305497864504</v>
      </c>
      <c r="AS6" s="83">
        <f t="shared" si="29"/>
        <v>2.0086887613151023</v>
      </c>
      <c r="AT6" s="83">
        <f t="shared" si="30"/>
        <v>8.3819421531959772</v>
      </c>
      <c r="AU6" s="83">
        <f t="shared" si="31"/>
        <v>1.4142928812663949</v>
      </c>
      <c r="AV6" s="83">
        <f t="shared" si="32"/>
        <v>2.3225985708542596</v>
      </c>
      <c r="AW6" s="83">
        <f t="shared" si="33"/>
        <v>0.70714644063319743</v>
      </c>
      <c r="AX6" s="83">
        <f t="shared" si="34"/>
        <v>2.8121642658411434</v>
      </c>
      <c r="AY6" s="83">
        <f t="shared" si="35"/>
        <v>5.9516704038965997</v>
      </c>
      <c r="AZ6" s="83">
        <f t="shared" si="36"/>
        <v>1.4060821329205717</v>
      </c>
      <c r="BA6" s="83">
        <f t="shared" si="37"/>
        <v>8.8791760097415011</v>
      </c>
      <c r="BB6" s="83">
        <f t="shared" si="38"/>
        <v>2.7524315304645994</v>
      </c>
      <c r="BC6" s="83">
        <f t="shared" si="39"/>
        <v>4.9444259813675666</v>
      </c>
      <c r="BD6" s="83">
        <f t="shared" si="40"/>
        <v>1.3762157652322997</v>
      </c>
      <c r="BE6" s="83">
        <f t="shared" si="41"/>
        <v>4.329840218834776</v>
      </c>
      <c r="BF6" s="83">
        <f t="shared" si="42"/>
        <v>5.1779532513900417</v>
      </c>
      <c r="BG6" s="83">
        <f t="shared" si="43"/>
        <v>7.8225540645822624</v>
      </c>
      <c r="BH6" s="83">
        <f t="shared" si="44"/>
        <v>9.0975874726601926</v>
      </c>
      <c r="BI6" s="83">
        <f t="shared" si="45"/>
        <v>2.6218814183477011</v>
      </c>
      <c r="BJ6" s="83">
        <f t="shared" si="46"/>
        <v>7.2164003647246266</v>
      </c>
      <c r="BK6" s="83">
        <f t="shared" si="47"/>
        <v>3.9281024665717559</v>
      </c>
      <c r="BL6" s="83">
        <f t="shared" si="48"/>
        <v>3.3829660597115119</v>
      </c>
      <c r="BM6" s="83">
        <f t="shared" si="49"/>
        <v>8.8353998325140708</v>
      </c>
      <c r="BN6" s="83">
        <f t="shared" si="50"/>
        <v>0.56571715250655796</v>
      </c>
      <c r="BO6" s="83">
        <f t="shared" si="51"/>
        <v>2.6782516817534696</v>
      </c>
      <c r="BP6" s="83">
        <f t="shared" si="52"/>
        <v>1.0117839686624219</v>
      </c>
      <c r="BQ6" s="83">
        <f t="shared" si="53"/>
        <v>2.7081486829711579</v>
      </c>
      <c r="BR6" s="83">
        <f t="shared" si="54"/>
        <v>12.990620348527568</v>
      </c>
      <c r="BS6" s="83">
        <f t="shared" si="55"/>
        <v>1.4686887613151025</v>
      </c>
      <c r="BT6" s="83">
        <f t="shared" si="56"/>
        <v>4.2256859867665852</v>
      </c>
      <c r="BU6" s="83">
        <f t="shared" si="57"/>
        <v>3.6305189463769256</v>
      </c>
      <c r="BV6" s="83">
        <f t="shared" si="58"/>
        <v>4.0400250844323828</v>
      </c>
      <c r="BW6" s="83">
        <f t="shared" si="59"/>
        <v>11.190127018793582</v>
      </c>
      <c r="BX6" s="83">
        <f t="shared" si="60"/>
        <v>1.3163802971787213</v>
      </c>
      <c r="BY6" s="83">
        <f t="shared" si="61"/>
        <v>4.2256859867665852</v>
      </c>
      <c r="BZ6" s="83">
        <f t="shared" si="62"/>
        <v>3.6305189463769256</v>
      </c>
      <c r="CA6" s="83">
        <f t="shared" si="63"/>
        <v>5.6027600621468876</v>
      </c>
      <c r="CB6" s="83">
        <f t="shared" si="64"/>
        <v>9.0348625287186408</v>
      </c>
      <c r="CC6" s="83">
        <f t="shared" si="65"/>
        <v>1.6101180494417417</v>
      </c>
      <c r="CD6" s="83">
        <f t="shared" si="66"/>
        <v>3.6049454599550499</v>
      </c>
      <c r="CE6" s="83">
        <f t="shared" si="67"/>
        <v>4.8890507010753215</v>
      </c>
      <c r="CF6" s="83">
        <f t="shared" si="68"/>
        <v>9.3349521869689287</v>
      </c>
      <c r="CG6" s="83">
        <f t="shared" si="69"/>
        <v>4.8890507010753215</v>
      </c>
      <c r="CH6" s="83">
        <f t="shared" si="70"/>
        <v>5.1267266540689542</v>
      </c>
      <c r="CI6" s="83">
        <f t="shared" si="71"/>
        <v>9.8935919573361133</v>
      </c>
      <c r="CJ6" s="83">
        <f t="shared" si="72"/>
        <v>5.1267266540689542</v>
      </c>
      <c r="CK6" s="83">
        <f t="shared" si="73"/>
        <v>2.2197940024353753</v>
      </c>
    </row>
    <row r="7" spans="1:89" x14ac:dyDescent="0.25">
      <c r="A7" t="str">
        <f>PLANTILLA!D8</f>
        <v>F. Lasprilla</v>
      </c>
      <c r="B7" s="355">
        <f>PLANTILLA!E8</f>
        <v>32</v>
      </c>
      <c r="C7" s="122">
        <f ca="1">PLANTILLA!F8</f>
        <v>22</v>
      </c>
      <c r="D7" s="355">
        <f>PLANTILLA!G8</f>
        <v>0</v>
      </c>
      <c r="E7" s="287">
        <v>36526</v>
      </c>
      <c r="F7" s="122">
        <f>PLANTILLA!Q8</f>
        <v>5</v>
      </c>
      <c r="G7" s="154">
        <f t="shared" si="0"/>
        <v>0.84515425472851657</v>
      </c>
      <c r="H7" s="154">
        <f t="shared" si="1"/>
        <v>0.92504826128926143</v>
      </c>
      <c r="I7" s="209">
        <f>PLANTILLA!P8</f>
        <v>1.5</v>
      </c>
      <c r="J7" s="210">
        <f>PLANTILLA!I8</f>
        <v>6.3</v>
      </c>
      <c r="K7" s="49">
        <f>PLANTILLA!X8</f>
        <v>0</v>
      </c>
      <c r="L7" s="49">
        <f>PLANTILLA!Y8</f>
        <v>9.6046666666666667</v>
      </c>
      <c r="M7" s="49">
        <f>PLANTILLA!Z8</f>
        <v>7.7607222222222223</v>
      </c>
      <c r="N7" s="49">
        <f>PLANTILLA!AA8</f>
        <v>6.1599999999999984</v>
      </c>
      <c r="O7" s="49">
        <f>PLANTILLA!AB8</f>
        <v>8.8633333333333315</v>
      </c>
      <c r="P7" s="49">
        <f>PLANTILLA!AC8</f>
        <v>2.95</v>
      </c>
      <c r="Q7" s="49">
        <f>PLANTILLA!AD8</f>
        <v>13.33611111111111</v>
      </c>
      <c r="R7" s="210">
        <f t="shared" si="2"/>
        <v>3.7914166666666662</v>
      </c>
      <c r="S7" s="210">
        <f t="shared" si="3"/>
        <v>10.302251263501001</v>
      </c>
      <c r="T7" s="49">
        <f t="shared" si="4"/>
        <v>0.5475833333333332</v>
      </c>
      <c r="U7" s="49">
        <f t="shared" si="5"/>
        <v>0.78426999999999991</v>
      </c>
      <c r="V7" s="210">
        <f t="shared" ca="1" si="6"/>
        <v>13.016980056946617</v>
      </c>
      <c r="W7" s="210">
        <f t="shared" ca="1" si="7"/>
        <v>14.247499437583047</v>
      </c>
      <c r="X7" s="83">
        <f t="shared" si="8"/>
        <v>4.8908203995639692</v>
      </c>
      <c r="Y7" s="83">
        <f t="shared" si="9"/>
        <v>7.3944148657927649</v>
      </c>
      <c r="Z7" s="83">
        <f t="shared" si="10"/>
        <v>4.8908203995639692</v>
      </c>
      <c r="AA7" s="83">
        <f t="shared" si="11"/>
        <v>6.279954298024065</v>
      </c>
      <c r="AB7" s="83">
        <f t="shared" si="12"/>
        <v>12.17045406593811</v>
      </c>
      <c r="AC7" s="83">
        <f t="shared" si="13"/>
        <v>3.1399771490120325</v>
      </c>
      <c r="AD7" s="83">
        <f t="shared" si="14"/>
        <v>2.457709289915492</v>
      </c>
      <c r="AE7" s="83">
        <f t="shared" si="15"/>
        <v>4.600431636924605</v>
      </c>
      <c r="AF7" s="83">
        <f t="shared" si="16"/>
        <v>8.7992382896732533</v>
      </c>
      <c r="AG7" s="83">
        <f t="shared" si="17"/>
        <v>2.3002158184623025</v>
      </c>
      <c r="AH7" s="83">
        <f t="shared" si="18"/>
        <v>3.9757062042750611</v>
      </c>
      <c r="AI7" s="83">
        <f t="shared" si="19"/>
        <v>11.196817740663061</v>
      </c>
      <c r="AJ7" s="83">
        <f t="shared" si="20"/>
        <v>5.0385679832983774</v>
      </c>
      <c r="AK7" s="83">
        <f t="shared" si="21"/>
        <v>1.7245271067894421</v>
      </c>
      <c r="AL7" s="83">
        <f t="shared" si="22"/>
        <v>5.1307629907716068</v>
      </c>
      <c r="AM7" s="83">
        <f t="shared" si="23"/>
        <v>9.176522365717334</v>
      </c>
      <c r="AN7" s="83">
        <f t="shared" si="24"/>
        <v>8.6166814786841819</v>
      </c>
      <c r="AO7" s="83">
        <f t="shared" si="25"/>
        <v>2.6556170512338864</v>
      </c>
      <c r="AP7" s="83">
        <f t="shared" si="26"/>
        <v>1.8308747709901751</v>
      </c>
      <c r="AQ7" s="83">
        <f t="shared" si="27"/>
        <v>3.28602259780329</v>
      </c>
      <c r="AR7" s="83">
        <f t="shared" si="28"/>
        <v>7.2292497151672368</v>
      </c>
      <c r="AS7" s="83">
        <f t="shared" si="29"/>
        <v>1.643011298901645</v>
      </c>
      <c r="AT7" s="83">
        <f t="shared" si="30"/>
        <v>9.7482250826900199</v>
      </c>
      <c r="AU7" s="83">
        <f t="shared" si="31"/>
        <v>1.4857856952386208</v>
      </c>
      <c r="AV7" s="83">
        <f t="shared" si="32"/>
        <v>2.3257257079865323</v>
      </c>
      <c r="AW7" s="83">
        <f t="shared" si="33"/>
        <v>0.7428928476193104</v>
      </c>
      <c r="AX7" s="83">
        <f t="shared" si="34"/>
        <v>2.3002158184623025</v>
      </c>
      <c r="AY7" s="83">
        <f t="shared" si="35"/>
        <v>4.868181626375244</v>
      </c>
      <c r="AZ7" s="83">
        <f t="shared" si="36"/>
        <v>1.1501079092311512</v>
      </c>
      <c r="BA7" s="83">
        <f t="shared" si="37"/>
        <v>10.326509621493665</v>
      </c>
      <c r="BB7" s="83">
        <f t="shared" si="38"/>
        <v>2.891567545349008</v>
      </c>
      <c r="BC7" s="83">
        <f t="shared" si="39"/>
        <v>5.0556455236652313</v>
      </c>
      <c r="BD7" s="83">
        <f t="shared" si="40"/>
        <v>1.445783772674504</v>
      </c>
      <c r="BE7" s="83">
        <f t="shared" si="41"/>
        <v>3.5416021331879897</v>
      </c>
      <c r="BF7" s="83">
        <f t="shared" si="42"/>
        <v>4.2353180149464622</v>
      </c>
      <c r="BG7" s="83">
        <f t="shared" si="43"/>
        <v>9.0976549765359191</v>
      </c>
      <c r="BH7" s="83">
        <f t="shared" si="44"/>
        <v>8.6087749979523114</v>
      </c>
      <c r="BI7" s="83">
        <f t="shared" si="45"/>
        <v>2.7544180965577505</v>
      </c>
      <c r="BJ7" s="83">
        <f t="shared" si="46"/>
        <v>5.9026702219799834</v>
      </c>
      <c r="BK7" s="83">
        <f t="shared" si="47"/>
        <v>3.2129998734076612</v>
      </c>
      <c r="BL7" s="83">
        <f t="shared" si="48"/>
        <v>3.9344001657890866</v>
      </c>
      <c r="BM7" s="83">
        <f t="shared" si="49"/>
        <v>8.1697081869632395</v>
      </c>
      <c r="BN7" s="83">
        <f t="shared" si="50"/>
        <v>0.59431427809544823</v>
      </c>
      <c r="BO7" s="83">
        <f t="shared" si="51"/>
        <v>2.1906817318688598</v>
      </c>
      <c r="BP7" s="83">
        <f t="shared" si="52"/>
        <v>0.82759087648379148</v>
      </c>
      <c r="BQ7" s="83">
        <f t="shared" si="53"/>
        <v>3.1495854345555676</v>
      </c>
      <c r="BR7" s="83">
        <f t="shared" si="54"/>
        <v>11.994515928796407</v>
      </c>
      <c r="BS7" s="83">
        <f t="shared" si="55"/>
        <v>1.5429312989016446</v>
      </c>
      <c r="BT7" s="83">
        <f t="shared" si="56"/>
        <v>3.456408954726423</v>
      </c>
      <c r="BU7" s="83">
        <f t="shared" si="57"/>
        <v>2.9695907920888986</v>
      </c>
      <c r="BV7" s="83">
        <f t="shared" si="58"/>
        <v>4.6985618777796176</v>
      </c>
      <c r="BW7" s="83">
        <f t="shared" si="59"/>
        <v>10.32778577172609</v>
      </c>
      <c r="BX7" s="83">
        <f t="shared" si="60"/>
        <v>1.3829236086451777</v>
      </c>
      <c r="BY7" s="83">
        <f t="shared" si="61"/>
        <v>3.456408954726423</v>
      </c>
      <c r="BZ7" s="83">
        <f t="shared" si="62"/>
        <v>2.9695907920888986</v>
      </c>
      <c r="CA7" s="83">
        <f t="shared" si="63"/>
        <v>6.5160275711625024</v>
      </c>
      <c r="CB7" s="83">
        <f t="shared" si="64"/>
        <v>8.3313230556812741</v>
      </c>
      <c r="CC7" s="83">
        <f t="shared" si="65"/>
        <v>1.6915098684255065</v>
      </c>
      <c r="CD7" s="83">
        <f t="shared" si="66"/>
        <v>4.1925629063264287</v>
      </c>
      <c r="CE7" s="83">
        <f t="shared" si="67"/>
        <v>4.8142985683537542</v>
      </c>
      <c r="CF7" s="83">
        <f t="shared" si="68"/>
        <v>9.4217166115796438</v>
      </c>
      <c r="CG7" s="83">
        <f t="shared" si="69"/>
        <v>4.8142985683537542</v>
      </c>
      <c r="CH7" s="83">
        <f t="shared" si="70"/>
        <v>4.855438883079441</v>
      </c>
      <c r="CI7" s="83">
        <f t="shared" si="71"/>
        <v>9.733132949602604</v>
      </c>
      <c r="CJ7" s="83">
        <f t="shared" si="72"/>
        <v>4.855438883079441</v>
      </c>
      <c r="CK7" s="83">
        <f t="shared" si="73"/>
        <v>2.5816274053734163</v>
      </c>
    </row>
    <row r="8" spans="1:89" x14ac:dyDescent="0.25">
      <c r="A8" t="str">
        <f>PLANTILLA!D9</f>
        <v>E. Romweber</v>
      </c>
      <c r="B8" s="355">
        <f>PLANTILLA!E9</f>
        <v>35</v>
      </c>
      <c r="C8" s="122">
        <f ca="1">PLANTILLA!F9</f>
        <v>88</v>
      </c>
      <c r="D8" s="355" t="str">
        <f>PLANTILLA!G9</f>
        <v>IMP</v>
      </c>
      <c r="E8" s="287">
        <v>36526</v>
      </c>
      <c r="F8" s="122">
        <f>PLANTILLA!Q9</f>
        <v>7</v>
      </c>
      <c r="G8" s="154">
        <f t="shared" si="0"/>
        <v>1</v>
      </c>
      <c r="H8" s="154">
        <f t="shared" si="1"/>
        <v>1</v>
      </c>
      <c r="I8" s="209">
        <f>PLANTILLA!P9</f>
        <v>1.5</v>
      </c>
      <c r="J8" s="210">
        <f>PLANTILLA!I9</f>
        <v>17.100000000000001</v>
      </c>
      <c r="K8" s="49">
        <f>PLANTILLA!X9</f>
        <v>0</v>
      </c>
      <c r="L8" s="49">
        <f>PLANTILLA!Y9</f>
        <v>11.95</v>
      </c>
      <c r="M8" s="49">
        <f>PLANTILLA!Z9</f>
        <v>12.614111111111114</v>
      </c>
      <c r="N8" s="49">
        <f>PLANTILLA!AA9</f>
        <v>12.95</v>
      </c>
      <c r="O8" s="49">
        <f>PLANTILLA!AB9</f>
        <v>10.95</v>
      </c>
      <c r="P8" s="49">
        <f>PLANTILLA!AC9</f>
        <v>5.95</v>
      </c>
      <c r="Q8" s="49">
        <f>PLANTILLA!AD9</f>
        <v>17.529999999999998</v>
      </c>
      <c r="R8" s="210">
        <f t="shared" si="2"/>
        <v>4.6062499999999993</v>
      </c>
      <c r="S8" s="210">
        <f t="shared" si="3"/>
        <v>18.866728538622212</v>
      </c>
      <c r="T8" s="49">
        <f t="shared" si="4"/>
        <v>0.82340000000000002</v>
      </c>
      <c r="U8" s="49">
        <f t="shared" si="5"/>
        <v>1.0039</v>
      </c>
      <c r="V8" s="210">
        <f t="shared" ca="1" si="6"/>
        <v>20.173994813856204</v>
      </c>
      <c r="W8" s="210">
        <f t="shared" ca="1" si="7"/>
        <v>20.173994813856204</v>
      </c>
      <c r="X8" s="83">
        <f t="shared" si="8"/>
        <v>6.0429074724964664</v>
      </c>
      <c r="Y8" s="83">
        <f t="shared" si="9"/>
        <v>9.1376473046883611</v>
      </c>
      <c r="Z8" s="83">
        <f t="shared" si="10"/>
        <v>6.0429074724964664</v>
      </c>
      <c r="AA8" s="83">
        <f t="shared" si="11"/>
        <v>7.7885013239498013</v>
      </c>
      <c r="AB8" s="83">
        <f t="shared" si="12"/>
        <v>15.093994813856204</v>
      </c>
      <c r="AC8" s="83">
        <f t="shared" si="13"/>
        <v>3.8942506619749007</v>
      </c>
      <c r="AD8" s="83">
        <f t="shared" si="14"/>
        <v>3.7504292101422219</v>
      </c>
      <c r="AE8" s="83">
        <f t="shared" si="15"/>
        <v>5.7055300396376456</v>
      </c>
      <c r="AF8" s="83">
        <f t="shared" si="16"/>
        <v>10.912958250418034</v>
      </c>
      <c r="AG8" s="83">
        <f t="shared" si="17"/>
        <v>2.8527650198188228</v>
      </c>
      <c r="AH8" s="83">
        <f t="shared" si="18"/>
        <v>6.0668707811124181</v>
      </c>
      <c r="AI8" s="83">
        <f t="shared" si="19"/>
        <v>13.886475228747708</v>
      </c>
      <c r="AJ8" s="83">
        <f t="shared" si="20"/>
        <v>6.2489138529364681</v>
      </c>
      <c r="AK8" s="83">
        <f t="shared" si="21"/>
        <v>2.6316036894695425</v>
      </c>
      <c r="AL8" s="83">
        <f t="shared" si="22"/>
        <v>9.4632689505474481</v>
      </c>
      <c r="AM8" s="83">
        <f t="shared" si="23"/>
        <v>11.380872089647578</v>
      </c>
      <c r="AN8" s="83">
        <f t="shared" si="24"/>
        <v>10.686548328210192</v>
      </c>
      <c r="AO8" s="83">
        <f t="shared" si="25"/>
        <v>3.4525571339139862</v>
      </c>
      <c r="AP8" s="83">
        <f t="shared" si="26"/>
        <v>2.2320705063905866</v>
      </c>
      <c r="AQ8" s="83">
        <f t="shared" si="27"/>
        <v>4.0753785997411756</v>
      </c>
      <c r="AR8" s="83">
        <f t="shared" si="28"/>
        <v>8.9658329194305857</v>
      </c>
      <c r="AS8" s="83">
        <f t="shared" si="29"/>
        <v>2.0376892998705878</v>
      </c>
      <c r="AT8" s="83">
        <f t="shared" si="30"/>
        <v>14.875651993169148</v>
      </c>
      <c r="AU8" s="83">
        <f t="shared" si="31"/>
        <v>1.8322193258013066</v>
      </c>
      <c r="AV8" s="83">
        <f t="shared" si="32"/>
        <v>3.2645404804598677</v>
      </c>
      <c r="AW8" s="83">
        <f t="shared" si="33"/>
        <v>0.91610966290065332</v>
      </c>
      <c r="AX8" s="83">
        <f t="shared" si="34"/>
        <v>2.8527650198188228</v>
      </c>
      <c r="AY8" s="83">
        <f t="shared" si="35"/>
        <v>6.0375979255424816</v>
      </c>
      <c r="AZ8" s="83">
        <f t="shared" si="36"/>
        <v>1.4263825099094114</v>
      </c>
      <c r="BA8" s="83">
        <f t="shared" si="37"/>
        <v>15.758105924967319</v>
      </c>
      <c r="BB8" s="83">
        <f t="shared" si="38"/>
        <v>3.5657806879056198</v>
      </c>
      <c r="BC8" s="83">
        <f t="shared" si="39"/>
        <v>6.7157911424347692</v>
      </c>
      <c r="BD8" s="83">
        <f t="shared" si="40"/>
        <v>1.7828903439528099</v>
      </c>
      <c r="BE8" s="83">
        <f t="shared" si="41"/>
        <v>4.3923524908321552</v>
      </c>
      <c r="BF8" s="83">
        <f t="shared" si="42"/>
        <v>5.252710195221959</v>
      </c>
      <c r="BG8" s="83">
        <f t="shared" si="43"/>
        <v>13.882891319896208</v>
      </c>
      <c r="BH8" s="83">
        <f t="shared" si="44"/>
        <v>13.677561389518168</v>
      </c>
      <c r="BI8" s="83">
        <f t="shared" si="45"/>
        <v>3.3966527501393449</v>
      </c>
      <c r="BJ8" s="83">
        <f t="shared" si="46"/>
        <v>7.3205874847202592</v>
      </c>
      <c r="BK8" s="83">
        <f t="shared" si="47"/>
        <v>3.9848146308580379</v>
      </c>
      <c r="BL8" s="83">
        <f t="shared" si="48"/>
        <v>6.0038383574125485</v>
      </c>
      <c r="BM8" s="83">
        <f t="shared" si="49"/>
        <v>13.664151467310324</v>
      </c>
      <c r="BN8" s="83">
        <f t="shared" si="50"/>
        <v>0.73288773032052257</v>
      </c>
      <c r="BO8" s="83">
        <f t="shared" si="51"/>
        <v>2.7169190664941167</v>
      </c>
      <c r="BP8" s="83">
        <f t="shared" si="52"/>
        <v>1.0263916473422219</v>
      </c>
      <c r="BQ8" s="83">
        <f t="shared" si="53"/>
        <v>4.8062223071150321</v>
      </c>
      <c r="BR8" s="83">
        <f t="shared" si="54"/>
        <v>20.124877330619078</v>
      </c>
      <c r="BS8" s="83">
        <f t="shared" si="55"/>
        <v>1.9026892998705878</v>
      </c>
      <c r="BT8" s="83">
        <f t="shared" si="56"/>
        <v>4.286694527135162</v>
      </c>
      <c r="BU8" s="83">
        <f t="shared" si="57"/>
        <v>3.6829347345809138</v>
      </c>
      <c r="BV8" s="83">
        <f t="shared" si="58"/>
        <v>7.1699381958601309</v>
      </c>
      <c r="BW8" s="83">
        <f t="shared" si="59"/>
        <v>17.344146253752676</v>
      </c>
      <c r="BX8" s="83">
        <f t="shared" si="60"/>
        <v>1.7053733724766007</v>
      </c>
      <c r="BY8" s="83">
        <f t="shared" si="61"/>
        <v>4.286694527135162</v>
      </c>
      <c r="BZ8" s="83">
        <f t="shared" si="62"/>
        <v>3.6829347345809138</v>
      </c>
      <c r="CA8" s="83">
        <f t="shared" si="63"/>
        <v>9.9433648386543787</v>
      </c>
      <c r="CB8" s="83">
        <f t="shared" si="64"/>
        <v>14.018125358401305</v>
      </c>
      <c r="CC8" s="83">
        <f t="shared" si="65"/>
        <v>2.0859112324507181</v>
      </c>
      <c r="CD8" s="83">
        <f t="shared" si="66"/>
        <v>6.3977910055367317</v>
      </c>
      <c r="CE8" s="83">
        <f t="shared" si="67"/>
        <v>6.9959712980190831</v>
      </c>
      <c r="CF8" s="83">
        <f t="shared" si="68"/>
        <v>12.954838160402087</v>
      </c>
      <c r="CG8" s="83">
        <f t="shared" si="69"/>
        <v>6.9959712980190831</v>
      </c>
      <c r="CH8" s="83">
        <f t="shared" si="70"/>
        <v>7.7925587690324161</v>
      </c>
      <c r="CI8" s="83">
        <f t="shared" si="71"/>
        <v>14.294678900169146</v>
      </c>
      <c r="CJ8" s="83">
        <f t="shared" si="72"/>
        <v>7.7925587690324161</v>
      </c>
      <c r="CK8" s="83">
        <f t="shared" si="73"/>
        <v>3.9395264812418298</v>
      </c>
    </row>
    <row r="9" spans="1:89" x14ac:dyDescent="0.25">
      <c r="A9" t="str">
        <f>PLANTILLA!D10</f>
        <v>S. Buschelman</v>
      </c>
      <c r="B9" s="355">
        <f>PLANTILLA!E10</f>
        <v>34</v>
      </c>
      <c r="C9" s="122">
        <f ca="1">PLANTILLA!F10</f>
        <v>47</v>
      </c>
      <c r="D9" s="355" t="str">
        <f>PLANTILLA!G10</f>
        <v>TEC</v>
      </c>
      <c r="E9" s="287">
        <v>36526</v>
      </c>
      <c r="F9" s="122">
        <f>PLANTILLA!Q10</f>
        <v>7</v>
      </c>
      <c r="G9" s="154">
        <f t="shared" si="0"/>
        <v>1</v>
      </c>
      <c r="H9" s="154">
        <f t="shared" si="1"/>
        <v>1</v>
      </c>
      <c r="I9" s="209">
        <f>PLANTILLA!P10</f>
        <v>1.5</v>
      </c>
      <c r="J9" s="210">
        <f>PLANTILLA!I10</f>
        <v>14.8</v>
      </c>
      <c r="K9" s="49">
        <f>PLANTILLA!X10</f>
        <v>0</v>
      </c>
      <c r="L9" s="49">
        <f>PLANTILLA!Y10</f>
        <v>9.3036666666666648</v>
      </c>
      <c r="M9" s="49">
        <f>PLANTILLA!Z10</f>
        <v>14</v>
      </c>
      <c r="N9" s="49">
        <f>PLANTILLA!AA10</f>
        <v>12.945</v>
      </c>
      <c r="O9" s="49">
        <f>PLANTILLA!AB10</f>
        <v>9.9499999999999993</v>
      </c>
      <c r="P9" s="49">
        <f>PLANTILLA!AC10</f>
        <v>3.95</v>
      </c>
      <c r="Q9" s="49">
        <f>PLANTILLA!AD10</f>
        <v>16</v>
      </c>
      <c r="R9" s="210">
        <f t="shared" si="2"/>
        <v>4.0254583333333329</v>
      </c>
      <c r="S9" s="210">
        <f t="shared" si="3"/>
        <v>14.520371188030476</v>
      </c>
      <c r="T9" s="49">
        <f t="shared" si="4"/>
        <v>0.67749999999999999</v>
      </c>
      <c r="U9" s="49">
        <f t="shared" si="5"/>
        <v>0.8521466666666665</v>
      </c>
      <c r="V9" s="210">
        <f t="shared" ca="1" si="6"/>
        <v>18.560348953859943</v>
      </c>
      <c r="W9" s="210">
        <f t="shared" ca="1" si="7"/>
        <v>18.560348953859943</v>
      </c>
      <c r="X9" s="83">
        <f t="shared" si="8"/>
        <v>5.2394966367197302</v>
      </c>
      <c r="Y9" s="83">
        <f t="shared" si="9"/>
        <v>7.9049688327665191</v>
      </c>
      <c r="Z9" s="83">
        <f t="shared" si="10"/>
        <v>5.2394966367197302</v>
      </c>
      <c r="AA9" s="83">
        <f t="shared" si="11"/>
        <v>6.3798320601917302</v>
      </c>
      <c r="AB9" s="83">
        <f t="shared" si="12"/>
        <v>12.364015620526608</v>
      </c>
      <c r="AC9" s="83">
        <f t="shared" si="13"/>
        <v>3.1899160300958651</v>
      </c>
      <c r="AD9" s="83">
        <f t="shared" si="14"/>
        <v>4.0603630510186663</v>
      </c>
      <c r="AE9" s="83">
        <f t="shared" si="15"/>
        <v>4.6735979045590579</v>
      </c>
      <c r="AF9" s="83">
        <f t="shared" si="16"/>
        <v>8.9391832936407365</v>
      </c>
      <c r="AG9" s="83">
        <f t="shared" si="17"/>
        <v>2.3367989522795289</v>
      </c>
      <c r="AH9" s="83">
        <f t="shared" si="18"/>
        <v>6.5682343472360785</v>
      </c>
      <c r="AI9" s="83">
        <f t="shared" si="19"/>
        <v>11.37489437088448</v>
      </c>
      <c r="AJ9" s="83">
        <f t="shared" si="20"/>
        <v>5.1187024668980152</v>
      </c>
      <c r="AK9" s="83">
        <f t="shared" si="21"/>
        <v>2.8490782752946107</v>
      </c>
      <c r="AL9" s="83">
        <f t="shared" si="22"/>
        <v>9.4111451848696461</v>
      </c>
      <c r="AM9" s="83">
        <f t="shared" si="23"/>
        <v>9.3224677778770619</v>
      </c>
      <c r="AN9" s="83">
        <f t="shared" si="24"/>
        <v>8.7537230593328381</v>
      </c>
      <c r="AO9" s="83">
        <f t="shared" si="25"/>
        <v>3.1830782752946107</v>
      </c>
      <c r="AP9" s="83">
        <f t="shared" si="26"/>
        <v>2.0407124987116636</v>
      </c>
      <c r="AQ9" s="83">
        <f t="shared" si="27"/>
        <v>3.3382842175421845</v>
      </c>
      <c r="AR9" s="83">
        <f t="shared" si="28"/>
        <v>7.3442252785928046</v>
      </c>
      <c r="AS9" s="83">
        <f t="shared" si="29"/>
        <v>1.6691421087710923</v>
      </c>
      <c r="AT9" s="83">
        <f t="shared" si="30"/>
        <v>16.104969412443786</v>
      </c>
      <c r="AU9" s="83">
        <f t="shared" si="31"/>
        <v>1.6913453640017926</v>
      </c>
      <c r="AV9" s="83">
        <f t="shared" si="32"/>
        <v>2.7740322434809634</v>
      </c>
      <c r="AW9" s="83">
        <f t="shared" si="33"/>
        <v>0.84567268200089629</v>
      </c>
      <c r="AX9" s="83">
        <f t="shared" si="34"/>
        <v>2.3367989522795289</v>
      </c>
      <c r="AY9" s="83">
        <f t="shared" si="35"/>
        <v>4.9456062482106438</v>
      </c>
      <c r="AZ9" s="83">
        <f t="shared" si="36"/>
        <v>1.1683994761397645</v>
      </c>
      <c r="BA9" s="83">
        <f t="shared" si="37"/>
        <v>17.060348953859943</v>
      </c>
      <c r="BB9" s="83">
        <f t="shared" si="38"/>
        <v>3.2916182853265656</v>
      </c>
      <c r="BC9" s="83">
        <f t="shared" si="39"/>
        <v>5.9087022735768286</v>
      </c>
      <c r="BD9" s="83">
        <f t="shared" si="40"/>
        <v>1.6458091426632828</v>
      </c>
      <c r="BE9" s="83">
        <f t="shared" si="41"/>
        <v>3.5979285455732426</v>
      </c>
      <c r="BF9" s="83">
        <f t="shared" si="42"/>
        <v>4.3026774359432594</v>
      </c>
      <c r="BG9" s="83">
        <f t="shared" si="43"/>
        <v>15.030167428350611</v>
      </c>
      <c r="BH9" s="83">
        <f t="shared" si="44"/>
        <v>13.285330219981489</v>
      </c>
      <c r="BI9" s="83">
        <f t="shared" si="45"/>
        <v>3.1354940978802461</v>
      </c>
      <c r="BJ9" s="83">
        <f t="shared" si="46"/>
        <v>5.9965475759554048</v>
      </c>
      <c r="BK9" s="83">
        <f t="shared" si="47"/>
        <v>3.2641001238190248</v>
      </c>
      <c r="BL9" s="83">
        <f t="shared" si="48"/>
        <v>6.4999929514206389</v>
      </c>
      <c r="BM9" s="83">
        <f t="shared" si="49"/>
        <v>13.386679985673592</v>
      </c>
      <c r="BN9" s="83">
        <f t="shared" si="50"/>
        <v>0.67653814560071701</v>
      </c>
      <c r="BO9" s="83">
        <f t="shared" si="51"/>
        <v>2.2255228116947894</v>
      </c>
      <c r="BP9" s="83">
        <f t="shared" si="52"/>
        <v>0.84075306219580936</v>
      </c>
      <c r="BQ9" s="83">
        <f t="shared" si="53"/>
        <v>5.2034064309272825</v>
      </c>
      <c r="BR9" s="83">
        <f t="shared" si="54"/>
        <v>19.726308754663886</v>
      </c>
      <c r="BS9" s="83">
        <f t="shared" si="55"/>
        <v>1.7563971087710923</v>
      </c>
      <c r="BT9" s="83">
        <f t="shared" si="56"/>
        <v>3.5113804362295564</v>
      </c>
      <c r="BU9" s="83">
        <f t="shared" si="57"/>
        <v>3.0168198114084923</v>
      </c>
      <c r="BV9" s="83">
        <f t="shared" si="58"/>
        <v>7.7624587740062747</v>
      </c>
      <c r="BW9" s="83">
        <f t="shared" si="59"/>
        <v>17.003146640876817</v>
      </c>
      <c r="BX9" s="83">
        <f t="shared" si="60"/>
        <v>1.5742522234170531</v>
      </c>
      <c r="BY9" s="83">
        <f t="shared" si="61"/>
        <v>3.5113804362295564</v>
      </c>
      <c r="BZ9" s="83">
        <f t="shared" si="62"/>
        <v>3.0168198114084923</v>
      </c>
      <c r="CA9" s="83">
        <f t="shared" si="63"/>
        <v>10.765080189885625</v>
      </c>
      <c r="CB9" s="83">
        <f t="shared" si="64"/>
        <v>13.746752313704649</v>
      </c>
      <c r="CC9" s="83">
        <f t="shared" si="65"/>
        <v>1.9255316451712714</v>
      </c>
      <c r="CD9" s="83">
        <f t="shared" si="66"/>
        <v>6.9265016752671373</v>
      </c>
      <c r="CE9" s="83">
        <f t="shared" si="67"/>
        <v>7.5064697212698261</v>
      </c>
      <c r="CF9" s="83">
        <f t="shared" si="68"/>
        <v>11.151652922046296</v>
      </c>
      <c r="CG9" s="83">
        <f t="shared" si="69"/>
        <v>7.5064697212698261</v>
      </c>
      <c r="CH9" s="83">
        <f t="shared" si="70"/>
        <v>7.0773423982547445</v>
      </c>
      <c r="CI9" s="83">
        <f t="shared" si="71"/>
        <v>11.811167717834262</v>
      </c>
      <c r="CJ9" s="83">
        <f t="shared" si="72"/>
        <v>7.0773423982547445</v>
      </c>
      <c r="CK9" s="83">
        <f t="shared" si="73"/>
        <v>4.2650872384649858</v>
      </c>
    </row>
    <row r="10" spans="1:89" x14ac:dyDescent="0.25">
      <c r="A10" t="str">
        <f>PLANTILLA!D11</f>
        <v>E. Gross</v>
      </c>
      <c r="B10" s="355">
        <f>PLANTILLA!E11</f>
        <v>35</v>
      </c>
      <c r="C10" s="122">
        <f ca="1">PLANTILLA!F11</f>
        <v>75</v>
      </c>
      <c r="D10" s="355">
        <f>PLANTILLA!G11</f>
        <v>0</v>
      </c>
      <c r="E10" s="287">
        <v>36526</v>
      </c>
      <c r="F10" s="122">
        <f>PLANTILLA!Q11</f>
        <v>6</v>
      </c>
      <c r="G10" s="154">
        <f t="shared" si="0"/>
        <v>0.92582009977255142</v>
      </c>
      <c r="H10" s="154">
        <f t="shared" si="1"/>
        <v>0.99928545900129484</v>
      </c>
      <c r="I10" s="209">
        <f>PLANTILLA!P11</f>
        <v>1.5</v>
      </c>
      <c r="J10" s="210">
        <f>PLANTILLA!I11</f>
        <v>13.1</v>
      </c>
      <c r="K10" s="49">
        <f>PLANTILLA!X11</f>
        <v>0</v>
      </c>
      <c r="L10" s="49">
        <f>PLANTILLA!Y11</f>
        <v>10.549999999999995</v>
      </c>
      <c r="M10" s="49">
        <f>PLANTILLA!Z11</f>
        <v>12.95</v>
      </c>
      <c r="N10" s="49">
        <f>PLANTILLA!AA11</f>
        <v>3.95</v>
      </c>
      <c r="O10" s="49">
        <f>PLANTILLA!AB11</f>
        <v>8.9499999999999993</v>
      </c>
      <c r="P10" s="49">
        <f>PLANTILLA!AC11</f>
        <v>0.95</v>
      </c>
      <c r="Q10" s="49">
        <f>PLANTILLA!AD11</f>
        <v>17.3</v>
      </c>
      <c r="R10" s="210">
        <f t="shared" si="2"/>
        <v>3.9312499999999995</v>
      </c>
      <c r="S10" s="210">
        <f t="shared" si="3"/>
        <v>10.099226084532321</v>
      </c>
      <c r="T10" s="49">
        <f t="shared" si="4"/>
        <v>0.5665</v>
      </c>
      <c r="U10" s="49">
        <f t="shared" si="5"/>
        <v>0.94099999999999984</v>
      </c>
      <c r="V10" s="210">
        <f t="shared" ca="1" si="6"/>
        <v>18.321697455727062</v>
      </c>
      <c r="W10" s="210">
        <f t="shared" ca="1" si="7"/>
        <v>19.775554512401488</v>
      </c>
      <c r="X10" s="83">
        <f t="shared" si="8"/>
        <v>5.5218037881433082</v>
      </c>
      <c r="Y10" s="83">
        <f t="shared" si="9"/>
        <v>8.3434463235887861</v>
      </c>
      <c r="Z10" s="83">
        <f t="shared" si="10"/>
        <v>5.5218037881433082</v>
      </c>
      <c r="AA10" s="83">
        <f t="shared" si="11"/>
        <v>6.9864826514111638</v>
      </c>
      <c r="AB10" s="83">
        <f t="shared" si="12"/>
        <v>13.539695060874347</v>
      </c>
      <c r="AC10" s="83">
        <f t="shared" si="13"/>
        <v>3.4932413257055819</v>
      </c>
      <c r="AD10" s="83">
        <f t="shared" si="14"/>
        <v>3.7936474244880953</v>
      </c>
      <c r="AE10" s="83">
        <f t="shared" si="15"/>
        <v>5.118004733010503</v>
      </c>
      <c r="AF10" s="83">
        <f t="shared" si="16"/>
        <v>9.7891995290121532</v>
      </c>
      <c r="AG10" s="83">
        <f t="shared" si="17"/>
        <v>2.5590023665052515</v>
      </c>
      <c r="AH10" s="83">
        <f t="shared" si="18"/>
        <v>6.1367825984366258</v>
      </c>
      <c r="AI10" s="83">
        <f t="shared" si="19"/>
        <v>12.456519456004401</v>
      </c>
      <c r="AJ10" s="83">
        <f t="shared" si="20"/>
        <v>5.6054337552019797</v>
      </c>
      <c r="AK10" s="83">
        <f t="shared" si="21"/>
        <v>2.6619290751660167</v>
      </c>
      <c r="AL10" s="83">
        <f t="shared" si="22"/>
        <v>4.0805406957941193</v>
      </c>
      <c r="AM10" s="83">
        <f t="shared" si="23"/>
        <v>10.208930075899257</v>
      </c>
      <c r="AN10" s="83">
        <f t="shared" si="24"/>
        <v>9.5861041030990375</v>
      </c>
      <c r="AO10" s="83">
        <f t="shared" si="25"/>
        <v>3.3883790751660174</v>
      </c>
      <c r="AP10" s="83">
        <f t="shared" si="26"/>
        <v>1.9932321775318131</v>
      </c>
      <c r="AQ10" s="83">
        <f t="shared" si="27"/>
        <v>3.655717666436074</v>
      </c>
      <c r="AR10" s="83">
        <f t="shared" si="28"/>
        <v>8.0425788661593618</v>
      </c>
      <c r="AS10" s="83">
        <f t="shared" si="29"/>
        <v>1.827858833218037</v>
      </c>
      <c r="AT10" s="83">
        <f t="shared" si="30"/>
        <v>15.047072137465387</v>
      </c>
      <c r="AU10" s="83">
        <f t="shared" si="31"/>
        <v>1.5521603579136658</v>
      </c>
      <c r="AV10" s="83">
        <f t="shared" si="32"/>
        <v>2.1143306528361849</v>
      </c>
      <c r="AW10" s="83">
        <f t="shared" si="33"/>
        <v>0.7760801789568329</v>
      </c>
      <c r="AX10" s="83">
        <f t="shared" si="34"/>
        <v>2.5590023665052515</v>
      </c>
      <c r="AY10" s="83">
        <f t="shared" si="35"/>
        <v>5.4158780243497393</v>
      </c>
      <c r="AZ10" s="83">
        <f t="shared" si="36"/>
        <v>1.2795011832526257</v>
      </c>
      <c r="BA10" s="83">
        <f t="shared" si="37"/>
        <v>15.939695060874351</v>
      </c>
      <c r="BB10" s="83">
        <f t="shared" si="38"/>
        <v>3.020742850401211</v>
      </c>
      <c r="BC10" s="83">
        <f t="shared" si="39"/>
        <v>4.8987719785417685</v>
      </c>
      <c r="BD10" s="83">
        <f t="shared" si="40"/>
        <v>1.5103714252006055</v>
      </c>
      <c r="BE10" s="83">
        <f t="shared" si="41"/>
        <v>3.9400512627144346</v>
      </c>
      <c r="BF10" s="83">
        <f t="shared" si="42"/>
        <v>4.7118138811842725</v>
      </c>
      <c r="BG10" s="83">
        <f t="shared" si="43"/>
        <v>14.042871348630303</v>
      </c>
      <c r="BH10" s="83">
        <f t="shared" si="44"/>
        <v>7.7443889091172986</v>
      </c>
      <c r="BI10" s="83">
        <f t="shared" si="45"/>
        <v>2.8774665096707186</v>
      </c>
      <c r="BJ10" s="83">
        <f t="shared" si="46"/>
        <v>6.566752104524058</v>
      </c>
      <c r="BK10" s="83">
        <f t="shared" si="47"/>
        <v>3.5744794960708277</v>
      </c>
      <c r="BL10" s="83">
        <f t="shared" si="48"/>
        <v>6.0730238181931275</v>
      </c>
      <c r="BM10" s="83">
        <f t="shared" si="49"/>
        <v>7.0702934832041837</v>
      </c>
      <c r="BN10" s="83">
        <f t="shared" si="50"/>
        <v>0.62086414316546623</v>
      </c>
      <c r="BO10" s="83">
        <f t="shared" si="51"/>
        <v>2.4371451109573825</v>
      </c>
      <c r="BP10" s="83">
        <f t="shared" si="52"/>
        <v>0.92069926413945569</v>
      </c>
      <c r="BQ10" s="83">
        <f t="shared" si="53"/>
        <v>4.861606993566677</v>
      </c>
      <c r="BR10" s="83">
        <f t="shared" si="54"/>
        <v>10.354447848284416</v>
      </c>
      <c r="BS10" s="83">
        <f t="shared" si="55"/>
        <v>1.6118588332180375</v>
      </c>
      <c r="BT10" s="83">
        <f t="shared" si="56"/>
        <v>3.8452733972883144</v>
      </c>
      <c r="BU10" s="83">
        <f t="shared" si="57"/>
        <v>3.3036855948533406</v>
      </c>
      <c r="BV10" s="83">
        <f t="shared" si="58"/>
        <v>7.2525612526978298</v>
      </c>
      <c r="BW10" s="83">
        <f t="shared" si="59"/>
        <v>8.9091821274487817</v>
      </c>
      <c r="BX10" s="83">
        <f t="shared" si="60"/>
        <v>1.4447031023657964</v>
      </c>
      <c r="BY10" s="83">
        <f t="shared" si="61"/>
        <v>3.8452733972883144</v>
      </c>
      <c r="BZ10" s="83">
        <f t="shared" si="62"/>
        <v>3.3036855948533406</v>
      </c>
      <c r="CA10" s="83">
        <f t="shared" si="63"/>
        <v>10.057947583411716</v>
      </c>
      <c r="CB10" s="83">
        <f t="shared" si="64"/>
        <v>7.1760270794825445</v>
      </c>
      <c r="CC10" s="83">
        <f t="shared" si="65"/>
        <v>1.7670748690094038</v>
      </c>
      <c r="CD10" s="83">
        <f t="shared" si="66"/>
        <v>6.4715161947149866</v>
      </c>
      <c r="CE10" s="83">
        <f t="shared" si="67"/>
        <v>4.4845811267155371</v>
      </c>
      <c r="CF10" s="83">
        <f t="shared" si="68"/>
        <v>8.7800966385445207</v>
      </c>
      <c r="CG10" s="83">
        <f t="shared" si="69"/>
        <v>4.4845811267155371</v>
      </c>
      <c r="CH10" s="83">
        <f t="shared" si="70"/>
        <v>4.1234300229247216</v>
      </c>
      <c r="CI10" s="83">
        <f t="shared" si="71"/>
        <v>8.3454425383369877</v>
      </c>
      <c r="CJ10" s="83">
        <f t="shared" si="72"/>
        <v>4.1234300229247216</v>
      </c>
      <c r="CK10" s="83">
        <f t="shared" si="73"/>
        <v>3.9849237652185878</v>
      </c>
    </row>
    <row r="11" spans="1:89" x14ac:dyDescent="0.25">
      <c r="A11" t="str">
        <f>PLANTILLA!D12</f>
        <v>W. Gelifini</v>
      </c>
      <c r="B11" s="355">
        <f>PLANTILLA!E12</f>
        <v>34</v>
      </c>
      <c r="C11" s="122">
        <f ca="1">PLANTILLA!F12</f>
        <v>0</v>
      </c>
      <c r="D11" s="355">
        <f>PLANTILLA!G12</f>
        <v>0</v>
      </c>
      <c r="E11" s="287">
        <v>36526</v>
      </c>
      <c r="F11" s="122">
        <f>PLANTILLA!Q12</f>
        <v>4</v>
      </c>
      <c r="G11" s="154">
        <f t="shared" si="0"/>
        <v>0.7559289460184544</v>
      </c>
      <c r="H11" s="154">
        <f t="shared" si="1"/>
        <v>0.84430867747355465</v>
      </c>
      <c r="I11" s="209">
        <f>PLANTILLA!P12</f>
        <v>1.5</v>
      </c>
      <c r="J11" s="210">
        <f>PLANTILLA!I12</f>
        <v>4.5</v>
      </c>
      <c r="K11" s="49">
        <f>PLANTILLA!X12</f>
        <v>0</v>
      </c>
      <c r="L11" s="49">
        <f>PLANTILLA!Y12</f>
        <v>5.6515555555555519</v>
      </c>
      <c r="M11" s="49">
        <f>PLANTILLA!Z12</f>
        <v>8.9499999999999993</v>
      </c>
      <c r="N11" s="49">
        <f>PLANTILLA!AA12</f>
        <v>6.95</v>
      </c>
      <c r="O11" s="49">
        <f>PLANTILLA!AB12</f>
        <v>9.2666666666666639</v>
      </c>
      <c r="P11" s="49">
        <f>PLANTILLA!AC12</f>
        <v>2.95</v>
      </c>
      <c r="Q11" s="49">
        <f>PLANTILLA!AD12</f>
        <v>12.847222222222223</v>
      </c>
      <c r="R11" s="210">
        <f t="shared" si="2"/>
        <v>3.3981111111111098</v>
      </c>
      <c r="S11" s="210">
        <f t="shared" si="3"/>
        <v>9.6027717628135694</v>
      </c>
      <c r="T11" s="49">
        <f t="shared" si="4"/>
        <v>0.53291666666666671</v>
      </c>
      <c r="U11" s="49">
        <f t="shared" si="5"/>
        <v>0.61147888888888879</v>
      </c>
      <c r="V11" s="210">
        <f t="shared" ca="1" si="6"/>
        <v>11.125892429146779</v>
      </c>
      <c r="W11" s="210">
        <f t="shared" ca="1" si="7"/>
        <v>12.426680539279978</v>
      </c>
      <c r="X11" s="83">
        <f t="shared" si="8"/>
        <v>3.6296686993678327</v>
      </c>
      <c r="Y11" s="83">
        <f t="shared" si="9"/>
        <v>5.4628075848230679</v>
      </c>
      <c r="Z11" s="83">
        <f t="shared" si="10"/>
        <v>3.6296686993678327</v>
      </c>
      <c r="AA11" s="83">
        <f t="shared" si="11"/>
        <v>4.1396128761441018</v>
      </c>
      <c r="AB11" s="83">
        <f t="shared" si="12"/>
        <v>8.0225055739226772</v>
      </c>
      <c r="AC11" s="83">
        <f t="shared" si="13"/>
        <v>2.0698064380720509</v>
      </c>
      <c r="AD11" s="83">
        <f t="shared" si="14"/>
        <v>2.6943861043713757</v>
      </c>
      <c r="AE11" s="83">
        <f t="shared" si="15"/>
        <v>3.0325071069427718</v>
      </c>
      <c r="AF11" s="83">
        <f t="shared" si="16"/>
        <v>5.8002715299460954</v>
      </c>
      <c r="AG11" s="83">
        <f t="shared" si="17"/>
        <v>1.5162535534713859</v>
      </c>
      <c r="AH11" s="83">
        <f t="shared" si="18"/>
        <v>4.358565757071343</v>
      </c>
      <c r="AI11" s="83">
        <f t="shared" si="19"/>
        <v>7.3807051280088629</v>
      </c>
      <c r="AJ11" s="83">
        <f t="shared" si="20"/>
        <v>3.3213173076039881</v>
      </c>
      <c r="AK11" s="83">
        <f t="shared" si="21"/>
        <v>1.89059865306731</v>
      </c>
      <c r="AL11" s="83">
        <f t="shared" si="22"/>
        <v>5.4807186107998689</v>
      </c>
      <c r="AM11" s="83">
        <f t="shared" si="23"/>
        <v>6.0489692027376982</v>
      </c>
      <c r="AN11" s="83">
        <f t="shared" si="24"/>
        <v>5.6799339463372549</v>
      </c>
      <c r="AO11" s="83">
        <f t="shared" si="25"/>
        <v>2.5414347641784212</v>
      </c>
      <c r="AP11" s="83">
        <f t="shared" si="26"/>
        <v>1.6614896052897317</v>
      </c>
      <c r="AQ11" s="83">
        <f t="shared" si="27"/>
        <v>2.1660765049591229</v>
      </c>
      <c r="AR11" s="83">
        <f t="shared" si="28"/>
        <v>4.7653683109100697</v>
      </c>
      <c r="AS11" s="83">
        <f t="shared" si="29"/>
        <v>1.0830382524795614</v>
      </c>
      <c r="AT11" s="83">
        <f t="shared" si="30"/>
        <v>10.686976817338564</v>
      </c>
      <c r="AU11" s="83">
        <f t="shared" si="31"/>
        <v>1.5128901690543926</v>
      </c>
      <c r="AV11" s="83">
        <f t="shared" si="32"/>
        <v>2.3170383553815674</v>
      </c>
      <c r="AW11" s="83">
        <f t="shared" si="33"/>
        <v>0.75644508452719628</v>
      </c>
      <c r="AX11" s="83">
        <f t="shared" si="34"/>
        <v>1.5162535534713859</v>
      </c>
      <c r="AY11" s="83">
        <f t="shared" si="35"/>
        <v>3.2090022295690712</v>
      </c>
      <c r="AZ11" s="83">
        <f t="shared" si="36"/>
        <v>0.75812677673569295</v>
      </c>
      <c r="BA11" s="83">
        <f t="shared" si="37"/>
        <v>11.320950018367125</v>
      </c>
      <c r="BB11" s="83">
        <f t="shared" si="38"/>
        <v>2.9443170213135486</v>
      </c>
      <c r="BC11" s="83">
        <f t="shared" si="39"/>
        <v>5.0858267934536183</v>
      </c>
      <c r="BD11" s="83">
        <f t="shared" si="40"/>
        <v>1.4721585106567743</v>
      </c>
      <c r="BE11" s="83">
        <f t="shared" si="41"/>
        <v>2.3345491220114991</v>
      </c>
      <c r="BF11" s="83">
        <f t="shared" si="42"/>
        <v>2.7918319397250912</v>
      </c>
      <c r="BG11" s="83">
        <f t="shared" si="43"/>
        <v>9.9737569661814369</v>
      </c>
      <c r="BH11" s="83">
        <f t="shared" si="44"/>
        <v>9.0160745663283723</v>
      </c>
      <c r="BI11" s="83">
        <f t="shared" si="45"/>
        <v>2.8046656210931431</v>
      </c>
      <c r="BJ11" s="83">
        <f t="shared" si="46"/>
        <v>3.8909152033524985</v>
      </c>
      <c r="BK11" s="83">
        <f t="shared" si="47"/>
        <v>2.1179414715155866</v>
      </c>
      <c r="BL11" s="83">
        <f t="shared" si="48"/>
        <v>4.3132819569978746</v>
      </c>
      <c r="BM11" s="83">
        <f t="shared" si="49"/>
        <v>8.6121603160528668</v>
      </c>
      <c r="BN11" s="83">
        <f t="shared" si="50"/>
        <v>0.605156067621757</v>
      </c>
      <c r="BO11" s="83">
        <f t="shared" si="51"/>
        <v>1.4440510033060818</v>
      </c>
      <c r="BP11" s="83">
        <f t="shared" si="52"/>
        <v>0.54553037902674206</v>
      </c>
      <c r="BQ11" s="83">
        <f t="shared" si="53"/>
        <v>3.4528897556019729</v>
      </c>
      <c r="BR11" s="83">
        <f t="shared" si="54"/>
        <v>12.649308390286787</v>
      </c>
      <c r="BS11" s="83">
        <f t="shared" si="55"/>
        <v>1.5710782524795617</v>
      </c>
      <c r="BT11" s="83">
        <f t="shared" si="56"/>
        <v>2.2783915829940402</v>
      </c>
      <c r="BU11" s="83">
        <f t="shared" si="57"/>
        <v>1.9574913600371331</v>
      </c>
      <c r="BV11" s="83">
        <f t="shared" si="58"/>
        <v>5.1510322583570423</v>
      </c>
      <c r="BW11" s="83">
        <f t="shared" si="59"/>
        <v>10.89287928701744</v>
      </c>
      <c r="BX11" s="83">
        <f t="shared" si="60"/>
        <v>1.4081516188890884</v>
      </c>
      <c r="BY11" s="83">
        <f t="shared" si="61"/>
        <v>2.2783915829940402</v>
      </c>
      <c r="BZ11" s="83">
        <f t="shared" si="62"/>
        <v>1.9574913600371331</v>
      </c>
      <c r="CA11" s="83">
        <f t="shared" si="63"/>
        <v>7.1435194615896558</v>
      </c>
      <c r="CB11" s="83">
        <f t="shared" si="64"/>
        <v>8.7893669331052422</v>
      </c>
      <c r="CC11" s="83">
        <f t="shared" si="65"/>
        <v>1.7223672693850007</v>
      </c>
      <c r="CD11" s="83">
        <f t="shared" si="66"/>
        <v>4.596305707457053</v>
      </c>
      <c r="CE11" s="83">
        <f t="shared" si="67"/>
        <v>4.9273816262359373</v>
      </c>
      <c r="CF11" s="83">
        <f t="shared" si="68"/>
        <v>9.4213397206813809</v>
      </c>
      <c r="CG11" s="83">
        <f t="shared" si="69"/>
        <v>4.9273816262359373</v>
      </c>
      <c r="CH11" s="83">
        <f t="shared" si="70"/>
        <v>4.9659185281093858</v>
      </c>
      <c r="CI11" s="83">
        <f t="shared" si="71"/>
        <v>9.6152305751445937</v>
      </c>
      <c r="CJ11" s="83">
        <f t="shared" si="72"/>
        <v>4.9659185281093858</v>
      </c>
      <c r="CK11" s="83">
        <f t="shared" si="73"/>
        <v>2.8302375045917811</v>
      </c>
    </row>
    <row r="12" spans="1:89" x14ac:dyDescent="0.25">
      <c r="A12" t="str">
        <f>PLANTILLA!D13</f>
        <v>I. Vanags</v>
      </c>
      <c r="B12" s="355">
        <f>PLANTILLA!E13</f>
        <v>18</v>
      </c>
      <c r="C12" s="122">
        <f ca="1">PLANTILLA!F13</f>
        <v>70</v>
      </c>
      <c r="D12" s="355" t="str">
        <f>PLANTILLA!G13</f>
        <v>CAB</v>
      </c>
      <c r="E12" s="287">
        <f>PLANTILLA!O13</f>
        <v>43626</v>
      </c>
      <c r="F12" s="122">
        <f>PLANTILLA!Q13</f>
        <v>6</v>
      </c>
      <c r="G12" s="154">
        <f t="shared" si="0"/>
        <v>0.92582009977255142</v>
      </c>
      <c r="H12" s="154">
        <f t="shared" si="1"/>
        <v>0.99928545900129484</v>
      </c>
      <c r="I12" s="209">
        <f ca="1">PLANTILLA!P13</f>
        <v>0.13672290211839563</v>
      </c>
      <c r="J12" s="210">
        <f>PLANTILLA!I13</f>
        <v>0.4</v>
      </c>
      <c r="K12" s="49">
        <f>PLANTILLA!X13</f>
        <v>0</v>
      </c>
      <c r="L12" s="49">
        <f>PLANTILLA!Y13</f>
        <v>4</v>
      </c>
      <c r="M12" s="49">
        <f>PLANTILLA!Z13</f>
        <v>7.4</v>
      </c>
      <c r="N12" s="49">
        <f>PLANTILLA!AA13</f>
        <v>3</v>
      </c>
      <c r="O12" s="49">
        <f>PLANTILLA!AB13</f>
        <v>4</v>
      </c>
      <c r="P12" s="49">
        <f>PLANTILLA!AC13</f>
        <v>7</v>
      </c>
      <c r="Q12" s="49">
        <f>PLANTILLA!AD13</f>
        <v>6</v>
      </c>
      <c r="R12" s="210">
        <f t="shared" si="2"/>
        <v>1.875</v>
      </c>
      <c r="S12" s="210">
        <f t="shared" ca="1" si="3"/>
        <v>6.4495610547947173</v>
      </c>
      <c r="T12" s="49">
        <f t="shared" si="4"/>
        <v>0.53</v>
      </c>
      <c r="U12" s="49">
        <f t="shared" si="5"/>
        <v>0.33999999999999997</v>
      </c>
      <c r="V12" s="210">
        <f t="shared" ca="1" si="6"/>
        <v>5.2593079863679817</v>
      </c>
      <c r="W12" s="210">
        <f t="shared" ca="1" si="7"/>
        <v>5.6766427910541681</v>
      </c>
      <c r="X12" s="83">
        <f t="shared" ca="1" si="8"/>
        <v>0.76015692345510788</v>
      </c>
      <c r="Y12" s="83">
        <f t="shared" ca="1" si="9"/>
        <v>1.1915218650407149</v>
      </c>
      <c r="Z12" s="83">
        <f t="shared" ca="1" si="10"/>
        <v>0.76015692345510788</v>
      </c>
      <c r="AA12" s="83">
        <f t="shared" ca="1" si="11"/>
        <v>1.8607662915267305</v>
      </c>
      <c r="AB12" s="83">
        <f t="shared" ca="1" si="12"/>
        <v>3.6061362238890124</v>
      </c>
      <c r="AC12" s="83">
        <f t="shared" ca="1" si="13"/>
        <v>0.93038314576336523</v>
      </c>
      <c r="AD12" s="83">
        <f t="shared" ca="1" si="14"/>
        <v>1.667460421285585</v>
      </c>
      <c r="AE12" s="83">
        <f t="shared" ca="1" si="15"/>
        <v>1.3631194926300467</v>
      </c>
      <c r="AF12" s="83">
        <f t="shared" ca="1" si="16"/>
        <v>2.6072364898717559</v>
      </c>
      <c r="AG12" s="83">
        <f t="shared" ca="1" si="17"/>
        <v>0.68155974631502336</v>
      </c>
      <c r="AH12" s="83">
        <f t="shared" ca="1" si="18"/>
        <v>2.6973624461972698</v>
      </c>
      <c r="AI12" s="83">
        <f t="shared" ca="1" si="19"/>
        <v>3.3176453259778915</v>
      </c>
      <c r="AJ12" s="83">
        <f t="shared" ca="1" si="20"/>
        <v>1.4929403966900512</v>
      </c>
      <c r="AK12" s="83">
        <f t="shared" ca="1" si="21"/>
        <v>1.1700247493894651</v>
      </c>
      <c r="AL12" s="83">
        <f t="shared" ca="1" si="22"/>
        <v>1.5324080996467393</v>
      </c>
      <c r="AM12" s="83">
        <f t="shared" ca="1" si="23"/>
        <v>2.7190267128123153</v>
      </c>
      <c r="AN12" s="83">
        <f t="shared" ca="1" si="24"/>
        <v>2.5531444465134205</v>
      </c>
      <c r="AO12" s="83">
        <f t="shared" ca="1" si="25"/>
        <v>0.93622474938946509</v>
      </c>
      <c r="AP12" s="83">
        <f t="shared" ca="1" si="26"/>
        <v>0.42656723248003553</v>
      </c>
      <c r="AQ12" s="83">
        <f t="shared" ca="1" si="27"/>
        <v>0.97365678045003345</v>
      </c>
      <c r="AR12" s="83">
        <f t="shared" ca="1" si="28"/>
        <v>2.1420449169900735</v>
      </c>
      <c r="AS12" s="83">
        <f t="shared" ca="1" si="29"/>
        <v>0.48682839022501673</v>
      </c>
      <c r="AT12" s="83">
        <f t="shared" ca="1" si="30"/>
        <v>6.613792595351228</v>
      </c>
      <c r="AU12" s="83">
        <f t="shared" ca="1" si="31"/>
        <v>0.46879770910557161</v>
      </c>
      <c r="AV12" s="83">
        <f t="shared" ca="1" si="32"/>
        <v>1.5755979135994806</v>
      </c>
      <c r="AW12" s="83">
        <f t="shared" ca="1" si="33"/>
        <v>0.23439885455278581</v>
      </c>
      <c r="AX12" s="83">
        <f t="shared" ca="1" si="34"/>
        <v>0.68155974631502336</v>
      </c>
      <c r="AY12" s="83">
        <f t="shared" ca="1" si="35"/>
        <v>1.4424544895556051</v>
      </c>
      <c r="AZ12" s="83">
        <f t="shared" ca="1" si="36"/>
        <v>0.34077987315751168</v>
      </c>
      <c r="BA12" s="83">
        <f t="shared" ca="1" si="37"/>
        <v>7.0061362238890128</v>
      </c>
      <c r="BB12" s="83">
        <f t="shared" ca="1" si="38"/>
        <v>0.91235246464392017</v>
      </c>
      <c r="BC12" s="83">
        <f t="shared" ca="1" si="39"/>
        <v>2.6169810593628462</v>
      </c>
      <c r="BD12" s="83">
        <f t="shared" ca="1" si="40"/>
        <v>0.45617623232196008</v>
      </c>
      <c r="BE12" s="83">
        <f t="shared" ca="1" si="41"/>
        <v>1.0493856411517026</v>
      </c>
      <c r="BF12" s="83">
        <f t="shared" ca="1" si="42"/>
        <v>1.2549354059133762</v>
      </c>
      <c r="BG12" s="83">
        <f t="shared" ca="1" si="43"/>
        <v>6.1724060132462206</v>
      </c>
      <c r="BH12" s="83">
        <f t="shared" ca="1" si="44"/>
        <v>2.6318551030373318</v>
      </c>
      <c r="BI12" s="83">
        <f t="shared" ca="1" si="45"/>
        <v>0.86907882995725194</v>
      </c>
      <c r="BJ12" s="83">
        <f t="shared" ca="1" si="46"/>
        <v>1.7489760685861711</v>
      </c>
      <c r="BK12" s="83">
        <f t="shared" ca="1" si="47"/>
        <v>0.95201996310669934</v>
      </c>
      <c r="BL12" s="83">
        <f t="shared" ca="1" si="48"/>
        <v>2.6693379013017138</v>
      </c>
      <c r="BM12" s="83">
        <f t="shared" ca="1" si="49"/>
        <v>2.4787630596789971</v>
      </c>
      <c r="BN12" s="83">
        <f t="shared" ca="1" si="50"/>
        <v>0.18751908364222863</v>
      </c>
      <c r="BO12" s="83">
        <f t="shared" ca="1" si="51"/>
        <v>0.64910452030002219</v>
      </c>
      <c r="BP12" s="83">
        <f t="shared" ca="1" si="52"/>
        <v>0.24521726322445286</v>
      </c>
      <c r="BQ12" s="83">
        <f t="shared" ca="1" si="53"/>
        <v>2.1368715482861487</v>
      </c>
      <c r="BR12" s="83">
        <f t="shared" ca="1" si="54"/>
        <v>3.63749118392127</v>
      </c>
      <c r="BS12" s="83">
        <f t="shared" ca="1" si="55"/>
        <v>0.48682839022501673</v>
      </c>
      <c r="BT12" s="83">
        <f t="shared" ca="1" si="56"/>
        <v>1.0241426875844795</v>
      </c>
      <c r="BU12" s="83">
        <f t="shared" ca="1" si="57"/>
        <v>0.879897238628919</v>
      </c>
      <c r="BV12" s="83">
        <f t="shared" ca="1" si="58"/>
        <v>3.1877919818695011</v>
      </c>
      <c r="BW12" s="83">
        <f t="shared" ca="1" si="59"/>
        <v>3.1315989360690257</v>
      </c>
      <c r="BX12" s="83">
        <f t="shared" ca="1" si="60"/>
        <v>0.4363424830905705</v>
      </c>
      <c r="BY12" s="83">
        <f t="shared" ca="1" si="61"/>
        <v>1.0241426875844795</v>
      </c>
      <c r="BZ12" s="83">
        <f t="shared" ca="1" si="62"/>
        <v>0.879897238628919</v>
      </c>
      <c r="CA12" s="83">
        <f t="shared" ca="1" si="63"/>
        <v>4.4208719572739668</v>
      </c>
      <c r="CB12" s="83">
        <f t="shared" ca="1" si="64"/>
        <v>2.5254919203806661</v>
      </c>
      <c r="CC12" s="83">
        <f t="shared" ca="1" si="65"/>
        <v>0.53370816113557384</v>
      </c>
      <c r="CD12" s="83">
        <f t="shared" ca="1" si="66"/>
        <v>2.8444913068989393</v>
      </c>
      <c r="CE12" s="83">
        <f t="shared" ca="1" si="67"/>
        <v>2.1157969726461756</v>
      </c>
      <c r="CF12" s="83">
        <f t="shared" ca="1" si="68"/>
        <v>5.8095093880990278</v>
      </c>
      <c r="CG12" s="83">
        <f t="shared" ca="1" si="69"/>
        <v>2.1157969726461756</v>
      </c>
      <c r="CH12" s="83">
        <f t="shared" ca="1" si="70"/>
        <v>3.0300749129320721</v>
      </c>
      <c r="CI12" s="83">
        <f t="shared" ca="1" si="71"/>
        <v>7.9368004905040586</v>
      </c>
      <c r="CJ12" s="83">
        <f t="shared" ca="1" si="72"/>
        <v>3.0300749129320721</v>
      </c>
      <c r="CK12" s="83">
        <f t="shared" ca="1" si="73"/>
        <v>1.7515340559722532</v>
      </c>
    </row>
    <row r="13" spans="1:89" x14ac:dyDescent="0.25">
      <c r="A13" t="str">
        <f>PLANTILLA!D14</f>
        <v>I. Stone</v>
      </c>
      <c r="B13" s="355">
        <f>PLANTILLA!E14</f>
        <v>18</v>
      </c>
      <c r="C13" s="122">
        <f ca="1">PLANTILLA!F14</f>
        <v>13</v>
      </c>
      <c r="D13" s="355" t="str">
        <f>PLANTILLA!G14</f>
        <v>RAP</v>
      </c>
      <c r="E13" s="287">
        <f>PLANTILLA!O14</f>
        <v>43633</v>
      </c>
      <c r="F13" s="122">
        <f>PLANTILLA!Q14</f>
        <v>7</v>
      </c>
      <c r="G13" s="154">
        <f t="shared" si="0"/>
        <v>1</v>
      </c>
      <c r="H13" s="154">
        <f t="shared" si="1"/>
        <v>1</v>
      </c>
      <c r="I13" s="209">
        <f ca="1">PLANTILLA!P14</f>
        <v>9.1436681135175488E-2</v>
      </c>
      <c r="J13" s="210">
        <f>PLANTILLA!I14</f>
        <v>1.2</v>
      </c>
      <c r="K13" s="49">
        <f>PLANTILLA!X14</f>
        <v>0</v>
      </c>
      <c r="L13" s="49">
        <f>PLANTILLA!Y14</f>
        <v>3</v>
      </c>
      <c r="M13" s="49">
        <f>PLANTILLA!Z14</f>
        <v>5.25</v>
      </c>
      <c r="N13" s="49">
        <f>PLANTILLA!AA14</f>
        <v>2</v>
      </c>
      <c r="O13" s="49">
        <f>PLANTILLA!AB14</f>
        <v>6</v>
      </c>
      <c r="P13" s="49">
        <f>PLANTILLA!AC14</f>
        <v>9</v>
      </c>
      <c r="Q13" s="49">
        <f>PLANTILLA!AD14</f>
        <v>2</v>
      </c>
      <c r="R13" s="210">
        <f t="shared" si="2"/>
        <v>2.25</v>
      </c>
      <c r="S13" s="210">
        <f t="shared" ca="1" si="3"/>
        <v>8.8753958036624052</v>
      </c>
      <c r="T13" s="49">
        <f t="shared" si="4"/>
        <v>0.51</v>
      </c>
      <c r="U13" s="49">
        <f t="shared" si="5"/>
        <v>0.18000000000000002</v>
      </c>
      <c r="V13" s="210">
        <f t="shared" ca="1" si="6"/>
        <v>2.2598783446922583</v>
      </c>
      <c r="W13" s="210">
        <f t="shared" ca="1" si="7"/>
        <v>2.2598783446922583</v>
      </c>
      <c r="X13" s="83">
        <f t="shared" ca="1" si="8"/>
        <v>0.99999119303044359</v>
      </c>
      <c r="Y13" s="83">
        <f t="shared" ca="1" si="9"/>
        <v>1.5293420735421566</v>
      </c>
      <c r="Z13" s="83">
        <f t="shared" ca="1" si="10"/>
        <v>0.99999119303044359</v>
      </c>
      <c r="AA13" s="83">
        <f t="shared" ca="1" si="11"/>
        <v>1.6496580247465167</v>
      </c>
      <c r="AB13" s="83">
        <f t="shared" ca="1" si="12"/>
        <v>3.1970116758653422</v>
      </c>
      <c r="AC13" s="83">
        <f t="shared" ca="1" si="13"/>
        <v>0.82482901237325834</v>
      </c>
      <c r="AD13" s="83">
        <f t="shared" ca="1" si="14"/>
        <v>1.2963887788559514</v>
      </c>
      <c r="AE13" s="83">
        <f t="shared" ca="1" si="15"/>
        <v>1.2084704134770994</v>
      </c>
      <c r="AF13" s="83">
        <f t="shared" ca="1" si="16"/>
        <v>2.3114394416506423</v>
      </c>
      <c r="AG13" s="83">
        <f t="shared" ca="1" si="17"/>
        <v>0.60423520673854969</v>
      </c>
      <c r="AH13" s="83">
        <f t="shared" ca="1" si="18"/>
        <v>2.0970994952081567</v>
      </c>
      <c r="AI13" s="83">
        <f t="shared" ca="1" si="19"/>
        <v>2.9412507417961149</v>
      </c>
      <c r="AJ13" s="83">
        <f t="shared" ca="1" si="20"/>
        <v>1.3235628338082517</v>
      </c>
      <c r="AK13" s="83">
        <f t="shared" ca="1" si="21"/>
        <v>0.90965094986951223</v>
      </c>
      <c r="AL13" s="83">
        <f t="shared" ca="1" si="22"/>
        <v>1.2918428654088212</v>
      </c>
      <c r="AM13" s="83">
        <f t="shared" ca="1" si="23"/>
        <v>2.4105468036024682</v>
      </c>
      <c r="AN13" s="83">
        <f t="shared" ca="1" si="24"/>
        <v>2.2634842665126622</v>
      </c>
      <c r="AO13" s="83">
        <f t="shared" ca="1" si="25"/>
        <v>0.36690094986951216</v>
      </c>
      <c r="AP13" s="83">
        <f t="shared" ca="1" si="26"/>
        <v>0.70473936264921855</v>
      </c>
      <c r="AQ13" s="83">
        <f t="shared" ca="1" si="27"/>
        <v>0.86319315248364248</v>
      </c>
      <c r="AR13" s="83">
        <f t="shared" ca="1" si="28"/>
        <v>1.8990249354640132</v>
      </c>
      <c r="AS13" s="83">
        <f t="shared" ca="1" si="29"/>
        <v>0.43159657624182124</v>
      </c>
      <c r="AT13" s="83">
        <f t="shared" ca="1" si="30"/>
        <v>5.1419790220168826</v>
      </c>
      <c r="AU13" s="83">
        <f t="shared" ca="1" si="31"/>
        <v>0.80561151786249452</v>
      </c>
      <c r="AV13" s="83">
        <f t="shared" ca="1" si="32"/>
        <v>2.3347244210285449</v>
      </c>
      <c r="AW13" s="83">
        <f t="shared" ca="1" si="33"/>
        <v>0.40280575893124726</v>
      </c>
      <c r="AX13" s="83">
        <f t="shared" ca="1" si="34"/>
        <v>0.60423520673854969</v>
      </c>
      <c r="AY13" s="83">
        <f t="shared" ca="1" si="35"/>
        <v>1.2788046703461369</v>
      </c>
      <c r="AZ13" s="83">
        <f t="shared" ca="1" si="36"/>
        <v>0.30211760336927485</v>
      </c>
      <c r="BA13" s="83">
        <f t="shared" ca="1" si="37"/>
        <v>5.4470116758653422</v>
      </c>
      <c r="BB13" s="83">
        <f t="shared" ca="1" si="38"/>
        <v>1.5678439539939315</v>
      </c>
      <c r="BC13" s="83">
        <f t="shared" ca="1" si="39"/>
        <v>4.0445534334018038</v>
      </c>
      <c r="BD13" s="83">
        <f t="shared" ca="1" si="40"/>
        <v>0.78392197699696575</v>
      </c>
      <c r="BE13" s="83">
        <f t="shared" ca="1" si="41"/>
        <v>0.93033039767681447</v>
      </c>
      <c r="BF13" s="83">
        <f t="shared" ca="1" si="42"/>
        <v>1.112560063201139</v>
      </c>
      <c r="BG13" s="83">
        <f t="shared" ca="1" si="43"/>
        <v>4.7988172864373668</v>
      </c>
      <c r="BH13" s="83">
        <f t="shared" ca="1" si="44"/>
        <v>3.213143379844289</v>
      </c>
      <c r="BI13" s="83">
        <f t="shared" ca="1" si="45"/>
        <v>1.4934798138835474</v>
      </c>
      <c r="BJ13" s="83">
        <f t="shared" ca="1" si="46"/>
        <v>1.550550662794691</v>
      </c>
      <c r="BK13" s="83">
        <f t="shared" ca="1" si="47"/>
        <v>0.84401108242845035</v>
      </c>
      <c r="BL13" s="83">
        <f t="shared" ca="1" si="48"/>
        <v>2.0753114485046953</v>
      </c>
      <c r="BM13" s="83">
        <f t="shared" ca="1" si="49"/>
        <v>2.7241882047063095</v>
      </c>
      <c r="BN13" s="83">
        <f t="shared" ca="1" si="50"/>
        <v>0.32224460714499775</v>
      </c>
      <c r="BO13" s="83">
        <f t="shared" ca="1" si="51"/>
        <v>0.57546210165576162</v>
      </c>
      <c r="BP13" s="83">
        <f t="shared" ca="1" si="52"/>
        <v>0.21739679395884329</v>
      </c>
      <c r="BQ13" s="83">
        <f t="shared" ca="1" si="53"/>
        <v>1.6613385611389293</v>
      </c>
      <c r="BR13" s="83">
        <f t="shared" ca="1" si="54"/>
        <v>3.9693570151628297</v>
      </c>
      <c r="BS13" s="83">
        <f t="shared" ca="1" si="55"/>
        <v>0.83659657624182127</v>
      </c>
      <c r="BT13" s="83">
        <f t="shared" ca="1" si="56"/>
        <v>0.90795131594575706</v>
      </c>
      <c r="BU13" s="83">
        <f t="shared" ca="1" si="57"/>
        <v>0.78007084891114342</v>
      </c>
      <c r="BV13" s="83">
        <f t="shared" ca="1" si="58"/>
        <v>2.478390312518731</v>
      </c>
      <c r="BW13" s="83">
        <f t="shared" ca="1" si="59"/>
        <v>3.410288936858799</v>
      </c>
      <c r="BX13" s="83">
        <f t="shared" ca="1" si="60"/>
        <v>0.74983841277970642</v>
      </c>
      <c r="BY13" s="83">
        <f t="shared" ca="1" si="61"/>
        <v>0.90795131594575706</v>
      </c>
      <c r="BZ13" s="83">
        <f t="shared" ca="1" si="62"/>
        <v>0.78007084891114342</v>
      </c>
      <c r="CA13" s="83">
        <f t="shared" ca="1" si="63"/>
        <v>3.4370643674710308</v>
      </c>
      <c r="CB13" s="83">
        <f t="shared" ca="1" si="64"/>
        <v>2.7383254498994809</v>
      </c>
      <c r="CC13" s="83">
        <f t="shared" ca="1" si="65"/>
        <v>0.91715772802807061</v>
      </c>
      <c r="CD13" s="83">
        <f t="shared" ca="1" si="66"/>
        <v>2.211486740401329</v>
      </c>
      <c r="CE13" s="83">
        <f t="shared" ca="1" si="67"/>
        <v>3.0336430831258432</v>
      </c>
      <c r="CF13" s="83">
        <f t="shared" ca="1" si="68"/>
        <v>8.7268351470243744</v>
      </c>
      <c r="CG13" s="83">
        <f t="shared" ca="1" si="69"/>
        <v>3.0336430831258432</v>
      </c>
      <c r="CH13" s="83">
        <f t="shared" ca="1" si="70"/>
        <v>3.992964736968962</v>
      </c>
      <c r="CI13" s="83">
        <f t="shared" ca="1" si="71"/>
        <v>11.483708984259652</v>
      </c>
      <c r="CJ13" s="83">
        <f t="shared" ca="1" si="72"/>
        <v>3.992964736968962</v>
      </c>
      <c r="CK13" s="83">
        <f t="shared" ca="1" si="73"/>
        <v>1.3617529189663355</v>
      </c>
    </row>
    <row r="14" spans="1:89" x14ac:dyDescent="0.25">
      <c r="A14" t="str">
        <f>PLANTILLA!D15</f>
        <v>G. Piscaer</v>
      </c>
      <c r="B14" s="355">
        <f>PLANTILLA!E15</f>
        <v>18</v>
      </c>
      <c r="C14" s="122">
        <f ca="1">PLANTILLA!F15</f>
        <v>86</v>
      </c>
      <c r="D14" s="355" t="str">
        <f>PLANTILLA!G15</f>
        <v>IMP</v>
      </c>
      <c r="E14" s="287">
        <f>PLANTILLA!O15</f>
        <v>43630</v>
      </c>
      <c r="F14" s="122">
        <f>PLANTILLA!Q15</f>
        <v>4</v>
      </c>
      <c r="G14" s="154">
        <f t="shared" si="0"/>
        <v>0.7559289460184544</v>
      </c>
      <c r="H14" s="154">
        <f t="shared" si="1"/>
        <v>0.84430867747355465</v>
      </c>
      <c r="I14" s="209">
        <f ca="1">PLANTILLA!P15</f>
        <v>0.11210737430592951</v>
      </c>
      <c r="J14" s="210">
        <f>PLANTILLA!I15</f>
        <v>1.8</v>
      </c>
      <c r="K14" s="49">
        <f>PLANTILLA!X15</f>
        <v>0</v>
      </c>
      <c r="L14" s="49">
        <f>PLANTILLA!Y15</f>
        <v>4</v>
      </c>
      <c r="M14" s="49">
        <f>PLANTILLA!Z15</f>
        <v>8.1999999999999993</v>
      </c>
      <c r="N14" s="49">
        <f>PLANTILLA!AA15</f>
        <v>3</v>
      </c>
      <c r="O14" s="49">
        <f>PLANTILLA!AB15</f>
        <v>2</v>
      </c>
      <c r="P14" s="49">
        <f>PLANTILLA!AC15</f>
        <v>8</v>
      </c>
      <c r="Q14" s="49">
        <f>PLANTILLA!AD15</f>
        <v>0</v>
      </c>
      <c r="R14" s="210">
        <f t="shared" si="2"/>
        <v>1.375</v>
      </c>
      <c r="S14" s="210">
        <f t="shared" ca="1" si="3"/>
        <v>6.6799602789205146</v>
      </c>
      <c r="T14" s="49">
        <f t="shared" si="4"/>
        <v>0.4</v>
      </c>
      <c r="U14" s="49">
        <f t="shared" si="5"/>
        <v>0.16</v>
      </c>
      <c r="V14" s="210">
        <f t="shared" ca="1" si="6"/>
        <v>0.39406580208169184</v>
      </c>
      <c r="W14" s="210">
        <f t="shared" ca="1" si="7"/>
        <v>0.44013816106074377</v>
      </c>
      <c r="X14" s="83">
        <f t="shared" ca="1" si="8"/>
        <v>1.4990069337093246</v>
      </c>
      <c r="Y14" s="83">
        <f t="shared" ca="1" si="9"/>
        <v>2.2841396923467787</v>
      </c>
      <c r="Z14" s="83">
        <f t="shared" ca="1" si="10"/>
        <v>1.4990069337093246</v>
      </c>
      <c r="AA14" s="83">
        <f t="shared" ca="1" si="11"/>
        <v>2.2974748886529341</v>
      </c>
      <c r="AB14" s="83">
        <f t="shared" ca="1" si="12"/>
        <v>4.4524707144436704</v>
      </c>
      <c r="AC14" s="83">
        <f t="shared" ca="1" si="13"/>
        <v>1.1487374443264671</v>
      </c>
      <c r="AD14" s="83">
        <f t="shared" ca="1" si="14"/>
        <v>2.0592880300375938</v>
      </c>
      <c r="AE14" s="83">
        <f t="shared" ca="1" si="15"/>
        <v>1.6830339300597075</v>
      </c>
      <c r="AF14" s="83">
        <f t="shared" ca="1" si="16"/>
        <v>3.2191363265427735</v>
      </c>
      <c r="AG14" s="83">
        <f t="shared" ca="1" si="17"/>
        <v>0.84151696502985374</v>
      </c>
      <c r="AH14" s="83">
        <f t="shared" ca="1" si="18"/>
        <v>3.3312012250608136</v>
      </c>
      <c r="AI14" s="83">
        <f t="shared" ca="1" si="19"/>
        <v>4.0962730572881769</v>
      </c>
      <c r="AJ14" s="83">
        <f t="shared" ca="1" si="20"/>
        <v>1.8433228757796793</v>
      </c>
      <c r="AK14" s="83">
        <f t="shared" ca="1" si="21"/>
        <v>1.4449626093120933</v>
      </c>
      <c r="AL14" s="83">
        <f t="shared" ca="1" si="22"/>
        <v>2.0300527800928783</v>
      </c>
      <c r="AM14" s="83">
        <f t="shared" ca="1" si="23"/>
        <v>3.3571629186905274</v>
      </c>
      <c r="AN14" s="83">
        <f t="shared" ca="1" si="24"/>
        <v>3.1523492658261185</v>
      </c>
      <c r="AO14" s="83">
        <f t="shared" ca="1" si="25"/>
        <v>7.5562609312093049E-2</v>
      </c>
      <c r="AP14" s="83">
        <f t="shared" ca="1" si="26"/>
        <v>0.52631156575977722</v>
      </c>
      <c r="AQ14" s="83">
        <f t="shared" ca="1" si="27"/>
        <v>1.2021670928997912</v>
      </c>
      <c r="AR14" s="83">
        <f t="shared" ca="1" si="28"/>
        <v>2.6447676043795401</v>
      </c>
      <c r="AS14" s="83">
        <f t="shared" ca="1" si="29"/>
        <v>0.60108354644989559</v>
      </c>
      <c r="AT14" s="83">
        <f t="shared" ca="1" si="30"/>
        <v>8.167932354434825</v>
      </c>
      <c r="AU14" s="83">
        <f t="shared" ca="1" si="31"/>
        <v>0.31882119287767724</v>
      </c>
      <c r="AV14" s="83">
        <f t="shared" ca="1" si="32"/>
        <v>1.7565739193319956</v>
      </c>
      <c r="AW14" s="83">
        <f t="shared" ca="1" si="33"/>
        <v>0.15941059643883862</v>
      </c>
      <c r="AX14" s="83">
        <f t="shared" ca="1" si="34"/>
        <v>0.84151696502985374</v>
      </c>
      <c r="AY14" s="83">
        <f t="shared" ca="1" si="35"/>
        <v>1.7809882857774681</v>
      </c>
      <c r="AZ14" s="83">
        <f t="shared" ca="1" si="36"/>
        <v>0.42075848251492687</v>
      </c>
      <c r="BA14" s="83">
        <f t="shared" ca="1" si="37"/>
        <v>8.6524707144436714</v>
      </c>
      <c r="BB14" s="83">
        <f t="shared" ca="1" si="38"/>
        <v>0.62047509075424867</v>
      </c>
      <c r="BC14" s="83">
        <f t="shared" ca="1" si="39"/>
        <v>2.6113113636584631</v>
      </c>
      <c r="BD14" s="83">
        <f t="shared" ca="1" si="40"/>
        <v>0.31023754537712434</v>
      </c>
      <c r="BE14" s="83">
        <f t="shared" ca="1" si="41"/>
        <v>1.2956689779031081</v>
      </c>
      <c r="BF14" s="83">
        <f t="shared" ca="1" si="42"/>
        <v>1.5494598086263971</v>
      </c>
      <c r="BG14" s="83">
        <f t="shared" ca="1" si="43"/>
        <v>7.6228266994248743</v>
      </c>
      <c r="BH14" s="83">
        <f t="shared" ca="1" si="44"/>
        <v>2.7542464651404233</v>
      </c>
      <c r="BI14" s="83">
        <f t="shared" ca="1" si="45"/>
        <v>0.5910454421809247</v>
      </c>
      <c r="BJ14" s="83">
        <f t="shared" ca="1" si="46"/>
        <v>2.1594482965051802</v>
      </c>
      <c r="BK14" s="83">
        <f t="shared" ca="1" si="47"/>
        <v>1.175452268613129</v>
      </c>
      <c r="BL14" s="83">
        <f t="shared" ca="1" si="48"/>
        <v>3.2965913422030391</v>
      </c>
      <c r="BM14" s="83">
        <f t="shared" ca="1" si="49"/>
        <v>2.8164594044237687</v>
      </c>
      <c r="BN14" s="83">
        <f t="shared" ca="1" si="50"/>
        <v>0.12752847715107088</v>
      </c>
      <c r="BO14" s="83">
        <f t="shared" ca="1" si="51"/>
        <v>0.8014447285998606</v>
      </c>
      <c r="BP14" s="83">
        <f t="shared" ca="1" si="52"/>
        <v>0.30276800858216962</v>
      </c>
      <c r="BQ14" s="83">
        <f t="shared" ca="1" si="53"/>
        <v>2.6390035679053199</v>
      </c>
      <c r="BR14" s="83">
        <f t="shared" ca="1" si="54"/>
        <v>4.1538773387745609</v>
      </c>
      <c r="BS14" s="83">
        <f t="shared" ca="1" si="55"/>
        <v>0.33108354644989557</v>
      </c>
      <c r="BT14" s="83">
        <f t="shared" ca="1" si="56"/>
        <v>1.2645016829020024</v>
      </c>
      <c r="BU14" s="83">
        <f t="shared" ca="1" si="57"/>
        <v>1.0864028543242557</v>
      </c>
      <c r="BV14" s="83">
        <f t="shared" ca="1" si="58"/>
        <v>3.9368741750718708</v>
      </c>
      <c r="BW14" s="83">
        <f t="shared" ca="1" si="59"/>
        <v>3.5813375516035872</v>
      </c>
      <c r="BX14" s="83">
        <f t="shared" ca="1" si="60"/>
        <v>0.29674895644768418</v>
      </c>
      <c r="BY14" s="83">
        <f t="shared" ca="1" si="61"/>
        <v>1.2645016829020024</v>
      </c>
      <c r="BZ14" s="83">
        <f t="shared" ca="1" si="62"/>
        <v>1.0864028543242557</v>
      </c>
      <c r="CA14" s="83">
        <f t="shared" ca="1" si="63"/>
        <v>5.4597090208139569</v>
      </c>
      <c r="CB14" s="83">
        <f t="shared" ca="1" si="64"/>
        <v>2.8969612894270851</v>
      </c>
      <c r="CC14" s="83">
        <f t="shared" ca="1" si="65"/>
        <v>0.36296566573766326</v>
      </c>
      <c r="CD14" s="83">
        <f t="shared" ca="1" si="66"/>
        <v>3.5129031100641308</v>
      </c>
      <c r="CE14" s="83">
        <f t="shared" ca="1" si="67"/>
        <v>2.1837372422251526</v>
      </c>
      <c r="CF14" s="83">
        <f t="shared" ca="1" si="68"/>
        <v>6.2594820244635736</v>
      </c>
      <c r="CG14" s="83">
        <f t="shared" ca="1" si="69"/>
        <v>2.1837372422251526</v>
      </c>
      <c r="CH14" s="83">
        <f t="shared" ca="1" si="70"/>
        <v>3.5397413377788651</v>
      </c>
      <c r="CI14" s="83">
        <f t="shared" ca="1" si="71"/>
        <v>9.3574324080733859</v>
      </c>
      <c r="CJ14" s="83">
        <f t="shared" ca="1" si="72"/>
        <v>3.5397413377788651</v>
      </c>
      <c r="CK14" s="83">
        <f t="shared" ca="1" si="73"/>
        <v>2.1631176786109179</v>
      </c>
    </row>
    <row r="15" spans="1:89" x14ac:dyDescent="0.25">
      <c r="A15" t="str">
        <f>PLANTILLA!D16</f>
        <v>M. Bondarewski</v>
      </c>
      <c r="B15" s="355">
        <f>PLANTILLA!E16</f>
        <v>18</v>
      </c>
      <c r="C15" s="122">
        <f ca="1">PLANTILLA!F16</f>
        <v>86</v>
      </c>
      <c r="D15" s="355" t="str">
        <f>PLANTILLA!G16</f>
        <v>RAP</v>
      </c>
      <c r="E15" s="287">
        <f>PLANTILLA!O16</f>
        <v>43627</v>
      </c>
      <c r="F15" s="122">
        <f>PLANTILLA!Q16</f>
        <v>5</v>
      </c>
      <c r="G15" s="154">
        <f t="shared" si="0"/>
        <v>0.84515425472851657</v>
      </c>
      <c r="H15" s="154">
        <f t="shared" si="1"/>
        <v>0.92504826128926143</v>
      </c>
      <c r="I15" s="209">
        <f ca="1">PLANTILLA!P16</f>
        <v>0.13081718674960124</v>
      </c>
      <c r="J15" s="210">
        <f>PLANTILLA!I16</f>
        <v>1.6</v>
      </c>
      <c r="K15" s="49">
        <f>PLANTILLA!X16</f>
        <v>0</v>
      </c>
      <c r="L15" s="49">
        <f>PLANTILLA!Y16</f>
        <v>2</v>
      </c>
      <c r="M15" s="49">
        <f>PLANTILLA!Z16</f>
        <v>8.4</v>
      </c>
      <c r="N15" s="49">
        <f>PLANTILLA!AA16</f>
        <v>5</v>
      </c>
      <c r="O15" s="49">
        <f>PLANTILLA!AB16</f>
        <v>4</v>
      </c>
      <c r="P15" s="49">
        <f>PLANTILLA!AC16</f>
        <v>8</v>
      </c>
      <c r="Q15" s="49">
        <f>PLANTILLA!AD16</f>
        <v>6</v>
      </c>
      <c r="R15" s="210">
        <f t="shared" si="2"/>
        <v>1.625</v>
      </c>
      <c r="S15" s="210">
        <f t="shared" ca="1" si="3"/>
        <v>9.87057953160941</v>
      </c>
      <c r="T15" s="49">
        <f t="shared" si="4"/>
        <v>0.57999999999999996</v>
      </c>
      <c r="U15" s="49">
        <f t="shared" si="5"/>
        <v>0.25999999999999995</v>
      </c>
      <c r="V15" s="210">
        <f t="shared" ca="1" si="6"/>
        <v>5.4734590806290422</v>
      </c>
      <c r="W15" s="210">
        <f t="shared" ca="1" si="7"/>
        <v>5.9908753667698669</v>
      </c>
      <c r="X15" s="83">
        <f t="shared" ca="1" si="8"/>
        <v>0.9037990638438983</v>
      </c>
      <c r="Y15" s="83">
        <f t="shared" ca="1" si="9"/>
        <v>1.3702435182388002</v>
      </c>
      <c r="Z15" s="83">
        <f t="shared" ca="1" si="10"/>
        <v>0.9037990638438983</v>
      </c>
      <c r="AA15" s="83">
        <f t="shared" ca="1" si="11"/>
        <v>1.2399362164300705</v>
      </c>
      <c r="AB15" s="83">
        <f t="shared" ca="1" si="12"/>
        <v>2.4029771636241675</v>
      </c>
      <c r="AC15" s="83">
        <f t="shared" ca="1" si="13"/>
        <v>0.61996810821503523</v>
      </c>
      <c r="AD15" s="83">
        <f t="shared" ca="1" si="14"/>
        <v>2.0951085649425516</v>
      </c>
      <c r="AE15" s="83">
        <f t="shared" ca="1" si="15"/>
        <v>0.90832536784993534</v>
      </c>
      <c r="AF15" s="83">
        <f t="shared" ca="1" si="16"/>
        <v>1.737352489300273</v>
      </c>
      <c r="AG15" s="83">
        <f t="shared" ca="1" si="17"/>
        <v>0.45416268392496767</v>
      </c>
      <c r="AH15" s="83">
        <f t="shared" ca="1" si="18"/>
        <v>3.3891462079953043</v>
      </c>
      <c r="AI15" s="83">
        <f t="shared" ca="1" si="19"/>
        <v>2.2107389905342343</v>
      </c>
      <c r="AJ15" s="83">
        <f t="shared" ca="1" si="20"/>
        <v>0.99483254574040525</v>
      </c>
      <c r="AK15" s="83">
        <f t="shared" ca="1" si="21"/>
        <v>1.4700971863252359</v>
      </c>
      <c r="AL15" s="83">
        <f t="shared" ca="1" si="22"/>
        <v>3.1769505722110103</v>
      </c>
      <c r="AM15" s="83">
        <f t="shared" ca="1" si="23"/>
        <v>1.8118447813726222</v>
      </c>
      <c r="AN15" s="83">
        <f t="shared" ca="1" si="24"/>
        <v>1.7013078318459105</v>
      </c>
      <c r="AO15" s="83">
        <f t="shared" ca="1" si="25"/>
        <v>1.0692971863252361</v>
      </c>
      <c r="AP15" s="83">
        <f t="shared" ca="1" si="26"/>
        <v>0.58405742312376019</v>
      </c>
      <c r="AQ15" s="83">
        <f t="shared" ca="1" si="27"/>
        <v>0.64880383417852527</v>
      </c>
      <c r="AR15" s="83">
        <f t="shared" ca="1" si="28"/>
        <v>1.4273684351927554</v>
      </c>
      <c r="AS15" s="83">
        <f t="shared" ca="1" si="29"/>
        <v>0.32440191708926264</v>
      </c>
      <c r="AT15" s="83">
        <f t="shared" ca="1" si="30"/>
        <v>8.3100104424612127</v>
      </c>
      <c r="AU15" s="83">
        <f t="shared" ca="1" si="31"/>
        <v>0.57238703127114177</v>
      </c>
      <c r="AV15" s="83">
        <f t="shared" ca="1" si="32"/>
        <v>1.982072308941881</v>
      </c>
      <c r="AW15" s="83">
        <f t="shared" ca="1" si="33"/>
        <v>0.28619351563557088</v>
      </c>
      <c r="AX15" s="83">
        <f t="shared" ca="1" si="34"/>
        <v>0.45416268392496767</v>
      </c>
      <c r="AY15" s="83">
        <f t="shared" ca="1" si="35"/>
        <v>0.96119086544966703</v>
      </c>
      <c r="AZ15" s="83">
        <f t="shared" ca="1" si="36"/>
        <v>0.22708134196248383</v>
      </c>
      <c r="BA15" s="83">
        <f t="shared" ca="1" si="37"/>
        <v>8.8029771636241669</v>
      </c>
      <c r="BB15" s="83">
        <f t="shared" ca="1" si="38"/>
        <v>1.1139532223969144</v>
      </c>
      <c r="BC15" s="83">
        <f t="shared" ca="1" si="39"/>
        <v>3.2660404171569164</v>
      </c>
      <c r="BD15" s="83">
        <f t="shared" ca="1" si="40"/>
        <v>0.55697661119845721</v>
      </c>
      <c r="BE15" s="83">
        <f t="shared" ca="1" si="41"/>
        <v>0.69926635461463271</v>
      </c>
      <c r="BF15" s="83">
        <f t="shared" ca="1" si="42"/>
        <v>0.83623605294121017</v>
      </c>
      <c r="BG15" s="83">
        <f t="shared" ca="1" si="43"/>
        <v>7.7554228811528914</v>
      </c>
      <c r="BH15" s="83">
        <f t="shared" ca="1" si="44"/>
        <v>4.4882466984618841</v>
      </c>
      <c r="BI15" s="83">
        <f t="shared" ca="1" si="45"/>
        <v>1.0611174964334242</v>
      </c>
      <c r="BJ15" s="83">
        <f t="shared" ca="1" si="46"/>
        <v>1.1654439243577213</v>
      </c>
      <c r="BK15" s="83">
        <f t="shared" ca="1" si="47"/>
        <v>0.6343859711967802</v>
      </c>
      <c r="BL15" s="83">
        <f t="shared" ca="1" si="48"/>
        <v>3.3539342993408074</v>
      </c>
      <c r="BM15" s="83">
        <f t="shared" ca="1" si="49"/>
        <v>4.5212020410075224</v>
      </c>
      <c r="BN15" s="83">
        <f t="shared" ca="1" si="50"/>
        <v>0.2289548125084567</v>
      </c>
      <c r="BO15" s="83">
        <f t="shared" ca="1" si="51"/>
        <v>0.43253588945235011</v>
      </c>
      <c r="BP15" s="83">
        <f t="shared" ca="1" si="52"/>
        <v>0.16340244712644339</v>
      </c>
      <c r="BQ15" s="83">
        <f t="shared" ca="1" si="53"/>
        <v>2.6849080349053707</v>
      </c>
      <c r="BR15" s="83">
        <f t="shared" ca="1" si="54"/>
        <v>6.6622286324206792</v>
      </c>
      <c r="BS15" s="83">
        <f t="shared" ca="1" si="55"/>
        <v>0.5944019170892626</v>
      </c>
      <c r="BT15" s="83">
        <f t="shared" ca="1" si="56"/>
        <v>0.68244551446926349</v>
      </c>
      <c r="BU15" s="83">
        <f t="shared" ca="1" si="57"/>
        <v>0.5863264279242969</v>
      </c>
      <c r="BV15" s="83">
        <f t="shared" ca="1" si="58"/>
        <v>4.0053546094489958</v>
      </c>
      <c r="BW15" s="83">
        <f t="shared" ca="1" si="59"/>
        <v>5.742498697295578</v>
      </c>
      <c r="BX15" s="83">
        <f t="shared" ca="1" si="60"/>
        <v>0.53276023679852424</v>
      </c>
      <c r="BY15" s="83">
        <f t="shared" ca="1" si="61"/>
        <v>0.68244551446926349</v>
      </c>
      <c r="BZ15" s="83">
        <f t="shared" ca="1" si="62"/>
        <v>0.5863264279242969</v>
      </c>
      <c r="CA15" s="83">
        <f t="shared" ca="1" si="63"/>
        <v>5.5546785902468496</v>
      </c>
      <c r="CB15" s="83">
        <f t="shared" ca="1" si="64"/>
        <v>4.6426645614436302</v>
      </c>
      <c r="CC15" s="83">
        <f t="shared" ca="1" si="65"/>
        <v>0.6516406202163767</v>
      </c>
      <c r="CD15" s="83">
        <f t="shared" ca="1" si="66"/>
        <v>3.5740087284314122</v>
      </c>
      <c r="CE15" s="83">
        <f t="shared" ca="1" si="67"/>
        <v>2.9459511022481912</v>
      </c>
      <c r="CF15" s="83">
        <f t="shared" ca="1" si="68"/>
        <v>7.2897522862408124</v>
      </c>
      <c r="CG15" s="83">
        <f t="shared" ca="1" si="69"/>
        <v>2.9459511022481912</v>
      </c>
      <c r="CH15" s="83">
        <f t="shared" ca="1" si="70"/>
        <v>4.2300423043829598</v>
      </c>
      <c r="CI15" s="83">
        <f t="shared" ca="1" si="71"/>
        <v>10.027675737001486</v>
      </c>
      <c r="CJ15" s="83">
        <f t="shared" ca="1" si="72"/>
        <v>4.2300423043829598</v>
      </c>
      <c r="CK15" s="83">
        <f t="shared" ca="1" si="73"/>
        <v>2.2007442909060417</v>
      </c>
    </row>
    <row r="16" spans="1:89" x14ac:dyDescent="0.25">
      <c r="A16" t="str">
        <f>PLANTILLA!D17</f>
        <v>J. Vartiainen</v>
      </c>
      <c r="B16" s="355">
        <f>PLANTILLA!E17</f>
        <v>19</v>
      </c>
      <c r="C16" s="122">
        <f ca="1">PLANTILLA!F17</f>
        <v>20</v>
      </c>
      <c r="D16" s="355" t="str">
        <f>PLANTILLA!G17</f>
        <v>CAB</v>
      </c>
      <c r="E16" s="287">
        <f>PLANTILLA!O17</f>
        <v>43628</v>
      </c>
      <c r="F16" s="122">
        <f>PLANTILLA!Q17</f>
        <v>5</v>
      </c>
      <c r="G16" s="154">
        <f t="shared" si="0"/>
        <v>0.84515425472851657</v>
      </c>
      <c r="H16" s="154">
        <f t="shared" si="1"/>
        <v>0.92504826128926143</v>
      </c>
      <c r="I16" s="209">
        <f ca="1">PLANTILLA!P17</f>
        <v>0.12475748407047811</v>
      </c>
      <c r="J16" s="210">
        <f>PLANTILLA!I17</f>
        <v>0.3</v>
      </c>
      <c r="K16" s="49">
        <f>PLANTILLA!X17</f>
        <v>0</v>
      </c>
      <c r="L16" s="49">
        <f>PLANTILLA!Y17</f>
        <v>7</v>
      </c>
      <c r="M16" s="49">
        <f>PLANTILLA!Z17</f>
        <v>7.3111111111111109</v>
      </c>
      <c r="N16" s="49">
        <f>PLANTILLA!AA17</f>
        <v>1</v>
      </c>
      <c r="O16" s="49">
        <f>PLANTILLA!AB17</f>
        <v>1</v>
      </c>
      <c r="P16" s="49">
        <f>PLANTILLA!AC17</f>
        <v>6</v>
      </c>
      <c r="Q16" s="49">
        <f>PLANTILLA!AD17</f>
        <v>1</v>
      </c>
      <c r="R16" s="210">
        <f t="shared" si="2"/>
        <v>1.5</v>
      </c>
      <c r="S16" s="210">
        <f t="shared" ca="1" si="3"/>
        <v>1.6449646703696938</v>
      </c>
      <c r="T16" s="49">
        <f t="shared" si="4"/>
        <v>0.32999999999999996</v>
      </c>
      <c r="U16" s="49">
        <f t="shared" si="5"/>
        <v>0.31</v>
      </c>
      <c r="V16" s="210">
        <f t="shared" ca="1" si="6"/>
        <v>0.42217761258948017</v>
      </c>
      <c r="W16" s="210">
        <f t="shared" ca="1" si="7"/>
        <v>0.46208684899373664</v>
      </c>
      <c r="X16" s="83">
        <f t="shared" ca="1" si="8"/>
        <v>1.4322824240872145</v>
      </c>
      <c r="Y16" s="83">
        <f t="shared" ca="1" si="9"/>
        <v>2.2360132983924328</v>
      </c>
      <c r="Z16" s="83">
        <f t="shared" ca="1" si="10"/>
        <v>1.4322824240872145</v>
      </c>
      <c r="AA16" s="83">
        <f t="shared" ca="1" si="11"/>
        <v>3.3166342850274946</v>
      </c>
      <c r="AB16" s="83">
        <f t="shared" ca="1" si="12"/>
        <v>6.4275858236966945</v>
      </c>
      <c r="AC16" s="83">
        <f t="shared" ca="1" si="13"/>
        <v>1.6583171425137473</v>
      </c>
      <c r="AD16" s="83">
        <f t="shared" ca="1" si="14"/>
        <v>1.6038098704842576</v>
      </c>
      <c r="AE16" s="83">
        <f t="shared" ca="1" si="15"/>
        <v>2.4296274413573506</v>
      </c>
      <c r="AF16" s="83">
        <f t="shared" ca="1" si="16"/>
        <v>4.64714455053271</v>
      </c>
      <c r="AG16" s="83">
        <f t="shared" ca="1" si="17"/>
        <v>1.2148137206786753</v>
      </c>
      <c r="AH16" s="83">
        <f t="shared" ca="1" si="18"/>
        <v>2.5943983199010052</v>
      </c>
      <c r="AI16" s="83">
        <f t="shared" ca="1" si="19"/>
        <v>5.9133789578009592</v>
      </c>
      <c r="AJ16" s="83">
        <f t="shared" ca="1" si="20"/>
        <v>2.6610205310104313</v>
      </c>
      <c r="AK16" s="83">
        <f t="shared" ca="1" si="21"/>
        <v>1.1253623881129036</v>
      </c>
      <c r="AL16" s="83">
        <f t="shared" ca="1" si="22"/>
        <v>0.25142046433365645</v>
      </c>
      <c r="AM16" s="83">
        <f t="shared" ca="1" si="23"/>
        <v>4.846399711067308</v>
      </c>
      <c r="AN16" s="83">
        <f t="shared" ca="1" si="24"/>
        <v>4.5507307631772598</v>
      </c>
      <c r="AO16" s="83">
        <f t="shared" ca="1" si="25"/>
        <v>7.1406832557348004E-2</v>
      </c>
      <c r="AP16" s="83">
        <f t="shared" ca="1" si="26"/>
        <v>0.26714471722464805</v>
      </c>
      <c r="AQ16" s="83">
        <f t="shared" ca="1" si="27"/>
        <v>1.7354481723981077</v>
      </c>
      <c r="AR16" s="83">
        <f t="shared" ca="1" si="28"/>
        <v>3.8179859792758362</v>
      </c>
      <c r="AS16" s="83">
        <f t="shared" ca="1" si="29"/>
        <v>0.86772408619905383</v>
      </c>
      <c r="AT16" s="83">
        <f t="shared" ca="1" si="30"/>
        <v>6.3613299064585682</v>
      </c>
      <c r="AU16" s="83">
        <f t="shared" ca="1" si="31"/>
        <v>5.5586157080570305E-2</v>
      </c>
      <c r="AV16" s="83">
        <f t="shared" ca="1" si="32"/>
        <v>0.99028264634313146</v>
      </c>
      <c r="AW16" s="83">
        <f t="shared" ca="1" si="33"/>
        <v>2.7793078540285152E-2</v>
      </c>
      <c r="AX16" s="83">
        <f t="shared" ca="1" si="34"/>
        <v>1.2148137206786753</v>
      </c>
      <c r="AY16" s="83">
        <f t="shared" ca="1" si="35"/>
        <v>2.5710343294786782</v>
      </c>
      <c r="AZ16" s="83">
        <f t="shared" ca="1" si="36"/>
        <v>0.60740686033933766</v>
      </c>
      <c r="BA16" s="83">
        <f t="shared" ca="1" si="37"/>
        <v>6.7386969348078054</v>
      </c>
      <c r="BB16" s="83">
        <f t="shared" ca="1" si="38"/>
        <v>0.10817921339526373</v>
      </c>
      <c r="BC16" s="83">
        <f t="shared" ca="1" si="39"/>
        <v>1.2855997888568786</v>
      </c>
      <c r="BD16" s="83">
        <f t="shared" ca="1" si="40"/>
        <v>5.4089606697631867E-2</v>
      </c>
      <c r="BE16" s="83">
        <f t="shared" ca="1" si="41"/>
        <v>1.8704274746957379</v>
      </c>
      <c r="BF16" s="83">
        <f t="shared" ca="1" si="42"/>
        <v>2.2367998666464497</v>
      </c>
      <c r="BG16" s="83">
        <f t="shared" ca="1" si="43"/>
        <v>5.9367919995656768</v>
      </c>
      <c r="BH16" s="83">
        <f t="shared" ca="1" si="44"/>
        <v>0.38012379726636147</v>
      </c>
      <c r="BI16" s="83">
        <f t="shared" ca="1" si="45"/>
        <v>0.1030481835109034</v>
      </c>
      <c r="BJ16" s="83">
        <f t="shared" ca="1" si="46"/>
        <v>3.1173791244928966</v>
      </c>
      <c r="BK16" s="83">
        <f t="shared" ca="1" si="47"/>
        <v>1.6968826574559275</v>
      </c>
      <c r="BL16" s="83">
        <f t="shared" ca="1" si="48"/>
        <v>2.5674435321617737</v>
      </c>
      <c r="BM16" s="83">
        <f t="shared" ca="1" si="49"/>
        <v>0.37371000991091113</v>
      </c>
      <c r="BN16" s="83">
        <f t="shared" ca="1" si="50"/>
        <v>2.223446283222812E-2</v>
      </c>
      <c r="BO16" s="83">
        <f t="shared" ca="1" si="51"/>
        <v>1.156965448265405</v>
      </c>
      <c r="BP16" s="83">
        <f t="shared" ca="1" si="52"/>
        <v>0.43707583601137528</v>
      </c>
      <c r="BQ16" s="83">
        <f t="shared" ca="1" si="53"/>
        <v>2.0553025651163805</v>
      </c>
      <c r="BR16" s="83">
        <f t="shared" ca="1" si="54"/>
        <v>0.54987536927394931</v>
      </c>
      <c r="BS16" s="83">
        <f t="shared" ca="1" si="55"/>
        <v>5.7724086199053781E-2</v>
      </c>
      <c r="BT16" s="83">
        <f t="shared" ca="1" si="56"/>
        <v>1.8254343739298611</v>
      </c>
      <c r="BU16" s="83">
        <f t="shared" ca="1" si="57"/>
        <v>1.5683309409819934</v>
      </c>
      <c r="BV16" s="83">
        <f t="shared" ca="1" si="58"/>
        <v>3.0661071053375517</v>
      </c>
      <c r="BW16" s="83">
        <f t="shared" ca="1" si="59"/>
        <v>0.47376509265593764</v>
      </c>
      <c r="BX16" s="83">
        <f t="shared" ca="1" si="60"/>
        <v>5.1737884667300046E-2</v>
      </c>
      <c r="BY16" s="83">
        <f t="shared" ca="1" si="61"/>
        <v>1.8254343739298611</v>
      </c>
      <c r="BZ16" s="83">
        <f t="shared" ca="1" si="62"/>
        <v>1.5683309409819934</v>
      </c>
      <c r="CA16" s="83">
        <f t="shared" ca="1" si="63"/>
        <v>4.2521177658637255</v>
      </c>
      <c r="CB16" s="83">
        <f t="shared" ca="1" si="64"/>
        <v>0.38268931220854169</v>
      </c>
      <c r="CC16" s="83">
        <f t="shared" ca="1" si="65"/>
        <v>6.32827019071108E-2</v>
      </c>
      <c r="CD16" s="83">
        <f t="shared" ca="1" si="66"/>
        <v>2.7359109555319692</v>
      </c>
      <c r="CE16" s="83">
        <f t="shared" ca="1" si="67"/>
        <v>0.85777221414597782</v>
      </c>
      <c r="CF16" s="83">
        <f t="shared" ca="1" si="68"/>
        <v>3.3964616374824779</v>
      </c>
      <c r="CG16" s="83">
        <f t="shared" ca="1" si="69"/>
        <v>0.85777221414597782</v>
      </c>
      <c r="CH16" s="83">
        <f t="shared" ca="1" si="70"/>
        <v>1.7939490223047165</v>
      </c>
      <c r="CI16" s="83">
        <f t="shared" ca="1" si="71"/>
        <v>5.5853649926407751</v>
      </c>
      <c r="CJ16" s="83">
        <f t="shared" ca="1" si="72"/>
        <v>1.7939490223047165</v>
      </c>
      <c r="CK16" s="83">
        <f t="shared" ca="1" si="73"/>
        <v>1.6846742337019514</v>
      </c>
    </row>
    <row r="17" spans="1:89" x14ac:dyDescent="0.25">
      <c r="A17" t="str">
        <f>PLANTILLA!D18</f>
        <v>R. Forsyth</v>
      </c>
      <c r="B17" s="355">
        <f>PLANTILLA!E18</f>
        <v>19</v>
      </c>
      <c r="C17" s="122">
        <f ca="1">PLANTILLA!F18</f>
        <v>15</v>
      </c>
      <c r="D17" s="355" t="str">
        <f>PLANTILLA!G18</f>
        <v>POT</v>
      </c>
      <c r="E17" s="287">
        <f>PLANTILLA!O18</f>
        <v>43626</v>
      </c>
      <c r="F17" s="122">
        <f>PLANTILLA!Q18</f>
        <v>5</v>
      </c>
      <c r="G17" s="154">
        <f t="shared" si="0"/>
        <v>0.84515425472851657</v>
      </c>
      <c r="H17" s="154">
        <f t="shared" si="1"/>
        <v>0.92504826128926143</v>
      </c>
      <c r="I17" s="209">
        <f ca="1">PLANTILLA!P18</f>
        <v>0.13672290211839563</v>
      </c>
      <c r="J17" s="210">
        <f>PLANTILLA!I18</f>
        <v>1.8</v>
      </c>
      <c r="K17" s="49">
        <f>PLANTILLA!X18</f>
        <v>0</v>
      </c>
      <c r="L17" s="49">
        <f>PLANTILLA!Y18</f>
        <v>7</v>
      </c>
      <c r="M17" s="49">
        <f>PLANTILLA!Z18</f>
        <v>7.4</v>
      </c>
      <c r="N17" s="49">
        <f>PLANTILLA!AA18</f>
        <v>2</v>
      </c>
      <c r="O17" s="49">
        <f>PLANTILLA!AB18</f>
        <v>4</v>
      </c>
      <c r="P17" s="49">
        <f>PLANTILLA!AC18</f>
        <v>6</v>
      </c>
      <c r="Q17" s="49">
        <f>PLANTILLA!AD18</f>
        <v>2</v>
      </c>
      <c r="R17" s="210">
        <f t="shared" si="2"/>
        <v>2.25</v>
      </c>
      <c r="S17" s="210">
        <f t="shared" ca="1" si="3"/>
        <v>4.5143605953860622</v>
      </c>
      <c r="T17" s="49">
        <f t="shared" si="4"/>
        <v>0.36</v>
      </c>
      <c r="U17" s="49">
        <f t="shared" si="5"/>
        <v>0.34</v>
      </c>
      <c r="V17" s="210">
        <f t="shared" ca="1" si="6"/>
        <v>2.1565394630994832</v>
      </c>
      <c r="W17" s="210">
        <f t="shared" ca="1" si="7"/>
        <v>2.3604011570440049</v>
      </c>
      <c r="X17" s="83">
        <f t="shared" ca="1" si="8"/>
        <v>2.3484962894896078</v>
      </c>
      <c r="Y17" s="83">
        <f t="shared" ca="1" si="9"/>
        <v>3.5909183387526724</v>
      </c>
      <c r="Z17" s="83">
        <f t="shared" ca="1" si="10"/>
        <v>2.3484962894896078</v>
      </c>
      <c r="AA17" s="83">
        <f t="shared" ca="1" si="11"/>
        <v>3.8581765010041669</v>
      </c>
      <c r="AB17" s="83">
        <f t="shared" ca="1" si="12"/>
        <v>7.4770862422561368</v>
      </c>
      <c r="AC17" s="83">
        <f t="shared" ca="1" si="13"/>
        <v>1.9290882505020834</v>
      </c>
      <c r="AD17" s="83">
        <f t="shared" ca="1" si="14"/>
        <v>1.8747465256569606</v>
      </c>
      <c r="AE17" s="83">
        <f t="shared" ca="1" si="15"/>
        <v>2.8263385995728196</v>
      </c>
      <c r="AF17" s="83">
        <f t="shared" ca="1" si="16"/>
        <v>5.4059333531511866</v>
      </c>
      <c r="AG17" s="83">
        <f t="shared" ca="1" si="17"/>
        <v>1.4131692997864098</v>
      </c>
      <c r="AH17" s="83">
        <f t="shared" ca="1" si="18"/>
        <v>3.0326782032686128</v>
      </c>
      <c r="AI17" s="83">
        <f t="shared" ca="1" si="19"/>
        <v>6.8789193428756459</v>
      </c>
      <c r="AJ17" s="83">
        <f t="shared" ca="1" si="20"/>
        <v>3.0955137042940404</v>
      </c>
      <c r="AK17" s="83">
        <f t="shared" ca="1" si="21"/>
        <v>1.3154734024567749</v>
      </c>
      <c r="AL17" s="83">
        <f t="shared" ca="1" si="22"/>
        <v>1.4565267104466086</v>
      </c>
      <c r="AM17" s="83">
        <f t="shared" ca="1" si="23"/>
        <v>5.6377230266611269</v>
      </c>
      <c r="AN17" s="83">
        <f t="shared" ca="1" si="24"/>
        <v>5.2937770595173443</v>
      </c>
      <c r="AO17" s="83">
        <f t="shared" ca="1" si="25"/>
        <v>0.41367340245677497</v>
      </c>
      <c r="AP17" s="83">
        <f t="shared" ca="1" si="26"/>
        <v>0.78540083776976743</v>
      </c>
      <c r="AQ17" s="83">
        <f t="shared" ca="1" si="27"/>
        <v>2.0188132854091569</v>
      </c>
      <c r="AR17" s="83">
        <f t="shared" ca="1" si="28"/>
        <v>4.441389227900145</v>
      </c>
      <c r="AS17" s="83">
        <f t="shared" ca="1" si="29"/>
        <v>1.0094066427045785</v>
      </c>
      <c r="AT17" s="83">
        <f t="shared" ca="1" si="30"/>
        <v>7.4359694126897935</v>
      </c>
      <c r="AU17" s="83">
        <f t="shared" ca="1" si="31"/>
        <v>0.58202121149329777</v>
      </c>
      <c r="AV17" s="83">
        <f t="shared" ca="1" si="32"/>
        <v>1.6577862689810479</v>
      </c>
      <c r="AW17" s="83">
        <f t="shared" ca="1" si="33"/>
        <v>0.29101060574664889</v>
      </c>
      <c r="AX17" s="83">
        <f t="shared" ca="1" si="34"/>
        <v>1.4131692997864098</v>
      </c>
      <c r="AY17" s="83">
        <f t="shared" ca="1" si="35"/>
        <v>2.9908344969024547</v>
      </c>
      <c r="AZ17" s="83">
        <f t="shared" ca="1" si="36"/>
        <v>0.70658464989320491</v>
      </c>
      <c r="BA17" s="83">
        <f t="shared" ca="1" si="37"/>
        <v>7.8770862422561372</v>
      </c>
      <c r="BB17" s="83">
        <f t="shared" ca="1" si="38"/>
        <v>1.1327028192908026</v>
      </c>
      <c r="BC17" s="83">
        <f t="shared" ca="1" si="39"/>
        <v>2.8868745194831318</v>
      </c>
      <c r="BD17" s="83">
        <f t="shared" ca="1" si="40"/>
        <v>0.56635140964540132</v>
      </c>
      <c r="BE17" s="83">
        <f t="shared" ca="1" si="41"/>
        <v>2.1758320964965359</v>
      </c>
      <c r="BF17" s="83">
        <f t="shared" ca="1" si="42"/>
        <v>2.6020260123051355</v>
      </c>
      <c r="BG17" s="83">
        <f t="shared" ca="1" si="43"/>
        <v>6.9397129794276573</v>
      </c>
      <c r="BH17" s="83">
        <f t="shared" ca="1" si="44"/>
        <v>2.8321296693657056</v>
      </c>
      <c r="BI17" s="83">
        <f t="shared" ca="1" si="45"/>
        <v>1.0789777843837289</v>
      </c>
      <c r="BJ17" s="83">
        <f t="shared" ca="1" si="46"/>
        <v>3.6263868274942261</v>
      </c>
      <c r="BK17" s="83">
        <f t="shared" ca="1" si="47"/>
        <v>1.9739507679556203</v>
      </c>
      <c r="BL17" s="83">
        <f t="shared" ca="1" si="48"/>
        <v>3.0011698582995883</v>
      </c>
      <c r="BM17" s="83">
        <f t="shared" ca="1" si="49"/>
        <v>2.5669733757318642</v>
      </c>
      <c r="BN17" s="83">
        <f t="shared" ca="1" si="50"/>
        <v>0.23280848459731909</v>
      </c>
      <c r="BO17" s="83">
        <f t="shared" ca="1" si="51"/>
        <v>1.3458755236061046</v>
      </c>
      <c r="BP17" s="83">
        <f t="shared" ca="1" si="52"/>
        <v>0.50844186447341733</v>
      </c>
      <c r="BQ17" s="83">
        <f t="shared" ca="1" si="53"/>
        <v>2.4025113038881218</v>
      </c>
      <c r="BR17" s="83">
        <f t="shared" ca="1" si="54"/>
        <v>3.7575329075413926</v>
      </c>
      <c r="BS17" s="83">
        <f t="shared" ca="1" si="55"/>
        <v>0.60440664270457856</v>
      </c>
      <c r="BT17" s="83">
        <f t="shared" ca="1" si="56"/>
        <v>2.1234924928007426</v>
      </c>
      <c r="BU17" s="83">
        <f t="shared" ca="1" si="57"/>
        <v>1.8244090431104973</v>
      </c>
      <c r="BV17" s="83">
        <f t="shared" ca="1" si="58"/>
        <v>3.5840742402265424</v>
      </c>
      <c r="BW17" s="83">
        <f t="shared" ca="1" si="59"/>
        <v>3.2326115564197999</v>
      </c>
      <c r="BX17" s="83">
        <f t="shared" ca="1" si="60"/>
        <v>0.5417274353129925</v>
      </c>
      <c r="BY17" s="83">
        <f t="shared" ca="1" si="61"/>
        <v>2.1234924928007426</v>
      </c>
      <c r="BZ17" s="83">
        <f t="shared" ca="1" si="62"/>
        <v>1.8244090431104973</v>
      </c>
      <c r="CA17" s="83">
        <f t="shared" ca="1" si="63"/>
        <v>4.970441418863623</v>
      </c>
      <c r="CB17" s="83">
        <f t="shared" ca="1" si="64"/>
        <v>2.6029921868192427</v>
      </c>
      <c r="CC17" s="83">
        <f t="shared" ca="1" si="65"/>
        <v>0.66260876385390821</v>
      </c>
      <c r="CD17" s="83">
        <f t="shared" ca="1" si="66"/>
        <v>3.1980970143559917</v>
      </c>
      <c r="CE17" s="83">
        <f t="shared" ca="1" si="67"/>
        <v>2.2985619322154474</v>
      </c>
      <c r="CF17" s="83">
        <f t="shared" ca="1" si="68"/>
        <v>6.2071991087804097</v>
      </c>
      <c r="CG17" s="83">
        <f t="shared" ca="1" si="69"/>
        <v>2.2985619322154474</v>
      </c>
      <c r="CH17" s="83">
        <f t="shared" ca="1" si="70"/>
        <v>3.0916767743747906</v>
      </c>
      <c r="CI17" s="83">
        <f t="shared" ca="1" si="71"/>
        <v>8.129131065648652</v>
      </c>
      <c r="CJ17" s="83">
        <f t="shared" ca="1" si="72"/>
        <v>3.0916767743747906</v>
      </c>
      <c r="CK17" s="83">
        <f t="shared" ca="1" si="73"/>
        <v>1.9692715605640343</v>
      </c>
    </row>
    <row r="18" spans="1:89" x14ac:dyDescent="0.25">
      <c r="A18" t="str">
        <f>PLANTILLA!D19</f>
        <v>K. Nelson</v>
      </c>
      <c r="B18" s="355">
        <f>PLANTILLA!E19</f>
        <v>19</v>
      </c>
      <c r="C18" s="122">
        <f ca="1">PLANTILLA!F19</f>
        <v>7</v>
      </c>
      <c r="D18" s="355">
        <f>PLANTILLA!G19</f>
        <v>0</v>
      </c>
      <c r="E18" s="287">
        <f>PLANTILLA!O19</f>
        <v>43624</v>
      </c>
      <c r="F18" s="122">
        <f>PLANTILLA!Q19</f>
        <v>5</v>
      </c>
      <c r="G18" s="154">
        <f t="shared" si="0"/>
        <v>0.84515425472851657</v>
      </c>
      <c r="H18" s="154">
        <f t="shared" si="1"/>
        <v>0.92504826128926143</v>
      </c>
      <c r="I18" s="209">
        <f ca="1">PLANTILLA!P19</f>
        <v>0.14812561692891457</v>
      </c>
      <c r="J18" s="210">
        <f>PLANTILLA!I19</f>
        <v>1.8</v>
      </c>
      <c r="K18" s="49">
        <f>PLANTILLA!X19</f>
        <v>0</v>
      </c>
      <c r="L18" s="49">
        <f>PLANTILLA!Y19</f>
        <v>5</v>
      </c>
      <c r="M18" s="49">
        <f>PLANTILLA!Z19</f>
        <v>6.1583333333333332</v>
      </c>
      <c r="N18" s="49">
        <f>PLANTILLA!AA19</f>
        <v>2</v>
      </c>
      <c r="O18" s="49">
        <f>PLANTILLA!AB19</f>
        <v>3</v>
      </c>
      <c r="P18" s="49">
        <f>PLANTILLA!AC19</f>
        <v>9</v>
      </c>
      <c r="Q18" s="49">
        <f>PLANTILLA!AD19</f>
        <v>1</v>
      </c>
      <c r="R18" s="210">
        <f t="shared" si="2"/>
        <v>1.75</v>
      </c>
      <c r="S18" s="210">
        <f t="shared" ca="1" si="3"/>
        <v>8.9695605951173132</v>
      </c>
      <c r="T18" s="49">
        <f t="shared" si="4"/>
        <v>0.48</v>
      </c>
      <c r="U18" s="49">
        <f t="shared" si="5"/>
        <v>0.22999999999999998</v>
      </c>
      <c r="V18" s="210">
        <f t="shared" ca="1" si="6"/>
        <v>1.3229175824503869</v>
      </c>
      <c r="W18" s="210">
        <f t="shared" ca="1" si="7"/>
        <v>1.4479754466453287</v>
      </c>
      <c r="X18" s="83">
        <f t="shared" ca="1" si="8"/>
        <v>1.8064508595191908</v>
      </c>
      <c r="Y18" s="83">
        <f t="shared" ca="1" si="9"/>
        <v>2.7556392435730528</v>
      </c>
      <c r="Z18" s="83">
        <f t="shared" ca="1" si="10"/>
        <v>1.8064508595191908</v>
      </c>
      <c r="AA18" s="83">
        <f t="shared" ca="1" si="11"/>
        <v>2.8320603018463943</v>
      </c>
      <c r="AB18" s="83">
        <f t="shared" ca="1" si="12"/>
        <v>5.4884889570666555</v>
      </c>
      <c r="AC18" s="83">
        <f t="shared" ca="1" si="13"/>
        <v>1.4160301509231972</v>
      </c>
      <c r="AD18" s="83">
        <f t="shared" ca="1" si="14"/>
        <v>1.5819437051151972</v>
      </c>
      <c r="AE18" s="83">
        <f t="shared" ca="1" si="15"/>
        <v>2.0746488257711957</v>
      </c>
      <c r="AF18" s="83">
        <f t="shared" ca="1" si="16"/>
        <v>3.9681775159591917</v>
      </c>
      <c r="AG18" s="83">
        <f t="shared" ca="1" si="17"/>
        <v>1.0373244128855978</v>
      </c>
      <c r="AH18" s="83">
        <f t="shared" ca="1" si="18"/>
        <v>2.5590265818039959</v>
      </c>
      <c r="AI18" s="83">
        <f t="shared" ca="1" si="19"/>
        <v>5.0494098405013235</v>
      </c>
      <c r="AJ18" s="83">
        <f t="shared" ca="1" si="20"/>
        <v>2.2722344282255951</v>
      </c>
      <c r="AK18" s="83">
        <f t="shared" ca="1" si="21"/>
        <v>1.1100193224967982</v>
      </c>
      <c r="AL18" s="83">
        <f t="shared" ca="1" si="22"/>
        <v>1.4632315067551935</v>
      </c>
      <c r="AM18" s="83">
        <f t="shared" ca="1" si="23"/>
        <v>4.1383206736282583</v>
      </c>
      <c r="AN18" s="83">
        <f t="shared" ca="1" si="24"/>
        <v>3.8858501816031921</v>
      </c>
      <c r="AO18" s="83">
        <f t="shared" ca="1" si="25"/>
        <v>0.24857765583013156</v>
      </c>
      <c r="AP18" s="83">
        <f t="shared" ca="1" si="26"/>
        <v>0.64468481963519686</v>
      </c>
      <c r="AQ18" s="83">
        <f t="shared" ca="1" si="27"/>
        <v>1.4818920184079971</v>
      </c>
      <c r="AR18" s="83">
        <f t="shared" ca="1" si="28"/>
        <v>3.2601624404975933</v>
      </c>
      <c r="AS18" s="83">
        <f t="shared" ca="1" si="29"/>
        <v>0.74094600920399856</v>
      </c>
      <c r="AT18" s="83">
        <f t="shared" ca="1" si="30"/>
        <v>6.2746002421375886</v>
      </c>
      <c r="AU18" s="83">
        <f t="shared" ca="1" si="31"/>
        <v>0.45350356441866529</v>
      </c>
      <c r="AV18" s="83">
        <f t="shared" ca="1" si="32"/>
        <v>2.0601272644205304</v>
      </c>
      <c r="AW18" s="83">
        <f t="shared" ca="1" si="33"/>
        <v>0.22675178220933265</v>
      </c>
      <c r="AX18" s="83">
        <f t="shared" ca="1" si="34"/>
        <v>1.0373244128855978</v>
      </c>
      <c r="AY18" s="83">
        <f t="shared" ca="1" si="35"/>
        <v>2.1953955828266625</v>
      </c>
      <c r="AZ18" s="83">
        <f t="shared" ca="1" si="36"/>
        <v>0.51866220644279892</v>
      </c>
      <c r="BA18" s="83">
        <f t="shared" ca="1" si="37"/>
        <v>6.6468222903999887</v>
      </c>
      <c r="BB18" s="83">
        <f t="shared" ca="1" si="38"/>
        <v>0.88258770613786397</v>
      </c>
      <c r="BC18" s="83">
        <f t="shared" ca="1" si="39"/>
        <v>3.1821574153437275</v>
      </c>
      <c r="BD18" s="83">
        <f t="shared" ca="1" si="40"/>
        <v>0.44129385306893198</v>
      </c>
      <c r="BE18" s="83">
        <f t="shared" ca="1" si="41"/>
        <v>1.5971502865063967</v>
      </c>
      <c r="BF18" s="83">
        <f t="shared" ca="1" si="42"/>
        <v>1.9099941570591961</v>
      </c>
      <c r="BG18" s="83">
        <f t="shared" ca="1" si="43"/>
        <v>5.8558504378423901</v>
      </c>
      <c r="BH18" s="83">
        <f t="shared" ca="1" si="44"/>
        <v>2.527266682832257</v>
      </c>
      <c r="BI18" s="83">
        <f t="shared" ca="1" si="45"/>
        <v>0.84072583865306405</v>
      </c>
      <c r="BJ18" s="83">
        <f t="shared" ca="1" si="46"/>
        <v>2.6619171441773277</v>
      </c>
      <c r="BK18" s="83">
        <f t="shared" ca="1" si="47"/>
        <v>1.4489610846655971</v>
      </c>
      <c r="BL18" s="83">
        <f t="shared" ca="1" si="48"/>
        <v>2.5324392926423958</v>
      </c>
      <c r="BM18" s="83">
        <f t="shared" ca="1" si="49"/>
        <v>2.3759393484762574</v>
      </c>
      <c r="BN18" s="83">
        <f t="shared" ca="1" si="50"/>
        <v>0.1814014257674661</v>
      </c>
      <c r="BO18" s="83">
        <f t="shared" ca="1" si="51"/>
        <v>0.987928012271998</v>
      </c>
      <c r="BP18" s="83">
        <f t="shared" ca="1" si="52"/>
        <v>0.37321724908053261</v>
      </c>
      <c r="BQ18" s="83">
        <f t="shared" ca="1" si="53"/>
        <v>2.0272807985719967</v>
      </c>
      <c r="BR18" s="83">
        <f t="shared" ca="1" si="54"/>
        <v>3.4861967987877196</v>
      </c>
      <c r="BS18" s="83">
        <f t="shared" ca="1" si="55"/>
        <v>0.47094600920399859</v>
      </c>
      <c r="BT18" s="83">
        <f t="shared" ca="1" si="56"/>
        <v>1.5587308638069299</v>
      </c>
      <c r="BU18" s="83">
        <f t="shared" ca="1" si="57"/>
        <v>1.3391913055242639</v>
      </c>
      <c r="BV18" s="83">
        <f t="shared" ca="1" si="58"/>
        <v>3.0243041421319949</v>
      </c>
      <c r="BW18" s="83">
        <f t="shared" ca="1" si="59"/>
        <v>3.0012457644298549</v>
      </c>
      <c r="BX18" s="83">
        <f t="shared" ca="1" si="60"/>
        <v>0.42210716380506536</v>
      </c>
      <c r="BY18" s="83">
        <f t="shared" ca="1" si="61"/>
        <v>1.5587308638069299</v>
      </c>
      <c r="BZ18" s="83">
        <f t="shared" ca="1" si="62"/>
        <v>1.3391913055242639</v>
      </c>
      <c r="CA18" s="83">
        <f t="shared" ca="1" si="63"/>
        <v>4.1941448652423929</v>
      </c>
      <c r="CB18" s="83">
        <f t="shared" ca="1" si="64"/>
        <v>2.420197616574657</v>
      </c>
      <c r="CC18" s="83">
        <f t="shared" ca="1" si="65"/>
        <v>0.51629636564586501</v>
      </c>
      <c r="CD18" s="83">
        <f t="shared" ca="1" si="66"/>
        <v>2.6986098499023958</v>
      </c>
      <c r="CE18" s="83">
        <f t="shared" ca="1" si="67"/>
        <v>2.4355027466317276</v>
      </c>
      <c r="CF18" s="83">
        <f t="shared" ca="1" si="68"/>
        <v>7.4260385656570556</v>
      </c>
      <c r="CG18" s="83">
        <f t="shared" ca="1" si="69"/>
        <v>2.4355027466317276</v>
      </c>
      <c r="CH18" s="83">
        <f t="shared" ca="1" si="70"/>
        <v>3.7338159598510092</v>
      </c>
      <c r="CI18" s="83">
        <f t="shared" ca="1" si="71"/>
        <v>10.775741382224254</v>
      </c>
      <c r="CJ18" s="83">
        <f t="shared" ca="1" si="72"/>
        <v>3.7338159598510092</v>
      </c>
      <c r="CK18" s="83">
        <f t="shared" ca="1" si="73"/>
        <v>1.6617055725999972</v>
      </c>
    </row>
    <row r="19" spans="1:89" x14ac:dyDescent="0.25">
      <c r="A19" t="str">
        <f>PLANTILLA!D20</f>
        <v>V. Godoi</v>
      </c>
      <c r="B19" s="355">
        <f>PLANTILLA!E20</f>
        <v>25</v>
      </c>
      <c r="C19" s="122">
        <f ca="1">PLANTILLA!F20</f>
        <v>91</v>
      </c>
      <c r="D19" s="355">
        <f>PLANTILLA!G20</f>
        <v>0</v>
      </c>
      <c r="E19" s="287">
        <f>PLANTILLA!O20</f>
        <v>43639</v>
      </c>
      <c r="F19" s="122">
        <f>PLANTILLA!Q20</f>
        <v>6</v>
      </c>
      <c r="G19" s="154">
        <f t="shared" si="0"/>
        <v>0.92582009977255142</v>
      </c>
      <c r="H19" s="154">
        <f t="shared" si="1"/>
        <v>0.99928545900129484</v>
      </c>
      <c r="I19" s="209">
        <f ca="1">PLANTILLA!P20</f>
        <v>3.7653214615844956E-2</v>
      </c>
      <c r="J19" s="210">
        <f>PLANTILLA!I20</f>
        <v>4.5</v>
      </c>
      <c r="K19" s="49">
        <f>PLANTILLA!X20</f>
        <v>0</v>
      </c>
      <c r="L19" s="49">
        <f>PLANTILLA!Y20</f>
        <v>3</v>
      </c>
      <c r="M19" s="49">
        <f>PLANTILLA!Z20</f>
        <v>9</v>
      </c>
      <c r="N19" s="49">
        <f>PLANTILLA!AA20</f>
        <v>9</v>
      </c>
      <c r="O19" s="49">
        <f>PLANTILLA!AB20</f>
        <v>5</v>
      </c>
      <c r="P19" s="49">
        <f>PLANTILLA!AC20</f>
        <v>5</v>
      </c>
      <c r="Q19" s="49">
        <f>PLANTILLA!AD20</f>
        <v>1</v>
      </c>
      <c r="R19" s="210">
        <f t="shared" si="2"/>
        <v>2</v>
      </c>
      <c r="S19" s="210">
        <f t="shared" ca="1" si="3"/>
        <v>3.2580131448923648</v>
      </c>
      <c r="T19" s="49">
        <f t="shared" si="4"/>
        <v>0.27999999999999997</v>
      </c>
      <c r="U19" s="49">
        <f t="shared" si="5"/>
        <v>0.15000000000000002</v>
      </c>
      <c r="V19" s="210">
        <f t="shared" ca="1" si="6"/>
        <v>1.8035917041026799</v>
      </c>
      <c r="W19" s="210">
        <f t="shared" ca="1" si="7"/>
        <v>1.9467096948186264</v>
      </c>
      <c r="X19" s="83">
        <f t="shared" ca="1" si="8"/>
        <v>1.6212106223941327</v>
      </c>
      <c r="Y19" s="83">
        <f t="shared" ca="1" si="9"/>
        <v>2.4480067737810138</v>
      </c>
      <c r="Z19" s="83">
        <f t="shared" ca="1" si="10"/>
        <v>1.6212106223941327</v>
      </c>
      <c r="AA19" s="83">
        <f t="shared" ca="1" si="11"/>
        <v>2.0168392682192122</v>
      </c>
      <c r="AB19" s="83">
        <f t="shared" ca="1" si="12"/>
        <v>3.9086032329829696</v>
      </c>
      <c r="AC19" s="83">
        <f t="shared" ca="1" si="13"/>
        <v>1.0084196341096061</v>
      </c>
      <c r="AD19" s="83">
        <f t="shared" ca="1" si="14"/>
        <v>2.3582475694499472</v>
      </c>
      <c r="AE19" s="83">
        <f t="shared" ca="1" si="15"/>
        <v>1.4774520220675624</v>
      </c>
      <c r="AF19" s="83">
        <f t="shared" ca="1" si="16"/>
        <v>2.8259201374466869</v>
      </c>
      <c r="AG19" s="83">
        <f t="shared" ca="1" si="17"/>
        <v>0.73872601103378122</v>
      </c>
      <c r="AH19" s="83">
        <f t="shared" ca="1" si="18"/>
        <v>3.814812244698444</v>
      </c>
      <c r="AI19" s="83">
        <f t="shared" ca="1" si="19"/>
        <v>3.5959149743443324</v>
      </c>
      <c r="AJ19" s="83">
        <f t="shared" ca="1" si="20"/>
        <v>1.6181617384549494</v>
      </c>
      <c r="AK19" s="83">
        <f t="shared" ca="1" si="21"/>
        <v>1.6547367399081563</v>
      </c>
      <c r="AL19" s="83">
        <f t="shared" ca="1" si="22"/>
        <v>5.8262587009939866</v>
      </c>
      <c r="AM19" s="83">
        <f t="shared" ca="1" si="23"/>
        <v>2.947086837669159</v>
      </c>
      <c r="AN19" s="83">
        <f t="shared" ca="1" si="24"/>
        <v>2.7672910889519424</v>
      </c>
      <c r="AO19" s="83">
        <f t="shared" ca="1" si="25"/>
        <v>0.31873673990815604</v>
      </c>
      <c r="AP19" s="83">
        <f t="shared" ca="1" si="26"/>
        <v>0.83767773109909516</v>
      </c>
      <c r="AQ19" s="83">
        <f t="shared" ca="1" si="27"/>
        <v>1.0553228729054018</v>
      </c>
      <c r="AR19" s="83">
        <f t="shared" ca="1" si="28"/>
        <v>2.3217103203918841</v>
      </c>
      <c r="AS19" s="83">
        <f t="shared" ca="1" si="29"/>
        <v>0.52766143645270092</v>
      </c>
      <c r="AT19" s="83">
        <f t="shared" ca="1" si="30"/>
        <v>9.3537214519359235</v>
      </c>
      <c r="AU19" s="83">
        <f t="shared" ca="1" si="31"/>
        <v>0.7681184202877861</v>
      </c>
      <c r="AV19" s="83">
        <f t="shared" ca="1" si="32"/>
        <v>1.7312207472640102</v>
      </c>
      <c r="AW19" s="83">
        <f t="shared" ca="1" si="33"/>
        <v>0.38405921014389305</v>
      </c>
      <c r="AX19" s="83">
        <f t="shared" ca="1" si="34"/>
        <v>0.73872601103378122</v>
      </c>
      <c r="AY19" s="83">
        <f t="shared" ca="1" si="35"/>
        <v>1.563441293193188</v>
      </c>
      <c r="AZ19" s="83">
        <f t="shared" ca="1" si="36"/>
        <v>0.36936300551689061</v>
      </c>
      <c r="BA19" s="83">
        <f t="shared" ca="1" si="37"/>
        <v>9.908603232982971</v>
      </c>
      <c r="BB19" s="83">
        <f t="shared" ca="1" si="38"/>
        <v>1.4948766179446915</v>
      </c>
      <c r="BC19" s="83">
        <f t="shared" ca="1" si="39"/>
        <v>3.2556403813736163</v>
      </c>
      <c r="BD19" s="83">
        <f t="shared" ca="1" si="40"/>
        <v>0.74743830897234576</v>
      </c>
      <c r="BE19" s="83">
        <f t="shared" ca="1" si="41"/>
        <v>1.1374035407980441</v>
      </c>
      <c r="BF19" s="83">
        <f t="shared" ca="1" si="42"/>
        <v>1.3601939250780732</v>
      </c>
      <c r="BG19" s="83">
        <f t="shared" ca="1" si="43"/>
        <v>8.7294794482579974</v>
      </c>
      <c r="BH19" s="83">
        <f t="shared" ca="1" si="44"/>
        <v>7.5487482741218601</v>
      </c>
      <c r="BI19" s="83">
        <f t="shared" ca="1" si="45"/>
        <v>1.4239733791488958</v>
      </c>
      <c r="BJ19" s="83">
        <f t="shared" ca="1" si="46"/>
        <v>1.8956725679967401</v>
      </c>
      <c r="BK19" s="83">
        <f t="shared" ca="1" si="47"/>
        <v>1.0318712535075041</v>
      </c>
      <c r="BL19" s="83">
        <f t="shared" ca="1" si="48"/>
        <v>3.7751778317665119</v>
      </c>
      <c r="BM19" s="83">
        <f t="shared" ca="1" si="49"/>
        <v>7.8561192256271166</v>
      </c>
      <c r="BN19" s="83">
        <f t="shared" ca="1" si="50"/>
        <v>0.30724736811511444</v>
      </c>
      <c r="BO19" s="83">
        <f t="shared" ca="1" si="51"/>
        <v>0.70354858193693448</v>
      </c>
      <c r="BP19" s="83">
        <f t="shared" ca="1" si="52"/>
        <v>0.26578501984284197</v>
      </c>
      <c r="BQ19" s="83">
        <f t="shared" ca="1" si="53"/>
        <v>3.0221239860598059</v>
      </c>
      <c r="BR19" s="83">
        <f t="shared" ca="1" si="54"/>
        <v>11.5984637576161</v>
      </c>
      <c r="BS19" s="83">
        <f t="shared" ca="1" si="55"/>
        <v>0.79766143645270104</v>
      </c>
      <c r="BT19" s="83">
        <f t="shared" ca="1" si="56"/>
        <v>1.1100433181671632</v>
      </c>
      <c r="BU19" s="83">
        <f t="shared" ca="1" si="57"/>
        <v>0.95369918884784455</v>
      </c>
      <c r="BV19" s="83">
        <f t="shared" ca="1" si="58"/>
        <v>4.508414471007252</v>
      </c>
      <c r="BW19" s="83">
        <f t="shared" ca="1" si="59"/>
        <v>10.002732382145133</v>
      </c>
      <c r="BX19" s="83">
        <f t="shared" ca="1" si="60"/>
        <v>0.71494099119093935</v>
      </c>
      <c r="BY19" s="83">
        <f t="shared" ca="1" si="61"/>
        <v>1.1100433181671632</v>
      </c>
      <c r="BZ19" s="83">
        <f t="shared" ca="1" si="62"/>
        <v>0.95369918884784455</v>
      </c>
      <c r="CA19" s="83">
        <f t="shared" ca="1" si="63"/>
        <v>6.2523286400122551</v>
      </c>
      <c r="CB19" s="83">
        <f t="shared" ca="1" si="64"/>
        <v>8.0961998935197581</v>
      </c>
      <c r="CC19" s="83">
        <f t="shared" ca="1" si="65"/>
        <v>0.87447327848147949</v>
      </c>
      <c r="CD19" s="83">
        <f t="shared" ca="1" si="66"/>
        <v>4.0228929125910868</v>
      </c>
      <c r="CE19" s="83">
        <f t="shared" ca="1" si="67"/>
        <v>3.6543822843841269</v>
      </c>
      <c r="CF19" s="83">
        <f t="shared" ca="1" si="68"/>
        <v>6.6530872403388237</v>
      </c>
      <c r="CG19" s="83">
        <f t="shared" ca="1" si="69"/>
        <v>3.6543822843841269</v>
      </c>
      <c r="CH19" s="83">
        <f t="shared" ca="1" si="70"/>
        <v>4.8152699783482706</v>
      </c>
      <c r="CI19" s="83">
        <f t="shared" ca="1" si="71"/>
        <v>8.088877825953686</v>
      </c>
      <c r="CJ19" s="83">
        <f t="shared" ca="1" si="72"/>
        <v>4.8152699783482706</v>
      </c>
      <c r="CK19" s="83">
        <f t="shared" ca="1" si="73"/>
        <v>2.4771508082457427</v>
      </c>
    </row>
    <row r="20" spans="1:89" x14ac:dyDescent="0.25">
      <c r="A20" t="str">
        <f>PLANTILLA!D21</f>
        <v>P. Tuderek</v>
      </c>
      <c r="B20" s="355">
        <f>PLANTILLA!E21</f>
        <v>18</v>
      </c>
      <c r="C20" s="122">
        <f ca="1">PLANTILLA!F21</f>
        <v>72</v>
      </c>
      <c r="D20" s="355" t="str">
        <f>PLANTILLA!G21</f>
        <v>CAB</v>
      </c>
      <c r="E20" s="287">
        <f>PLANTILLA!O21</f>
        <v>43626</v>
      </c>
      <c r="F20" s="122">
        <f>PLANTILLA!Q21</f>
        <v>6</v>
      </c>
      <c r="G20" s="154">
        <f t="shared" si="0"/>
        <v>0.92582009977255142</v>
      </c>
      <c r="H20" s="154">
        <f t="shared" si="1"/>
        <v>0.99928545900129484</v>
      </c>
      <c r="I20" s="209">
        <f ca="1">PLANTILLA!P21</f>
        <v>0.13672290211839563</v>
      </c>
      <c r="J20" s="210">
        <f>PLANTILLA!I21</f>
        <v>0.6</v>
      </c>
      <c r="K20" s="49">
        <f>PLANTILLA!X21</f>
        <v>0</v>
      </c>
      <c r="L20" s="49">
        <f>PLANTILLA!Y21</f>
        <v>6</v>
      </c>
      <c r="M20" s="49">
        <f>PLANTILLA!Z21</f>
        <v>6.1583333333333332</v>
      </c>
      <c r="N20" s="49">
        <f>PLANTILLA!AA21</f>
        <v>2</v>
      </c>
      <c r="O20" s="49">
        <f>PLANTILLA!AB21</f>
        <v>3</v>
      </c>
      <c r="P20" s="49">
        <f>PLANTILLA!AC21</f>
        <v>6</v>
      </c>
      <c r="Q20" s="49">
        <f>PLANTILLA!AD21</f>
        <v>8</v>
      </c>
      <c r="R20" s="210">
        <f t="shared" si="2"/>
        <v>1.875</v>
      </c>
      <c r="S20" s="210">
        <f t="shared" ca="1" si="3"/>
        <v>6.4084432981454569</v>
      </c>
      <c r="T20" s="49">
        <f t="shared" si="4"/>
        <v>0.54</v>
      </c>
      <c r="U20" s="49">
        <f t="shared" si="5"/>
        <v>0.48000000000000009</v>
      </c>
      <c r="V20" s="210">
        <f t="shared" ca="1" si="6"/>
        <v>7.3283199552837583</v>
      </c>
      <c r="W20" s="210">
        <f t="shared" ca="1" si="7"/>
        <v>7.9098342885655217</v>
      </c>
      <c r="X20" s="83">
        <f t="shared" ca="1" si="8"/>
        <v>1.5171271489959206</v>
      </c>
      <c r="Y20" s="83">
        <f t="shared" ca="1" si="9"/>
        <v>2.3446336189618942</v>
      </c>
      <c r="Z20" s="83">
        <f t="shared" ca="1" si="10"/>
        <v>1.5171271489959206</v>
      </c>
      <c r="AA20" s="83">
        <f t="shared" ca="1" si="11"/>
        <v>3.0139170777570388</v>
      </c>
      <c r="AB20" s="83">
        <f t="shared" ca="1" si="12"/>
        <v>5.840924569296587</v>
      </c>
      <c r="AC20" s="83">
        <f t="shared" ca="1" si="13"/>
        <v>1.5069585388785194</v>
      </c>
      <c r="AD20" s="83">
        <f t="shared" ca="1" si="14"/>
        <v>1.4278233808259209</v>
      </c>
      <c r="AE20" s="83">
        <f t="shared" ca="1" si="15"/>
        <v>2.20786948719411</v>
      </c>
      <c r="AF20" s="83">
        <f t="shared" ca="1" si="16"/>
        <v>4.2229884636014319</v>
      </c>
      <c r="AG20" s="83">
        <f t="shared" ca="1" si="17"/>
        <v>1.103934743597055</v>
      </c>
      <c r="AH20" s="83">
        <f t="shared" ca="1" si="18"/>
        <v>2.3097142925125191</v>
      </c>
      <c r="AI20" s="83">
        <f t="shared" ca="1" si="19"/>
        <v>5.3736506037528606</v>
      </c>
      <c r="AJ20" s="83">
        <f t="shared" ca="1" si="20"/>
        <v>2.4181427716887871</v>
      </c>
      <c r="AK20" s="83">
        <f t="shared" ca="1" si="21"/>
        <v>1.0018760697391966</v>
      </c>
      <c r="AL20" s="83">
        <f t="shared" ca="1" si="22"/>
        <v>1.0824636467463933</v>
      </c>
      <c r="AM20" s="83">
        <f t="shared" ca="1" si="23"/>
        <v>4.4040571252496266</v>
      </c>
      <c r="AN20" s="83">
        <f t="shared" ca="1" si="24"/>
        <v>4.1353745950619833</v>
      </c>
      <c r="AO20" s="83">
        <f t="shared" ca="1" si="25"/>
        <v>1.30943440307253</v>
      </c>
      <c r="AP20" s="83">
        <f t="shared" ca="1" si="26"/>
        <v>0.4941862759574171</v>
      </c>
      <c r="AQ20" s="83">
        <f t="shared" ca="1" si="27"/>
        <v>1.5770496337100786</v>
      </c>
      <c r="AR20" s="83">
        <f t="shared" ca="1" si="28"/>
        <v>3.4695091941621725</v>
      </c>
      <c r="AS20" s="83">
        <f t="shared" ca="1" si="29"/>
        <v>0.78852481685503928</v>
      </c>
      <c r="AT20" s="83">
        <f t="shared" ca="1" si="30"/>
        <v>5.6632994600826443</v>
      </c>
      <c r="AU20" s="83">
        <f t="shared" ca="1" si="31"/>
        <v>0.36932019400855637</v>
      </c>
      <c r="AV20" s="83">
        <f t="shared" ca="1" si="32"/>
        <v>1.3513908988039001</v>
      </c>
      <c r="AW20" s="83">
        <f t="shared" ca="1" si="33"/>
        <v>0.18466009700427818</v>
      </c>
      <c r="AX20" s="83">
        <f t="shared" ca="1" si="34"/>
        <v>1.103934743597055</v>
      </c>
      <c r="AY20" s="83">
        <f t="shared" ca="1" si="35"/>
        <v>2.3363698277186349</v>
      </c>
      <c r="AZ20" s="83">
        <f t="shared" ca="1" si="36"/>
        <v>0.55196737179852751</v>
      </c>
      <c r="BA20" s="83">
        <f t="shared" ca="1" si="37"/>
        <v>5.9992579026299202</v>
      </c>
      <c r="BB20" s="83">
        <f t="shared" ca="1" si="38"/>
        <v>0.71875391603203664</v>
      </c>
      <c r="BC20" s="83">
        <f t="shared" ca="1" si="39"/>
        <v>2.1953494376824194</v>
      </c>
      <c r="BD20" s="83">
        <f t="shared" ca="1" si="40"/>
        <v>0.35937695801601832</v>
      </c>
      <c r="BE20" s="83">
        <f t="shared" ca="1" si="41"/>
        <v>1.6997090496653067</v>
      </c>
      <c r="BF20" s="83">
        <f t="shared" ca="1" si="42"/>
        <v>2.0326417501152121</v>
      </c>
      <c r="BG20" s="83">
        <f t="shared" ca="1" si="43"/>
        <v>5.2853462122169601</v>
      </c>
      <c r="BH20" s="83">
        <f t="shared" ca="1" si="44"/>
        <v>1.9515819421046658</v>
      </c>
      <c r="BI20" s="83">
        <f t="shared" ca="1" si="45"/>
        <v>0.6846628212004775</v>
      </c>
      <c r="BJ20" s="83">
        <f t="shared" ca="1" si="46"/>
        <v>2.8328484161088445</v>
      </c>
      <c r="BK20" s="83">
        <f t="shared" ca="1" si="47"/>
        <v>1.542004086294299</v>
      </c>
      <c r="BL20" s="83">
        <f t="shared" ca="1" si="48"/>
        <v>2.2857172609019996</v>
      </c>
      <c r="BM20" s="83">
        <f t="shared" ca="1" si="49"/>
        <v>1.8099680735652175</v>
      </c>
      <c r="BN20" s="83">
        <f t="shared" ca="1" si="50"/>
        <v>0.14772807760342255</v>
      </c>
      <c r="BO20" s="83">
        <f t="shared" ca="1" si="51"/>
        <v>1.0513664224733856</v>
      </c>
      <c r="BP20" s="83">
        <f t="shared" ca="1" si="52"/>
        <v>0.39718287071216796</v>
      </c>
      <c r="BQ20" s="83">
        <f t="shared" ca="1" si="53"/>
        <v>1.8297736603021255</v>
      </c>
      <c r="BR20" s="83">
        <f t="shared" ca="1" si="54"/>
        <v>2.6534289961154114</v>
      </c>
      <c r="BS20" s="83">
        <f t="shared" ca="1" si="55"/>
        <v>0.38352481685503931</v>
      </c>
      <c r="BT20" s="83">
        <f t="shared" ca="1" si="56"/>
        <v>1.6588225776802306</v>
      </c>
      <c r="BU20" s="83">
        <f t="shared" ca="1" si="57"/>
        <v>1.4251855949083672</v>
      </c>
      <c r="BV20" s="83">
        <f t="shared" ca="1" si="58"/>
        <v>2.7296623456966138</v>
      </c>
      <c r="BW20" s="83">
        <f t="shared" ca="1" si="59"/>
        <v>2.2837444227806185</v>
      </c>
      <c r="BX20" s="83">
        <f t="shared" ca="1" si="60"/>
        <v>0.34375187288488707</v>
      </c>
      <c r="BY20" s="83">
        <f t="shared" ca="1" si="61"/>
        <v>1.6588225776802306</v>
      </c>
      <c r="BZ20" s="83">
        <f t="shared" ca="1" si="62"/>
        <v>1.4251855949083672</v>
      </c>
      <c r="CA20" s="83">
        <f t="shared" ca="1" si="63"/>
        <v>3.7855317365594798</v>
      </c>
      <c r="CB20" s="83">
        <f t="shared" ca="1" si="64"/>
        <v>1.8406274895204455</v>
      </c>
      <c r="CC20" s="83">
        <f t="shared" ca="1" si="65"/>
        <v>0.42045683625589492</v>
      </c>
      <c r="CD20" s="83">
        <f t="shared" ca="1" si="66"/>
        <v>2.4356987084677479</v>
      </c>
      <c r="CE20" s="83">
        <f t="shared" ca="1" si="67"/>
        <v>1.717121700603522</v>
      </c>
      <c r="CF20" s="83">
        <f t="shared" ca="1" si="68"/>
        <v>4.947881065027957</v>
      </c>
      <c r="CG20" s="83">
        <f t="shared" ca="1" si="69"/>
        <v>1.717121700603522</v>
      </c>
      <c r="CH20" s="83">
        <f t="shared" ca="1" si="70"/>
        <v>2.5533480521209913</v>
      </c>
      <c r="CI20" s="83">
        <f t="shared" ca="1" si="71"/>
        <v>6.8892257353670274</v>
      </c>
      <c r="CJ20" s="83">
        <f t="shared" ca="1" si="72"/>
        <v>2.5533480521209913</v>
      </c>
      <c r="CK20" s="83">
        <f t="shared" ca="1" si="73"/>
        <v>1.4998144756574801</v>
      </c>
    </row>
    <row r="21" spans="1:89" x14ac:dyDescent="0.25">
      <c r="A21" t="str">
        <f>PLANTILLA!D22</f>
        <v>R. Scheidecker</v>
      </c>
      <c r="B21" s="355">
        <f>PLANTILLA!E22</f>
        <v>18</v>
      </c>
      <c r="C21" s="122">
        <f ca="1">PLANTILLA!F22</f>
        <v>104</v>
      </c>
      <c r="D21" s="355" t="str">
        <f>PLANTILLA!G22</f>
        <v>RAP</v>
      </c>
      <c r="E21" s="287">
        <f>PLANTILLA!O22</f>
        <v>43626</v>
      </c>
      <c r="F21" s="122">
        <f>PLANTILLA!Q22</f>
        <v>5</v>
      </c>
      <c r="G21" s="154">
        <f t="shared" si="0"/>
        <v>0.84515425472851657</v>
      </c>
      <c r="H21" s="154">
        <f t="shared" si="1"/>
        <v>0.92504826128926143</v>
      </c>
      <c r="I21" s="209">
        <f ca="1">PLANTILLA!P22</f>
        <v>0.13672290211839563</v>
      </c>
      <c r="J21" s="210">
        <f>PLANTILLA!I22</f>
        <v>0.5</v>
      </c>
      <c r="K21" s="49">
        <f>PLANTILLA!X22</f>
        <v>0</v>
      </c>
      <c r="L21" s="49">
        <f>PLANTILLA!Y22</f>
        <v>4</v>
      </c>
      <c r="M21" s="49">
        <f>PLANTILLA!Z22</f>
        <v>5.2857142857142856</v>
      </c>
      <c r="N21" s="49">
        <f>PLANTILLA!AA22</f>
        <v>3</v>
      </c>
      <c r="O21" s="49">
        <f>PLANTILLA!AB22</f>
        <v>4</v>
      </c>
      <c r="P21" s="49">
        <f>PLANTILLA!AC22</f>
        <v>9</v>
      </c>
      <c r="Q21" s="49">
        <f>PLANTILLA!AD22</f>
        <v>8</v>
      </c>
      <c r="R21" s="210">
        <f t="shared" si="2"/>
        <v>1.875</v>
      </c>
      <c r="S21" s="210">
        <f t="shared" ca="1" si="3"/>
        <v>11.15512255979179</v>
      </c>
      <c r="T21" s="49">
        <f t="shared" si="4"/>
        <v>0.69000000000000006</v>
      </c>
      <c r="U21" s="49">
        <f t="shared" si="5"/>
        <v>0.4</v>
      </c>
      <c r="V21" s="210">
        <f t="shared" ca="1" si="6"/>
        <v>6.6005830908844674</v>
      </c>
      <c r="W21" s="210">
        <f t="shared" ca="1" si="7"/>
        <v>7.2245485099987112</v>
      </c>
      <c r="X21" s="83">
        <f t="shared" ca="1" si="8"/>
        <v>0.87296017859648556</v>
      </c>
      <c r="Y21" s="83">
        <f t="shared" ca="1" si="9"/>
        <v>1.3583363007652491</v>
      </c>
      <c r="Z21" s="83">
        <f t="shared" ca="1" si="10"/>
        <v>0.87296017859648556</v>
      </c>
      <c r="AA21" s="83">
        <f t="shared" ca="1" si="11"/>
        <v>1.9274403804762732</v>
      </c>
      <c r="AB21" s="83">
        <f t="shared" ca="1" si="12"/>
        <v>3.7353495745664209</v>
      </c>
      <c r="AC21" s="83">
        <f t="shared" ca="1" si="13"/>
        <v>0.9637201902381366</v>
      </c>
      <c r="AD21" s="83">
        <f t="shared" ca="1" si="14"/>
        <v>1.195013198746808</v>
      </c>
      <c r="AE21" s="83">
        <f t="shared" ca="1" si="15"/>
        <v>1.411962139186107</v>
      </c>
      <c r="AF21" s="83">
        <f t="shared" ca="1" si="16"/>
        <v>2.7006577424115221</v>
      </c>
      <c r="AG21" s="83">
        <f t="shared" ca="1" si="17"/>
        <v>0.70598106959305351</v>
      </c>
      <c r="AH21" s="83">
        <f t="shared" ca="1" si="18"/>
        <v>1.9331095862080718</v>
      </c>
      <c r="AI21" s="83">
        <f t="shared" ca="1" si="19"/>
        <v>3.4365216086011072</v>
      </c>
      <c r="AJ21" s="83">
        <f t="shared" ca="1" si="20"/>
        <v>1.5464347238704981</v>
      </c>
      <c r="AK21" s="83">
        <f t="shared" ca="1" si="21"/>
        <v>0.83851766466687794</v>
      </c>
      <c r="AL21" s="83">
        <f t="shared" ca="1" si="22"/>
        <v>1.6083855498450554</v>
      </c>
      <c r="AM21" s="83">
        <f t="shared" ca="1" si="23"/>
        <v>2.8164535792230816</v>
      </c>
      <c r="AN21" s="83">
        <f t="shared" ca="1" si="24"/>
        <v>2.6446274987930258</v>
      </c>
      <c r="AO21" s="83">
        <f t="shared" ca="1" si="25"/>
        <v>1.2918033789525922</v>
      </c>
      <c r="AP21" s="83">
        <f t="shared" ca="1" si="26"/>
        <v>0.46378067747512919</v>
      </c>
      <c r="AQ21" s="83">
        <f t="shared" ca="1" si="27"/>
        <v>1.0085443851329337</v>
      </c>
      <c r="AR21" s="83">
        <f t="shared" ca="1" si="28"/>
        <v>2.2187976472924538</v>
      </c>
      <c r="AS21" s="83">
        <f t="shared" ca="1" si="29"/>
        <v>0.50427219256646683</v>
      </c>
      <c r="AT21" s="83">
        <f t="shared" ca="1" si="30"/>
        <v>4.7398842841049866</v>
      </c>
      <c r="AU21" s="83">
        <f t="shared" ca="1" si="31"/>
        <v>0.48559544469363475</v>
      </c>
      <c r="AV21" s="83">
        <f t="shared" ca="1" si="32"/>
        <v>1.9594574253479611</v>
      </c>
      <c r="AW21" s="83">
        <f t="shared" ca="1" si="33"/>
        <v>0.24279772234681737</v>
      </c>
      <c r="AX21" s="83">
        <f t="shared" ca="1" si="34"/>
        <v>0.70598106959305351</v>
      </c>
      <c r="AY21" s="83">
        <f t="shared" ca="1" si="35"/>
        <v>1.4941398298265685</v>
      </c>
      <c r="AZ21" s="83">
        <f t="shared" ca="1" si="36"/>
        <v>0.35299053479652676</v>
      </c>
      <c r="BA21" s="83">
        <f t="shared" ca="1" si="37"/>
        <v>5.0210638602807061</v>
      </c>
      <c r="BB21" s="83">
        <f t="shared" ca="1" si="38"/>
        <v>0.94504344236530446</v>
      </c>
      <c r="BC21" s="83">
        <f t="shared" ca="1" si="39"/>
        <v>3.1081776155860981</v>
      </c>
      <c r="BD21" s="83">
        <f t="shared" ca="1" si="40"/>
        <v>0.47252172118265223</v>
      </c>
      <c r="BE21" s="83">
        <f t="shared" ca="1" si="41"/>
        <v>1.0869867261988284</v>
      </c>
      <c r="BF21" s="83">
        <f t="shared" ca="1" si="42"/>
        <v>1.2999016519491144</v>
      </c>
      <c r="BG21" s="83">
        <f t="shared" ca="1" si="43"/>
        <v>4.4235572609073017</v>
      </c>
      <c r="BH21" s="83">
        <f t="shared" ca="1" si="44"/>
        <v>2.7467257717895479</v>
      </c>
      <c r="BI21" s="83">
        <f t="shared" ca="1" si="45"/>
        <v>0.90021924747050741</v>
      </c>
      <c r="BJ21" s="83">
        <f t="shared" ca="1" si="46"/>
        <v>1.8116445436647142</v>
      </c>
      <c r="BK21" s="83">
        <f t="shared" ca="1" si="47"/>
        <v>0.98613228768553518</v>
      </c>
      <c r="BL21" s="83">
        <f t="shared" ca="1" si="48"/>
        <v>1.9130253307669491</v>
      </c>
      <c r="BM21" s="83">
        <f t="shared" ca="1" si="49"/>
        <v>2.5916955281710523</v>
      </c>
      <c r="BN21" s="83">
        <f t="shared" ca="1" si="50"/>
        <v>0.19423817787745387</v>
      </c>
      <c r="BO21" s="83">
        <f t="shared" ca="1" si="51"/>
        <v>0.67236292342195569</v>
      </c>
      <c r="BP21" s="83">
        <f t="shared" ca="1" si="52"/>
        <v>0.25400377107051664</v>
      </c>
      <c r="BQ21" s="83">
        <f t="shared" ca="1" si="53"/>
        <v>1.5314244773856154</v>
      </c>
      <c r="BR21" s="83">
        <f t="shared" ca="1" si="54"/>
        <v>3.8036595528924173</v>
      </c>
      <c r="BS21" s="83">
        <f t="shared" ca="1" si="55"/>
        <v>0.50427219256646683</v>
      </c>
      <c r="BT21" s="83">
        <f t="shared" ca="1" si="56"/>
        <v>1.0608392791768635</v>
      </c>
      <c r="BU21" s="83">
        <f t="shared" ca="1" si="57"/>
        <v>0.91142529619420665</v>
      </c>
      <c r="BV21" s="83">
        <f t="shared" ca="1" si="58"/>
        <v>2.2845840564277213</v>
      </c>
      <c r="BW21" s="83">
        <f t="shared" ca="1" si="59"/>
        <v>3.2747673286195944</v>
      </c>
      <c r="BX21" s="83">
        <f t="shared" ca="1" si="60"/>
        <v>0.45197729852253693</v>
      </c>
      <c r="BY21" s="83">
        <f t="shared" ca="1" si="61"/>
        <v>1.0608392791768635</v>
      </c>
      <c r="BZ21" s="83">
        <f t="shared" ca="1" si="62"/>
        <v>0.91142529619420665</v>
      </c>
      <c r="CA21" s="83">
        <f t="shared" ca="1" si="63"/>
        <v>3.1682912958371254</v>
      </c>
      <c r="CB21" s="83">
        <f t="shared" ca="1" si="64"/>
        <v>2.6411378692369469</v>
      </c>
      <c r="CC21" s="83">
        <f t="shared" ca="1" si="65"/>
        <v>0.55283173703583022</v>
      </c>
      <c r="CD21" s="83">
        <f t="shared" ca="1" si="66"/>
        <v>2.0385519272739669</v>
      </c>
      <c r="CE21" s="83">
        <f t="shared" ca="1" si="67"/>
        <v>2.4371171283491053</v>
      </c>
      <c r="CF21" s="83">
        <f t="shared" ca="1" si="68"/>
        <v>7.1210036209617895</v>
      </c>
      <c r="CG21" s="83">
        <f t="shared" ca="1" si="69"/>
        <v>2.4371171283491053</v>
      </c>
      <c r="CH21" s="83">
        <f t="shared" ca="1" si="70"/>
        <v>3.6305748304040972</v>
      </c>
      <c r="CI21" s="83">
        <f t="shared" ca="1" si="71"/>
        <v>10.11369356758143</v>
      </c>
      <c r="CJ21" s="83">
        <f t="shared" ca="1" si="72"/>
        <v>3.6305748304040972</v>
      </c>
      <c r="CK21" s="83">
        <f t="shared" ca="1" si="73"/>
        <v>1.2552659650701765</v>
      </c>
    </row>
    <row r="22" spans="1:89" x14ac:dyDescent="0.25">
      <c r="A22" t="str">
        <f>PLANTILLA!D23</f>
        <v>K. Helms</v>
      </c>
      <c r="B22" s="355">
        <f>PLANTILLA!E23</f>
        <v>35</v>
      </c>
      <c r="C22" s="122">
        <f ca="1">PLANTILLA!F23</f>
        <v>35</v>
      </c>
      <c r="D22" s="355" t="str">
        <f>PLANTILLA!G23</f>
        <v>TEC</v>
      </c>
      <c r="E22" s="287">
        <v>36526</v>
      </c>
      <c r="F22" s="122">
        <f>PLANTILLA!Q23</f>
        <v>7</v>
      </c>
      <c r="G22" s="154">
        <f t="shared" si="0"/>
        <v>1</v>
      </c>
      <c r="H22" s="154">
        <f t="shared" si="1"/>
        <v>1</v>
      </c>
      <c r="I22" s="209">
        <f>PLANTILLA!P23</f>
        <v>1.5</v>
      </c>
      <c r="J22" s="210">
        <f>PLANTILLA!I23</f>
        <v>13.5</v>
      </c>
      <c r="K22" s="49">
        <f>PLANTILLA!X23</f>
        <v>0</v>
      </c>
      <c r="L22" s="49">
        <f>PLANTILLA!Y23</f>
        <v>7.2503030303030309</v>
      </c>
      <c r="M22" s="49">
        <f>PLANTILLA!Z23</f>
        <v>10.600000000000005</v>
      </c>
      <c r="N22" s="49">
        <f>PLANTILLA!AA23</f>
        <v>12.95</v>
      </c>
      <c r="O22" s="49">
        <f>PLANTILLA!AB23</f>
        <v>9.9499999999999993</v>
      </c>
      <c r="P22" s="49">
        <f>PLANTILLA!AC23</f>
        <v>3.95</v>
      </c>
      <c r="Q22" s="49">
        <f>PLANTILLA!AD23</f>
        <v>18</v>
      </c>
      <c r="R22" s="210">
        <f t="shared" si="2"/>
        <v>3.7687878787878786</v>
      </c>
      <c r="S22" s="210">
        <f t="shared" si="3"/>
        <v>15.502716837831953</v>
      </c>
      <c r="T22" s="49">
        <f t="shared" si="4"/>
        <v>0.73750000000000004</v>
      </c>
      <c r="U22" s="49">
        <f t="shared" si="5"/>
        <v>0.8300121212121212</v>
      </c>
      <c r="V22" s="210">
        <f t="shared" ca="1" si="6"/>
        <v>20.507111691326674</v>
      </c>
      <c r="W22" s="210">
        <f t="shared" ca="1" si="7"/>
        <v>20.507111691326674</v>
      </c>
      <c r="X22" s="83">
        <f t="shared" si="8"/>
        <v>4.626292142891824</v>
      </c>
      <c r="Y22" s="83">
        <f t="shared" si="9"/>
        <v>6.9635599813815254</v>
      </c>
      <c r="Z22" s="83">
        <f t="shared" si="10"/>
        <v>4.626292142891824</v>
      </c>
      <c r="AA22" s="83">
        <f t="shared" si="11"/>
        <v>5.2928259963609277</v>
      </c>
      <c r="AB22" s="83">
        <f t="shared" si="12"/>
        <v>10.257414721629704</v>
      </c>
      <c r="AC22" s="83">
        <f t="shared" si="13"/>
        <v>2.6464129981804638</v>
      </c>
      <c r="AD22" s="83">
        <f t="shared" si="14"/>
        <v>3.2384925825357493</v>
      </c>
      <c r="AE22" s="83">
        <f t="shared" si="15"/>
        <v>3.8773027647760281</v>
      </c>
      <c r="AF22" s="83">
        <f t="shared" si="16"/>
        <v>7.4161108437382763</v>
      </c>
      <c r="AG22" s="83">
        <f t="shared" si="17"/>
        <v>1.938651382388014</v>
      </c>
      <c r="AH22" s="83">
        <f t="shared" si="18"/>
        <v>5.2387380011607716</v>
      </c>
      <c r="AI22" s="83">
        <f t="shared" si="19"/>
        <v>9.4368215438993275</v>
      </c>
      <c r="AJ22" s="83">
        <f t="shared" si="20"/>
        <v>4.2465696947546974</v>
      </c>
      <c r="AK22" s="83">
        <f t="shared" si="21"/>
        <v>2.2723876524515556</v>
      </c>
      <c r="AL22" s="83">
        <f t="shared" si="22"/>
        <v>9.3827816745000838</v>
      </c>
      <c r="AM22" s="83">
        <f t="shared" si="23"/>
        <v>7.7340907001087968</v>
      </c>
      <c r="AN22" s="83">
        <f t="shared" si="24"/>
        <v>7.2622496229138305</v>
      </c>
      <c r="AO22" s="83">
        <f t="shared" si="25"/>
        <v>3.5081876524515549</v>
      </c>
      <c r="AP22" s="83">
        <f t="shared" si="26"/>
        <v>1.9514590761929913</v>
      </c>
      <c r="AQ22" s="83">
        <f t="shared" si="27"/>
        <v>2.7695019748400203</v>
      </c>
      <c r="AR22" s="83">
        <f t="shared" si="28"/>
        <v>6.0929043446480442</v>
      </c>
      <c r="AS22" s="83">
        <f t="shared" si="29"/>
        <v>1.3847509874200101</v>
      </c>
      <c r="AT22" s="83">
        <f t="shared" si="30"/>
        <v>12.845113436612385</v>
      </c>
      <c r="AU22" s="83">
        <f t="shared" si="31"/>
        <v>1.6844245198724677</v>
      </c>
      <c r="AV22" s="83">
        <f t="shared" si="32"/>
        <v>2.7584337255587155</v>
      </c>
      <c r="AW22" s="83">
        <f t="shared" si="33"/>
        <v>0.84221225993623383</v>
      </c>
      <c r="AX22" s="83">
        <f t="shared" si="34"/>
        <v>1.938651382388014</v>
      </c>
      <c r="AY22" s="83">
        <f t="shared" si="35"/>
        <v>4.1029658886518821</v>
      </c>
      <c r="AZ22" s="83">
        <f t="shared" si="36"/>
        <v>0.96932569119400702</v>
      </c>
      <c r="BA22" s="83">
        <f t="shared" si="37"/>
        <v>13.607111691326679</v>
      </c>
      <c r="BB22" s="83">
        <f t="shared" si="38"/>
        <v>3.2781492579056484</v>
      </c>
      <c r="BC22" s="83">
        <f t="shared" si="39"/>
        <v>5.8793685419209973</v>
      </c>
      <c r="BD22" s="83">
        <f t="shared" si="40"/>
        <v>1.6390746289528242</v>
      </c>
      <c r="BE22" s="83">
        <f t="shared" si="41"/>
        <v>2.9849076839942437</v>
      </c>
      <c r="BF22" s="83">
        <f t="shared" si="42"/>
        <v>3.5695803231271368</v>
      </c>
      <c r="BG22" s="83">
        <f t="shared" si="43"/>
        <v>11.987865400058805</v>
      </c>
      <c r="BH22" s="83">
        <f t="shared" si="44"/>
        <v>13.240872293589412</v>
      </c>
      <c r="BI22" s="83">
        <f t="shared" si="45"/>
        <v>3.1226639176097284</v>
      </c>
      <c r="BJ22" s="83">
        <f t="shared" si="46"/>
        <v>4.9748461399904063</v>
      </c>
      <c r="BK22" s="83">
        <f t="shared" si="47"/>
        <v>2.7079574865102423</v>
      </c>
      <c r="BL22" s="83">
        <f t="shared" si="48"/>
        <v>5.1843095543954645</v>
      </c>
      <c r="BM22" s="83">
        <f t="shared" si="49"/>
        <v>13.343515618219515</v>
      </c>
      <c r="BN22" s="83">
        <f t="shared" si="50"/>
        <v>0.673769807948987</v>
      </c>
      <c r="BO22" s="83">
        <f t="shared" si="51"/>
        <v>1.8463346498933466</v>
      </c>
      <c r="BP22" s="83">
        <f t="shared" si="52"/>
        <v>0.6975042010708199</v>
      </c>
      <c r="BQ22" s="83">
        <f t="shared" si="53"/>
        <v>4.1501690658546373</v>
      </c>
      <c r="BR22" s="83">
        <f t="shared" si="54"/>
        <v>19.662845635046104</v>
      </c>
      <c r="BS22" s="83">
        <f t="shared" si="55"/>
        <v>1.7492100783291011</v>
      </c>
      <c r="BT22" s="83">
        <f t="shared" si="56"/>
        <v>2.9131057809428356</v>
      </c>
      <c r="BU22" s="83">
        <f t="shared" si="57"/>
        <v>2.5028091920776476</v>
      </c>
      <c r="BV22" s="83">
        <f t="shared" si="58"/>
        <v>6.191235819553639</v>
      </c>
      <c r="BW22" s="83">
        <f t="shared" si="59"/>
        <v>16.948479753989954</v>
      </c>
      <c r="BX22" s="83">
        <f t="shared" si="60"/>
        <v>1.5678105146505275</v>
      </c>
      <c r="BY22" s="83">
        <f t="shared" si="61"/>
        <v>2.9131057809428356</v>
      </c>
      <c r="BZ22" s="83">
        <f t="shared" si="62"/>
        <v>2.5028091920776476</v>
      </c>
      <c r="CA22" s="83">
        <f t="shared" si="63"/>
        <v>8.5860874772271352</v>
      </c>
      <c r="CB22" s="83">
        <f t="shared" si="64"/>
        <v>13.702614963737371</v>
      </c>
      <c r="CC22" s="83">
        <f t="shared" si="65"/>
        <v>1.9176525303163476</v>
      </c>
      <c r="CD22" s="83">
        <f t="shared" si="66"/>
        <v>5.5244873466786322</v>
      </c>
      <c r="CE22" s="83">
        <f t="shared" si="67"/>
        <v>7.4752241264873307</v>
      </c>
      <c r="CF22" s="83">
        <f t="shared" si="68"/>
        <v>11.091707764433835</v>
      </c>
      <c r="CG22" s="83">
        <f t="shared" si="69"/>
        <v>7.4752241264873307</v>
      </c>
      <c r="CH22" s="83">
        <f t="shared" si="70"/>
        <v>7.0452805836965178</v>
      </c>
      <c r="CI22" s="83">
        <f t="shared" si="71"/>
        <v>11.738285905426217</v>
      </c>
      <c r="CJ22" s="83">
        <f t="shared" si="72"/>
        <v>7.0452805836965178</v>
      </c>
      <c r="CK22" s="83">
        <f t="shared" si="73"/>
        <v>3.4017779228316698</v>
      </c>
    </row>
    <row r="23" spans="1:89" x14ac:dyDescent="0.25">
      <c r="A23" t="str">
        <f>PLANTILLA!D24</f>
        <v>S. Zobbe</v>
      </c>
      <c r="B23" s="355">
        <f>PLANTILLA!E24</f>
        <v>32</v>
      </c>
      <c r="C23" s="122">
        <f ca="1">PLANTILLA!F24</f>
        <v>50</v>
      </c>
      <c r="D23" s="355" t="str">
        <f>PLANTILLA!G24</f>
        <v>CAB</v>
      </c>
      <c r="E23" s="287">
        <v>36526</v>
      </c>
      <c r="F23" s="122">
        <f>PLANTILLA!Q24</f>
        <v>6</v>
      </c>
      <c r="G23" s="154">
        <f t="shared" si="0"/>
        <v>0.92582009977255142</v>
      </c>
      <c r="H23" s="154">
        <f t="shared" si="1"/>
        <v>0.99928545900129484</v>
      </c>
      <c r="I23" s="209">
        <f>PLANTILLA!P24</f>
        <v>1.5</v>
      </c>
      <c r="J23" s="210">
        <f>PLANTILLA!I24</f>
        <v>13</v>
      </c>
      <c r="K23" s="49">
        <f>PLANTILLA!X24</f>
        <v>0</v>
      </c>
      <c r="L23" s="49">
        <f>PLANTILLA!Y24</f>
        <v>8.3599999999999977</v>
      </c>
      <c r="M23" s="49">
        <f>PLANTILLA!Z24</f>
        <v>12.253412698412699</v>
      </c>
      <c r="N23" s="49">
        <f>PLANTILLA!AA24</f>
        <v>12.95</v>
      </c>
      <c r="O23" s="49">
        <f>PLANTILLA!AB24</f>
        <v>10.24</v>
      </c>
      <c r="P23" s="49">
        <f>PLANTILLA!AC24</f>
        <v>6.95</v>
      </c>
      <c r="Q23" s="49">
        <f>PLANTILLA!AD24</f>
        <v>16</v>
      </c>
      <c r="R23" s="210">
        <f t="shared" si="2"/>
        <v>3.9799999999999995</v>
      </c>
      <c r="S23" s="210">
        <f t="shared" si="3"/>
        <v>19.334419744797479</v>
      </c>
      <c r="T23" s="49">
        <f t="shared" si="4"/>
        <v>0.82750000000000001</v>
      </c>
      <c r="U23" s="49">
        <f t="shared" si="5"/>
        <v>0.81439999999999979</v>
      </c>
      <c r="V23" s="210">
        <f t="shared" ca="1" si="6"/>
        <v>17.114023223564956</v>
      </c>
      <c r="W23" s="210">
        <f t="shared" ca="1" si="7"/>
        <v>18.47204932850385</v>
      </c>
      <c r="X23" s="83">
        <f t="shared" si="8"/>
        <v>4.9134900620851578</v>
      </c>
      <c r="Y23" s="83">
        <f t="shared" si="9"/>
        <v>7.4069678237708345</v>
      </c>
      <c r="Z23" s="83">
        <f t="shared" si="10"/>
        <v>4.9134900620851578</v>
      </c>
      <c r="AA23" s="83">
        <f t="shared" si="11"/>
        <v>5.8541530263871024</v>
      </c>
      <c r="AB23" s="83">
        <f t="shared" si="12"/>
        <v>11.34525780307578</v>
      </c>
      <c r="AC23" s="83">
        <f t="shared" si="13"/>
        <v>2.9270765131935512</v>
      </c>
      <c r="AD23" s="83">
        <f t="shared" si="14"/>
        <v>3.6268035793542586</v>
      </c>
      <c r="AE23" s="83">
        <f t="shared" si="15"/>
        <v>4.288507449562645</v>
      </c>
      <c r="AF23" s="83">
        <f t="shared" si="16"/>
        <v>8.2026213916237882</v>
      </c>
      <c r="AG23" s="83">
        <f t="shared" si="17"/>
        <v>2.1442537247813225</v>
      </c>
      <c r="AH23" s="83">
        <f t="shared" si="18"/>
        <v>5.8668881430730657</v>
      </c>
      <c r="AI23" s="83">
        <f t="shared" si="19"/>
        <v>10.437637178829718</v>
      </c>
      <c r="AJ23" s="83">
        <f t="shared" si="20"/>
        <v>4.6969367304733725</v>
      </c>
      <c r="AK23" s="83">
        <f t="shared" si="21"/>
        <v>2.5448579737485768</v>
      </c>
      <c r="AL23" s="83">
        <f t="shared" si="22"/>
        <v>9.3699315882085585</v>
      </c>
      <c r="AM23" s="83">
        <f t="shared" si="23"/>
        <v>8.5543243835191376</v>
      </c>
      <c r="AN23" s="83">
        <f t="shared" si="24"/>
        <v>8.0324425245776521</v>
      </c>
      <c r="AO23" s="83">
        <f t="shared" si="25"/>
        <v>3.1705380531136558</v>
      </c>
      <c r="AP23" s="83">
        <f t="shared" si="26"/>
        <v>2.005994247285825</v>
      </c>
      <c r="AQ23" s="83">
        <f t="shared" si="27"/>
        <v>3.0632196068304607</v>
      </c>
      <c r="AR23" s="83">
        <f t="shared" si="28"/>
        <v>6.7390831350270135</v>
      </c>
      <c r="AS23" s="83">
        <f t="shared" si="29"/>
        <v>1.5316098034152303</v>
      </c>
      <c r="AT23" s="83">
        <f t="shared" si="30"/>
        <v>14.385304953405127</v>
      </c>
      <c r="AU23" s="83">
        <f t="shared" si="31"/>
        <v>1.7192835143998517</v>
      </c>
      <c r="AV23" s="83">
        <f t="shared" si="32"/>
        <v>3.3058305363012042</v>
      </c>
      <c r="AW23" s="83">
        <f t="shared" si="33"/>
        <v>0.85964175719992586</v>
      </c>
      <c r="AX23" s="83">
        <f t="shared" si="34"/>
        <v>2.1442537247813225</v>
      </c>
      <c r="AY23" s="83">
        <f t="shared" si="35"/>
        <v>4.5381031212303125</v>
      </c>
      <c r="AZ23" s="83">
        <f t="shared" si="36"/>
        <v>1.0721268623906612</v>
      </c>
      <c r="BA23" s="83">
        <f t="shared" si="37"/>
        <v>15.238670501488482</v>
      </c>
      <c r="BB23" s="83">
        <f t="shared" si="38"/>
        <v>3.3459902241781729</v>
      </c>
      <c r="BC23" s="83">
        <f t="shared" si="39"/>
        <v>6.5962170494947561</v>
      </c>
      <c r="BD23" s="83">
        <f t="shared" si="40"/>
        <v>1.6729951120890865</v>
      </c>
      <c r="BE23" s="83">
        <f t="shared" si="41"/>
        <v>3.301470020695052</v>
      </c>
      <c r="BF23" s="83">
        <f t="shared" si="42"/>
        <v>3.9481497154703713</v>
      </c>
      <c r="BG23" s="83">
        <f t="shared" si="43"/>
        <v>13.425268711811352</v>
      </c>
      <c r="BH23" s="83">
        <f t="shared" si="44"/>
        <v>13.31279418693437</v>
      </c>
      <c r="BI23" s="83">
        <f t="shared" si="45"/>
        <v>3.1872871305412636</v>
      </c>
      <c r="BJ23" s="83">
        <f t="shared" si="46"/>
        <v>5.5024500344917531</v>
      </c>
      <c r="BK23" s="83">
        <f t="shared" si="47"/>
        <v>2.995148060012006</v>
      </c>
      <c r="BL23" s="83">
        <f t="shared" si="48"/>
        <v>5.8059334610671121</v>
      </c>
      <c r="BM23" s="83">
        <f t="shared" si="49"/>
        <v>13.382705319888235</v>
      </c>
      <c r="BN23" s="83">
        <f t="shared" si="50"/>
        <v>0.68771340575994067</v>
      </c>
      <c r="BO23" s="83">
        <f t="shared" si="51"/>
        <v>2.0421464045536402</v>
      </c>
      <c r="BP23" s="83">
        <f t="shared" si="52"/>
        <v>0.77147753060915314</v>
      </c>
      <c r="BQ23" s="83">
        <f t="shared" si="53"/>
        <v>4.6477945029539871</v>
      </c>
      <c r="BR23" s="83">
        <f t="shared" si="54"/>
        <v>19.717681534755457</v>
      </c>
      <c r="BS23" s="83">
        <f t="shared" si="55"/>
        <v>1.7854098034152308</v>
      </c>
      <c r="BT23" s="83">
        <f t="shared" si="56"/>
        <v>3.2220532160735211</v>
      </c>
      <c r="BU23" s="83">
        <f t="shared" si="57"/>
        <v>2.7682429039504903</v>
      </c>
      <c r="BV23" s="83">
        <f t="shared" si="58"/>
        <v>6.9335950781772597</v>
      </c>
      <c r="BW23" s="83">
        <f t="shared" si="59"/>
        <v>16.995025645807967</v>
      </c>
      <c r="BX23" s="83">
        <f t="shared" si="60"/>
        <v>1.6002561941721696</v>
      </c>
      <c r="BY23" s="83">
        <f t="shared" si="61"/>
        <v>3.2220532160735211</v>
      </c>
      <c r="BZ23" s="83">
        <f t="shared" si="62"/>
        <v>2.7682429039504903</v>
      </c>
      <c r="CA23" s="83">
        <f t="shared" si="63"/>
        <v>9.6156010864392325</v>
      </c>
      <c r="CB23" s="83">
        <f t="shared" si="64"/>
        <v>13.739025733752825</v>
      </c>
      <c r="CC23" s="83">
        <f t="shared" si="65"/>
        <v>1.9573381548552158</v>
      </c>
      <c r="CD23" s="83">
        <f t="shared" si="66"/>
        <v>6.186900223604324</v>
      </c>
      <c r="CE23" s="83">
        <f t="shared" si="67"/>
        <v>6.8627693154024829</v>
      </c>
      <c r="CF23" s="83">
        <f t="shared" si="68"/>
        <v>12.973570286263332</v>
      </c>
      <c r="CG23" s="83">
        <f t="shared" si="69"/>
        <v>6.8627693154024829</v>
      </c>
      <c r="CH23" s="83">
        <f t="shared" si="70"/>
        <v>7.8528456113162122</v>
      </c>
      <c r="CI23" s="83">
        <f t="shared" si="71"/>
        <v>14.815377932410746</v>
      </c>
      <c r="CJ23" s="83">
        <f t="shared" si="72"/>
        <v>7.8528456113162122</v>
      </c>
      <c r="CK23" s="83">
        <f t="shared" si="73"/>
        <v>3.8096676253721204</v>
      </c>
    </row>
    <row r="24" spans="1:89" x14ac:dyDescent="0.25">
      <c r="A24" t="str">
        <f>PLANTILLA!D25</f>
        <v>L. Bauman</v>
      </c>
      <c r="B24" s="355">
        <f>PLANTILLA!E25</f>
        <v>35</v>
      </c>
      <c r="C24" s="122">
        <f ca="1">PLANTILLA!F25</f>
        <v>50</v>
      </c>
      <c r="D24" s="355">
        <f>PLANTILLA!G25</f>
        <v>0</v>
      </c>
      <c r="E24" s="287">
        <v>36526</v>
      </c>
      <c r="F24" s="122">
        <f>PLANTILLA!Q25</f>
        <v>5</v>
      </c>
      <c r="G24" s="154">
        <f t="shared" si="0"/>
        <v>0.84515425472851657</v>
      </c>
      <c r="H24" s="154">
        <f t="shared" si="1"/>
        <v>0.92504826128926143</v>
      </c>
      <c r="I24" s="209">
        <f>PLANTILLA!P25</f>
        <v>1.5</v>
      </c>
      <c r="J24" s="210">
        <f>PLANTILLA!I25</f>
        <v>12</v>
      </c>
      <c r="K24" s="49">
        <f>PLANTILLA!X25</f>
        <v>0</v>
      </c>
      <c r="L24" s="49">
        <f>PLANTILLA!Y25</f>
        <v>5.95</v>
      </c>
      <c r="M24" s="49">
        <f>PLANTILLA!Z25</f>
        <v>14.1</v>
      </c>
      <c r="N24" s="49">
        <f>PLANTILLA!AA25</f>
        <v>2.95</v>
      </c>
      <c r="O24" s="49">
        <f>PLANTILLA!AB25</f>
        <v>8.9499999999999993</v>
      </c>
      <c r="P24" s="49">
        <f>PLANTILLA!AC25</f>
        <v>5.95</v>
      </c>
      <c r="Q24" s="49">
        <f>PLANTILLA!AD25</f>
        <v>16.95</v>
      </c>
      <c r="R24" s="210">
        <f t="shared" si="2"/>
        <v>3.3562499999999997</v>
      </c>
      <c r="S24" s="210">
        <f t="shared" si="3"/>
        <v>18.094487405020338</v>
      </c>
      <c r="T24" s="49">
        <f t="shared" si="4"/>
        <v>0.80600000000000005</v>
      </c>
      <c r="U24" s="49">
        <f t="shared" si="5"/>
        <v>0.74649999999999994</v>
      </c>
      <c r="V24" s="210">
        <f t="shared" ca="1" si="6"/>
        <v>16.386618368004036</v>
      </c>
      <c r="W24" s="210">
        <f t="shared" ca="1" si="7"/>
        <v>17.935675937172022</v>
      </c>
      <c r="X24" s="83">
        <f t="shared" si="8"/>
        <v>4.2078669703994356</v>
      </c>
      <c r="Y24" s="83">
        <f t="shared" si="9"/>
        <v>6.322880651529978</v>
      </c>
      <c r="Z24" s="83">
        <f t="shared" si="10"/>
        <v>4.2078669703994356</v>
      </c>
      <c r="AA24" s="83">
        <f t="shared" si="11"/>
        <v>4.5866766972807662</v>
      </c>
      <c r="AB24" s="83">
        <f t="shared" si="12"/>
        <v>8.8889083280635006</v>
      </c>
      <c r="AC24" s="83">
        <f t="shared" si="13"/>
        <v>2.2933383486403831</v>
      </c>
      <c r="AD24" s="83">
        <f t="shared" si="14"/>
        <v>4.0552601820791123</v>
      </c>
      <c r="AE24" s="83">
        <f t="shared" si="15"/>
        <v>3.3600073480080033</v>
      </c>
      <c r="AF24" s="83">
        <f t="shared" si="16"/>
        <v>6.4266807211899106</v>
      </c>
      <c r="AG24" s="83">
        <f t="shared" si="17"/>
        <v>1.6800036740040016</v>
      </c>
      <c r="AH24" s="83">
        <f t="shared" si="18"/>
        <v>6.5599797063044472</v>
      </c>
      <c r="AI24" s="83">
        <f t="shared" si="19"/>
        <v>8.1777956618184202</v>
      </c>
      <c r="AJ24" s="83">
        <f t="shared" si="20"/>
        <v>3.6800080478182893</v>
      </c>
      <c r="AK24" s="83">
        <f t="shared" si="21"/>
        <v>2.8454976907866047</v>
      </c>
      <c r="AL24" s="83">
        <f t="shared" si="22"/>
        <v>3.4626780969013375</v>
      </c>
      <c r="AM24" s="83">
        <f t="shared" si="23"/>
        <v>6.7022368793598792</v>
      </c>
      <c r="AN24" s="83">
        <f t="shared" si="24"/>
        <v>6.2933470962689579</v>
      </c>
      <c r="AO24" s="83">
        <f t="shared" si="25"/>
        <v>3.3214476907866048</v>
      </c>
      <c r="AP24" s="83">
        <f t="shared" si="26"/>
        <v>1.8130055984822875</v>
      </c>
      <c r="AQ24" s="83">
        <f t="shared" si="27"/>
        <v>2.4000052485771453</v>
      </c>
      <c r="AR24" s="83">
        <f t="shared" si="28"/>
        <v>5.2800115468697193</v>
      </c>
      <c r="AS24" s="83">
        <f t="shared" si="29"/>
        <v>1.2000026242885726</v>
      </c>
      <c r="AT24" s="83">
        <f t="shared" si="30"/>
        <v>16.084729461691943</v>
      </c>
      <c r="AU24" s="83">
        <f t="shared" si="31"/>
        <v>1.5455580826482549</v>
      </c>
      <c r="AV24" s="83">
        <f t="shared" si="32"/>
        <v>2.9644501401226053</v>
      </c>
      <c r="AW24" s="83">
        <f t="shared" si="33"/>
        <v>0.77277904132412745</v>
      </c>
      <c r="AX24" s="83">
        <f t="shared" si="34"/>
        <v>1.6800036740040016</v>
      </c>
      <c r="AY24" s="83">
        <f t="shared" si="35"/>
        <v>3.5555633312254002</v>
      </c>
      <c r="AZ24" s="83">
        <f t="shared" si="36"/>
        <v>0.84000183700200082</v>
      </c>
      <c r="BA24" s="83">
        <f t="shared" si="37"/>
        <v>17.038908328063499</v>
      </c>
      <c r="BB24" s="83">
        <f t="shared" si="38"/>
        <v>3.0078938070000651</v>
      </c>
      <c r="BC24" s="83">
        <f t="shared" si="39"/>
        <v>5.9207884887629882</v>
      </c>
      <c r="BD24" s="83">
        <f t="shared" si="40"/>
        <v>1.5039469035000326</v>
      </c>
      <c r="BE24" s="83">
        <f t="shared" si="41"/>
        <v>2.5866723234664786</v>
      </c>
      <c r="BF24" s="83">
        <f t="shared" si="42"/>
        <v>3.0933400981660979</v>
      </c>
      <c r="BG24" s="83">
        <f t="shared" si="43"/>
        <v>15.011278237023943</v>
      </c>
      <c r="BH24" s="83">
        <f t="shared" si="44"/>
        <v>7.1252395036484515</v>
      </c>
      <c r="BI24" s="83">
        <f t="shared" si="45"/>
        <v>2.865226907063303</v>
      </c>
      <c r="BJ24" s="83">
        <f t="shared" si="46"/>
        <v>4.3111205391107976</v>
      </c>
      <c r="BK24" s="83">
        <f t="shared" si="47"/>
        <v>2.3466717986087642</v>
      </c>
      <c r="BL24" s="83">
        <f t="shared" si="48"/>
        <v>6.491824072992193</v>
      </c>
      <c r="BM24" s="83">
        <f t="shared" si="49"/>
        <v>6.3529058787274995</v>
      </c>
      <c r="BN24" s="83">
        <f t="shared" si="50"/>
        <v>0.61822323305930194</v>
      </c>
      <c r="BO24" s="83">
        <f t="shared" si="51"/>
        <v>1.60000349905143</v>
      </c>
      <c r="BP24" s="83">
        <f t="shared" si="52"/>
        <v>0.60444576630831803</v>
      </c>
      <c r="BQ24" s="83">
        <f t="shared" si="53"/>
        <v>5.1968670400593675</v>
      </c>
      <c r="BR24" s="83">
        <f t="shared" si="54"/>
        <v>9.289136109889661</v>
      </c>
      <c r="BS24" s="83">
        <f t="shared" si="55"/>
        <v>1.6050026242885724</v>
      </c>
      <c r="BT24" s="83">
        <f t="shared" si="56"/>
        <v>2.5244499651700338</v>
      </c>
      <c r="BU24" s="83">
        <f t="shared" si="57"/>
        <v>2.1688936320474941</v>
      </c>
      <c r="BV24" s="83">
        <f t="shared" si="58"/>
        <v>7.7527032892688927</v>
      </c>
      <c r="BW24" s="83">
        <f t="shared" si="59"/>
        <v>7.988910427494357</v>
      </c>
      <c r="BX24" s="83">
        <f t="shared" si="60"/>
        <v>1.4385579076956834</v>
      </c>
      <c r="BY24" s="83">
        <f t="shared" si="61"/>
        <v>2.5244499651700338</v>
      </c>
      <c r="BZ24" s="83">
        <f t="shared" si="62"/>
        <v>2.1688936320474941</v>
      </c>
      <c r="CA24" s="83">
        <f t="shared" si="63"/>
        <v>10.751551155008068</v>
      </c>
      <c r="CB24" s="83">
        <f t="shared" si="64"/>
        <v>6.4285729536168326</v>
      </c>
      <c r="CC24" s="83">
        <f t="shared" si="65"/>
        <v>1.7595584325533977</v>
      </c>
      <c r="CD24" s="83">
        <f t="shared" si="66"/>
        <v>6.9177967811937808</v>
      </c>
      <c r="CE24" s="83">
        <f t="shared" si="67"/>
        <v>4.9491212389210837</v>
      </c>
      <c r="CF24" s="83">
        <f t="shared" si="68"/>
        <v>11.637910777399501</v>
      </c>
      <c r="CG24" s="83">
        <f t="shared" si="69"/>
        <v>4.9491212389210837</v>
      </c>
      <c r="CH24" s="83">
        <f t="shared" si="70"/>
        <v>5.1707898883835606</v>
      </c>
      <c r="CI24" s="83">
        <f t="shared" si="71"/>
        <v>13.275915501118931</v>
      </c>
      <c r="CJ24" s="83">
        <f t="shared" si="72"/>
        <v>5.1707898883835606</v>
      </c>
      <c r="CK24" s="83">
        <f t="shared" si="73"/>
        <v>4.2597270820158748</v>
      </c>
    </row>
    <row r="25" spans="1:89" x14ac:dyDescent="0.25">
      <c r="A25" t="str">
        <f>PLANTILLA!D26</f>
        <v>J. Limon</v>
      </c>
      <c r="B25" s="355">
        <f>PLANTILLA!E26</f>
        <v>34</v>
      </c>
      <c r="C25" s="122">
        <f ca="1">PLANTILLA!F26</f>
        <v>87</v>
      </c>
      <c r="D25" s="355" t="str">
        <f>PLANTILLA!G26</f>
        <v>RAP</v>
      </c>
      <c r="E25" s="287">
        <v>36526</v>
      </c>
      <c r="F25" s="122">
        <f>PLANTILLA!Q26</f>
        <v>5</v>
      </c>
      <c r="G25" s="154">
        <f t="shared" si="0"/>
        <v>0.84515425472851657</v>
      </c>
      <c r="H25" s="154">
        <f t="shared" si="1"/>
        <v>0.92504826128926143</v>
      </c>
      <c r="I25" s="209">
        <f>PLANTILLA!P26</f>
        <v>1.5</v>
      </c>
      <c r="J25" s="210">
        <f>PLANTILLA!I26</f>
        <v>14.3</v>
      </c>
      <c r="K25" s="49">
        <f>PLANTILLA!X26</f>
        <v>0</v>
      </c>
      <c r="L25" s="49">
        <f>PLANTILLA!Y26</f>
        <v>6.8376190476190493</v>
      </c>
      <c r="M25" s="49">
        <f>PLANTILLA!Z26</f>
        <v>8.9499999999999993</v>
      </c>
      <c r="N25" s="49">
        <f>PLANTILLA!AA26</f>
        <v>8.7399999999999967</v>
      </c>
      <c r="O25" s="49">
        <f>PLANTILLA!AB26</f>
        <v>9.9499999999999993</v>
      </c>
      <c r="P25" s="49">
        <f>PLANTILLA!AC26</f>
        <v>6.95</v>
      </c>
      <c r="Q25" s="49">
        <f>PLANTILLA!AD26</f>
        <v>18.999999999999993</v>
      </c>
      <c r="R25" s="210">
        <f t="shared" si="2"/>
        <v>3.7172023809523811</v>
      </c>
      <c r="S25" s="210">
        <f t="shared" si="3"/>
        <v>21.106390190397043</v>
      </c>
      <c r="T25" s="49">
        <f t="shared" si="4"/>
        <v>0.91749999999999976</v>
      </c>
      <c r="U25" s="49">
        <f t="shared" si="5"/>
        <v>0.84350476190476176</v>
      </c>
      <c r="V25" s="210">
        <f t="shared" ca="1" si="6"/>
        <v>18.205001318176702</v>
      </c>
      <c r="W25" s="210">
        <f t="shared" ca="1" si="7"/>
        <v>19.925954016001061</v>
      </c>
      <c r="X25" s="83">
        <f t="shared" si="8"/>
        <v>4.5414940047521899</v>
      </c>
      <c r="Y25" s="83">
        <f t="shared" si="9"/>
        <v>6.8312065277279563</v>
      </c>
      <c r="Z25" s="83">
        <f t="shared" si="10"/>
        <v>4.5414940047521899</v>
      </c>
      <c r="AA25" s="83">
        <f t="shared" si="11"/>
        <v>5.0970826223473926</v>
      </c>
      <c r="AB25" s="83">
        <f t="shared" si="12"/>
        <v>9.8780670975724654</v>
      </c>
      <c r="AC25" s="83">
        <f t="shared" si="13"/>
        <v>2.5485413111736963</v>
      </c>
      <c r="AD25" s="83">
        <f t="shared" si="14"/>
        <v>2.8537266358889126</v>
      </c>
      <c r="AE25" s="83">
        <f t="shared" si="15"/>
        <v>3.7339093628823918</v>
      </c>
      <c r="AF25" s="83">
        <f t="shared" si="16"/>
        <v>7.1418425115448922</v>
      </c>
      <c r="AG25" s="83">
        <f t="shared" si="17"/>
        <v>1.8669546814411959</v>
      </c>
      <c r="AH25" s="83">
        <f t="shared" si="18"/>
        <v>4.6163224992320648</v>
      </c>
      <c r="AI25" s="83">
        <f t="shared" si="19"/>
        <v>9.0878217297666684</v>
      </c>
      <c r="AJ25" s="83">
        <f t="shared" si="20"/>
        <v>4.0895197783950001</v>
      </c>
      <c r="AK25" s="83">
        <f t="shared" si="21"/>
        <v>2.0024048243422206</v>
      </c>
      <c r="AL25" s="83">
        <f t="shared" si="22"/>
        <v>6.9269034533726055</v>
      </c>
      <c r="AM25" s="83">
        <f t="shared" si="23"/>
        <v>7.4480625915696388</v>
      </c>
      <c r="AN25" s="83">
        <f t="shared" si="24"/>
        <v>6.9936715050813048</v>
      </c>
      <c r="AO25" s="83">
        <f t="shared" si="25"/>
        <v>3.6807548243422192</v>
      </c>
      <c r="AP25" s="83">
        <f t="shared" si="26"/>
        <v>1.9462033241008694</v>
      </c>
      <c r="AQ25" s="83">
        <f t="shared" si="27"/>
        <v>2.667078116344566</v>
      </c>
      <c r="AR25" s="83">
        <f t="shared" si="28"/>
        <v>5.8675718559580439</v>
      </c>
      <c r="AS25" s="83">
        <f t="shared" si="29"/>
        <v>1.333539058172283</v>
      </c>
      <c r="AT25" s="83">
        <f t="shared" si="30"/>
        <v>11.318982959156022</v>
      </c>
      <c r="AU25" s="83">
        <f t="shared" si="31"/>
        <v>1.6887582464939439</v>
      </c>
      <c r="AV25" s="83">
        <f t="shared" si="32"/>
        <v>3.28720127863635</v>
      </c>
      <c r="AW25" s="83">
        <f t="shared" si="33"/>
        <v>0.84437912324697195</v>
      </c>
      <c r="AX25" s="83">
        <f t="shared" si="34"/>
        <v>1.8669546814411959</v>
      </c>
      <c r="AY25" s="83">
        <f t="shared" si="35"/>
        <v>3.9512268390289864</v>
      </c>
      <c r="AZ25" s="83">
        <f t="shared" si="36"/>
        <v>0.93347734072059796</v>
      </c>
      <c r="BA25" s="83">
        <f t="shared" si="37"/>
        <v>11.990448049953415</v>
      </c>
      <c r="BB25" s="83">
        <f t="shared" si="38"/>
        <v>3.2865833566382139</v>
      </c>
      <c r="BC25" s="83">
        <f t="shared" si="39"/>
        <v>6.5277368755243321</v>
      </c>
      <c r="BD25" s="83">
        <f t="shared" si="40"/>
        <v>1.6432916783191069</v>
      </c>
      <c r="BE25" s="83">
        <f t="shared" si="41"/>
        <v>2.8745175253935873</v>
      </c>
      <c r="BF25" s="83">
        <f t="shared" si="42"/>
        <v>3.4375673499552177</v>
      </c>
      <c r="BG25" s="83">
        <f t="shared" si="43"/>
        <v>10.563584732008959</v>
      </c>
      <c r="BH25" s="83">
        <f t="shared" si="44"/>
        <v>10.853968316408583</v>
      </c>
      <c r="BI25" s="83">
        <f t="shared" si="45"/>
        <v>3.1306979800387729</v>
      </c>
      <c r="BJ25" s="83">
        <f t="shared" si="46"/>
        <v>4.7908625423226452</v>
      </c>
      <c r="BK25" s="83">
        <f t="shared" si="47"/>
        <v>2.607809713759131</v>
      </c>
      <c r="BL25" s="83">
        <f t="shared" si="48"/>
        <v>4.5683607070322507</v>
      </c>
      <c r="BM25" s="83">
        <f t="shared" si="49"/>
        <v>10.539321595659283</v>
      </c>
      <c r="BN25" s="83">
        <f t="shared" si="50"/>
        <v>0.67550329859757752</v>
      </c>
      <c r="BO25" s="83">
        <f t="shared" si="51"/>
        <v>1.7780520775630437</v>
      </c>
      <c r="BP25" s="83">
        <f t="shared" si="52"/>
        <v>0.67170856263492773</v>
      </c>
      <c r="BQ25" s="83">
        <f t="shared" si="53"/>
        <v>3.6570866552357915</v>
      </c>
      <c r="BR25" s="83">
        <f t="shared" si="54"/>
        <v>15.495716192240089</v>
      </c>
      <c r="BS25" s="83">
        <f t="shared" si="55"/>
        <v>1.753710486743711</v>
      </c>
      <c r="BT25" s="83">
        <f t="shared" si="56"/>
        <v>2.8053710557105798</v>
      </c>
      <c r="BU25" s="83">
        <f t="shared" si="57"/>
        <v>2.4102483718076817</v>
      </c>
      <c r="BV25" s="83">
        <f t="shared" si="58"/>
        <v>5.4556538627288038</v>
      </c>
      <c r="BW25" s="83">
        <f t="shared" si="59"/>
        <v>13.347976439348383</v>
      </c>
      <c r="BX25" s="83">
        <f t="shared" si="60"/>
        <v>1.5718442140443631</v>
      </c>
      <c r="BY25" s="83">
        <f t="shared" si="61"/>
        <v>2.8053710557105798</v>
      </c>
      <c r="BZ25" s="83">
        <f t="shared" si="62"/>
        <v>2.4102483718076817</v>
      </c>
      <c r="CA25" s="83">
        <f t="shared" si="63"/>
        <v>7.5659727195206044</v>
      </c>
      <c r="CB25" s="83">
        <f t="shared" si="64"/>
        <v>10.777031004708304</v>
      </c>
      <c r="CC25" s="83">
        <f t="shared" si="65"/>
        <v>1.9225863113931052</v>
      </c>
      <c r="CD25" s="83">
        <f t="shared" si="66"/>
        <v>4.8681219082810863</v>
      </c>
      <c r="CE25" s="83">
        <f t="shared" si="67"/>
        <v>6.2127834340257282</v>
      </c>
      <c r="CF25" s="83">
        <f t="shared" si="68"/>
        <v>12.878244504247544</v>
      </c>
      <c r="CG25" s="83">
        <f t="shared" si="69"/>
        <v>6.2127834340257282</v>
      </c>
      <c r="CH25" s="83">
        <f t="shared" si="70"/>
        <v>6.9156391351209763</v>
      </c>
      <c r="CI25" s="83">
        <f t="shared" si="71"/>
        <v>14.783923380386224</v>
      </c>
      <c r="CJ25" s="83">
        <f t="shared" si="72"/>
        <v>6.9156391351209763</v>
      </c>
      <c r="CK25" s="83">
        <f t="shared" si="73"/>
        <v>2.9976120124883536</v>
      </c>
    </row>
    <row r="26" spans="1:89" x14ac:dyDescent="0.25">
      <c r="A26" t="str">
        <f>PLANTILLA!D27</f>
        <v>P .Trivadi</v>
      </c>
      <c r="B26" s="355">
        <f>PLANTILLA!E27</f>
        <v>32</v>
      </c>
      <c r="C26" s="122">
        <f ca="1">PLANTILLA!F27</f>
        <v>6</v>
      </c>
      <c r="D26" s="355">
        <f>PLANTILLA!G27</f>
        <v>0</v>
      </c>
      <c r="E26" s="287">
        <v>36526</v>
      </c>
      <c r="F26" s="122">
        <f>PLANTILLA!Q27</f>
        <v>4</v>
      </c>
      <c r="G26" s="154">
        <f t="shared" si="0"/>
        <v>0.7559289460184544</v>
      </c>
      <c r="H26" s="154">
        <f t="shared" si="1"/>
        <v>0.84430867747355465</v>
      </c>
      <c r="I26" s="209">
        <f>PLANTILLA!P27</f>
        <v>1.5</v>
      </c>
      <c r="J26" s="210">
        <f>PLANTILLA!I27</f>
        <v>6.2</v>
      </c>
      <c r="K26" s="49">
        <f>PLANTILLA!X27</f>
        <v>0</v>
      </c>
      <c r="L26" s="49">
        <f>PLANTILLA!Y27</f>
        <v>4.0199999999999996</v>
      </c>
      <c r="M26" s="49">
        <f>PLANTILLA!Z27</f>
        <v>5.95</v>
      </c>
      <c r="N26" s="49">
        <f>PLANTILLA!AA27</f>
        <v>5.5099999999999989</v>
      </c>
      <c r="O26" s="49">
        <f>PLANTILLA!AB27</f>
        <v>10.95</v>
      </c>
      <c r="P26" s="49">
        <f>PLANTILLA!AC27</f>
        <v>7.95</v>
      </c>
      <c r="Q26" s="49">
        <f>PLANTILLA!AD27</f>
        <v>14</v>
      </c>
      <c r="R26" s="210">
        <f t="shared" si="2"/>
        <v>3.6149999999999998</v>
      </c>
      <c r="S26" s="210">
        <f t="shared" si="3"/>
        <v>18.946914178388191</v>
      </c>
      <c r="T26" s="49">
        <f t="shared" si="4"/>
        <v>0.81750000000000012</v>
      </c>
      <c r="U26" s="49">
        <f t="shared" si="5"/>
        <v>0.58079999999999998</v>
      </c>
      <c r="V26" s="210">
        <f t="shared" ca="1" si="6"/>
        <v>12.137589943178412</v>
      </c>
      <c r="W26" s="210">
        <f t="shared" ca="1" si="7"/>
        <v>13.556661067971726</v>
      </c>
      <c r="X26" s="83">
        <f t="shared" si="8"/>
        <v>3.3413639265759674</v>
      </c>
      <c r="Y26" s="83">
        <f t="shared" si="9"/>
        <v>5.0089702281896606</v>
      </c>
      <c r="Z26" s="83">
        <f t="shared" si="10"/>
        <v>3.3413639265759674</v>
      </c>
      <c r="AA26" s="83">
        <f t="shared" si="11"/>
        <v>3.3934854823747984</v>
      </c>
      <c r="AB26" s="83">
        <f t="shared" si="12"/>
        <v>6.5765222526643381</v>
      </c>
      <c r="AC26" s="83">
        <f t="shared" si="13"/>
        <v>1.6967427411873992</v>
      </c>
      <c r="AD26" s="83">
        <f t="shared" si="14"/>
        <v>2.0245522961341127</v>
      </c>
      <c r="AE26" s="83">
        <f t="shared" si="15"/>
        <v>2.4859254115071199</v>
      </c>
      <c r="AF26" s="83">
        <f t="shared" si="16"/>
        <v>4.754825588676316</v>
      </c>
      <c r="AG26" s="83">
        <f t="shared" si="17"/>
        <v>1.2429627057535599</v>
      </c>
      <c r="AH26" s="83">
        <f t="shared" si="18"/>
        <v>3.2750110672757708</v>
      </c>
      <c r="AI26" s="83">
        <f t="shared" si="19"/>
        <v>6.0504004724511917</v>
      </c>
      <c r="AJ26" s="83">
        <f t="shared" si="20"/>
        <v>2.7226802126030361</v>
      </c>
      <c r="AK26" s="83">
        <f t="shared" si="21"/>
        <v>1.4205892161949447</v>
      </c>
      <c r="AL26" s="83">
        <f t="shared" si="22"/>
        <v>4.7431150845666306</v>
      </c>
      <c r="AM26" s="83">
        <f t="shared" si="23"/>
        <v>4.9586977785089106</v>
      </c>
      <c r="AN26" s="83">
        <f t="shared" si="24"/>
        <v>4.6561777548863512</v>
      </c>
      <c r="AO26" s="83">
        <f t="shared" si="25"/>
        <v>2.7649392161949442</v>
      </c>
      <c r="AP26" s="83">
        <f t="shared" si="26"/>
        <v>1.7773984087673294</v>
      </c>
      <c r="AQ26" s="83">
        <f t="shared" si="27"/>
        <v>1.7756610082193713</v>
      </c>
      <c r="AR26" s="83">
        <f t="shared" si="28"/>
        <v>3.9064542180826165</v>
      </c>
      <c r="AS26" s="83">
        <f t="shared" si="29"/>
        <v>0.88783050410968567</v>
      </c>
      <c r="AT26" s="83">
        <f t="shared" si="30"/>
        <v>8.030157006515136</v>
      </c>
      <c r="AU26" s="83">
        <f t="shared" si="31"/>
        <v>1.7558478928463639</v>
      </c>
      <c r="AV26" s="83">
        <f t="shared" si="32"/>
        <v>3.4384110200306508</v>
      </c>
      <c r="AW26" s="83">
        <f t="shared" si="33"/>
        <v>0.87792394642318194</v>
      </c>
      <c r="AX26" s="83">
        <f t="shared" si="34"/>
        <v>1.2429627057535599</v>
      </c>
      <c r="AY26" s="83">
        <f t="shared" si="35"/>
        <v>2.6306089010657354</v>
      </c>
      <c r="AZ26" s="83">
        <f t="shared" si="36"/>
        <v>0.62148135287677997</v>
      </c>
      <c r="BA26" s="83">
        <f t="shared" si="37"/>
        <v>8.5065222526643396</v>
      </c>
      <c r="BB26" s="83">
        <f t="shared" si="38"/>
        <v>3.4171501299240776</v>
      </c>
      <c r="BC26" s="83">
        <f t="shared" si="39"/>
        <v>6.8120937612180503</v>
      </c>
      <c r="BD26" s="83">
        <f t="shared" si="40"/>
        <v>1.7085750649620388</v>
      </c>
      <c r="BE26" s="83">
        <f t="shared" si="41"/>
        <v>1.9137679755253223</v>
      </c>
      <c r="BF26" s="83">
        <f t="shared" si="42"/>
        <v>2.2886297439271894</v>
      </c>
      <c r="BG26" s="83">
        <f t="shared" si="43"/>
        <v>7.4942461045972832</v>
      </c>
      <c r="BH26" s="83">
        <f t="shared" si="44"/>
        <v>8.8847382826185957</v>
      </c>
      <c r="BI26" s="83">
        <f t="shared" si="45"/>
        <v>3.2550718628921054</v>
      </c>
      <c r="BJ26" s="83">
        <f t="shared" si="46"/>
        <v>3.1896132925422038</v>
      </c>
      <c r="BK26" s="83">
        <f t="shared" si="47"/>
        <v>1.7362018747033854</v>
      </c>
      <c r="BL26" s="83">
        <f t="shared" si="48"/>
        <v>3.2409849782651134</v>
      </c>
      <c r="BM26" s="83">
        <f t="shared" si="49"/>
        <v>8.143580448828633</v>
      </c>
      <c r="BN26" s="83">
        <f t="shared" si="50"/>
        <v>0.70233915713854556</v>
      </c>
      <c r="BO26" s="83">
        <f t="shared" si="51"/>
        <v>1.1837740054795809</v>
      </c>
      <c r="BP26" s="83">
        <f t="shared" si="52"/>
        <v>0.44720351318117502</v>
      </c>
      <c r="BQ26" s="83">
        <f t="shared" si="53"/>
        <v>2.5944892870626237</v>
      </c>
      <c r="BR26" s="83">
        <f t="shared" si="54"/>
        <v>11.929387616926338</v>
      </c>
      <c r="BS26" s="83">
        <f t="shared" si="55"/>
        <v>1.8233805041096858</v>
      </c>
      <c r="BT26" s="83">
        <f t="shared" si="56"/>
        <v>1.8677323197566718</v>
      </c>
      <c r="BU26" s="83">
        <f t="shared" si="57"/>
        <v>1.6046714296500986</v>
      </c>
      <c r="BV26" s="83">
        <f t="shared" si="58"/>
        <v>3.8704676249622745</v>
      </c>
      <c r="BW26" s="83">
        <f t="shared" si="59"/>
        <v>10.265066655952086</v>
      </c>
      <c r="BX26" s="83">
        <f t="shared" si="60"/>
        <v>1.6342891925723848</v>
      </c>
      <c r="BY26" s="83">
        <f t="shared" si="61"/>
        <v>1.8677323197566718</v>
      </c>
      <c r="BZ26" s="83">
        <f t="shared" si="62"/>
        <v>1.6046714296500986</v>
      </c>
      <c r="CA26" s="83">
        <f t="shared" si="63"/>
        <v>5.3676155414311983</v>
      </c>
      <c r="CB26" s="83">
        <f t="shared" si="64"/>
        <v>8.269457416134582</v>
      </c>
      <c r="CC26" s="83">
        <f t="shared" si="65"/>
        <v>1.9989652933943218</v>
      </c>
      <c r="CD26" s="83">
        <f t="shared" si="66"/>
        <v>3.4536480345817222</v>
      </c>
      <c r="CE26" s="83">
        <f t="shared" si="67"/>
        <v>5.87253809363812</v>
      </c>
      <c r="CF26" s="83">
        <f t="shared" si="68"/>
        <v>13.459344056500044</v>
      </c>
      <c r="CG26" s="83">
        <f t="shared" si="69"/>
        <v>5.87253809363812</v>
      </c>
      <c r="CH26" s="83">
        <f t="shared" si="70"/>
        <v>6.302323363409883</v>
      </c>
      <c r="CI26" s="83">
        <f t="shared" si="71"/>
        <v>15.490428963897479</v>
      </c>
      <c r="CJ26" s="83">
        <f t="shared" si="72"/>
        <v>6.302323363409883</v>
      </c>
      <c r="CK26" s="83">
        <f t="shared" si="73"/>
        <v>2.1266305631660849</v>
      </c>
    </row>
    <row r="27" spans="1:89" x14ac:dyDescent="0.25">
      <c r="D27" s="200"/>
    </row>
    <row r="28" spans="1:89" ht="18.75" x14ac:dyDescent="0.3">
      <c r="A28" s="183" t="s">
        <v>280</v>
      </c>
      <c r="B28" s="183" t="s">
        <v>69</v>
      </c>
      <c r="C28" s="183"/>
      <c r="D28" s="184"/>
      <c r="L28" s="45"/>
      <c r="M28" s="45"/>
    </row>
    <row r="29" spans="1:89" x14ac:dyDescent="0.25">
      <c r="A29" s="77" t="s">
        <v>285</v>
      </c>
      <c r="B29" s="185">
        <v>1</v>
      </c>
      <c r="C29" s="211">
        <v>0.624</v>
      </c>
      <c r="D29" s="212">
        <v>0.245</v>
      </c>
    </row>
    <row r="30" spans="1:89" x14ac:dyDescent="0.25">
      <c r="A30" s="77" t="s">
        <v>286</v>
      </c>
      <c r="B30" s="185">
        <v>1</v>
      </c>
      <c r="C30" s="211">
        <v>1.002</v>
      </c>
      <c r="D30" s="212">
        <v>0.34</v>
      </c>
    </row>
    <row r="31" spans="1:89" x14ac:dyDescent="0.25">
      <c r="A31" s="77" t="s">
        <v>287</v>
      </c>
      <c r="B31" s="185">
        <v>1</v>
      </c>
      <c r="C31" s="211">
        <v>0.46800000000000003</v>
      </c>
      <c r="D31" s="212">
        <v>0.125</v>
      </c>
    </row>
    <row r="32" spans="1:89" x14ac:dyDescent="0.25">
      <c r="A32" s="77" t="s">
        <v>288</v>
      </c>
      <c r="B32" s="185">
        <v>1</v>
      </c>
      <c r="C32" s="211">
        <v>0.877</v>
      </c>
      <c r="D32" s="212">
        <v>0.25</v>
      </c>
    </row>
    <row r="33" spans="1:4" x14ac:dyDescent="0.25">
      <c r="A33" s="77" t="s">
        <v>289</v>
      </c>
      <c r="B33" s="185">
        <v>1</v>
      </c>
      <c r="C33" s="211">
        <v>0.59299999999999997</v>
      </c>
      <c r="D33" s="212">
        <v>0.19</v>
      </c>
    </row>
  </sheetData>
  <conditionalFormatting sqref="V3:W26">
    <cfRule type="cellIs" dxfId="49" priority="27" operator="greaterThan">
      <formula>15</formula>
    </cfRule>
  </conditionalFormatting>
  <conditionalFormatting sqref="R3:R26">
    <cfRule type="cellIs" dxfId="48" priority="26" operator="greaterThan">
      <formula>3.2</formula>
    </cfRule>
  </conditionalFormatting>
  <conditionalFormatting sqref="T3:U26">
    <cfRule type="cellIs" dxfId="47" priority="25" operator="greaterThan">
      <formula>0.6</formula>
    </cfRule>
  </conditionalFormatting>
  <conditionalFormatting sqref="AC3:AH26 BH3:BK26 BB3:BE26 AP3:AS26 X3:AA26 AJ3:AJ26 BM3:CK26 AU3:AZ26 AL3:AN26">
    <cfRule type="cellIs" dxfId="46" priority="24" operator="greaterThan">
      <formula>12.5</formula>
    </cfRule>
  </conditionalFormatting>
  <conditionalFormatting sqref="J3:J26">
    <cfRule type="cellIs" dxfId="45" priority="21" operator="greaterThan">
      <formula>7</formula>
    </cfRule>
  </conditionalFormatting>
  <conditionalFormatting sqref="AB3:AB26 AI3:AI26 AT3:AT26 BA3:BA26 BL3:BL26 BG3:BG26">
    <cfRule type="cellIs" dxfId="44" priority="9" operator="greaterThan">
      <formula>12</formula>
    </cfRule>
  </conditionalFormatting>
  <conditionalFormatting sqref="K3:Q26">
    <cfRule type="colorScale" priority="3535">
      <colorScale>
        <cfvo type="min"/>
        <cfvo type="max"/>
        <color rgb="FFFCFCFF"/>
        <color rgb="FFF8696B"/>
      </colorScale>
    </cfRule>
  </conditionalFormatting>
  <conditionalFormatting sqref="S3:S26">
    <cfRule type="colorScale" priority="353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CG26"/>
  <sheetViews>
    <sheetView workbookViewId="0">
      <pane xSplit="14" ySplit="2" topLeftCell="O3" activePane="bottomRight" state="frozen"/>
      <selection pane="topRight" activeCell="R1" sqref="R1"/>
      <selection pane="bottomLeft" activeCell="A3" sqref="A3"/>
      <selection pane="bottomRight" activeCell="E15" sqref="E15"/>
    </sheetView>
  </sheetViews>
  <sheetFormatPr baseColWidth="10" defaultColWidth="11.42578125" defaultRowHeight="15" x14ac:dyDescent="0.25"/>
  <cols>
    <col min="1" max="1" width="19" bestFit="1" customWidth="1"/>
    <col min="2" max="2" width="5.42578125" bestFit="1" customWidth="1"/>
    <col min="3" max="3" width="4.7109375" bestFit="1" customWidth="1"/>
    <col min="4" max="4" width="4.5703125" bestFit="1" customWidth="1"/>
    <col min="5" max="5" width="13" bestFit="1" customWidth="1"/>
    <col min="6" max="6" width="7.42578125" bestFit="1" customWidth="1"/>
    <col min="7" max="7" width="4.5703125" bestFit="1" customWidth="1"/>
    <col min="8" max="14" width="5.5703125" bestFit="1" customWidth="1"/>
    <col min="15" max="15" width="4.85546875" bestFit="1" customWidth="1"/>
    <col min="16" max="16" width="7.85546875" bestFit="1" customWidth="1"/>
    <col min="17" max="18" width="6.140625" bestFit="1" customWidth="1"/>
    <col min="19" max="19" width="7.85546875" bestFit="1" customWidth="1"/>
    <col min="20" max="22" width="7.85546875" hidden="1" customWidth="1"/>
    <col min="23" max="23" width="10" hidden="1" customWidth="1"/>
    <col min="24" max="30" width="7.85546875" hidden="1" customWidth="1"/>
    <col min="31" max="31" width="9.7109375" style="2" hidden="1" customWidth="1"/>
    <col min="32" max="33" width="7.85546875" hidden="1" customWidth="1"/>
    <col min="34" max="34" width="8.140625" style="2" hidden="1" customWidth="1"/>
    <col min="35" max="72" width="7.85546875" hidden="1" customWidth="1"/>
    <col min="73" max="73" width="7.42578125" hidden="1" customWidth="1"/>
    <col min="74" max="74" width="7.85546875" hidden="1" customWidth="1"/>
    <col min="75" max="75" width="5.5703125" hidden="1" customWidth="1"/>
    <col min="76" max="76" width="6.42578125" hidden="1" customWidth="1"/>
    <col min="77" max="77" width="6.85546875" hidden="1" customWidth="1"/>
    <col min="78" max="78" width="5.140625" customWidth="1"/>
    <col min="79" max="79" width="6.42578125" customWidth="1"/>
    <col min="80" max="80" width="6.85546875" customWidth="1"/>
    <col min="81" max="82" width="6.42578125" customWidth="1"/>
    <col min="83" max="83" width="6.85546875" customWidth="1"/>
    <col min="84" max="84" width="6.42578125" customWidth="1"/>
    <col min="85" max="85" width="5.140625" customWidth="1"/>
  </cols>
  <sheetData>
    <row r="1" spans="1:85" x14ac:dyDescent="0.25">
      <c r="A1" s="87"/>
      <c r="D1" s="294"/>
      <c r="T1" t="s">
        <v>311</v>
      </c>
      <c r="W1" t="s">
        <v>312</v>
      </c>
      <c r="AA1" t="s">
        <v>313</v>
      </c>
      <c r="AE1" s="2" t="s">
        <v>314</v>
      </c>
      <c r="AI1" t="s">
        <v>315</v>
      </c>
      <c r="AM1" t="s">
        <v>310</v>
      </c>
      <c r="AT1" t="s">
        <v>316</v>
      </c>
      <c r="BA1" t="s">
        <v>221</v>
      </c>
      <c r="BF1" t="s">
        <v>317</v>
      </c>
      <c r="BK1" t="s">
        <v>296</v>
      </c>
      <c r="BP1" t="s">
        <v>363</v>
      </c>
      <c r="BU1" t="s">
        <v>293</v>
      </c>
      <c r="BZ1" t="s">
        <v>277</v>
      </c>
      <c r="CD1" t="s">
        <v>64</v>
      </c>
    </row>
    <row r="2" spans="1:85" x14ac:dyDescent="0.25">
      <c r="A2" s="201" t="s">
        <v>71</v>
      </c>
      <c r="B2" s="201" t="s">
        <v>318</v>
      </c>
      <c r="C2" s="201" t="s">
        <v>61</v>
      </c>
      <c r="D2" s="202" t="s">
        <v>319</v>
      </c>
      <c r="E2" s="201" t="s">
        <v>320</v>
      </c>
      <c r="F2" s="204" t="s">
        <v>324</v>
      </c>
      <c r="G2" s="205" t="s">
        <v>325</v>
      </c>
      <c r="H2" s="205" t="s">
        <v>1</v>
      </c>
      <c r="I2" s="205" t="s">
        <v>2</v>
      </c>
      <c r="J2" s="205" t="s">
        <v>326</v>
      </c>
      <c r="K2" s="205" t="s">
        <v>63</v>
      </c>
      <c r="L2" s="205" t="s">
        <v>262</v>
      </c>
      <c r="M2" s="205" t="s">
        <v>327</v>
      </c>
      <c r="N2" s="205" t="s">
        <v>0</v>
      </c>
      <c r="O2" s="206" t="s">
        <v>257</v>
      </c>
      <c r="P2" s="206" t="s">
        <v>376</v>
      </c>
      <c r="Q2" s="206" t="s">
        <v>328</v>
      </c>
      <c r="R2" s="206" t="s">
        <v>329</v>
      </c>
      <c r="S2" s="206" t="s">
        <v>265</v>
      </c>
      <c r="T2" s="207" t="s">
        <v>330</v>
      </c>
      <c r="U2" s="207" t="s">
        <v>331</v>
      </c>
      <c r="V2" s="207" t="s">
        <v>330</v>
      </c>
      <c r="W2" s="208" t="s">
        <v>330</v>
      </c>
      <c r="X2" s="208" t="s">
        <v>331</v>
      </c>
      <c r="Y2" s="208" t="s">
        <v>330</v>
      </c>
      <c r="Z2" s="208" t="s">
        <v>62</v>
      </c>
      <c r="AA2" s="208" t="s">
        <v>330</v>
      </c>
      <c r="AB2" s="208" t="s">
        <v>331</v>
      </c>
      <c r="AC2" s="208" t="s">
        <v>330</v>
      </c>
      <c r="AD2" s="208" t="s">
        <v>62</v>
      </c>
      <c r="AE2" s="207" t="s">
        <v>330</v>
      </c>
      <c r="AF2" s="207" t="s">
        <v>331</v>
      </c>
      <c r="AG2" s="207" t="s">
        <v>62</v>
      </c>
      <c r="AH2" s="207" t="s">
        <v>332</v>
      </c>
      <c r="AI2" s="207" t="s">
        <v>330</v>
      </c>
      <c r="AJ2" s="207" t="s">
        <v>331</v>
      </c>
      <c r="AK2" s="207" t="s">
        <v>62</v>
      </c>
      <c r="AL2" s="207" t="s">
        <v>332</v>
      </c>
      <c r="AM2" s="207" t="s">
        <v>330</v>
      </c>
      <c r="AN2" s="207" t="s">
        <v>331</v>
      </c>
      <c r="AO2" s="207" t="s">
        <v>330</v>
      </c>
      <c r="AP2" s="207" t="s">
        <v>62</v>
      </c>
      <c r="AQ2" s="207" t="s">
        <v>332</v>
      </c>
      <c r="AR2" s="207" t="s">
        <v>333</v>
      </c>
      <c r="AS2" s="207" t="s">
        <v>332</v>
      </c>
      <c r="AT2" s="207" t="s">
        <v>330</v>
      </c>
      <c r="AU2" s="207" t="s">
        <v>331</v>
      </c>
      <c r="AV2" s="207" t="s">
        <v>330</v>
      </c>
      <c r="AW2" s="207" t="s">
        <v>62</v>
      </c>
      <c r="AX2" s="207" t="s">
        <v>332</v>
      </c>
      <c r="AY2" s="207" t="s">
        <v>333</v>
      </c>
      <c r="AZ2" s="207" t="s">
        <v>332</v>
      </c>
      <c r="BA2" s="208" t="s">
        <v>330</v>
      </c>
      <c r="BB2" s="208" t="s">
        <v>331</v>
      </c>
      <c r="BC2" s="208" t="s">
        <v>62</v>
      </c>
      <c r="BD2" s="208" t="s">
        <v>332</v>
      </c>
      <c r="BE2" s="208" t="s">
        <v>333</v>
      </c>
      <c r="BF2" s="208" t="s">
        <v>330</v>
      </c>
      <c r="BG2" s="208" t="s">
        <v>331</v>
      </c>
      <c r="BH2" s="208" t="s">
        <v>62</v>
      </c>
      <c r="BI2" s="208" t="s">
        <v>332</v>
      </c>
      <c r="BJ2" s="208" t="s">
        <v>333</v>
      </c>
      <c r="BK2" s="207" t="s">
        <v>330</v>
      </c>
      <c r="BL2" s="207" t="s">
        <v>331</v>
      </c>
      <c r="BM2" s="207" t="s">
        <v>62</v>
      </c>
      <c r="BN2" s="207" t="s">
        <v>332</v>
      </c>
      <c r="BO2" s="207" t="s">
        <v>333</v>
      </c>
      <c r="BP2" s="207" t="s">
        <v>330</v>
      </c>
      <c r="BQ2" s="207" t="s">
        <v>331</v>
      </c>
      <c r="BR2" s="207" t="s">
        <v>62</v>
      </c>
      <c r="BS2" s="207" t="s">
        <v>332</v>
      </c>
      <c r="BT2" s="207" t="s">
        <v>333</v>
      </c>
      <c r="BU2" s="207" t="s">
        <v>330</v>
      </c>
      <c r="BV2" s="207" t="s">
        <v>331</v>
      </c>
      <c r="BW2" s="207" t="s">
        <v>62</v>
      </c>
      <c r="BX2" s="207" t="s">
        <v>332</v>
      </c>
      <c r="BY2" s="207" t="s">
        <v>333</v>
      </c>
      <c r="BZ2" s="208" t="s">
        <v>62</v>
      </c>
      <c r="CA2" s="208" t="s">
        <v>332</v>
      </c>
      <c r="CB2" s="208" t="s">
        <v>333</v>
      </c>
      <c r="CC2" s="208" t="s">
        <v>332</v>
      </c>
      <c r="CD2" s="207" t="s">
        <v>332</v>
      </c>
      <c r="CE2" s="207" t="s">
        <v>333</v>
      </c>
      <c r="CF2" s="207" t="s">
        <v>332</v>
      </c>
      <c r="CG2" s="207" t="s">
        <v>62</v>
      </c>
    </row>
    <row r="3" spans="1:85" x14ac:dyDescent="0.25">
      <c r="A3" t="str">
        <f>PLANTILLA!D4</f>
        <v>D. Gehmacher</v>
      </c>
      <c r="B3" s="294">
        <f>PLANTILLA!E4</f>
        <v>35</v>
      </c>
      <c r="C3" s="122">
        <f ca="1">PLANTILLA!F4</f>
        <v>3</v>
      </c>
      <c r="D3" s="355">
        <f>PLANTILLA!G4</f>
        <v>0</v>
      </c>
      <c r="E3" s="87">
        <f>PLANTILLA!O4</f>
        <v>42468</v>
      </c>
      <c r="F3" s="209">
        <f ca="1">PLANTILLA!P4</f>
        <v>1</v>
      </c>
      <c r="G3" s="210">
        <f>PLANTILLA!I4</f>
        <v>23.7</v>
      </c>
      <c r="H3" s="49">
        <f>PLANTILLA!X4</f>
        <v>16.666666666666668</v>
      </c>
      <c r="I3" s="49">
        <f>PLANTILLA!Y4</f>
        <v>11.95</v>
      </c>
      <c r="J3" s="49">
        <f>PLANTILLA!Z4</f>
        <v>2.0699999999999985</v>
      </c>
      <c r="K3" s="49">
        <f>PLANTILLA!AA4</f>
        <v>2.149999999999999</v>
      </c>
      <c r="L3" s="49">
        <f>PLANTILLA!AB4</f>
        <v>0.95</v>
      </c>
      <c r="M3" s="49">
        <f>PLANTILLA!AC4</f>
        <v>0</v>
      </c>
      <c r="N3" s="49">
        <f>PLANTILLA!AD4</f>
        <v>18.2</v>
      </c>
      <c r="O3" s="210">
        <f>((2*(L3+1))+(I3+1))/8</f>
        <v>2.1062499999999997</v>
      </c>
      <c r="P3" s="210">
        <f ca="1">1.66*(M3+(LOG(G3)*4/3)+F3)+0.55*(N3+(LOG(G3)*4/3)+F3)-7.6</f>
        <v>8.6709251262431071</v>
      </c>
      <c r="Q3" s="210">
        <f>(0.5*M3+ 0.3*N3)/10</f>
        <v>0.54600000000000004</v>
      </c>
      <c r="R3" s="210">
        <f>(0.4*I3+0.3*N3)/10</f>
        <v>1.024</v>
      </c>
      <c r="S3" s="210">
        <f ca="1">IF(TODAY()-E3&gt;335,(N3+1+(LOG(G3)*4/3)),(N3+((TODAY()-E3)^0.5)/(336^0.5)+(LOG(G3)*4/3)))</f>
        <v>21.032997794680139</v>
      </c>
      <c r="T3" s="83">
        <f ca="1">((H3+F3+(LOG(G3)*4/3))*0.597)+((I3+F3+(LOG(G3)*4/3))*0.276)</f>
        <v>15.721407074755762</v>
      </c>
      <c r="U3" s="83">
        <f ca="1">((H3+F3+(LOG(G3)*4/3))*0.866)+((I3+F3+(LOG(G3)*4/3))*0.425)</f>
        <v>23.169483486265392</v>
      </c>
      <c r="V3" s="83">
        <f ca="1">T3</f>
        <v>15.721407074755762</v>
      </c>
      <c r="W3" s="83">
        <f ca="1">((I3+F3+(LOG(G3)*4/3))*0.516)</f>
        <v>7.6280268620549521</v>
      </c>
      <c r="X3" s="83">
        <f ca="1">(I3+F3+(LOG(G3)*4/3))*1</f>
        <v>14.782997794680139</v>
      </c>
      <c r="Y3" s="83">
        <f ca="1">W3/2</f>
        <v>3.814013431027476</v>
      </c>
      <c r="Z3" s="83">
        <f ca="1">(J3+F3+(LOG(G3)*4/3))*0.238</f>
        <v>1.1669134751338726</v>
      </c>
      <c r="AA3" s="83">
        <f ca="1">((I3+F3+(LOG(G3)*4/3))*0.378)</f>
        <v>5.5879731663890926</v>
      </c>
      <c r="AB3" s="83">
        <f ca="1">(I3+F3+(LOG(G3)*4/3))*0.723</f>
        <v>10.68810740555374</v>
      </c>
      <c r="AC3" s="83">
        <f ca="1">AA3/2</f>
        <v>2.7939865831945463</v>
      </c>
      <c r="AD3" s="83">
        <f ca="1">(J3+F3+(LOG(G3)*4/3))*0.385</f>
        <v>1.8876541509518527</v>
      </c>
      <c r="AE3" s="362">
        <f ca="1">((I3+F3+(LOG(G3)*4/3))*0.92)</f>
        <v>13.600357971105728</v>
      </c>
      <c r="AF3" s="83">
        <f ca="1">(I3+F3+(LOG(G3)*4/3))*0.414</f>
        <v>6.1201610869975767</v>
      </c>
      <c r="AG3" s="83">
        <f ca="1">((J3+F3+(LOG(G3)*4/3))*0.167)</f>
        <v>0.8188006317115829</v>
      </c>
      <c r="AH3" s="362">
        <f ca="1">(K3+F3+(LOG(G3)*4/3))*0.588</f>
        <v>2.9300027032719207</v>
      </c>
      <c r="AI3" s="83">
        <f ca="1">((I3+F3+(LOG(G3)*4/3))*0.754)</f>
        <v>11.146380337188825</v>
      </c>
      <c r="AJ3" s="83">
        <f ca="1">((I3+F3+(LOG(G3)*4/3))*0.708)</f>
        <v>10.466362438633537</v>
      </c>
      <c r="AK3" s="83">
        <f ca="1">((N3+F3+(LOG(G3)*4/3))*0.167)</f>
        <v>3.5125106317115833</v>
      </c>
      <c r="AL3" s="83">
        <f ca="1">((O3+F3+(LOG(G3)*4/3))*0.288)</f>
        <v>1.4225033648678798</v>
      </c>
      <c r="AM3" s="83">
        <f ca="1">((I3+F3+(LOG(G3)*4/3))*0.27)</f>
        <v>3.9914094045636377</v>
      </c>
      <c r="AN3" s="83">
        <f ca="1">((I3+F3+(LOG(G3)*4/3))*0.594)</f>
        <v>8.7811006900400024</v>
      </c>
      <c r="AO3" s="83">
        <f ca="1">AM3/2</f>
        <v>1.9957047022818188</v>
      </c>
      <c r="AP3" s="83">
        <f ca="1">((J3+F3+(LOG(G3)*4/3))*0.944)</f>
        <v>4.6284299181780488</v>
      </c>
      <c r="AQ3" s="83">
        <f ca="1">((L3+F3+(LOG(G3)*4/3))*0.13)</f>
        <v>0.49178971330841803</v>
      </c>
      <c r="AR3" s="83">
        <f ca="1">((M3+F3+(LOG(G3)*4/3))*0.173)+((L3+F3+(LOG(G3)*4/3))*0.12)</f>
        <v>0.94406835384128052</v>
      </c>
      <c r="AS3" s="83">
        <f ca="1">AQ3/2</f>
        <v>0.24589485665420902</v>
      </c>
      <c r="AT3" s="83">
        <f ca="1">((I3+F3+(LOG(G3)*4/3))*0.189)</f>
        <v>2.7939865831945463</v>
      </c>
      <c r="AU3" s="83">
        <f ca="1">((I3+F3+(LOG(G3)*4/3))*0.4)</f>
        <v>5.9131991178720558</v>
      </c>
      <c r="AV3" s="83">
        <f ca="1">AT3/2</f>
        <v>1.3969932915972731</v>
      </c>
      <c r="AW3" s="83">
        <f ca="1">((J3+F3+(LOG(G3)*4/3))*1)</f>
        <v>4.9029977946801369</v>
      </c>
      <c r="AX3" s="83">
        <f ca="1">((L3+F3+(LOG(G3)*4/3))*0.253)</f>
        <v>0.95709844205407502</v>
      </c>
      <c r="AY3" s="83">
        <f ca="1">((M3+F3+(LOG(G3)*4/3))*0.21)+((L3+F3+(LOG(G3)*4/3))*0.341)</f>
        <v>1.8849317848687566</v>
      </c>
      <c r="AZ3" s="83">
        <f ca="1">AX3/2</f>
        <v>0.47854922102703751</v>
      </c>
      <c r="BA3" s="83">
        <f ca="1">((I3+F3+(LOG(G3)*4/3))*0.291)</f>
        <v>4.3018523582519199</v>
      </c>
      <c r="BB3" s="83">
        <f ca="1">((I3+F3+(LOG(G3)*4/3))*0.348)</f>
        <v>5.144483232548688</v>
      </c>
      <c r="BC3" s="83">
        <f ca="1">((J3+F3+(LOG(G3)*4/3))*0.881)</f>
        <v>4.3195410571132005</v>
      </c>
      <c r="BD3" s="83">
        <f ca="1">((K3+F3+(LOG(G3)*4/3))*0.574)+((L3+F3+(LOG(G3)*4/3))*0.315)</f>
        <v>4.0518850394706423</v>
      </c>
      <c r="BE3" s="83">
        <f ca="1">((L3+F3+(LOG(G3)*4/3))*0.241)</f>
        <v>0.91170246851791337</v>
      </c>
      <c r="BF3" s="83">
        <f ca="1">((I3+F3+(LOG(G3)*4/3))*0.485)</f>
        <v>7.1697539304198674</v>
      </c>
      <c r="BG3" s="83">
        <f ca="1">((I3+F3+(LOG(G3)*4/3))*0.264)</f>
        <v>3.9027114177955569</v>
      </c>
      <c r="BH3" s="83">
        <f ca="1">((J3+F3+(LOG(G3)*4/3))*0.381)</f>
        <v>1.8680421597731323</v>
      </c>
      <c r="BI3" s="83">
        <f ca="1">((K3+F3+(LOG(G3)*4/3))*0.673)+((L3+F3+(LOG(G3)*4/3))*0.201)</f>
        <v>4.1139400725504407</v>
      </c>
      <c r="BJ3" s="83">
        <f ca="1">((L3+F3+(LOG(G3)*4/3))*0.052)</f>
        <v>0.1967158853233672</v>
      </c>
      <c r="BK3" s="83">
        <f ca="1">((I3+F3+(LOG(G3)*4/3))*0.18)</f>
        <v>2.6609396030424248</v>
      </c>
      <c r="BL3" s="83">
        <f ca="1">(I3+F3+(LOG(G3)*4/3))*0.068</f>
        <v>1.0052438500382495</v>
      </c>
      <c r="BM3" s="83">
        <f ca="1">((J3+F3+(LOG(G3)*4/3))*0.305)</f>
        <v>1.4954143273774416</v>
      </c>
      <c r="BN3" s="83">
        <f ca="1">((K3+F3+(LOG(G3)*4/3))*1)+((L3+F3+(LOG(G3)*4/3))*0.286)</f>
        <v>6.0649351639586575</v>
      </c>
      <c r="BO3" s="83">
        <f ca="1">((L3+F3+(LOG(G3)*4/3))*0.135)</f>
        <v>0.51070470228181875</v>
      </c>
      <c r="BP3" s="83">
        <f ca="1">((I3+F3+(LOG(G3)*4/3))*0.284)</f>
        <v>4.1983713736891586</v>
      </c>
      <c r="BQ3" s="83">
        <f ca="1">(I3+F3+(LOG(G3)*4/3))*0.244</f>
        <v>3.6070514619019538</v>
      </c>
      <c r="BR3" s="83">
        <f ca="1">((J3+F3+(LOG(G3)*4/3))*0.455)</f>
        <v>2.2308639965794623</v>
      </c>
      <c r="BS3" s="83">
        <f ca="1">((K3+F3+(LOG(G3)*4/3))*0.864)+((L3+F3+(LOG(G3)*4/3))*0.244)</f>
        <v>5.2283615565055932</v>
      </c>
      <c r="BT3" s="83">
        <f ca="1">((L3+F3+(LOG(G3)*4/3))*0.121)</f>
        <v>0.45774273315629677</v>
      </c>
      <c r="BU3" s="83">
        <f ca="1">((I3+F3+(LOG(G3)*4/3))*0.284)</f>
        <v>4.1983713736891586</v>
      </c>
      <c r="BV3" s="83">
        <f ca="1">((I3+F3+(LOG(G3)*4/3))*0.244)</f>
        <v>3.6070514619019538</v>
      </c>
      <c r="BW3" s="83">
        <f ca="1">((J3+F3+(LOG(G3)*4/3))*0.631)</f>
        <v>3.0937916084431665</v>
      </c>
      <c r="BX3" s="83">
        <f ca="1">((K3+F3+(LOG(G3)*4/3))*0.702)+((L3+F3+(LOG(G3)*4/3))*0.193)</f>
        <v>4.2281830262387228</v>
      </c>
      <c r="BY3" s="83">
        <f ca="1">((L3+F3+(LOG(G3)*4/3))*0.148)</f>
        <v>0.55988367361266045</v>
      </c>
      <c r="BZ3" s="83">
        <f ca="1">((J3+F3+(LOG(G3)*4/3))*0.406)</f>
        <v>1.9906171046401357</v>
      </c>
      <c r="CA3" s="83">
        <f ca="1">IF(D3="TEC",((K3+F3+(LOG(G3)*4/3))*0.15)+((L3+F3+(LOG(G3)*4/3))*0.324)+((M3+F3+(LOG(G3)*4/3))*0.127),(((K3+F3+(LOG(G3)*4/3))*0.144)+((L3+F3+(LOG(G3)*4/3))*0.25)+((M3+F3+(LOG(G3)*4/3))*0.127)))</f>
        <v>2.0230918510283522</v>
      </c>
      <c r="CB3" s="83">
        <f ca="1">((L3+F3+(LOG(G3)*4/3))*0.543)+((M3+F3+(LOG(G3)*4/3))*0.583)</f>
        <v>3.7058055168098356</v>
      </c>
      <c r="CC3" s="83">
        <f ca="1">CA3</f>
        <v>2.0230918510283522</v>
      </c>
      <c r="CD3" s="83">
        <f ca="1">((M3+1+(LOG(G3)*4/3))*0.26)+((K3+F3+(LOG(G3)*4/3))*0.221)+((L3+F3+(LOG(G3)*4/3))*0.142)</f>
        <v>2.375007626085726</v>
      </c>
      <c r="CE3" s="83">
        <f ca="1">((M3+F3+(LOG(G3)*4/3))*1)+((L3+F3+(LOG(G3)*4/3))*0.369)</f>
        <v>4.2289239809171093</v>
      </c>
      <c r="CF3" s="83">
        <f ca="1">CD3</f>
        <v>2.375007626085726</v>
      </c>
      <c r="CG3" s="83">
        <f ca="1">((J3+F3+(LOG(G3)*4/3))*0.25)</f>
        <v>1.2257494486700342</v>
      </c>
    </row>
    <row r="4" spans="1:85" x14ac:dyDescent="0.25">
      <c r="A4" t="str">
        <f>PLANTILLA!D5</f>
        <v>T. Hammond</v>
      </c>
      <c r="B4" s="355">
        <f>PLANTILLA!E5</f>
        <v>39</v>
      </c>
      <c r="C4" s="122">
        <f ca="1">PLANTILLA!F5</f>
        <v>12</v>
      </c>
      <c r="D4" s="355" t="str">
        <f>PLANTILLA!G5</f>
        <v>CAB</v>
      </c>
      <c r="E4" s="87">
        <v>36526</v>
      </c>
      <c r="F4" s="209">
        <f>PLANTILLA!P5</f>
        <v>1.5</v>
      </c>
      <c r="G4" s="210">
        <f>PLANTILLA!I5</f>
        <v>8.4</v>
      </c>
      <c r="H4" s="49">
        <f>PLANTILLA!X5</f>
        <v>7.95</v>
      </c>
      <c r="I4" s="49">
        <f>PLANTILLA!Y5</f>
        <v>7.95</v>
      </c>
      <c r="J4" s="49">
        <f>PLANTILLA!Z5</f>
        <v>0.95</v>
      </c>
      <c r="K4" s="49">
        <f>PLANTILLA!AA5</f>
        <v>0.95</v>
      </c>
      <c r="L4" s="49">
        <f>PLANTILLA!AB5</f>
        <v>1.95</v>
      </c>
      <c r="M4" s="49">
        <f>PLANTILLA!AC5</f>
        <v>0</v>
      </c>
      <c r="N4" s="49">
        <f>PLANTILLA!AD5</f>
        <v>14.95</v>
      </c>
      <c r="O4" s="210">
        <f t="shared" ref="O4:O26" si="0">((2*(L4+1))+(I4+1))/8</f>
        <v>1.85625</v>
      </c>
      <c r="P4" s="210">
        <f t="shared" ref="P4:P26" si="1">1.66*(M4+(LOG(G4)*4/3)+F4)+0.55*(N4+(LOG(G4)*4/3)+F4)-7.6</f>
        <v>6.6610429629290131</v>
      </c>
      <c r="Q4" s="210">
        <f t="shared" ref="Q4:Q26" si="2">(0.5*M4+ 0.3*N4)/10</f>
        <v>0.44849999999999995</v>
      </c>
      <c r="R4" s="210">
        <f t="shared" ref="R4:R26" si="3">(0.4*I4+0.3*N4)/10</f>
        <v>0.76649999999999996</v>
      </c>
      <c r="S4" s="210">
        <f t="shared" ref="S4:S26" ca="1" si="4">IF(TODAY()-E4&gt;335,(N4+1+(LOG(G4)*4/3)),(N4+((TODAY()-E4)^0.5)/(336^0.5)+(LOG(G4)*4/3)))</f>
        <v>17.182372381415842</v>
      </c>
      <c r="T4" s="83">
        <f t="shared" ref="T4:T26" si="5">((H4+F4+(LOG(G4)*4/3))*0.597)+((I4+F4+(LOG(G4)*4/3))*0.276)</f>
        <v>9.3257110889760302</v>
      </c>
      <c r="U4" s="83">
        <f t="shared" ref="U4:U26" si="6">((H4+F4+(LOG(G4)*4/3))*0.866)+((I4+F4+(LOG(G4)*4/3))*0.425)</f>
        <v>13.790942744407852</v>
      </c>
      <c r="V4" s="83">
        <f t="shared" ref="V4:V26" si="7">T4</f>
        <v>9.3257110889760302</v>
      </c>
      <c r="W4" s="83">
        <f t="shared" ref="W4:W26" si="8">((I4+F4+(LOG(G4)*4/3))*0.516)</f>
        <v>5.5121041488105744</v>
      </c>
      <c r="X4" s="83">
        <f t="shared" ref="X4:X26" si="9">(I4+F4+(LOG(G4)*4/3))*1</f>
        <v>10.682372381415842</v>
      </c>
      <c r="Y4" s="83">
        <f t="shared" ref="Y4:Y26" si="10">W4/2</f>
        <v>2.7560520744052872</v>
      </c>
      <c r="Z4" s="83">
        <f t="shared" ref="Z4:Z26" si="11">(J4+F4+(LOG(G4)*4/3))*0.238</f>
        <v>0.87640462677697051</v>
      </c>
      <c r="AA4" s="83">
        <f t="shared" ref="AA4:AA26" si="12">((I4+F4+(LOG(G4)*4/3))*0.378)</f>
        <v>4.0379367601751879</v>
      </c>
      <c r="AB4" s="83">
        <f t="shared" ref="AB4:AB26" si="13">(I4+F4+(LOG(G4)*4/3))*0.723</f>
        <v>7.7233552317636534</v>
      </c>
      <c r="AC4" s="83">
        <f t="shared" ref="AC4:AC26" si="14">AA4/2</f>
        <v>2.0189683800875939</v>
      </c>
      <c r="AD4" s="83">
        <f t="shared" ref="AD4:AD26" si="15">(J4+F4+(LOG(G4)*4/3))*0.385</f>
        <v>1.4177133668450994</v>
      </c>
      <c r="AE4" s="362">
        <f t="shared" ref="AE4:AE26" si="16">((I4+F4+(LOG(G4)*4/3))*0.92)</f>
        <v>9.8277825909025758</v>
      </c>
      <c r="AF4" s="83">
        <f t="shared" ref="AF4:AF26" si="17">(I4+F4+(LOG(G4)*4/3))*0.414</f>
        <v>4.4225021659061587</v>
      </c>
      <c r="AG4" s="83">
        <f t="shared" ref="AG4:AG26" si="18">((J4+F4+(LOG(G4)*4/3))*0.167)</f>
        <v>0.61495618769644578</v>
      </c>
      <c r="AH4" s="362">
        <f t="shared" ref="AH4:AH26" si="19">(K4+F4+(LOG(G4)*4/3))*0.588</f>
        <v>2.1652349602725152</v>
      </c>
      <c r="AI4" s="83">
        <f t="shared" ref="AI4:AI26" si="20">((I4+F4+(LOG(G4)*4/3))*0.754)</f>
        <v>8.0545087755875446</v>
      </c>
      <c r="AJ4" s="83">
        <f t="shared" ref="AJ4:AJ26" si="21">((I4+F4+(LOG(G4)*4/3))*0.708)</f>
        <v>7.5631196460424155</v>
      </c>
      <c r="AK4" s="83">
        <f t="shared" ref="AK4:AK26" si="22">((N4+F4+(LOG(G4)*4/3))*0.167)</f>
        <v>2.9529561876964459</v>
      </c>
      <c r="AL4" s="83">
        <f t="shared" ref="AL4:AL26" si="23">((O4+F4+(LOG(G4)*4/3))*0.288)</f>
        <v>1.3215232458477624</v>
      </c>
      <c r="AM4" s="83">
        <f t="shared" ref="AM4:AM26" si="24">((I4+F4+(LOG(G4)*4/3))*0.27)</f>
        <v>2.8842405429822775</v>
      </c>
      <c r="AN4" s="83">
        <f t="shared" ref="AN4:AN26" si="25">((I4+F4+(LOG(G4)*4/3))*0.594)</f>
        <v>6.3453291945610095</v>
      </c>
      <c r="AO4" s="83">
        <f t="shared" ref="AO4:AO26" si="26">AM4/2</f>
        <v>1.4421202714911387</v>
      </c>
      <c r="AP4" s="83">
        <f t="shared" ref="AP4:AP26" si="27">((J4+F4+(LOG(G4)*4/3))*0.944)</f>
        <v>3.4761595280565549</v>
      </c>
      <c r="AQ4" s="83">
        <f t="shared" ref="AQ4:AQ26" si="28">((L4+F4+(LOG(G4)*4/3))*0.13)</f>
        <v>0.60870840958405947</v>
      </c>
      <c r="AR4" s="83">
        <f t="shared" ref="AR4:AR26" si="29">((M4+F4+(LOG(G4)*4/3))*0.173)+((L4+F4+(LOG(G4)*4/3))*0.12)</f>
        <v>1.0345851077548418</v>
      </c>
      <c r="AS4" s="83">
        <f t="shared" ref="AS4:AS26" si="30">AQ4/2</f>
        <v>0.30435420479202974</v>
      </c>
      <c r="AT4" s="83">
        <f t="shared" ref="AT4:AT26" si="31">((I4+F4+(LOG(G4)*4/3))*0.189)</f>
        <v>2.0189683800875939</v>
      </c>
      <c r="AU4" s="83">
        <f t="shared" ref="AU4:AU26" si="32">((I4+F4+(LOG(G4)*4/3))*0.4)</f>
        <v>4.2729489525663373</v>
      </c>
      <c r="AV4" s="83">
        <f t="shared" ref="AV4:AV26" si="33">AT4/2</f>
        <v>1.009484190043797</v>
      </c>
      <c r="AW4" s="83">
        <f t="shared" ref="AW4:AW26" si="34">((J4+F4+(LOG(G4)*4/3))*1)</f>
        <v>3.6823723814158424</v>
      </c>
      <c r="AX4" s="83">
        <f t="shared" ref="AX4:AX26" si="35">((L4+F4+(LOG(G4)*4/3))*0.253)</f>
        <v>1.1846402124982081</v>
      </c>
      <c r="AY4" s="83">
        <f t="shared" ref="AY4:AY26" si="36">((M4+F4+(LOG(G4)*4/3))*0.21)+((L4+F4+(LOG(G4)*4/3))*0.341)</f>
        <v>2.1704871821601293</v>
      </c>
      <c r="AZ4" s="83">
        <f t="shared" ref="AZ4:AZ26" si="37">AX4/2</f>
        <v>0.59232010624910403</v>
      </c>
      <c r="BA4" s="83">
        <f t="shared" ref="BA4:BA26" si="38">((I4+F4+(LOG(G4)*4/3))*0.291)</f>
        <v>3.1085703629920096</v>
      </c>
      <c r="BB4" s="83">
        <f t="shared" ref="BB4:BB26" si="39">((I4+F4+(LOG(G4)*4/3))*0.348)</f>
        <v>3.7174655887327126</v>
      </c>
      <c r="BC4" s="83">
        <f t="shared" ref="BC4:BC26" si="40">((J4+F4+(LOG(G4)*4/3))*0.881)</f>
        <v>3.2441700680273571</v>
      </c>
      <c r="BD4" s="83">
        <f t="shared" ref="BD4:BD26" si="41">((K4+F4+(LOG(G4)*4/3))*0.574)+((L4+F4+(LOG(G4)*4/3))*0.315)</f>
        <v>3.5886290470786841</v>
      </c>
      <c r="BE4" s="83">
        <f t="shared" ref="BE4:BE26" si="42">((L4+F4+(LOG(G4)*4/3))*0.241)</f>
        <v>1.1284517439212178</v>
      </c>
      <c r="BF4" s="83">
        <f t="shared" ref="BF4:BF26" si="43">((I4+F4+(LOG(G4)*4/3))*0.485)</f>
        <v>5.1809506049866831</v>
      </c>
      <c r="BG4" s="83">
        <f t="shared" ref="BG4:BG26" si="44">((I4+F4+(LOG(G4)*4/3))*0.264)</f>
        <v>2.8201463086937824</v>
      </c>
      <c r="BH4" s="83">
        <f t="shared" ref="BH4:BH26" si="45">((J4+F4+(LOG(G4)*4/3))*0.381)</f>
        <v>1.4029838773194361</v>
      </c>
      <c r="BI4" s="83">
        <f t="shared" ref="BI4:BI26" si="46">((K4+F4+(LOG(G4)*4/3))*0.673)+((L4+F4+(LOG(G4)*4/3))*0.201)</f>
        <v>3.4193934613574464</v>
      </c>
      <c r="BJ4" s="83">
        <f t="shared" ref="BJ4:BJ26" si="47">((L4+F4+(LOG(G4)*4/3))*0.052)</f>
        <v>0.24348336383362376</v>
      </c>
      <c r="BK4" s="83">
        <f t="shared" ref="BK4:BK26" si="48">((I4+F4+(LOG(G4)*4/3))*0.18)</f>
        <v>1.9228270286548514</v>
      </c>
      <c r="BL4" s="83">
        <f t="shared" ref="BL4:BL26" si="49">(I4+F4+(LOG(G4)*4/3))*0.068</f>
        <v>0.72640132193627727</v>
      </c>
      <c r="BM4" s="83">
        <f t="shared" ref="BM4:BM26" si="50">((J4+F4+(LOG(G4)*4/3))*0.305)</f>
        <v>1.1231235763318319</v>
      </c>
      <c r="BN4" s="83">
        <f t="shared" ref="BN4:BN26" si="51">((K4+F4+(LOG(G4)*4/3))*1)+((L4+F4+(LOG(G4)*4/3))*0.286)</f>
        <v>5.0215308825007732</v>
      </c>
      <c r="BO4" s="83">
        <f t="shared" ref="BO4:BO26" si="52">((L4+F4+(LOG(G4)*4/3))*0.135)</f>
        <v>0.6321202714911387</v>
      </c>
      <c r="BP4" s="83">
        <f t="shared" ref="BP4:BP26" si="53">((I4+F4+(LOG(G4)*4/3))*0.284)</f>
        <v>3.0337937563220989</v>
      </c>
      <c r="BQ4" s="83">
        <f t="shared" ref="BQ4:BQ26" si="54">(I4+F4+(LOG(G4)*4/3))*0.244</f>
        <v>2.6064988610654654</v>
      </c>
      <c r="BR4" s="83">
        <f t="shared" ref="BR4:BR26" si="55">((J4+F4+(LOG(G4)*4/3))*0.455)</f>
        <v>1.6754794335442085</v>
      </c>
      <c r="BS4" s="83">
        <f t="shared" ref="BS4:BS26" si="56">((K4+F4+(LOG(G4)*4/3))*0.864)+((L4+F4+(LOG(G4)*4/3))*0.244)</f>
        <v>4.3240685986087533</v>
      </c>
      <c r="BT4" s="83">
        <f t="shared" ref="BT4:BT26" si="57">((L4+F4+(LOG(G4)*4/3))*0.121)</f>
        <v>0.56656705815131692</v>
      </c>
      <c r="BU4" s="83">
        <f t="shared" ref="BU4:BU26" si="58">((I4+F4+(LOG(G4)*4/3))*0.284)</f>
        <v>3.0337937563220989</v>
      </c>
      <c r="BV4" s="83">
        <f t="shared" ref="BV4:BV26" si="59">((I4+F4+(LOG(G4)*4/3))*0.244)</f>
        <v>2.6064988610654654</v>
      </c>
      <c r="BW4" s="83">
        <f t="shared" ref="BW4:BW26" si="60">((J4+F4+(LOG(G4)*4/3))*0.631)</f>
        <v>2.3235769726733966</v>
      </c>
      <c r="BX4" s="83">
        <f t="shared" ref="BX4:BX26" si="61">((K4+F4+(LOG(G4)*4/3))*0.702)+((L4+F4+(LOG(G4)*4/3))*0.193)</f>
        <v>3.4887232813671787</v>
      </c>
      <c r="BY4" s="83">
        <f t="shared" ref="BY4:BY26" si="62">((L4+F4+(LOG(G4)*4/3))*0.148)</f>
        <v>0.69299111244954459</v>
      </c>
      <c r="BZ4" s="83">
        <f t="shared" ref="BZ4:BZ26" si="63">((J4+F4+(LOG(G4)*4/3))*0.406)</f>
        <v>1.4950431868548322</v>
      </c>
      <c r="CA4" s="83">
        <f t="shared" ref="CA4:CA26" si="64">IF(D4="TEC",((K4+F4+(LOG(G4)*4/3))*0.15)+((L4+F4+(LOG(G4)*4/3))*0.324)+((M4+F4+(LOG(G4)*4/3))*0.127),(((K4+F4+(LOG(G4)*4/3))*0.144)+((L4+F4+(LOG(G4)*4/3))*0.25)+((M4+F4+(LOG(G4)*4/3))*0.127)))</f>
        <v>2.0478660107176538</v>
      </c>
      <c r="CB4" s="83">
        <f t="shared" ref="CB4:CB26" si="65">((L4+F4+(LOG(G4)*4/3))*0.543)+((M4+F4+(LOG(G4)*4/3))*0.583)</f>
        <v>4.135501301474239</v>
      </c>
      <c r="CC4" s="83">
        <f t="shared" ref="CC4:CC26" si="66">CA4</f>
        <v>2.0478660107176538</v>
      </c>
      <c r="CD4" s="83">
        <f t="shared" ref="CD4:CD26" si="67">((M4+1+(LOG(G4)*4/3))*0.26)+((K4+F4+(LOG(G4)*4/3))*0.221)+((L4+F4+(LOG(G4)*4/3))*0.142)</f>
        <v>2.0591179936220696</v>
      </c>
      <c r="CE4" s="83">
        <f t="shared" ref="CE4:CE26" si="68">((M4+F4+(LOG(G4)*4/3))*1)+((L4+F4+(LOG(G4)*4/3))*0.369)</f>
        <v>4.4601677901582875</v>
      </c>
      <c r="CF4" s="83">
        <f t="shared" ref="CF4:CF26" si="69">CD4</f>
        <v>2.0591179936220696</v>
      </c>
      <c r="CG4" s="83">
        <f t="shared" ref="CG4:CG26" si="70">((J4+F4+(LOG(G4)*4/3))*0.25)</f>
        <v>0.92059309535396061</v>
      </c>
    </row>
    <row r="5" spans="1:85" x14ac:dyDescent="0.25">
      <c r="A5" t="str">
        <f>PLANTILLA!D6</f>
        <v>E. Toney</v>
      </c>
      <c r="B5" s="355">
        <f>PLANTILLA!E6</f>
        <v>36</v>
      </c>
      <c r="C5" s="122">
        <f ca="1">PLANTILLA!F6</f>
        <v>14</v>
      </c>
      <c r="D5" s="355">
        <f>PLANTILLA!G6</f>
        <v>0</v>
      </c>
      <c r="E5" s="87">
        <v>36526</v>
      </c>
      <c r="F5" s="209">
        <f>PLANTILLA!P6</f>
        <v>1.5</v>
      </c>
      <c r="G5" s="210">
        <f>PLANTILLA!I6</f>
        <v>18</v>
      </c>
      <c r="H5" s="49">
        <f>PLANTILLA!X6</f>
        <v>0</v>
      </c>
      <c r="I5" s="49">
        <f>PLANTILLA!Y6</f>
        <v>11.95</v>
      </c>
      <c r="J5" s="49">
        <f>PLANTILLA!Z6</f>
        <v>12.95</v>
      </c>
      <c r="K5" s="49">
        <f>PLANTILLA!AA6</f>
        <v>8.9499999999999993</v>
      </c>
      <c r="L5" s="49">
        <f>PLANTILLA!AB6</f>
        <v>8.9499999999999993</v>
      </c>
      <c r="M5" s="49">
        <f>PLANTILLA!AC6</f>
        <v>1.95</v>
      </c>
      <c r="N5" s="49">
        <f>PLANTILLA!AD6</f>
        <v>17.177777777777774</v>
      </c>
      <c r="O5" s="210">
        <f t="shared" si="0"/>
        <v>4.1062499999999993</v>
      </c>
      <c r="P5" s="210">
        <f t="shared" si="1"/>
        <v>12.098647426148853</v>
      </c>
      <c r="Q5" s="210">
        <f t="shared" si="2"/>
        <v>0.61283333333333312</v>
      </c>
      <c r="R5" s="210">
        <f t="shared" si="3"/>
        <v>0.99333333333333318</v>
      </c>
      <c r="S5" s="210">
        <f t="shared" ca="1" si="4"/>
        <v>19.851474451248848</v>
      </c>
      <c r="T5" s="83">
        <f t="shared" si="5"/>
        <v>6.0688371959402483</v>
      </c>
      <c r="U5" s="83">
        <f t="shared" si="6"/>
        <v>9.1759924054511579</v>
      </c>
      <c r="V5" s="83">
        <f t="shared" si="7"/>
        <v>6.0688371959402483</v>
      </c>
      <c r="W5" s="83">
        <f t="shared" si="8"/>
        <v>7.8038274835110739</v>
      </c>
      <c r="X5" s="83">
        <f t="shared" si="9"/>
        <v>15.123696673471073</v>
      </c>
      <c r="Y5" s="83">
        <f t="shared" si="10"/>
        <v>3.901913741755537</v>
      </c>
      <c r="Z5" s="83">
        <f t="shared" si="11"/>
        <v>3.8374398082861152</v>
      </c>
      <c r="AA5" s="83">
        <f t="shared" si="12"/>
        <v>5.7167573425720661</v>
      </c>
      <c r="AB5" s="83">
        <f t="shared" si="13"/>
        <v>10.934432694919586</v>
      </c>
      <c r="AC5" s="83">
        <f t="shared" si="14"/>
        <v>2.8583786712860331</v>
      </c>
      <c r="AD5" s="83">
        <f t="shared" si="15"/>
        <v>6.2076232192863632</v>
      </c>
      <c r="AE5" s="362">
        <f t="shared" si="16"/>
        <v>13.913800939593388</v>
      </c>
      <c r="AF5" s="83">
        <f t="shared" si="17"/>
        <v>6.2612104228170242</v>
      </c>
      <c r="AG5" s="83">
        <f t="shared" si="18"/>
        <v>2.6926573444696693</v>
      </c>
      <c r="AH5" s="362">
        <f t="shared" si="19"/>
        <v>7.1287336440009907</v>
      </c>
      <c r="AI5" s="83">
        <f t="shared" si="20"/>
        <v>11.403267291797189</v>
      </c>
      <c r="AJ5" s="83">
        <f t="shared" si="21"/>
        <v>10.70757724481752</v>
      </c>
      <c r="AK5" s="83">
        <f t="shared" si="22"/>
        <v>3.398696233358558</v>
      </c>
      <c r="AL5" s="83">
        <f t="shared" si="23"/>
        <v>2.0966246419596692</v>
      </c>
      <c r="AM5" s="83">
        <f t="shared" si="24"/>
        <v>4.0833981018371901</v>
      </c>
      <c r="AN5" s="83">
        <f t="shared" si="25"/>
        <v>8.9834758240418164</v>
      </c>
      <c r="AO5" s="83">
        <f t="shared" si="26"/>
        <v>2.041699050918595</v>
      </c>
      <c r="AP5" s="83">
        <f t="shared" si="27"/>
        <v>15.220769659756693</v>
      </c>
      <c r="AQ5" s="83">
        <f t="shared" si="28"/>
        <v>1.5760805675512395</v>
      </c>
      <c r="AR5" s="83">
        <f t="shared" si="29"/>
        <v>2.3412431253270247</v>
      </c>
      <c r="AS5" s="83">
        <f t="shared" si="30"/>
        <v>0.78804028377561974</v>
      </c>
      <c r="AT5" s="83">
        <f t="shared" si="31"/>
        <v>2.8583786712860331</v>
      </c>
      <c r="AU5" s="83">
        <f t="shared" si="32"/>
        <v>6.0494786693884297</v>
      </c>
      <c r="AV5" s="83">
        <f t="shared" si="33"/>
        <v>1.4291893356430165</v>
      </c>
      <c r="AW5" s="83">
        <f t="shared" si="34"/>
        <v>16.123696673471073</v>
      </c>
      <c r="AX5" s="83">
        <f t="shared" si="35"/>
        <v>3.0672952583881816</v>
      </c>
      <c r="AY5" s="83">
        <f t="shared" si="36"/>
        <v>5.2101568670825618</v>
      </c>
      <c r="AZ5" s="83">
        <f t="shared" si="37"/>
        <v>1.5336476291940908</v>
      </c>
      <c r="BA5" s="83">
        <f t="shared" si="38"/>
        <v>4.4009957319800819</v>
      </c>
      <c r="BB5" s="83">
        <f t="shared" si="39"/>
        <v>5.2630464423679335</v>
      </c>
      <c r="BC5" s="83">
        <f t="shared" si="40"/>
        <v>14.204976769328015</v>
      </c>
      <c r="BD5" s="83">
        <f t="shared" si="41"/>
        <v>10.777966342715784</v>
      </c>
      <c r="BE5" s="83">
        <f t="shared" si="42"/>
        <v>2.9218108983065285</v>
      </c>
      <c r="BF5" s="83">
        <f t="shared" si="43"/>
        <v>7.3349928866334704</v>
      </c>
      <c r="BG5" s="83">
        <f t="shared" si="44"/>
        <v>3.9926559217963637</v>
      </c>
      <c r="BH5" s="83">
        <f t="shared" si="45"/>
        <v>6.1431284325924791</v>
      </c>
      <c r="BI5" s="83">
        <f t="shared" si="46"/>
        <v>10.596110892613719</v>
      </c>
      <c r="BJ5" s="83">
        <f t="shared" si="47"/>
        <v>0.63043222702049584</v>
      </c>
      <c r="BK5" s="83">
        <f t="shared" si="48"/>
        <v>2.7222654012247931</v>
      </c>
      <c r="BL5" s="83">
        <f t="shared" si="49"/>
        <v>1.028411373796033</v>
      </c>
      <c r="BM5" s="83">
        <f t="shared" si="50"/>
        <v>4.917727485408677</v>
      </c>
      <c r="BN5" s="83">
        <f t="shared" si="51"/>
        <v>15.591073922083801</v>
      </c>
      <c r="BO5" s="83">
        <f t="shared" si="52"/>
        <v>1.636699050918595</v>
      </c>
      <c r="BP5" s="83">
        <f t="shared" si="53"/>
        <v>4.2951298552657846</v>
      </c>
      <c r="BQ5" s="83">
        <f t="shared" si="54"/>
        <v>3.690181988326942</v>
      </c>
      <c r="BR5" s="83">
        <f t="shared" si="55"/>
        <v>7.3362819864293387</v>
      </c>
      <c r="BS5" s="83">
        <f t="shared" si="56"/>
        <v>13.43305591420595</v>
      </c>
      <c r="BT5" s="83">
        <f t="shared" si="57"/>
        <v>1.4669672974899999</v>
      </c>
      <c r="BU5" s="83">
        <f t="shared" si="58"/>
        <v>4.2951298552657846</v>
      </c>
      <c r="BV5" s="83">
        <f t="shared" si="59"/>
        <v>3.690181988326942</v>
      </c>
      <c r="BW5" s="83">
        <f t="shared" si="60"/>
        <v>10.174052600960247</v>
      </c>
      <c r="BX5" s="83">
        <f t="shared" si="61"/>
        <v>10.85070852275661</v>
      </c>
      <c r="BY5" s="83">
        <f t="shared" si="62"/>
        <v>1.7943071076737187</v>
      </c>
      <c r="BZ5" s="83">
        <f t="shared" si="63"/>
        <v>6.5462208494292566</v>
      </c>
      <c r="CA5" s="83">
        <f t="shared" si="64"/>
        <v>5.4274459668784294</v>
      </c>
      <c r="CB5" s="83">
        <f t="shared" si="65"/>
        <v>9.5702824543284297</v>
      </c>
      <c r="CC5" s="83">
        <f t="shared" si="66"/>
        <v>5.4274459668784294</v>
      </c>
      <c r="CD5" s="83">
        <f t="shared" si="67"/>
        <v>5.6030630275724791</v>
      </c>
      <c r="CE5" s="83">
        <f t="shared" si="68"/>
        <v>9.5973407459819011</v>
      </c>
      <c r="CF5" s="83">
        <f t="shared" si="69"/>
        <v>5.6030630275724791</v>
      </c>
      <c r="CG5" s="83">
        <f t="shared" si="70"/>
        <v>4.0309241683677683</v>
      </c>
    </row>
    <row r="6" spans="1:85" x14ac:dyDescent="0.25">
      <c r="A6" t="str">
        <f>PLANTILLA!D7</f>
        <v>B. Bartolache</v>
      </c>
      <c r="B6" s="355">
        <f>PLANTILLA!E7</f>
        <v>35</v>
      </c>
      <c r="C6" s="122">
        <f ca="1">PLANTILLA!F7</f>
        <v>111</v>
      </c>
      <c r="D6" s="355">
        <f>PLANTILLA!G7</f>
        <v>0</v>
      </c>
      <c r="E6" s="87">
        <v>36526</v>
      </c>
      <c r="F6" s="209">
        <f>PLANTILLA!P7</f>
        <v>1.5</v>
      </c>
      <c r="G6" s="210">
        <f>PLANTILLA!I7</f>
        <v>11.8</v>
      </c>
      <c r="H6" s="49">
        <f>PLANTILLA!X7</f>
        <v>0</v>
      </c>
      <c r="I6" s="49">
        <f>PLANTILLA!Y7</f>
        <v>11.95</v>
      </c>
      <c r="J6" s="49">
        <f>PLANTILLA!Z7</f>
        <v>5.95</v>
      </c>
      <c r="K6" s="49">
        <f>PLANTILLA!AA7</f>
        <v>6.95</v>
      </c>
      <c r="L6" s="49">
        <f>PLANTILLA!AB7</f>
        <v>7.95</v>
      </c>
      <c r="M6" s="49">
        <f>PLANTILLA!AC7</f>
        <v>2.95</v>
      </c>
      <c r="N6" s="49">
        <f>PLANTILLA!AD7</f>
        <v>16</v>
      </c>
      <c r="O6" s="210">
        <f t="shared" si="0"/>
        <v>3.8562499999999997</v>
      </c>
      <c r="P6" s="210">
        <f t="shared" si="1"/>
        <v>12.570478981528717</v>
      </c>
      <c r="Q6" s="210">
        <f t="shared" si="2"/>
        <v>0.62750000000000006</v>
      </c>
      <c r="R6" s="210">
        <f t="shared" si="3"/>
        <v>0.95799999999999996</v>
      </c>
      <c r="S6" s="210">
        <f t="shared" ca="1" si="4"/>
        <v>18.4291760097415</v>
      </c>
      <c r="T6" s="83">
        <f t="shared" si="5"/>
        <v>5.8553706565043298</v>
      </c>
      <c r="U6" s="83">
        <f t="shared" si="6"/>
        <v>8.8603162285762771</v>
      </c>
      <c r="V6" s="83">
        <f t="shared" si="7"/>
        <v>5.8553706565043298</v>
      </c>
      <c r="W6" s="83">
        <f t="shared" si="8"/>
        <v>7.6776548210266142</v>
      </c>
      <c r="X6" s="83">
        <f t="shared" si="9"/>
        <v>14.879176009741499</v>
      </c>
      <c r="Y6" s="83">
        <f t="shared" si="10"/>
        <v>3.8388274105133071</v>
      </c>
      <c r="Z6" s="83">
        <f t="shared" si="11"/>
        <v>2.1132438903184774</v>
      </c>
      <c r="AA6" s="83">
        <f t="shared" si="12"/>
        <v>5.6243285316822869</v>
      </c>
      <c r="AB6" s="83">
        <f t="shared" si="13"/>
        <v>10.757644255043104</v>
      </c>
      <c r="AC6" s="83">
        <f t="shared" si="14"/>
        <v>2.8121642658411434</v>
      </c>
      <c r="AD6" s="83">
        <f t="shared" si="15"/>
        <v>3.418482763750478</v>
      </c>
      <c r="AE6" s="362">
        <f t="shared" si="16"/>
        <v>13.68884192896218</v>
      </c>
      <c r="AF6" s="83">
        <f t="shared" si="17"/>
        <v>6.1599788680329803</v>
      </c>
      <c r="AG6" s="83">
        <f t="shared" si="18"/>
        <v>1.4828223936268308</v>
      </c>
      <c r="AH6" s="362">
        <f t="shared" si="19"/>
        <v>5.8089554937280017</v>
      </c>
      <c r="AI6" s="83">
        <f t="shared" si="20"/>
        <v>11.218898711345091</v>
      </c>
      <c r="AJ6" s="83">
        <f t="shared" si="21"/>
        <v>10.534456614896982</v>
      </c>
      <c r="AK6" s="83">
        <f t="shared" si="22"/>
        <v>3.1611723936268308</v>
      </c>
      <c r="AL6" s="83">
        <f t="shared" si="23"/>
        <v>1.9542026908055519</v>
      </c>
      <c r="AM6" s="83">
        <f t="shared" si="24"/>
        <v>4.0173775226302046</v>
      </c>
      <c r="AN6" s="83">
        <f t="shared" si="25"/>
        <v>8.8382305497864504</v>
      </c>
      <c r="AO6" s="83">
        <f t="shared" si="26"/>
        <v>2.0086887613151023</v>
      </c>
      <c r="AP6" s="83">
        <f t="shared" si="27"/>
        <v>8.3819421531959772</v>
      </c>
      <c r="AQ6" s="83">
        <f t="shared" si="28"/>
        <v>1.4142928812663949</v>
      </c>
      <c r="AR6" s="83">
        <f t="shared" si="29"/>
        <v>2.3225985708542596</v>
      </c>
      <c r="AS6" s="83">
        <f t="shared" si="30"/>
        <v>0.70714644063319743</v>
      </c>
      <c r="AT6" s="83">
        <f t="shared" si="31"/>
        <v>2.8121642658411434</v>
      </c>
      <c r="AU6" s="83">
        <f t="shared" si="32"/>
        <v>5.9516704038965997</v>
      </c>
      <c r="AV6" s="83">
        <f t="shared" si="33"/>
        <v>1.4060821329205717</v>
      </c>
      <c r="AW6" s="83">
        <f t="shared" si="34"/>
        <v>8.8791760097415011</v>
      </c>
      <c r="AX6" s="83">
        <f t="shared" si="35"/>
        <v>2.7524315304645994</v>
      </c>
      <c r="AY6" s="83">
        <f t="shared" si="36"/>
        <v>4.9444259813675666</v>
      </c>
      <c r="AZ6" s="83">
        <f t="shared" si="37"/>
        <v>1.3762157652322997</v>
      </c>
      <c r="BA6" s="83">
        <f t="shared" si="38"/>
        <v>4.329840218834776</v>
      </c>
      <c r="BB6" s="83">
        <f t="shared" si="39"/>
        <v>5.1779532513900417</v>
      </c>
      <c r="BC6" s="83">
        <f t="shared" si="40"/>
        <v>7.8225540645822624</v>
      </c>
      <c r="BD6" s="83">
        <f t="shared" si="41"/>
        <v>9.0975874726601926</v>
      </c>
      <c r="BE6" s="83">
        <f t="shared" si="42"/>
        <v>2.6218814183477011</v>
      </c>
      <c r="BF6" s="83">
        <f t="shared" si="43"/>
        <v>7.2164003647246266</v>
      </c>
      <c r="BG6" s="83">
        <f t="shared" si="44"/>
        <v>3.9281024665717559</v>
      </c>
      <c r="BH6" s="83">
        <f t="shared" si="45"/>
        <v>3.3829660597115119</v>
      </c>
      <c r="BI6" s="83">
        <f t="shared" si="46"/>
        <v>8.8353998325140708</v>
      </c>
      <c r="BJ6" s="83">
        <f t="shared" si="47"/>
        <v>0.56571715250655796</v>
      </c>
      <c r="BK6" s="83">
        <f t="shared" si="48"/>
        <v>2.6782516817534696</v>
      </c>
      <c r="BL6" s="83">
        <f t="shared" si="49"/>
        <v>1.0117839686624219</v>
      </c>
      <c r="BM6" s="83">
        <f t="shared" si="50"/>
        <v>2.7081486829711579</v>
      </c>
      <c r="BN6" s="83">
        <f t="shared" si="51"/>
        <v>12.990620348527568</v>
      </c>
      <c r="BO6" s="83">
        <f t="shared" si="52"/>
        <v>1.4686887613151025</v>
      </c>
      <c r="BP6" s="83">
        <f t="shared" si="53"/>
        <v>4.2256859867665852</v>
      </c>
      <c r="BQ6" s="83">
        <f t="shared" si="54"/>
        <v>3.6305189463769256</v>
      </c>
      <c r="BR6" s="83">
        <f t="shared" si="55"/>
        <v>4.0400250844323828</v>
      </c>
      <c r="BS6" s="83">
        <f t="shared" si="56"/>
        <v>11.190127018793582</v>
      </c>
      <c r="BT6" s="83">
        <f t="shared" si="57"/>
        <v>1.3163802971787213</v>
      </c>
      <c r="BU6" s="83">
        <f t="shared" si="58"/>
        <v>4.2256859867665852</v>
      </c>
      <c r="BV6" s="83">
        <f t="shared" si="59"/>
        <v>3.6305189463769256</v>
      </c>
      <c r="BW6" s="83">
        <f t="shared" si="60"/>
        <v>5.6027600621468876</v>
      </c>
      <c r="BX6" s="83">
        <f t="shared" si="61"/>
        <v>9.0348625287186408</v>
      </c>
      <c r="BY6" s="83">
        <f t="shared" si="62"/>
        <v>1.6101180494417417</v>
      </c>
      <c r="BZ6" s="83">
        <f t="shared" si="63"/>
        <v>3.6049454599550499</v>
      </c>
      <c r="CA6" s="83">
        <f t="shared" si="64"/>
        <v>4.8890507010753215</v>
      </c>
      <c r="CB6" s="83">
        <f t="shared" si="65"/>
        <v>9.3349521869689287</v>
      </c>
      <c r="CC6" s="83">
        <f t="shared" si="66"/>
        <v>4.8890507010753215</v>
      </c>
      <c r="CD6" s="83">
        <f t="shared" si="67"/>
        <v>5.1267266540689542</v>
      </c>
      <c r="CE6" s="83">
        <f t="shared" si="68"/>
        <v>9.8935919573361133</v>
      </c>
      <c r="CF6" s="83">
        <f t="shared" si="69"/>
        <v>5.1267266540689542</v>
      </c>
      <c r="CG6" s="83">
        <f t="shared" si="70"/>
        <v>2.2197940024353753</v>
      </c>
    </row>
    <row r="7" spans="1:85" x14ac:dyDescent="0.25">
      <c r="A7" t="str">
        <f>PLANTILLA!D8</f>
        <v>F. Lasprilla</v>
      </c>
      <c r="B7" s="355">
        <f>PLANTILLA!E8</f>
        <v>32</v>
      </c>
      <c r="C7" s="122">
        <f ca="1">PLANTILLA!F8</f>
        <v>22</v>
      </c>
      <c r="D7" s="355">
        <f>PLANTILLA!G8</f>
        <v>0</v>
      </c>
      <c r="E7" s="87">
        <v>36526</v>
      </c>
      <c r="F7" s="209">
        <f>PLANTILLA!P8</f>
        <v>1.5</v>
      </c>
      <c r="G7" s="210">
        <f>PLANTILLA!I8</f>
        <v>6.3</v>
      </c>
      <c r="H7" s="49">
        <f>PLANTILLA!X8</f>
        <v>0</v>
      </c>
      <c r="I7" s="49">
        <f>PLANTILLA!Y8</f>
        <v>9.6046666666666667</v>
      </c>
      <c r="J7" s="49">
        <f>PLANTILLA!Z8</f>
        <v>7.7607222222222223</v>
      </c>
      <c r="K7" s="49">
        <f>PLANTILLA!AA8</f>
        <v>6.1599999999999984</v>
      </c>
      <c r="L7" s="49">
        <f>PLANTILLA!AB8</f>
        <v>8.8633333333333315</v>
      </c>
      <c r="M7" s="49">
        <f>PLANTILLA!AC8</f>
        <v>2.95</v>
      </c>
      <c r="N7" s="49">
        <f>PLANTILLA!AD8</f>
        <v>13.33611111111111</v>
      </c>
      <c r="O7" s="210">
        <f t="shared" si="0"/>
        <v>3.7914166666666662</v>
      </c>
      <c r="P7" s="210">
        <f t="shared" si="1"/>
        <v>10.302251263501001</v>
      </c>
      <c r="Q7" s="210">
        <f t="shared" si="2"/>
        <v>0.5475833333333332</v>
      </c>
      <c r="R7" s="210">
        <f t="shared" si="3"/>
        <v>0.78426999999999991</v>
      </c>
      <c r="S7" s="210">
        <f t="shared" ca="1" si="4"/>
        <v>15.401898510382553</v>
      </c>
      <c r="T7" s="83">
        <f t="shared" si="5"/>
        <v>4.8908203995639692</v>
      </c>
      <c r="U7" s="83">
        <f t="shared" si="6"/>
        <v>7.3944148657927649</v>
      </c>
      <c r="V7" s="83">
        <f t="shared" si="7"/>
        <v>4.8908203995639692</v>
      </c>
      <c r="W7" s="83">
        <f t="shared" si="8"/>
        <v>6.279954298024065</v>
      </c>
      <c r="X7" s="83">
        <f t="shared" si="9"/>
        <v>12.17045406593811</v>
      </c>
      <c r="Y7" s="83">
        <f t="shared" si="10"/>
        <v>3.1399771490120325</v>
      </c>
      <c r="Z7" s="83">
        <f t="shared" si="11"/>
        <v>2.457709289915492</v>
      </c>
      <c r="AA7" s="83">
        <f t="shared" si="12"/>
        <v>4.600431636924605</v>
      </c>
      <c r="AB7" s="83">
        <f t="shared" si="13"/>
        <v>8.7992382896732533</v>
      </c>
      <c r="AC7" s="83">
        <f t="shared" si="14"/>
        <v>2.3002158184623025</v>
      </c>
      <c r="AD7" s="83">
        <f t="shared" si="15"/>
        <v>3.9757062042750611</v>
      </c>
      <c r="AE7" s="362">
        <f t="shared" si="16"/>
        <v>11.196817740663061</v>
      </c>
      <c r="AF7" s="83">
        <f t="shared" si="17"/>
        <v>5.0385679832983774</v>
      </c>
      <c r="AG7" s="83">
        <f t="shared" si="18"/>
        <v>1.7245271067894421</v>
      </c>
      <c r="AH7" s="362">
        <f t="shared" si="19"/>
        <v>5.1307629907716068</v>
      </c>
      <c r="AI7" s="83">
        <f t="shared" si="20"/>
        <v>9.176522365717334</v>
      </c>
      <c r="AJ7" s="83">
        <f t="shared" si="21"/>
        <v>8.6166814786841819</v>
      </c>
      <c r="AK7" s="83">
        <f t="shared" si="22"/>
        <v>2.6556170512338864</v>
      </c>
      <c r="AL7" s="83">
        <f t="shared" si="23"/>
        <v>1.8308747709901751</v>
      </c>
      <c r="AM7" s="83">
        <f t="shared" si="24"/>
        <v>3.28602259780329</v>
      </c>
      <c r="AN7" s="83">
        <f t="shared" si="25"/>
        <v>7.2292497151672368</v>
      </c>
      <c r="AO7" s="83">
        <f t="shared" si="26"/>
        <v>1.643011298901645</v>
      </c>
      <c r="AP7" s="83">
        <f t="shared" si="27"/>
        <v>9.7482250826900199</v>
      </c>
      <c r="AQ7" s="83">
        <f t="shared" si="28"/>
        <v>1.4857856952386208</v>
      </c>
      <c r="AR7" s="83">
        <f t="shared" si="29"/>
        <v>2.3257257079865323</v>
      </c>
      <c r="AS7" s="83">
        <f t="shared" si="30"/>
        <v>0.7428928476193104</v>
      </c>
      <c r="AT7" s="83">
        <f t="shared" si="31"/>
        <v>2.3002158184623025</v>
      </c>
      <c r="AU7" s="83">
        <f t="shared" si="32"/>
        <v>4.868181626375244</v>
      </c>
      <c r="AV7" s="83">
        <f t="shared" si="33"/>
        <v>1.1501079092311512</v>
      </c>
      <c r="AW7" s="83">
        <f t="shared" si="34"/>
        <v>10.326509621493665</v>
      </c>
      <c r="AX7" s="83">
        <f t="shared" si="35"/>
        <v>2.891567545349008</v>
      </c>
      <c r="AY7" s="83">
        <f t="shared" si="36"/>
        <v>5.0556455236652313</v>
      </c>
      <c r="AZ7" s="83">
        <f t="shared" si="37"/>
        <v>1.445783772674504</v>
      </c>
      <c r="BA7" s="83">
        <f t="shared" si="38"/>
        <v>3.5416021331879897</v>
      </c>
      <c r="BB7" s="83">
        <f t="shared" si="39"/>
        <v>4.2353180149464622</v>
      </c>
      <c r="BC7" s="83">
        <f t="shared" si="40"/>
        <v>9.0976549765359191</v>
      </c>
      <c r="BD7" s="83">
        <f t="shared" si="41"/>
        <v>8.6087749979523114</v>
      </c>
      <c r="BE7" s="83">
        <f t="shared" si="42"/>
        <v>2.7544180965577505</v>
      </c>
      <c r="BF7" s="83">
        <f t="shared" si="43"/>
        <v>5.9026702219799834</v>
      </c>
      <c r="BG7" s="83">
        <f t="shared" si="44"/>
        <v>3.2129998734076612</v>
      </c>
      <c r="BH7" s="83">
        <f t="shared" si="45"/>
        <v>3.9344001657890866</v>
      </c>
      <c r="BI7" s="83">
        <f t="shared" si="46"/>
        <v>8.1697081869632395</v>
      </c>
      <c r="BJ7" s="83">
        <f t="shared" si="47"/>
        <v>0.59431427809544823</v>
      </c>
      <c r="BK7" s="83">
        <f t="shared" si="48"/>
        <v>2.1906817318688598</v>
      </c>
      <c r="BL7" s="83">
        <f t="shared" si="49"/>
        <v>0.82759087648379148</v>
      </c>
      <c r="BM7" s="83">
        <f t="shared" si="50"/>
        <v>3.1495854345555676</v>
      </c>
      <c r="BN7" s="83">
        <f t="shared" si="51"/>
        <v>11.994515928796407</v>
      </c>
      <c r="BO7" s="83">
        <f t="shared" si="52"/>
        <v>1.5429312989016446</v>
      </c>
      <c r="BP7" s="83">
        <f t="shared" si="53"/>
        <v>3.456408954726423</v>
      </c>
      <c r="BQ7" s="83">
        <f t="shared" si="54"/>
        <v>2.9695907920888986</v>
      </c>
      <c r="BR7" s="83">
        <f t="shared" si="55"/>
        <v>4.6985618777796176</v>
      </c>
      <c r="BS7" s="83">
        <f t="shared" si="56"/>
        <v>10.32778577172609</v>
      </c>
      <c r="BT7" s="83">
        <f t="shared" si="57"/>
        <v>1.3829236086451777</v>
      </c>
      <c r="BU7" s="83">
        <f t="shared" si="58"/>
        <v>3.456408954726423</v>
      </c>
      <c r="BV7" s="83">
        <f t="shared" si="59"/>
        <v>2.9695907920888986</v>
      </c>
      <c r="BW7" s="83">
        <f t="shared" si="60"/>
        <v>6.5160275711625024</v>
      </c>
      <c r="BX7" s="83">
        <f t="shared" si="61"/>
        <v>8.3313230556812741</v>
      </c>
      <c r="BY7" s="83">
        <f t="shared" si="62"/>
        <v>1.6915098684255065</v>
      </c>
      <c r="BZ7" s="83">
        <f t="shared" si="63"/>
        <v>4.1925629063264287</v>
      </c>
      <c r="CA7" s="83">
        <f t="shared" si="64"/>
        <v>4.8142985683537542</v>
      </c>
      <c r="CB7" s="83">
        <f t="shared" si="65"/>
        <v>9.4217166115796438</v>
      </c>
      <c r="CC7" s="83">
        <f t="shared" si="66"/>
        <v>4.8142985683537542</v>
      </c>
      <c r="CD7" s="83">
        <f t="shared" si="67"/>
        <v>4.855438883079441</v>
      </c>
      <c r="CE7" s="83">
        <f t="shared" si="68"/>
        <v>9.733132949602604</v>
      </c>
      <c r="CF7" s="83">
        <f t="shared" si="69"/>
        <v>4.855438883079441</v>
      </c>
      <c r="CG7" s="83">
        <f t="shared" si="70"/>
        <v>2.5816274053734163</v>
      </c>
    </row>
    <row r="8" spans="1:85" x14ac:dyDescent="0.25">
      <c r="A8" t="str">
        <f>PLANTILLA!D9</f>
        <v>E. Romweber</v>
      </c>
      <c r="B8" s="355">
        <f>PLANTILLA!E9</f>
        <v>35</v>
      </c>
      <c r="C8" s="122">
        <f ca="1">PLANTILLA!F9</f>
        <v>88</v>
      </c>
      <c r="D8" s="355" t="str">
        <f>PLANTILLA!G9</f>
        <v>IMP</v>
      </c>
      <c r="E8" s="87">
        <v>36526</v>
      </c>
      <c r="F8" s="209">
        <f>PLANTILLA!P9</f>
        <v>1.5</v>
      </c>
      <c r="G8" s="210">
        <f>PLANTILLA!I9</f>
        <v>17.100000000000001</v>
      </c>
      <c r="H8" s="49">
        <f>PLANTILLA!X9</f>
        <v>0</v>
      </c>
      <c r="I8" s="49">
        <f>PLANTILLA!Y9</f>
        <v>11.95</v>
      </c>
      <c r="J8" s="49">
        <f>PLANTILLA!Z9</f>
        <v>12.614111111111114</v>
      </c>
      <c r="K8" s="49">
        <f>PLANTILLA!AA9</f>
        <v>12.95</v>
      </c>
      <c r="L8" s="49">
        <f>PLANTILLA!AB9</f>
        <v>10.95</v>
      </c>
      <c r="M8" s="49">
        <f>PLANTILLA!AC9</f>
        <v>5.95</v>
      </c>
      <c r="N8" s="49">
        <f>PLANTILLA!AD9</f>
        <v>17.529999999999998</v>
      </c>
      <c r="O8" s="210">
        <f t="shared" si="0"/>
        <v>4.6062499999999993</v>
      </c>
      <c r="P8" s="210">
        <f t="shared" si="1"/>
        <v>18.866728538622212</v>
      </c>
      <c r="Q8" s="210">
        <f t="shared" si="2"/>
        <v>0.82340000000000002</v>
      </c>
      <c r="R8" s="210">
        <f t="shared" si="3"/>
        <v>1.0039</v>
      </c>
      <c r="S8" s="210">
        <f t="shared" ca="1" si="4"/>
        <v>20.173994813856204</v>
      </c>
      <c r="T8" s="83">
        <f t="shared" si="5"/>
        <v>6.0429074724964664</v>
      </c>
      <c r="U8" s="83">
        <f t="shared" si="6"/>
        <v>9.1376473046883611</v>
      </c>
      <c r="V8" s="83">
        <f t="shared" si="7"/>
        <v>6.0429074724964664</v>
      </c>
      <c r="W8" s="83">
        <f t="shared" si="8"/>
        <v>7.7885013239498013</v>
      </c>
      <c r="X8" s="83">
        <f t="shared" si="9"/>
        <v>15.093994813856204</v>
      </c>
      <c r="Y8" s="83">
        <f t="shared" si="10"/>
        <v>3.8942506619749007</v>
      </c>
      <c r="Z8" s="83">
        <f t="shared" si="11"/>
        <v>3.7504292101422219</v>
      </c>
      <c r="AA8" s="83">
        <f t="shared" si="12"/>
        <v>5.7055300396376456</v>
      </c>
      <c r="AB8" s="83">
        <f t="shared" si="13"/>
        <v>10.912958250418034</v>
      </c>
      <c r="AC8" s="83">
        <f t="shared" si="14"/>
        <v>2.8527650198188228</v>
      </c>
      <c r="AD8" s="83">
        <f t="shared" si="15"/>
        <v>6.0668707811124181</v>
      </c>
      <c r="AE8" s="362">
        <f t="shared" si="16"/>
        <v>13.886475228747708</v>
      </c>
      <c r="AF8" s="83">
        <f t="shared" si="17"/>
        <v>6.2489138529364681</v>
      </c>
      <c r="AG8" s="83">
        <f t="shared" si="18"/>
        <v>2.6316036894695425</v>
      </c>
      <c r="AH8" s="362">
        <f t="shared" si="19"/>
        <v>9.4632689505474481</v>
      </c>
      <c r="AI8" s="83">
        <f t="shared" si="20"/>
        <v>11.380872089647578</v>
      </c>
      <c r="AJ8" s="83">
        <f t="shared" si="21"/>
        <v>10.686548328210192</v>
      </c>
      <c r="AK8" s="83">
        <f t="shared" si="22"/>
        <v>3.4525571339139862</v>
      </c>
      <c r="AL8" s="83">
        <f t="shared" si="23"/>
        <v>2.2320705063905866</v>
      </c>
      <c r="AM8" s="83">
        <f t="shared" si="24"/>
        <v>4.0753785997411756</v>
      </c>
      <c r="AN8" s="83">
        <f t="shared" si="25"/>
        <v>8.9658329194305857</v>
      </c>
      <c r="AO8" s="83">
        <f t="shared" si="26"/>
        <v>2.0376892998705878</v>
      </c>
      <c r="AP8" s="83">
        <f t="shared" si="27"/>
        <v>14.875651993169148</v>
      </c>
      <c r="AQ8" s="83">
        <f t="shared" si="28"/>
        <v>1.8322193258013066</v>
      </c>
      <c r="AR8" s="83">
        <f t="shared" si="29"/>
        <v>3.2645404804598677</v>
      </c>
      <c r="AS8" s="83">
        <f t="shared" si="30"/>
        <v>0.91610966290065332</v>
      </c>
      <c r="AT8" s="83">
        <f t="shared" si="31"/>
        <v>2.8527650198188228</v>
      </c>
      <c r="AU8" s="83">
        <f t="shared" si="32"/>
        <v>6.0375979255424816</v>
      </c>
      <c r="AV8" s="83">
        <f t="shared" si="33"/>
        <v>1.4263825099094114</v>
      </c>
      <c r="AW8" s="83">
        <f t="shared" si="34"/>
        <v>15.758105924967319</v>
      </c>
      <c r="AX8" s="83">
        <f t="shared" si="35"/>
        <v>3.5657806879056198</v>
      </c>
      <c r="AY8" s="83">
        <f t="shared" si="36"/>
        <v>6.7157911424347692</v>
      </c>
      <c r="AZ8" s="83">
        <f t="shared" si="37"/>
        <v>1.7828903439528099</v>
      </c>
      <c r="BA8" s="83">
        <f t="shared" si="38"/>
        <v>4.3923524908321552</v>
      </c>
      <c r="BB8" s="83">
        <f t="shared" si="39"/>
        <v>5.252710195221959</v>
      </c>
      <c r="BC8" s="83">
        <f t="shared" si="40"/>
        <v>13.882891319896208</v>
      </c>
      <c r="BD8" s="83">
        <f t="shared" si="41"/>
        <v>13.677561389518168</v>
      </c>
      <c r="BE8" s="83">
        <f t="shared" si="42"/>
        <v>3.3966527501393449</v>
      </c>
      <c r="BF8" s="83">
        <f t="shared" si="43"/>
        <v>7.3205874847202592</v>
      </c>
      <c r="BG8" s="83">
        <f t="shared" si="44"/>
        <v>3.9848146308580379</v>
      </c>
      <c r="BH8" s="83">
        <f t="shared" si="45"/>
        <v>6.0038383574125485</v>
      </c>
      <c r="BI8" s="83">
        <f t="shared" si="46"/>
        <v>13.664151467310324</v>
      </c>
      <c r="BJ8" s="83">
        <f t="shared" si="47"/>
        <v>0.73288773032052257</v>
      </c>
      <c r="BK8" s="83">
        <f t="shared" si="48"/>
        <v>2.7169190664941167</v>
      </c>
      <c r="BL8" s="83">
        <f t="shared" si="49"/>
        <v>1.0263916473422219</v>
      </c>
      <c r="BM8" s="83">
        <f t="shared" si="50"/>
        <v>4.8062223071150321</v>
      </c>
      <c r="BN8" s="83">
        <f t="shared" si="51"/>
        <v>20.124877330619078</v>
      </c>
      <c r="BO8" s="83">
        <f t="shared" si="52"/>
        <v>1.9026892998705878</v>
      </c>
      <c r="BP8" s="83">
        <f t="shared" si="53"/>
        <v>4.286694527135162</v>
      </c>
      <c r="BQ8" s="83">
        <f t="shared" si="54"/>
        <v>3.6829347345809138</v>
      </c>
      <c r="BR8" s="83">
        <f t="shared" si="55"/>
        <v>7.1699381958601309</v>
      </c>
      <c r="BS8" s="83">
        <f t="shared" si="56"/>
        <v>17.344146253752676</v>
      </c>
      <c r="BT8" s="83">
        <f t="shared" si="57"/>
        <v>1.7053733724766007</v>
      </c>
      <c r="BU8" s="83">
        <f t="shared" si="58"/>
        <v>4.286694527135162</v>
      </c>
      <c r="BV8" s="83">
        <f t="shared" si="59"/>
        <v>3.6829347345809138</v>
      </c>
      <c r="BW8" s="83">
        <f t="shared" si="60"/>
        <v>9.9433648386543787</v>
      </c>
      <c r="BX8" s="83">
        <f t="shared" si="61"/>
        <v>14.018125358401305</v>
      </c>
      <c r="BY8" s="83">
        <f t="shared" si="62"/>
        <v>2.0859112324507181</v>
      </c>
      <c r="BZ8" s="83">
        <f t="shared" si="63"/>
        <v>6.3977910055367317</v>
      </c>
      <c r="CA8" s="83">
        <f t="shared" si="64"/>
        <v>6.9959712980190831</v>
      </c>
      <c r="CB8" s="83">
        <f t="shared" si="65"/>
        <v>12.954838160402087</v>
      </c>
      <c r="CC8" s="83">
        <f t="shared" si="66"/>
        <v>6.9959712980190831</v>
      </c>
      <c r="CD8" s="83">
        <f t="shared" si="67"/>
        <v>7.7925587690324161</v>
      </c>
      <c r="CE8" s="83">
        <f t="shared" si="68"/>
        <v>14.294678900169146</v>
      </c>
      <c r="CF8" s="83">
        <f t="shared" si="69"/>
        <v>7.7925587690324161</v>
      </c>
      <c r="CG8" s="83">
        <f t="shared" si="70"/>
        <v>3.9395264812418298</v>
      </c>
    </row>
    <row r="9" spans="1:85" x14ac:dyDescent="0.25">
      <c r="A9" t="str">
        <f>PLANTILLA!D10</f>
        <v>S. Buschelman</v>
      </c>
      <c r="B9" s="355">
        <f>PLANTILLA!E10</f>
        <v>34</v>
      </c>
      <c r="C9" s="122">
        <f ca="1">PLANTILLA!F10</f>
        <v>47</v>
      </c>
      <c r="D9" s="355" t="str">
        <f>PLANTILLA!G10</f>
        <v>TEC</v>
      </c>
      <c r="E9" s="87">
        <v>36526</v>
      </c>
      <c r="F9" s="209">
        <f>PLANTILLA!P10</f>
        <v>1.5</v>
      </c>
      <c r="G9" s="210">
        <f>PLANTILLA!I10</f>
        <v>14.8</v>
      </c>
      <c r="H9" s="49">
        <f>PLANTILLA!X10</f>
        <v>0</v>
      </c>
      <c r="I9" s="49">
        <f>PLANTILLA!Y10</f>
        <v>9.3036666666666648</v>
      </c>
      <c r="J9" s="49">
        <f>PLANTILLA!Z10</f>
        <v>14</v>
      </c>
      <c r="K9" s="49">
        <f>PLANTILLA!AA10</f>
        <v>12.945</v>
      </c>
      <c r="L9" s="49">
        <f>PLANTILLA!AB10</f>
        <v>9.9499999999999993</v>
      </c>
      <c r="M9" s="49">
        <f>PLANTILLA!AC10</f>
        <v>3.95</v>
      </c>
      <c r="N9" s="49">
        <f>PLANTILLA!AD10</f>
        <v>16</v>
      </c>
      <c r="O9" s="210">
        <f t="shared" si="0"/>
        <v>4.0254583333333329</v>
      </c>
      <c r="P9" s="210">
        <f t="shared" si="1"/>
        <v>14.520371188030476</v>
      </c>
      <c r="Q9" s="210">
        <f t="shared" si="2"/>
        <v>0.67749999999999999</v>
      </c>
      <c r="R9" s="210">
        <f t="shared" si="3"/>
        <v>0.8521466666666665</v>
      </c>
      <c r="S9" s="210">
        <f t="shared" ca="1" si="4"/>
        <v>18.560348953859943</v>
      </c>
      <c r="T9" s="83">
        <f t="shared" si="5"/>
        <v>5.2394966367197302</v>
      </c>
      <c r="U9" s="83">
        <f t="shared" si="6"/>
        <v>7.9049688327665191</v>
      </c>
      <c r="V9" s="83">
        <f t="shared" si="7"/>
        <v>5.2394966367197302</v>
      </c>
      <c r="W9" s="83">
        <f t="shared" si="8"/>
        <v>6.3798320601917302</v>
      </c>
      <c r="X9" s="83">
        <f t="shared" si="9"/>
        <v>12.364015620526608</v>
      </c>
      <c r="Y9" s="83">
        <f t="shared" si="10"/>
        <v>3.1899160300958651</v>
      </c>
      <c r="Z9" s="83">
        <f t="shared" si="11"/>
        <v>4.0603630510186663</v>
      </c>
      <c r="AA9" s="83">
        <f t="shared" si="12"/>
        <v>4.6735979045590579</v>
      </c>
      <c r="AB9" s="83">
        <f t="shared" si="13"/>
        <v>8.9391832936407365</v>
      </c>
      <c r="AC9" s="83">
        <f t="shared" si="14"/>
        <v>2.3367989522795289</v>
      </c>
      <c r="AD9" s="83">
        <f t="shared" si="15"/>
        <v>6.5682343472360785</v>
      </c>
      <c r="AE9" s="362">
        <f t="shared" si="16"/>
        <v>11.37489437088448</v>
      </c>
      <c r="AF9" s="83">
        <f t="shared" si="17"/>
        <v>5.1187024668980152</v>
      </c>
      <c r="AG9" s="83">
        <f t="shared" si="18"/>
        <v>2.8490782752946107</v>
      </c>
      <c r="AH9" s="362">
        <f t="shared" si="19"/>
        <v>9.4111451848696461</v>
      </c>
      <c r="AI9" s="83">
        <f t="shared" si="20"/>
        <v>9.3224677778770619</v>
      </c>
      <c r="AJ9" s="83">
        <f t="shared" si="21"/>
        <v>8.7537230593328381</v>
      </c>
      <c r="AK9" s="83">
        <f t="shared" si="22"/>
        <v>3.1830782752946107</v>
      </c>
      <c r="AL9" s="83">
        <f t="shared" si="23"/>
        <v>2.0407124987116636</v>
      </c>
      <c r="AM9" s="83">
        <f t="shared" si="24"/>
        <v>3.3382842175421845</v>
      </c>
      <c r="AN9" s="83">
        <f t="shared" si="25"/>
        <v>7.3442252785928046</v>
      </c>
      <c r="AO9" s="83">
        <f t="shared" si="26"/>
        <v>1.6691421087710923</v>
      </c>
      <c r="AP9" s="83">
        <f t="shared" si="27"/>
        <v>16.104969412443786</v>
      </c>
      <c r="AQ9" s="83">
        <f t="shared" si="28"/>
        <v>1.6913453640017926</v>
      </c>
      <c r="AR9" s="83">
        <f t="shared" si="29"/>
        <v>2.7740322434809634</v>
      </c>
      <c r="AS9" s="83">
        <f t="shared" si="30"/>
        <v>0.84567268200089629</v>
      </c>
      <c r="AT9" s="83">
        <f t="shared" si="31"/>
        <v>2.3367989522795289</v>
      </c>
      <c r="AU9" s="83">
        <f t="shared" si="32"/>
        <v>4.9456062482106438</v>
      </c>
      <c r="AV9" s="83">
        <f t="shared" si="33"/>
        <v>1.1683994761397645</v>
      </c>
      <c r="AW9" s="83">
        <f t="shared" si="34"/>
        <v>17.060348953859943</v>
      </c>
      <c r="AX9" s="83">
        <f t="shared" si="35"/>
        <v>3.2916182853265656</v>
      </c>
      <c r="AY9" s="83">
        <f t="shared" si="36"/>
        <v>5.9087022735768286</v>
      </c>
      <c r="AZ9" s="83">
        <f t="shared" si="37"/>
        <v>1.6458091426632828</v>
      </c>
      <c r="BA9" s="83">
        <f t="shared" si="38"/>
        <v>3.5979285455732426</v>
      </c>
      <c r="BB9" s="83">
        <f t="shared" si="39"/>
        <v>4.3026774359432594</v>
      </c>
      <c r="BC9" s="83">
        <f t="shared" si="40"/>
        <v>15.030167428350611</v>
      </c>
      <c r="BD9" s="83">
        <f t="shared" si="41"/>
        <v>13.285330219981489</v>
      </c>
      <c r="BE9" s="83">
        <f t="shared" si="42"/>
        <v>3.1354940978802461</v>
      </c>
      <c r="BF9" s="83">
        <f t="shared" si="43"/>
        <v>5.9965475759554048</v>
      </c>
      <c r="BG9" s="83">
        <f t="shared" si="44"/>
        <v>3.2641001238190248</v>
      </c>
      <c r="BH9" s="83">
        <f t="shared" si="45"/>
        <v>6.4999929514206389</v>
      </c>
      <c r="BI9" s="83">
        <f t="shared" si="46"/>
        <v>13.386679985673592</v>
      </c>
      <c r="BJ9" s="83">
        <f t="shared" si="47"/>
        <v>0.67653814560071701</v>
      </c>
      <c r="BK9" s="83">
        <f t="shared" si="48"/>
        <v>2.2255228116947894</v>
      </c>
      <c r="BL9" s="83">
        <f t="shared" si="49"/>
        <v>0.84075306219580936</v>
      </c>
      <c r="BM9" s="83">
        <f t="shared" si="50"/>
        <v>5.2034064309272825</v>
      </c>
      <c r="BN9" s="83">
        <f t="shared" si="51"/>
        <v>19.726308754663886</v>
      </c>
      <c r="BO9" s="83">
        <f t="shared" si="52"/>
        <v>1.7563971087710923</v>
      </c>
      <c r="BP9" s="83">
        <f t="shared" si="53"/>
        <v>3.5113804362295564</v>
      </c>
      <c r="BQ9" s="83">
        <f t="shared" si="54"/>
        <v>3.0168198114084923</v>
      </c>
      <c r="BR9" s="83">
        <f t="shared" si="55"/>
        <v>7.7624587740062747</v>
      </c>
      <c r="BS9" s="83">
        <f t="shared" si="56"/>
        <v>17.003146640876817</v>
      </c>
      <c r="BT9" s="83">
        <f t="shared" si="57"/>
        <v>1.5742522234170531</v>
      </c>
      <c r="BU9" s="83">
        <f t="shared" si="58"/>
        <v>3.5113804362295564</v>
      </c>
      <c r="BV9" s="83">
        <f t="shared" si="59"/>
        <v>3.0168198114084923</v>
      </c>
      <c r="BW9" s="83">
        <f t="shared" si="60"/>
        <v>10.765080189885625</v>
      </c>
      <c r="BX9" s="83">
        <f t="shared" si="61"/>
        <v>13.746752313704649</v>
      </c>
      <c r="BY9" s="83">
        <f t="shared" si="62"/>
        <v>1.9255316451712714</v>
      </c>
      <c r="BZ9" s="83">
        <f t="shared" si="63"/>
        <v>6.9265016752671373</v>
      </c>
      <c r="CA9" s="83">
        <f t="shared" si="64"/>
        <v>7.5064697212698261</v>
      </c>
      <c r="CB9" s="83">
        <f t="shared" si="65"/>
        <v>11.151652922046296</v>
      </c>
      <c r="CC9" s="83">
        <f t="shared" si="66"/>
        <v>7.5064697212698261</v>
      </c>
      <c r="CD9" s="83">
        <f t="shared" si="67"/>
        <v>7.0773423982547445</v>
      </c>
      <c r="CE9" s="83">
        <f t="shared" si="68"/>
        <v>11.811167717834262</v>
      </c>
      <c r="CF9" s="83">
        <f t="shared" si="69"/>
        <v>7.0773423982547445</v>
      </c>
      <c r="CG9" s="83">
        <f t="shared" si="70"/>
        <v>4.2650872384649858</v>
      </c>
    </row>
    <row r="10" spans="1:85" x14ac:dyDescent="0.25">
      <c r="A10" t="str">
        <f>PLANTILLA!D11</f>
        <v>E. Gross</v>
      </c>
      <c r="B10" s="355">
        <f>PLANTILLA!E11</f>
        <v>35</v>
      </c>
      <c r="C10" s="122">
        <f ca="1">PLANTILLA!F11</f>
        <v>75</v>
      </c>
      <c r="D10" s="355">
        <f>PLANTILLA!G11</f>
        <v>0</v>
      </c>
      <c r="E10" s="87">
        <v>36526</v>
      </c>
      <c r="F10" s="209">
        <f>PLANTILLA!P11</f>
        <v>1.5</v>
      </c>
      <c r="G10" s="210">
        <f>PLANTILLA!I11</f>
        <v>13.1</v>
      </c>
      <c r="H10" s="49">
        <f>PLANTILLA!X11</f>
        <v>0</v>
      </c>
      <c r="I10" s="49">
        <f>PLANTILLA!Y11</f>
        <v>10.549999999999995</v>
      </c>
      <c r="J10" s="49">
        <f>PLANTILLA!Z11</f>
        <v>12.95</v>
      </c>
      <c r="K10" s="49">
        <f>PLANTILLA!AA11</f>
        <v>3.95</v>
      </c>
      <c r="L10" s="49">
        <f>PLANTILLA!AB11</f>
        <v>8.9499999999999993</v>
      </c>
      <c r="M10" s="49">
        <f>PLANTILLA!AC11</f>
        <v>0.95</v>
      </c>
      <c r="N10" s="49">
        <f>PLANTILLA!AD11</f>
        <v>17.3</v>
      </c>
      <c r="O10" s="210">
        <f t="shared" si="0"/>
        <v>3.9312499999999995</v>
      </c>
      <c r="P10" s="210">
        <f t="shared" si="1"/>
        <v>10.099226084532321</v>
      </c>
      <c r="Q10" s="210">
        <f t="shared" si="2"/>
        <v>0.5665</v>
      </c>
      <c r="R10" s="210">
        <f t="shared" si="3"/>
        <v>0.94099999999999984</v>
      </c>
      <c r="S10" s="210">
        <f t="shared" ca="1" si="4"/>
        <v>19.789695060874354</v>
      </c>
      <c r="T10" s="83">
        <f t="shared" si="5"/>
        <v>5.5218037881433082</v>
      </c>
      <c r="U10" s="83">
        <f t="shared" si="6"/>
        <v>8.3434463235887861</v>
      </c>
      <c r="V10" s="83">
        <f t="shared" si="7"/>
        <v>5.5218037881433082</v>
      </c>
      <c r="W10" s="83">
        <f t="shared" si="8"/>
        <v>6.9864826514111638</v>
      </c>
      <c r="X10" s="83">
        <f t="shared" si="9"/>
        <v>13.539695060874347</v>
      </c>
      <c r="Y10" s="83">
        <f t="shared" si="10"/>
        <v>3.4932413257055819</v>
      </c>
      <c r="Z10" s="83">
        <f t="shared" si="11"/>
        <v>3.7936474244880953</v>
      </c>
      <c r="AA10" s="83">
        <f t="shared" si="12"/>
        <v>5.118004733010503</v>
      </c>
      <c r="AB10" s="83">
        <f t="shared" si="13"/>
        <v>9.7891995290121532</v>
      </c>
      <c r="AC10" s="83">
        <f t="shared" si="14"/>
        <v>2.5590023665052515</v>
      </c>
      <c r="AD10" s="83">
        <f t="shared" si="15"/>
        <v>6.1367825984366258</v>
      </c>
      <c r="AE10" s="362">
        <f t="shared" si="16"/>
        <v>12.456519456004401</v>
      </c>
      <c r="AF10" s="83">
        <f t="shared" si="17"/>
        <v>5.6054337552019797</v>
      </c>
      <c r="AG10" s="83">
        <f t="shared" si="18"/>
        <v>2.6619290751660167</v>
      </c>
      <c r="AH10" s="362">
        <f t="shared" si="19"/>
        <v>4.0805406957941193</v>
      </c>
      <c r="AI10" s="83">
        <f t="shared" si="20"/>
        <v>10.208930075899257</v>
      </c>
      <c r="AJ10" s="83">
        <f t="shared" si="21"/>
        <v>9.5861041030990375</v>
      </c>
      <c r="AK10" s="83">
        <f t="shared" si="22"/>
        <v>3.3883790751660174</v>
      </c>
      <c r="AL10" s="83">
        <f t="shared" si="23"/>
        <v>1.9932321775318131</v>
      </c>
      <c r="AM10" s="83">
        <f t="shared" si="24"/>
        <v>3.655717666436074</v>
      </c>
      <c r="AN10" s="83">
        <f t="shared" si="25"/>
        <v>8.0425788661593618</v>
      </c>
      <c r="AO10" s="83">
        <f t="shared" si="26"/>
        <v>1.827858833218037</v>
      </c>
      <c r="AP10" s="83">
        <f t="shared" si="27"/>
        <v>15.047072137465387</v>
      </c>
      <c r="AQ10" s="83">
        <f t="shared" si="28"/>
        <v>1.5521603579136658</v>
      </c>
      <c r="AR10" s="83">
        <f t="shared" si="29"/>
        <v>2.1143306528361849</v>
      </c>
      <c r="AS10" s="83">
        <f t="shared" si="30"/>
        <v>0.7760801789568329</v>
      </c>
      <c r="AT10" s="83">
        <f t="shared" si="31"/>
        <v>2.5590023665052515</v>
      </c>
      <c r="AU10" s="83">
        <f t="shared" si="32"/>
        <v>5.4158780243497393</v>
      </c>
      <c r="AV10" s="83">
        <f t="shared" si="33"/>
        <v>1.2795011832526257</v>
      </c>
      <c r="AW10" s="83">
        <f t="shared" si="34"/>
        <v>15.939695060874351</v>
      </c>
      <c r="AX10" s="83">
        <f t="shared" si="35"/>
        <v>3.020742850401211</v>
      </c>
      <c r="AY10" s="83">
        <f t="shared" si="36"/>
        <v>4.8987719785417685</v>
      </c>
      <c r="AZ10" s="83">
        <f t="shared" si="37"/>
        <v>1.5103714252006055</v>
      </c>
      <c r="BA10" s="83">
        <f t="shared" si="38"/>
        <v>3.9400512627144346</v>
      </c>
      <c r="BB10" s="83">
        <f t="shared" si="39"/>
        <v>4.7118138811842725</v>
      </c>
      <c r="BC10" s="83">
        <f t="shared" si="40"/>
        <v>14.042871348630303</v>
      </c>
      <c r="BD10" s="83">
        <f t="shared" si="41"/>
        <v>7.7443889091172986</v>
      </c>
      <c r="BE10" s="83">
        <f t="shared" si="42"/>
        <v>2.8774665096707186</v>
      </c>
      <c r="BF10" s="83">
        <f t="shared" si="43"/>
        <v>6.566752104524058</v>
      </c>
      <c r="BG10" s="83">
        <f t="shared" si="44"/>
        <v>3.5744794960708277</v>
      </c>
      <c r="BH10" s="83">
        <f t="shared" si="45"/>
        <v>6.0730238181931275</v>
      </c>
      <c r="BI10" s="83">
        <f t="shared" si="46"/>
        <v>7.0702934832041837</v>
      </c>
      <c r="BJ10" s="83">
        <f t="shared" si="47"/>
        <v>0.62086414316546623</v>
      </c>
      <c r="BK10" s="83">
        <f t="shared" si="48"/>
        <v>2.4371451109573825</v>
      </c>
      <c r="BL10" s="83">
        <f t="shared" si="49"/>
        <v>0.92069926413945569</v>
      </c>
      <c r="BM10" s="83">
        <f t="shared" si="50"/>
        <v>4.861606993566677</v>
      </c>
      <c r="BN10" s="83">
        <f t="shared" si="51"/>
        <v>10.354447848284416</v>
      </c>
      <c r="BO10" s="83">
        <f t="shared" si="52"/>
        <v>1.6118588332180375</v>
      </c>
      <c r="BP10" s="83">
        <f t="shared" si="53"/>
        <v>3.8452733972883144</v>
      </c>
      <c r="BQ10" s="83">
        <f t="shared" si="54"/>
        <v>3.3036855948533406</v>
      </c>
      <c r="BR10" s="83">
        <f t="shared" si="55"/>
        <v>7.2525612526978298</v>
      </c>
      <c r="BS10" s="83">
        <f t="shared" si="56"/>
        <v>8.9091821274487817</v>
      </c>
      <c r="BT10" s="83">
        <f t="shared" si="57"/>
        <v>1.4447031023657964</v>
      </c>
      <c r="BU10" s="83">
        <f t="shared" si="58"/>
        <v>3.8452733972883144</v>
      </c>
      <c r="BV10" s="83">
        <f t="shared" si="59"/>
        <v>3.3036855948533406</v>
      </c>
      <c r="BW10" s="83">
        <f t="shared" si="60"/>
        <v>10.057947583411716</v>
      </c>
      <c r="BX10" s="83">
        <f t="shared" si="61"/>
        <v>7.1760270794825445</v>
      </c>
      <c r="BY10" s="83">
        <f t="shared" si="62"/>
        <v>1.7670748690094038</v>
      </c>
      <c r="BZ10" s="83">
        <f t="shared" si="63"/>
        <v>6.4715161947149866</v>
      </c>
      <c r="CA10" s="83">
        <f t="shared" si="64"/>
        <v>4.4845811267155371</v>
      </c>
      <c r="CB10" s="83">
        <f t="shared" si="65"/>
        <v>8.7800966385445207</v>
      </c>
      <c r="CC10" s="83">
        <f t="shared" si="66"/>
        <v>4.4845811267155371</v>
      </c>
      <c r="CD10" s="83">
        <f t="shared" si="67"/>
        <v>4.1234300229247216</v>
      </c>
      <c r="CE10" s="83">
        <f t="shared" si="68"/>
        <v>8.3454425383369877</v>
      </c>
      <c r="CF10" s="83">
        <f t="shared" si="69"/>
        <v>4.1234300229247216</v>
      </c>
      <c r="CG10" s="83">
        <f t="shared" si="70"/>
        <v>3.9849237652185878</v>
      </c>
    </row>
    <row r="11" spans="1:85" x14ac:dyDescent="0.25">
      <c r="A11" t="str">
        <f>PLANTILLA!D12</f>
        <v>W. Gelifini</v>
      </c>
      <c r="B11" s="355">
        <f>PLANTILLA!E12</f>
        <v>34</v>
      </c>
      <c r="C11" s="122">
        <f ca="1">PLANTILLA!F12</f>
        <v>0</v>
      </c>
      <c r="D11" s="355">
        <f>PLANTILLA!G12</f>
        <v>0</v>
      </c>
      <c r="E11" s="87">
        <v>36526</v>
      </c>
      <c r="F11" s="209">
        <f>PLANTILLA!P12</f>
        <v>1.5</v>
      </c>
      <c r="G11" s="210">
        <f>PLANTILLA!I12</f>
        <v>4.5</v>
      </c>
      <c r="H11" s="49">
        <f>PLANTILLA!X12</f>
        <v>0</v>
      </c>
      <c r="I11" s="49">
        <f>PLANTILLA!Y12</f>
        <v>5.6515555555555519</v>
      </c>
      <c r="J11" s="49">
        <f>PLANTILLA!Z12</f>
        <v>8.9499999999999993</v>
      </c>
      <c r="K11" s="49">
        <f>PLANTILLA!AA12</f>
        <v>6.95</v>
      </c>
      <c r="L11" s="49">
        <f>PLANTILLA!AB12</f>
        <v>9.2666666666666639</v>
      </c>
      <c r="M11" s="49">
        <f>PLANTILLA!AC12</f>
        <v>2.95</v>
      </c>
      <c r="N11" s="49">
        <f>PLANTILLA!AD12</f>
        <v>12.847222222222223</v>
      </c>
      <c r="O11" s="210">
        <f t="shared" si="0"/>
        <v>3.3981111111111098</v>
      </c>
      <c r="P11" s="210">
        <f t="shared" si="1"/>
        <v>9.6027717628135694</v>
      </c>
      <c r="Q11" s="210">
        <f t="shared" si="2"/>
        <v>0.53291666666666671</v>
      </c>
      <c r="R11" s="210">
        <f t="shared" si="3"/>
        <v>0.61147888888888879</v>
      </c>
      <c r="S11" s="210">
        <f t="shared" ca="1" si="4"/>
        <v>14.718172240589348</v>
      </c>
      <c r="T11" s="83">
        <f t="shared" si="5"/>
        <v>3.6296686993678327</v>
      </c>
      <c r="U11" s="83">
        <f t="shared" si="6"/>
        <v>5.4628075848230679</v>
      </c>
      <c r="V11" s="83">
        <f t="shared" si="7"/>
        <v>3.6296686993678327</v>
      </c>
      <c r="W11" s="83">
        <f t="shared" si="8"/>
        <v>4.1396128761441018</v>
      </c>
      <c r="X11" s="83">
        <f t="shared" si="9"/>
        <v>8.0225055739226772</v>
      </c>
      <c r="Y11" s="83">
        <f t="shared" si="10"/>
        <v>2.0698064380720509</v>
      </c>
      <c r="Z11" s="83">
        <f t="shared" si="11"/>
        <v>2.6943861043713757</v>
      </c>
      <c r="AA11" s="83">
        <f t="shared" si="12"/>
        <v>3.0325071069427718</v>
      </c>
      <c r="AB11" s="83">
        <f t="shared" si="13"/>
        <v>5.8002715299460954</v>
      </c>
      <c r="AC11" s="83">
        <f t="shared" si="14"/>
        <v>1.5162535534713859</v>
      </c>
      <c r="AD11" s="83">
        <f t="shared" si="15"/>
        <v>4.358565757071343</v>
      </c>
      <c r="AE11" s="362">
        <f t="shared" si="16"/>
        <v>7.3807051280088629</v>
      </c>
      <c r="AF11" s="83">
        <f t="shared" si="17"/>
        <v>3.3213173076039881</v>
      </c>
      <c r="AG11" s="83">
        <f t="shared" si="18"/>
        <v>1.89059865306731</v>
      </c>
      <c r="AH11" s="362">
        <f t="shared" si="19"/>
        <v>5.4807186107998689</v>
      </c>
      <c r="AI11" s="83">
        <f t="shared" si="20"/>
        <v>6.0489692027376982</v>
      </c>
      <c r="AJ11" s="83">
        <f t="shared" si="21"/>
        <v>5.6799339463372549</v>
      </c>
      <c r="AK11" s="83">
        <f t="shared" si="22"/>
        <v>2.5414347641784212</v>
      </c>
      <c r="AL11" s="83">
        <f t="shared" si="23"/>
        <v>1.6614896052897317</v>
      </c>
      <c r="AM11" s="83">
        <f t="shared" si="24"/>
        <v>2.1660765049591229</v>
      </c>
      <c r="AN11" s="83">
        <f t="shared" si="25"/>
        <v>4.7653683109100697</v>
      </c>
      <c r="AO11" s="83">
        <f t="shared" si="26"/>
        <v>1.0830382524795614</v>
      </c>
      <c r="AP11" s="83">
        <f t="shared" si="27"/>
        <v>10.686976817338564</v>
      </c>
      <c r="AQ11" s="83">
        <f t="shared" si="28"/>
        <v>1.5128901690543926</v>
      </c>
      <c r="AR11" s="83">
        <f t="shared" si="29"/>
        <v>2.3170383553815674</v>
      </c>
      <c r="AS11" s="83">
        <f t="shared" si="30"/>
        <v>0.75644508452719628</v>
      </c>
      <c r="AT11" s="83">
        <f t="shared" si="31"/>
        <v>1.5162535534713859</v>
      </c>
      <c r="AU11" s="83">
        <f t="shared" si="32"/>
        <v>3.2090022295690712</v>
      </c>
      <c r="AV11" s="83">
        <f t="shared" si="33"/>
        <v>0.75812677673569295</v>
      </c>
      <c r="AW11" s="83">
        <f t="shared" si="34"/>
        <v>11.320950018367125</v>
      </c>
      <c r="AX11" s="83">
        <f t="shared" si="35"/>
        <v>2.9443170213135486</v>
      </c>
      <c r="AY11" s="83">
        <f t="shared" si="36"/>
        <v>5.0858267934536183</v>
      </c>
      <c r="AZ11" s="83">
        <f t="shared" si="37"/>
        <v>1.4721585106567743</v>
      </c>
      <c r="BA11" s="83">
        <f t="shared" si="38"/>
        <v>2.3345491220114991</v>
      </c>
      <c r="BB11" s="83">
        <f t="shared" si="39"/>
        <v>2.7918319397250912</v>
      </c>
      <c r="BC11" s="83">
        <f t="shared" si="40"/>
        <v>9.9737569661814369</v>
      </c>
      <c r="BD11" s="83">
        <f t="shared" si="41"/>
        <v>9.0160745663283723</v>
      </c>
      <c r="BE11" s="83">
        <f t="shared" si="42"/>
        <v>2.8046656210931431</v>
      </c>
      <c r="BF11" s="83">
        <f t="shared" si="43"/>
        <v>3.8909152033524985</v>
      </c>
      <c r="BG11" s="83">
        <f t="shared" si="44"/>
        <v>2.1179414715155866</v>
      </c>
      <c r="BH11" s="83">
        <f t="shared" si="45"/>
        <v>4.3132819569978746</v>
      </c>
      <c r="BI11" s="83">
        <f t="shared" si="46"/>
        <v>8.6121603160528668</v>
      </c>
      <c r="BJ11" s="83">
        <f t="shared" si="47"/>
        <v>0.605156067621757</v>
      </c>
      <c r="BK11" s="83">
        <f t="shared" si="48"/>
        <v>1.4440510033060818</v>
      </c>
      <c r="BL11" s="83">
        <f t="shared" si="49"/>
        <v>0.54553037902674206</v>
      </c>
      <c r="BM11" s="83">
        <f t="shared" si="50"/>
        <v>3.4528897556019729</v>
      </c>
      <c r="BN11" s="83">
        <f t="shared" si="51"/>
        <v>12.649308390286787</v>
      </c>
      <c r="BO11" s="83">
        <f t="shared" si="52"/>
        <v>1.5710782524795617</v>
      </c>
      <c r="BP11" s="83">
        <f t="shared" si="53"/>
        <v>2.2783915829940402</v>
      </c>
      <c r="BQ11" s="83">
        <f t="shared" si="54"/>
        <v>1.9574913600371331</v>
      </c>
      <c r="BR11" s="83">
        <f t="shared" si="55"/>
        <v>5.1510322583570423</v>
      </c>
      <c r="BS11" s="83">
        <f t="shared" si="56"/>
        <v>10.89287928701744</v>
      </c>
      <c r="BT11" s="83">
        <f t="shared" si="57"/>
        <v>1.4081516188890884</v>
      </c>
      <c r="BU11" s="83">
        <f t="shared" si="58"/>
        <v>2.2783915829940402</v>
      </c>
      <c r="BV11" s="83">
        <f t="shared" si="59"/>
        <v>1.9574913600371331</v>
      </c>
      <c r="BW11" s="83">
        <f t="shared" si="60"/>
        <v>7.1435194615896558</v>
      </c>
      <c r="BX11" s="83">
        <f t="shared" si="61"/>
        <v>8.7893669331052422</v>
      </c>
      <c r="BY11" s="83">
        <f t="shared" si="62"/>
        <v>1.7223672693850007</v>
      </c>
      <c r="BZ11" s="83">
        <f t="shared" si="63"/>
        <v>4.596305707457053</v>
      </c>
      <c r="CA11" s="83">
        <f t="shared" si="64"/>
        <v>4.9273816262359373</v>
      </c>
      <c r="CB11" s="83">
        <f t="shared" si="65"/>
        <v>9.4213397206813809</v>
      </c>
      <c r="CC11" s="83">
        <f t="shared" si="66"/>
        <v>4.9273816262359373</v>
      </c>
      <c r="CD11" s="83">
        <f t="shared" si="67"/>
        <v>4.9659185281093858</v>
      </c>
      <c r="CE11" s="83">
        <f t="shared" si="68"/>
        <v>9.6152305751445937</v>
      </c>
      <c r="CF11" s="83">
        <f t="shared" si="69"/>
        <v>4.9659185281093858</v>
      </c>
      <c r="CG11" s="83">
        <f t="shared" si="70"/>
        <v>2.8302375045917811</v>
      </c>
    </row>
    <row r="12" spans="1:85" x14ac:dyDescent="0.25">
      <c r="A12" t="str">
        <f>PLANTILLA!D13</f>
        <v>I. Vanags</v>
      </c>
      <c r="B12" s="355">
        <f>PLANTILLA!E13</f>
        <v>18</v>
      </c>
      <c r="C12" s="122">
        <f ca="1">PLANTILLA!F13</f>
        <v>70</v>
      </c>
      <c r="D12" s="355" t="str">
        <f>PLANTILLA!G13</f>
        <v>CAB</v>
      </c>
      <c r="E12" s="87">
        <f>PLANTILLA!O13</f>
        <v>43626</v>
      </c>
      <c r="F12" s="209">
        <f ca="1">PLANTILLA!P13</f>
        <v>0.13672290211839563</v>
      </c>
      <c r="G12" s="210">
        <f>PLANTILLA!I13</f>
        <v>0.4</v>
      </c>
      <c r="H12" s="49">
        <f>PLANTILLA!X13</f>
        <v>0</v>
      </c>
      <c r="I12" s="49">
        <f>PLANTILLA!Y13</f>
        <v>4</v>
      </c>
      <c r="J12" s="49">
        <f>PLANTILLA!Z13</f>
        <v>7.4</v>
      </c>
      <c r="K12" s="49">
        <f>PLANTILLA!AA13</f>
        <v>3</v>
      </c>
      <c r="L12" s="49">
        <f>PLANTILLA!AB13</f>
        <v>4</v>
      </c>
      <c r="M12" s="49">
        <f>PLANTILLA!AC13</f>
        <v>7</v>
      </c>
      <c r="N12" s="49">
        <f>PLANTILLA!AD13</f>
        <v>6</v>
      </c>
      <c r="O12" s="210">
        <f t="shared" si="0"/>
        <v>1.875</v>
      </c>
      <c r="P12" s="210">
        <f t="shared" ca="1" si="1"/>
        <v>6.4495610547947173</v>
      </c>
      <c r="Q12" s="210">
        <f t="shared" si="2"/>
        <v>0.53</v>
      </c>
      <c r="R12" s="210">
        <f t="shared" si="3"/>
        <v>0.33999999999999997</v>
      </c>
      <c r="S12" s="210">
        <f t="shared" ca="1" si="4"/>
        <v>5.6807018854527458</v>
      </c>
      <c r="T12" s="83">
        <f t="shared" ca="1" si="5"/>
        <v>0.76015692345510788</v>
      </c>
      <c r="U12" s="83">
        <f t="shared" ca="1" si="6"/>
        <v>1.1915218650407149</v>
      </c>
      <c r="V12" s="83">
        <f t="shared" ca="1" si="7"/>
        <v>0.76015692345510788</v>
      </c>
      <c r="W12" s="83">
        <f t="shared" ca="1" si="8"/>
        <v>1.8607662915267305</v>
      </c>
      <c r="X12" s="83">
        <f t="shared" ca="1" si="9"/>
        <v>3.6061362238890124</v>
      </c>
      <c r="Y12" s="83">
        <f t="shared" ca="1" si="10"/>
        <v>0.93038314576336523</v>
      </c>
      <c r="Z12" s="83">
        <f t="shared" ca="1" si="11"/>
        <v>1.667460421285585</v>
      </c>
      <c r="AA12" s="83">
        <f t="shared" ca="1" si="12"/>
        <v>1.3631194926300467</v>
      </c>
      <c r="AB12" s="83">
        <f t="shared" ca="1" si="13"/>
        <v>2.6072364898717559</v>
      </c>
      <c r="AC12" s="83">
        <f t="shared" ca="1" si="14"/>
        <v>0.68155974631502336</v>
      </c>
      <c r="AD12" s="83">
        <f t="shared" ca="1" si="15"/>
        <v>2.6973624461972698</v>
      </c>
      <c r="AE12" s="362">
        <f t="shared" ca="1" si="16"/>
        <v>3.3176453259778915</v>
      </c>
      <c r="AF12" s="83">
        <f t="shared" ca="1" si="17"/>
        <v>1.4929403966900512</v>
      </c>
      <c r="AG12" s="83">
        <f t="shared" ca="1" si="18"/>
        <v>1.1700247493894651</v>
      </c>
      <c r="AH12" s="362">
        <f t="shared" ca="1" si="19"/>
        <v>1.5324080996467393</v>
      </c>
      <c r="AI12" s="83">
        <f t="shared" ca="1" si="20"/>
        <v>2.7190267128123153</v>
      </c>
      <c r="AJ12" s="83">
        <f t="shared" ca="1" si="21"/>
        <v>2.5531444465134205</v>
      </c>
      <c r="AK12" s="83">
        <f t="shared" ca="1" si="22"/>
        <v>0.93622474938946509</v>
      </c>
      <c r="AL12" s="83">
        <f t="shared" ca="1" si="23"/>
        <v>0.42656723248003553</v>
      </c>
      <c r="AM12" s="83">
        <f t="shared" ca="1" si="24"/>
        <v>0.97365678045003345</v>
      </c>
      <c r="AN12" s="83">
        <f t="shared" ca="1" si="25"/>
        <v>2.1420449169900735</v>
      </c>
      <c r="AO12" s="83">
        <f t="shared" ca="1" si="26"/>
        <v>0.48682839022501673</v>
      </c>
      <c r="AP12" s="83">
        <f t="shared" ca="1" si="27"/>
        <v>6.613792595351228</v>
      </c>
      <c r="AQ12" s="83">
        <f t="shared" ca="1" si="28"/>
        <v>0.46879770910557161</v>
      </c>
      <c r="AR12" s="83">
        <f t="shared" ca="1" si="29"/>
        <v>1.5755979135994806</v>
      </c>
      <c r="AS12" s="83">
        <f t="shared" ca="1" si="30"/>
        <v>0.23439885455278581</v>
      </c>
      <c r="AT12" s="83">
        <f t="shared" ca="1" si="31"/>
        <v>0.68155974631502336</v>
      </c>
      <c r="AU12" s="83">
        <f t="shared" ca="1" si="32"/>
        <v>1.4424544895556051</v>
      </c>
      <c r="AV12" s="83">
        <f t="shared" ca="1" si="33"/>
        <v>0.34077987315751168</v>
      </c>
      <c r="AW12" s="83">
        <f t="shared" ca="1" si="34"/>
        <v>7.0061362238890128</v>
      </c>
      <c r="AX12" s="83">
        <f t="shared" ca="1" si="35"/>
        <v>0.91235246464392017</v>
      </c>
      <c r="AY12" s="83">
        <f t="shared" ca="1" si="36"/>
        <v>2.6169810593628462</v>
      </c>
      <c r="AZ12" s="83">
        <f t="shared" ca="1" si="37"/>
        <v>0.45617623232196008</v>
      </c>
      <c r="BA12" s="83">
        <f t="shared" ca="1" si="38"/>
        <v>1.0493856411517026</v>
      </c>
      <c r="BB12" s="83">
        <f t="shared" ca="1" si="39"/>
        <v>1.2549354059133762</v>
      </c>
      <c r="BC12" s="83">
        <f t="shared" ca="1" si="40"/>
        <v>6.1724060132462206</v>
      </c>
      <c r="BD12" s="83">
        <f t="shared" ca="1" si="41"/>
        <v>2.6318551030373318</v>
      </c>
      <c r="BE12" s="83">
        <f t="shared" ca="1" si="42"/>
        <v>0.86907882995725194</v>
      </c>
      <c r="BF12" s="83">
        <f t="shared" ca="1" si="43"/>
        <v>1.7489760685861711</v>
      </c>
      <c r="BG12" s="83">
        <f t="shared" ca="1" si="44"/>
        <v>0.95201996310669934</v>
      </c>
      <c r="BH12" s="83">
        <f t="shared" ca="1" si="45"/>
        <v>2.6693379013017138</v>
      </c>
      <c r="BI12" s="83">
        <f t="shared" ca="1" si="46"/>
        <v>2.4787630596789971</v>
      </c>
      <c r="BJ12" s="83">
        <f t="shared" ca="1" si="47"/>
        <v>0.18751908364222863</v>
      </c>
      <c r="BK12" s="83">
        <f t="shared" ca="1" si="48"/>
        <v>0.64910452030002219</v>
      </c>
      <c r="BL12" s="83">
        <f t="shared" ca="1" si="49"/>
        <v>0.24521726322445286</v>
      </c>
      <c r="BM12" s="83">
        <f t="shared" ca="1" si="50"/>
        <v>2.1368715482861487</v>
      </c>
      <c r="BN12" s="83">
        <f t="shared" ca="1" si="51"/>
        <v>3.63749118392127</v>
      </c>
      <c r="BO12" s="83">
        <f t="shared" ca="1" si="52"/>
        <v>0.48682839022501673</v>
      </c>
      <c r="BP12" s="83">
        <f t="shared" ca="1" si="53"/>
        <v>1.0241426875844795</v>
      </c>
      <c r="BQ12" s="83">
        <f t="shared" ca="1" si="54"/>
        <v>0.879897238628919</v>
      </c>
      <c r="BR12" s="83">
        <f t="shared" ca="1" si="55"/>
        <v>3.1877919818695011</v>
      </c>
      <c r="BS12" s="83">
        <f t="shared" ca="1" si="56"/>
        <v>3.1315989360690257</v>
      </c>
      <c r="BT12" s="83">
        <f t="shared" ca="1" si="57"/>
        <v>0.4363424830905705</v>
      </c>
      <c r="BU12" s="83">
        <f t="shared" ca="1" si="58"/>
        <v>1.0241426875844795</v>
      </c>
      <c r="BV12" s="83">
        <f t="shared" ca="1" si="59"/>
        <v>0.879897238628919</v>
      </c>
      <c r="BW12" s="83">
        <f t="shared" ca="1" si="60"/>
        <v>4.4208719572739668</v>
      </c>
      <c r="BX12" s="83">
        <f t="shared" ca="1" si="61"/>
        <v>2.5254919203806661</v>
      </c>
      <c r="BY12" s="83">
        <f t="shared" ca="1" si="62"/>
        <v>0.53370816113557384</v>
      </c>
      <c r="BZ12" s="83">
        <f t="shared" ca="1" si="63"/>
        <v>2.8444913068989393</v>
      </c>
      <c r="CA12" s="83">
        <f t="shared" ca="1" si="64"/>
        <v>2.1157969726461756</v>
      </c>
      <c r="CB12" s="83">
        <f t="shared" ca="1" si="65"/>
        <v>5.8095093880990278</v>
      </c>
      <c r="CC12" s="83">
        <f t="shared" ca="1" si="66"/>
        <v>2.1157969726461756</v>
      </c>
      <c r="CD12" s="83">
        <f t="shared" ca="1" si="67"/>
        <v>3.0300749129320721</v>
      </c>
      <c r="CE12" s="83">
        <f t="shared" ca="1" si="68"/>
        <v>7.9368004905040586</v>
      </c>
      <c r="CF12" s="83">
        <f t="shared" ca="1" si="69"/>
        <v>3.0300749129320721</v>
      </c>
      <c r="CG12" s="83">
        <f t="shared" ca="1" si="70"/>
        <v>1.7515340559722532</v>
      </c>
    </row>
    <row r="13" spans="1:85" x14ac:dyDescent="0.25">
      <c r="A13" t="str">
        <f>PLANTILLA!D14</f>
        <v>I. Stone</v>
      </c>
      <c r="B13" s="355">
        <f>PLANTILLA!E14</f>
        <v>18</v>
      </c>
      <c r="C13" s="122">
        <f ca="1">PLANTILLA!F14</f>
        <v>13</v>
      </c>
      <c r="D13" s="355" t="str">
        <f>PLANTILLA!G14</f>
        <v>RAP</v>
      </c>
      <c r="E13" s="87">
        <f>PLANTILLA!O14</f>
        <v>43633</v>
      </c>
      <c r="F13" s="209">
        <f ca="1">PLANTILLA!P14</f>
        <v>9.1436681135175488E-2</v>
      </c>
      <c r="G13" s="210">
        <f>PLANTILLA!I14</f>
        <v>1.2</v>
      </c>
      <c r="H13" s="49">
        <f>PLANTILLA!X14</f>
        <v>0</v>
      </c>
      <c r="I13" s="49">
        <f>PLANTILLA!Y14</f>
        <v>3</v>
      </c>
      <c r="J13" s="49">
        <f>PLANTILLA!Z14</f>
        <v>5.25</v>
      </c>
      <c r="K13" s="49">
        <f>PLANTILLA!AA14</f>
        <v>2</v>
      </c>
      <c r="L13" s="49">
        <f>PLANTILLA!AB14</f>
        <v>6</v>
      </c>
      <c r="M13" s="49">
        <f>PLANTILLA!AC14</f>
        <v>9</v>
      </c>
      <c r="N13" s="49">
        <f>PLANTILLA!AD14</f>
        <v>2</v>
      </c>
      <c r="O13" s="210">
        <f t="shared" si="0"/>
        <v>2.25</v>
      </c>
      <c r="P13" s="210">
        <f t="shared" ca="1" si="1"/>
        <v>8.8753958036624052</v>
      </c>
      <c r="Q13" s="210">
        <f t="shared" si="2"/>
        <v>0.51</v>
      </c>
      <c r="R13" s="210">
        <f t="shared" si="3"/>
        <v>0.18000000000000002</v>
      </c>
      <c r="S13" s="210">
        <f t="shared" ca="1" si="4"/>
        <v>2.2598783446922583</v>
      </c>
      <c r="T13" s="83">
        <f t="shared" ca="1" si="5"/>
        <v>0.99999119303044359</v>
      </c>
      <c r="U13" s="83">
        <f t="shared" ca="1" si="6"/>
        <v>1.5293420735421566</v>
      </c>
      <c r="V13" s="83">
        <f t="shared" ca="1" si="7"/>
        <v>0.99999119303044359</v>
      </c>
      <c r="W13" s="83">
        <f t="shared" ca="1" si="8"/>
        <v>1.6496580247465167</v>
      </c>
      <c r="X13" s="83">
        <f t="shared" ca="1" si="9"/>
        <v>3.1970116758653422</v>
      </c>
      <c r="Y13" s="83">
        <f t="shared" ca="1" si="10"/>
        <v>0.82482901237325834</v>
      </c>
      <c r="Z13" s="83">
        <f t="shared" ca="1" si="11"/>
        <v>1.2963887788559514</v>
      </c>
      <c r="AA13" s="83">
        <f t="shared" ca="1" si="12"/>
        <v>1.2084704134770994</v>
      </c>
      <c r="AB13" s="83">
        <f t="shared" ca="1" si="13"/>
        <v>2.3114394416506423</v>
      </c>
      <c r="AC13" s="83">
        <f t="shared" ca="1" si="14"/>
        <v>0.60423520673854969</v>
      </c>
      <c r="AD13" s="83">
        <f t="shared" ca="1" si="15"/>
        <v>2.0970994952081567</v>
      </c>
      <c r="AE13" s="362">
        <f t="shared" ca="1" si="16"/>
        <v>2.9412507417961149</v>
      </c>
      <c r="AF13" s="83">
        <f t="shared" ca="1" si="17"/>
        <v>1.3235628338082517</v>
      </c>
      <c r="AG13" s="83">
        <f t="shared" ca="1" si="18"/>
        <v>0.90965094986951223</v>
      </c>
      <c r="AH13" s="362">
        <f t="shared" ca="1" si="19"/>
        <v>1.2918428654088212</v>
      </c>
      <c r="AI13" s="83">
        <f t="shared" ca="1" si="20"/>
        <v>2.4105468036024682</v>
      </c>
      <c r="AJ13" s="83">
        <f t="shared" ca="1" si="21"/>
        <v>2.2634842665126622</v>
      </c>
      <c r="AK13" s="83">
        <f t="shared" ca="1" si="22"/>
        <v>0.36690094986951216</v>
      </c>
      <c r="AL13" s="83">
        <f t="shared" ca="1" si="23"/>
        <v>0.70473936264921855</v>
      </c>
      <c r="AM13" s="83">
        <f t="shared" ca="1" si="24"/>
        <v>0.86319315248364248</v>
      </c>
      <c r="AN13" s="83">
        <f t="shared" ca="1" si="25"/>
        <v>1.8990249354640132</v>
      </c>
      <c r="AO13" s="83">
        <f t="shared" ca="1" si="26"/>
        <v>0.43159657624182124</v>
      </c>
      <c r="AP13" s="83">
        <f t="shared" ca="1" si="27"/>
        <v>5.1419790220168826</v>
      </c>
      <c r="AQ13" s="83">
        <f t="shared" ca="1" si="28"/>
        <v>0.80561151786249452</v>
      </c>
      <c r="AR13" s="83">
        <f t="shared" ca="1" si="29"/>
        <v>2.3347244210285449</v>
      </c>
      <c r="AS13" s="83">
        <f t="shared" ca="1" si="30"/>
        <v>0.40280575893124726</v>
      </c>
      <c r="AT13" s="83">
        <f t="shared" ca="1" si="31"/>
        <v>0.60423520673854969</v>
      </c>
      <c r="AU13" s="83">
        <f t="shared" ca="1" si="32"/>
        <v>1.2788046703461369</v>
      </c>
      <c r="AV13" s="83">
        <f t="shared" ca="1" si="33"/>
        <v>0.30211760336927485</v>
      </c>
      <c r="AW13" s="83">
        <f t="shared" ca="1" si="34"/>
        <v>5.4470116758653422</v>
      </c>
      <c r="AX13" s="83">
        <f t="shared" ca="1" si="35"/>
        <v>1.5678439539939315</v>
      </c>
      <c r="AY13" s="83">
        <f t="shared" ca="1" si="36"/>
        <v>4.0445534334018038</v>
      </c>
      <c r="AZ13" s="83">
        <f t="shared" ca="1" si="37"/>
        <v>0.78392197699696575</v>
      </c>
      <c r="BA13" s="83">
        <f t="shared" ca="1" si="38"/>
        <v>0.93033039767681447</v>
      </c>
      <c r="BB13" s="83">
        <f t="shared" ca="1" si="39"/>
        <v>1.112560063201139</v>
      </c>
      <c r="BC13" s="83">
        <f t="shared" ca="1" si="40"/>
        <v>4.7988172864373668</v>
      </c>
      <c r="BD13" s="83">
        <f t="shared" ca="1" si="41"/>
        <v>3.213143379844289</v>
      </c>
      <c r="BE13" s="83">
        <f t="shared" ca="1" si="42"/>
        <v>1.4934798138835474</v>
      </c>
      <c r="BF13" s="83">
        <f t="shared" ca="1" si="43"/>
        <v>1.550550662794691</v>
      </c>
      <c r="BG13" s="83">
        <f t="shared" ca="1" si="44"/>
        <v>0.84401108242845035</v>
      </c>
      <c r="BH13" s="83">
        <f t="shared" ca="1" si="45"/>
        <v>2.0753114485046953</v>
      </c>
      <c r="BI13" s="83">
        <f t="shared" ca="1" si="46"/>
        <v>2.7241882047063095</v>
      </c>
      <c r="BJ13" s="83">
        <f t="shared" ca="1" si="47"/>
        <v>0.32224460714499775</v>
      </c>
      <c r="BK13" s="83">
        <f t="shared" ca="1" si="48"/>
        <v>0.57546210165576162</v>
      </c>
      <c r="BL13" s="83">
        <f t="shared" ca="1" si="49"/>
        <v>0.21739679395884329</v>
      </c>
      <c r="BM13" s="83">
        <f t="shared" ca="1" si="50"/>
        <v>1.6613385611389293</v>
      </c>
      <c r="BN13" s="83">
        <f t="shared" ca="1" si="51"/>
        <v>3.9693570151628297</v>
      </c>
      <c r="BO13" s="83">
        <f t="shared" ca="1" si="52"/>
        <v>0.83659657624182127</v>
      </c>
      <c r="BP13" s="83">
        <f t="shared" ca="1" si="53"/>
        <v>0.90795131594575706</v>
      </c>
      <c r="BQ13" s="83">
        <f t="shared" ca="1" si="54"/>
        <v>0.78007084891114342</v>
      </c>
      <c r="BR13" s="83">
        <f t="shared" ca="1" si="55"/>
        <v>2.478390312518731</v>
      </c>
      <c r="BS13" s="83">
        <f t="shared" ca="1" si="56"/>
        <v>3.410288936858799</v>
      </c>
      <c r="BT13" s="83">
        <f t="shared" ca="1" si="57"/>
        <v>0.74983841277970642</v>
      </c>
      <c r="BU13" s="83">
        <f t="shared" ca="1" si="58"/>
        <v>0.90795131594575706</v>
      </c>
      <c r="BV13" s="83">
        <f t="shared" ca="1" si="59"/>
        <v>0.78007084891114342</v>
      </c>
      <c r="BW13" s="83">
        <f t="shared" ca="1" si="60"/>
        <v>3.4370643674710308</v>
      </c>
      <c r="BX13" s="83">
        <f t="shared" ca="1" si="61"/>
        <v>2.7383254498994809</v>
      </c>
      <c r="BY13" s="83">
        <f t="shared" ca="1" si="62"/>
        <v>0.91715772802807061</v>
      </c>
      <c r="BZ13" s="83">
        <f t="shared" ca="1" si="63"/>
        <v>2.211486740401329</v>
      </c>
      <c r="CA13" s="83">
        <f t="shared" ca="1" si="64"/>
        <v>3.0336430831258432</v>
      </c>
      <c r="CB13" s="83">
        <f t="shared" ca="1" si="65"/>
        <v>8.7268351470243744</v>
      </c>
      <c r="CC13" s="83">
        <f t="shared" ca="1" si="66"/>
        <v>3.0336430831258432</v>
      </c>
      <c r="CD13" s="83">
        <f t="shared" ca="1" si="67"/>
        <v>3.992964736968962</v>
      </c>
      <c r="CE13" s="83">
        <f t="shared" ca="1" si="68"/>
        <v>11.483708984259652</v>
      </c>
      <c r="CF13" s="83">
        <f t="shared" ca="1" si="69"/>
        <v>3.992964736968962</v>
      </c>
      <c r="CG13" s="83">
        <f t="shared" ca="1" si="70"/>
        <v>1.3617529189663355</v>
      </c>
    </row>
    <row r="14" spans="1:85" x14ac:dyDescent="0.25">
      <c r="A14" t="str">
        <f>PLANTILLA!D15</f>
        <v>G. Piscaer</v>
      </c>
      <c r="B14" s="355">
        <f>PLANTILLA!E15</f>
        <v>18</v>
      </c>
      <c r="C14" s="122">
        <f ca="1">PLANTILLA!F15</f>
        <v>86</v>
      </c>
      <c r="D14" s="355" t="str">
        <f>PLANTILLA!G15</f>
        <v>IMP</v>
      </c>
      <c r="E14" s="87">
        <f>PLANTILLA!O15</f>
        <v>43630</v>
      </c>
      <c r="F14" s="209">
        <f ca="1">PLANTILLA!P15</f>
        <v>0.11210737430592951</v>
      </c>
      <c r="G14" s="210">
        <f>PLANTILLA!I15</f>
        <v>1.8</v>
      </c>
      <c r="H14" s="49">
        <f>PLANTILLA!X15</f>
        <v>0</v>
      </c>
      <c r="I14" s="49">
        <f>PLANTILLA!Y15</f>
        <v>4</v>
      </c>
      <c r="J14" s="49">
        <f>PLANTILLA!Z15</f>
        <v>8.1999999999999993</v>
      </c>
      <c r="K14" s="49">
        <f>PLANTILLA!AA15</f>
        <v>3</v>
      </c>
      <c r="L14" s="49">
        <f>PLANTILLA!AB15</f>
        <v>2</v>
      </c>
      <c r="M14" s="49">
        <f>PLANTILLA!AC15</f>
        <v>8</v>
      </c>
      <c r="N14" s="49">
        <f>PLANTILLA!AD15</f>
        <v>0</v>
      </c>
      <c r="O14" s="210">
        <f t="shared" si="0"/>
        <v>1.375</v>
      </c>
      <c r="P14" s="210">
        <f t="shared" ca="1" si="1"/>
        <v>6.6799602789205146</v>
      </c>
      <c r="Q14" s="210">
        <f t="shared" si="2"/>
        <v>0.4</v>
      </c>
      <c r="R14" s="210">
        <f t="shared" si="3"/>
        <v>0.16</v>
      </c>
      <c r="S14" s="210">
        <f t="shared" ca="1" si="4"/>
        <v>0.52130005625167786</v>
      </c>
      <c r="T14" s="83">
        <f t="shared" ca="1" si="5"/>
        <v>1.4990069337093246</v>
      </c>
      <c r="U14" s="83">
        <f t="shared" ca="1" si="6"/>
        <v>2.2841396923467787</v>
      </c>
      <c r="V14" s="83">
        <f t="shared" ca="1" si="7"/>
        <v>1.4990069337093246</v>
      </c>
      <c r="W14" s="83">
        <f t="shared" ca="1" si="8"/>
        <v>2.2974748886529341</v>
      </c>
      <c r="X14" s="83">
        <f t="shared" ca="1" si="9"/>
        <v>4.4524707144436704</v>
      </c>
      <c r="Y14" s="83">
        <f t="shared" ca="1" si="10"/>
        <v>1.1487374443264671</v>
      </c>
      <c r="Z14" s="83">
        <f t="shared" ca="1" si="11"/>
        <v>2.0592880300375938</v>
      </c>
      <c r="AA14" s="83">
        <f t="shared" ca="1" si="12"/>
        <v>1.6830339300597075</v>
      </c>
      <c r="AB14" s="83">
        <f t="shared" ca="1" si="13"/>
        <v>3.2191363265427735</v>
      </c>
      <c r="AC14" s="83">
        <f t="shared" ca="1" si="14"/>
        <v>0.84151696502985374</v>
      </c>
      <c r="AD14" s="83">
        <f t="shared" ca="1" si="15"/>
        <v>3.3312012250608136</v>
      </c>
      <c r="AE14" s="362">
        <f t="shared" ca="1" si="16"/>
        <v>4.0962730572881769</v>
      </c>
      <c r="AF14" s="83">
        <f t="shared" ca="1" si="17"/>
        <v>1.8433228757796793</v>
      </c>
      <c r="AG14" s="83">
        <f t="shared" ca="1" si="18"/>
        <v>1.4449626093120933</v>
      </c>
      <c r="AH14" s="362">
        <f t="shared" ca="1" si="19"/>
        <v>2.0300527800928783</v>
      </c>
      <c r="AI14" s="83">
        <f t="shared" ca="1" si="20"/>
        <v>3.3571629186905274</v>
      </c>
      <c r="AJ14" s="83">
        <f t="shared" ca="1" si="21"/>
        <v>3.1523492658261185</v>
      </c>
      <c r="AK14" s="83">
        <f t="shared" ca="1" si="22"/>
        <v>7.5562609312093049E-2</v>
      </c>
      <c r="AL14" s="83">
        <f t="shared" ca="1" si="23"/>
        <v>0.52631156575977722</v>
      </c>
      <c r="AM14" s="83">
        <f t="shared" ca="1" si="24"/>
        <v>1.2021670928997912</v>
      </c>
      <c r="AN14" s="83">
        <f t="shared" ca="1" si="25"/>
        <v>2.6447676043795401</v>
      </c>
      <c r="AO14" s="83">
        <f t="shared" ca="1" si="26"/>
        <v>0.60108354644989559</v>
      </c>
      <c r="AP14" s="83">
        <f t="shared" ca="1" si="27"/>
        <v>8.167932354434825</v>
      </c>
      <c r="AQ14" s="83">
        <f t="shared" ca="1" si="28"/>
        <v>0.31882119287767724</v>
      </c>
      <c r="AR14" s="83">
        <f t="shared" ca="1" si="29"/>
        <v>1.7565739193319956</v>
      </c>
      <c r="AS14" s="83">
        <f t="shared" ca="1" si="30"/>
        <v>0.15941059643883862</v>
      </c>
      <c r="AT14" s="83">
        <f t="shared" ca="1" si="31"/>
        <v>0.84151696502985374</v>
      </c>
      <c r="AU14" s="83">
        <f t="shared" ca="1" si="32"/>
        <v>1.7809882857774681</v>
      </c>
      <c r="AV14" s="83">
        <f t="shared" ca="1" si="33"/>
        <v>0.42075848251492687</v>
      </c>
      <c r="AW14" s="83">
        <f t="shared" ca="1" si="34"/>
        <v>8.6524707144436714</v>
      </c>
      <c r="AX14" s="83">
        <f t="shared" ca="1" si="35"/>
        <v>0.62047509075424867</v>
      </c>
      <c r="AY14" s="83">
        <f t="shared" ca="1" si="36"/>
        <v>2.6113113636584631</v>
      </c>
      <c r="AZ14" s="83">
        <f t="shared" ca="1" si="37"/>
        <v>0.31023754537712434</v>
      </c>
      <c r="BA14" s="83">
        <f t="shared" ca="1" si="38"/>
        <v>1.2956689779031081</v>
      </c>
      <c r="BB14" s="83">
        <f t="shared" ca="1" si="39"/>
        <v>1.5494598086263971</v>
      </c>
      <c r="BC14" s="83">
        <f t="shared" ca="1" si="40"/>
        <v>7.6228266994248743</v>
      </c>
      <c r="BD14" s="83">
        <f t="shared" ca="1" si="41"/>
        <v>2.7542464651404233</v>
      </c>
      <c r="BE14" s="83">
        <f t="shared" ca="1" si="42"/>
        <v>0.5910454421809247</v>
      </c>
      <c r="BF14" s="83">
        <f t="shared" ca="1" si="43"/>
        <v>2.1594482965051802</v>
      </c>
      <c r="BG14" s="83">
        <f t="shared" ca="1" si="44"/>
        <v>1.175452268613129</v>
      </c>
      <c r="BH14" s="83">
        <f t="shared" ca="1" si="45"/>
        <v>3.2965913422030391</v>
      </c>
      <c r="BI14" s="83">
        <f t="shared" ca="1" si="46"/>
        <v>2.8164594044237687</v>
      </c>
      <c r="BJ14" s="83">
        <f t="shared" ca="1" si="47"/>
        <v>0.12752847715107088</v>
      </c>
      <c r="BK14" s="83">
        <f t="shared" ca="1" si="48"/>
        <v>0.8014447285998606</v>
      </c>
      <c r="BL14" s="83">
        <f t="shared" ca="1" si="49"/>
        <v>0.30276800858216962</v>
      </c>
      <c r="BM14" s="83">
        <f t="shared" ca="1" si="50"/>
        <v>2.6390035679053199</v>
      </c>
      <c r="BN14" s="83">
        <f t="shared" ca="1" si="51"/>
        <v>4.1538773387745609</v>
      </c>
      <c r="BO14" s="83">
        <f t="shared" ca="1" si="52"/>
        <v>0.33108354644989557</v>
      </c>
      <c r="BP14" s="83">
        <f t="shared" ca="1" si="53"/>
        <v>1.2645016829020024</v>
      </c>
      <c r="BQ14" s="83">
        <f t="shared" ca="1" si="54"/>
        <v>1.0864028543242557</v>
      </c>
      <c r="BR14" s="83">
        <f t="shared" ca="1" si="55"/>
        <v>3.9368741750718708</v>
      </c>
      <c r="BS14" s="83">
        <f t="shared" ca="1" si="56"/>
        <v>3.5813375516035872</v>
      </c>
      <c r="BT14" s="83">
        <f t="shared" ca="1" si="57"/>
        <v>0.29674895644768418</v>
      </c>
      <c r="BU14" s="83">
        <f t="shared" ca="1" si="58"/>
        <v>1.2645016829020024</v>
      </c>
      <c r="BV14" s="83">
        <f t="shared" ca="1" si="59"/>
        <v>1.0864028543242557</v>
      </c>
      <c r="BW14" s="83">
        <f t="shared" ca="1" si="60"/>
        <v>5.4597090208139569</v>
      </c>
      <c r="BX14" s="83">
        <f t="shared" ca="1" si="61"/>
        <v>2.8969612894270851</v>
      </c>
      <c r="BY14" s="83">
        <f t="shared" ca="1" si="62"/>
        <v>0.36296566573766326</v>
      </c>
      <c r="BZ14" s="83">
        <f t="shared" ca="1" si="63"/>
        <v>3.5129031100641308</v>
      </c>
      <c r="CA14" s="83">
        <f t="shared" ca="1" si="64"/>
        <v>2.1837372422251526</v>
      </c>
      <c r="CB14" s="83">
        <f t="shared" ca="1" si="65"/>
        <v>6.2594820244635736</v>
      </c>
      <c r="CC14" s="83">
        <f t="shared" ca="1" si="66"/>
        <v>2.1837372422251526</v>
      </c>
      <c r="CD14" s="83">
        <f t="shared" ca="1" si="67"/>
        <v>3.5397413377788651</v>
      </c>
      <c r="CE14" s="83">
        <f t="shared" ca="1" si="68"/>
        <v>9.3574324080733859</v>
      </c>
      <c r="CF14" s="83">
        <f t="shared" ca="1" si="69"/>
        <v>3.5397413377788651</v>
      </c>
      <c r="CG14" s="83">
        <f t="shared" ca="1" si="70"/>
        <v>2.1631176786109179</v>
      </c>
    </row>
    <row r="15" spans="1:85" x14ac:dyDescent="0.25">
      <c r="A15" t="str">
        <f>PLANTILLA!D16</f>
        <v>M. Bondarewski</v>
      </c>
      <c r="B15" s="355">
        <f>PLANTILLA!E16</f>
        <v>18</v>
      </c>
      <c r="C15" s="122">
        <f ca="1">PLANTILLA!F16</f>
        <v>86</v>
      </c>
      <c r="D15" s="355" t="str">
        <f>PLANTILLA!G16</f>
        <v>RAP</v>
      </c>
      <c r="E15" s="87">
        <f>PLANTILLA!O16</f>
        <v>43627</v>
      </c>
      <c r="F15" s="209">
        <f ca="1">PLANTILLA!P16</f>
        <v>0.13081718674960124</v>
      </c>
      <c r="G15" s="210">
        <f>PLANTILLA!I16</f>
        <v>1.6</v>
      </c>
      <c r="H15" s="49">
        <f>PLANTILLA!X16</f>
        <v>0</v>
      </c>
      <c r="I15" s="49">
        <f>PLANTILLA!Y16</f>
        <v>2</v>
      </c>
      <c r="J15" s="49">
        <f>PLANTILLA!Z16</f>
        <v>8.4</v>
      </c>
      <c r="K15" s="49">
        <f>PLANTILLA!AA16</f>
        <v>5</v>
      </c>
      <c r="L15" s="49">
        <f>PLANTILLA!AB16</f>
        <v>4</v>
      </c>
      <c r="M15" s="49">
        <f>PLANTILLA!AC16</f>
        <v>8</v>
      </c>
      <c r="N15" s="49">
        <f>PLANTILLA!AD16</f>
        <v>6</v>
      </c>
      <c r="O15" s="210">
        <f t="shared" si="0"/>
        <v>1.625</v>
      </c>
      <c r="P15" s="210">
        <f t="shared" ca="1" si="1"/>
        <v>9.87057953160941</v>
      </c>
      <c r="Q15" s="210">
        <f t="shared" si="2"/>
        <v>0.57999999999999996</v>
      </c>
      <c r="R15" s="210">
        <f t="shared" si="3"/>
        <v>0.25999999999999995</v>
      </c>
      <c r="S15" s="210">
        <f t="shared" ca="1" si="4"/>
        <v>6.476284122106498</v>
      </c>
      <c r="T15" s="83">
        <f t="shared" ca="1" si="5"/>
        <v>0.9037990638438983</v>
      </c>
      <c r="U15" s="83">
        <f t="shared" ca="1" si="6"/>
        <v>1.3702435182388002</v>
      </c>
      <c r="V15" s="83">
        <f t="shared" ca="1" si="7"/>
        <v>0.9037990638438983</v>
      </c>
      <c r="W15" s="83">
        <f t="shared" ca="1" si="8"/>
        <v>1.2399362164300705</v>
      </c>
      <c r="X15" s="83">
        <f t="shared" ca="1" si="9"/>
        <v>2.4029771636241675</v>
      </c>
      <c r="Y15" s="83">
        <f t="shared" ca="1" si="10"/>
        <v>0.61996810821503523</v>
      </c>
      <c r="Z15" s="83">
        <f t="shared" ca="1" si="11"/>
        <v>2.0951085649425516</v>
      </c>
      <c r="AA15" s="83">
        <f t="shared" ca="1" si="12"/>
        <v>0.90832536784993534</v>
      </c>
      <c r="AB15" s="83">
        <f t="shared" ca="1" si="13"/>
        <v>1.737352489300273</v>
      </c>
      <c r="AC15" s="83">
        <f t="shared" ca="1" si="14"/>
        <v>0.45416268392496767</v>
      </c>
      <c r="AD15" s="83">
        <f t="shared" ca="1" si="15"/>
        <v>3.3891462079953043</v>
      </c>
      <c r="AE15" s="362">
        <f t="shared" ca="1" si="16"/>
        <v>2.2107389905342343</v>
      </c>
      <c r="AF15" s="83">
        <f t="shared" ca="1" si="17"/>
        <v>0.99483254574040525</v>
      </c>
      <c r="AG15" s="83">
        <f t="shared" ca="1" si="18"/>
        <v>1.4700971863252359</v>
      </c>
      <c r="AH15" s="362">
        <f t="shared" ca="1" si="19"/>
        <v>3.1769505722110103</v>
      </c>
      <c r="AI15" s="83">
        <f t="shared" ca="1" si="20"/>
        <v>1.8118447813726222</v>
      </c>
      <c r="AJ15" s="83">
        <f t="shared" ca="1" si="21"/>
        <v>1.7013078318459105</v>
      </c>
      <c r="AK15" s="83">
        <f t="shared" ca="1" si="22"/>
        <v>1.0692971863252361</v>
      </c>
      <c r="AL15" s="83">
        <f t="shared" ca="1" si="23"/>
        <v>0.58405742312376019</v>
      </c>
      <c r="AM15" s="83">
        <f t="shared" ca="1" si="24"/>
        <v>0.64880383417852527</v>
      </c>
      <c r="AN15" s="83">
        <f t="shared" ca="1" si="25"/>
        <v>1.4273684351927554</v>
      </c>
      <c r="AO15" s="83">
        <f t="shared" ca="1" si="26"/>
        <v>0.32440191708926264</v>
      </c>
      <c r="AP15" s="83">
        <f t="shared" ca="1" si="27"/>
        <v>8.3100104424612127</v>
      </c>
      <c r="AQ15" s="83">
        <f t="shared" ca="1" si="28"/>
        <v>0.57238703127114177</v>
      </c>
      <c r="AR15" s="83">
        <f t="shared" ca="1" si="29"/>
        <v>1.982072308941881</v>
      </c>
      <c r="AS15" s="83">
        <f t="shared" ca="1" si="30"/>
        <v>0.28619351563557088</v>
      </c>
      <c r="AT15" s="83">
        <f t="shared" ca="1" si="31"/>
        <v>0.45416268392496767</v>
      </c>
      <c r="AU15" s="83">
        <f t="shared" ca="1" si="32"/>
        <v>0.96119086544966703</v>
      </c>
      <c r="AV15" s="83">
        <f t="shared" ca="1" si="33"/>
        <v>0.22708134196248383</v>
      </c>
      <c r="AW15" s="83">
        <f t="shared" ca="1" si="34"/>
        <v>8.8029771636241669</v>
      </c>
      <c r="AX15" s="83">
        <f t="shared" ca="1" si="35"/>
        <v>1.1139532223969144</v>
      </c>
      <c r="AY15" s="83">
        <f t="shared" ca="1" si="36"/>
        <v>3.2660404171569164</v>
      </c>
      <c r="AZ15" s="83">
        <f t="shared" ca="1" si="37"/>
        <v>0.55697661119845721</v>
      </c>
      <c r="BA15" s="83">
        <f t="shared" ca="1" si="38"/>
        <v>0.69926635461463271</v>
      </c>
      <c r="BB15" s="83">
        <f t="shared" ca="1" si="39"/>
        <v>0.83623605294121017</v>
      </c>
      <c r="BC15" s="83">
        <f t="shared" ca="1" si="40"/>
        <v>7.7554228811528914</v>
      </c>
      <c r="BD15" s="83">
        <f t="shared" ca="1" si="41"/>
        <v>4.4882466984618841</v>
      </c>
      <c r="BE15" s="83">
        <f t="shared" ca="1" si="42"/>
        <v>1.0611174964334242</v>
      </c>
      <c r="BF15" s="83">
        <f t="shared" ca="1" si="43"/>
        <v>1.1654439243577213</v>
      </c>
      <c r="BG15" s="83">
        <f t="shared" ca="1" si="44"/>
        <v>0.6343859711967802</v>
      </c>
      <c r="BH15" s="83">
        <f t="shared" ca="1" si="45"/>
        <v>3.3539342993408074</v>
      </c>
      <c r="BI15" s="83">
        <f t="shared" ca="1" si="46"/>
        <v>4.5212020410075224</v>
      </c>
      <c r="BJ15" s="83">
        <f t="shared" ca="1" si="47"/>
        <v>0.2289548125084567</v>
      </c>
      <c r="BK15" s="83">
        <f t="shared" ca="1" si="48"/>
        <v>0.43253588945235011</v>
      </c>
      <c r="BL15" s="83">
        <f t="shared" ca="1" si="49"/>
        <v>0.16340244712644339</v>
      </c>
      <c r="BM15" s="83">
        <f t="shared" ca="1" si="50"/>
        <v>2.6849080349053707</v>
      </c>
      <c r="BN15" s="83">
        <f t="shared" ca="1" si="51"/>
        <v>6.6622286324206792</v>
      </c>
      <c r="BO15" s="83">
        <f t="shared" ca="1" si="52"/>
        <v>0.5944019170892626</v>
      </c>
      <c r="BP15" s="83">
        <f t="shared" ca="1" si="53"/>
        <v>0.68244551446926349</v>
      </c>
      <c r="BQ15" s="83">
        <f t="shared" ca="1" si="54"/>
        <v>0.5863264279242969</v>
      </c>
      <c r="BR15" s="83">
        <f t="shared" ca="1" si="55"/>
        <v>4.0053546094489958</v>
      </c>
      <c r="BS15" s="83">
        <f t="shared" ca="1" si="56"/>
        <v>5.742498697295578</v>
      </c>
      <c r="BT15" s="83">
        <f t="shared" ca="1" si="57"/>
        <v>0.53276023679852424</v>
      </c>
      <c r="BU15" s="83">
        <f t="shared" ca="1" si="58"/>
        <v>0.68244551446926349</v>
      </c>
      <c r="BV15" s="83">
        <f t="shared" ca="1" si="59"/>
        <v>0.5863264279242969</v>
      </c>
      <c r="BW15" s="83">
        <f t="shared" ca="1" si="60"/>
        <v>5.5546785902468496</v>
      </c>
      <c r="BX15" s="83">
        <f t="shared" ca="1" si="61"/>
        <v>4.6426645614436302</v>
      </c>
      <c r="BY15" s="83">
        <f t="shared" ca="1" si="62"/>
        <v>0.6516406202163767</v>
      </c>
      <c r="BZ15" s="83">
        <f t="shared" ca="1" si="63"/>
        <v>3.5740087284314122</v>
      </c>
      <c r="CA15" s="83">
        <f t="shared" ca="1" si="64"/>
        <v>2.9459511022481912</v>
      </c>
      <c r="CB15" s="83">
        <f t="shared" ca="1" si="65"/>
        <v>7.2897522862408124</v>
      </c>
      <c r="CC15" s="83">
        <f t="shared" ca="1" si="66"/>
        <v>2.9459511022481912</v>
      </c>
      <c r="CD15" s="83">
        <f t="shared" ca="1" si="67"/>
        <v>4.2300423043829598</v>
      </c>
      <c r="CE15" s="83">
        <f t="shared" ca="1" si="68"/>
        <v>10.027675737001486</v>
      </c>
      <c r="CF15" s="83">
        <f t="shared" ca="1" si="69"/>
        <v>4.2300423043829598</v>
      </c>
      <c r="CG15" s="83">
        <f t="shared" ca="1" si="70"/>
        <v>2.2007442909060417</v>
      </c>
    </row>
    <row r="16" spans="1:85" x14ac:dyDescent="0.25">
      <c r="A16" t="str">
        <f>PLANTILLA!D17</f>
        <v>J. Vartiainen</v>
      </c>
      <c r="B16" s="355">
        <f>PLANTILLA!E17</f>
        <v>19</v>
      </c>
      <c r="C16" s="122">
        <f ca="1">PLANTILLA!F17</f>
        <v>20</v>
      </c>
      <c r="D16" s="355" t="str">
        <f>PLANTILLA!G17</f>
        <v>CAB</v>
      </c>
      <c r="E16" s="87">
        <f>PLANTILLA!O17</f>
        <v>43628</v>
      </c>
      <c r="F16" s="209">
        <f ca="1">PLANTILLA!P17</f>
        <v>0.12475748407047811</v>
      </c>
      <c r="G16" s="210">
        <f>PLANTILLA!I17</f>
        <v>0.3</v>
      </c>
      <c r="H16" s="49">
        <f>PLANTILLA!X17</f>
        <v>0</v>
      </c>
      <c r="I16" s="49">
        <f>PLANTILLA!Y17</f>
        <v>7</v>
      </c>
      <c r="J16" s="49">
        <f>PLANTILLA!Z17</f>
        <v>7.3111111111111109</v>
      </c>
      <c r="K16" s="49">
        <f>PLANTILLA!AA17</f>
        <v>1</v>
      </c>
      <c r="L16" s="49">
        <f>PLANTILLA!AB17</f>
        <v>1</v>
      </c>
      <c r="M16" s="49">
        <f>PLANTILLA!AC17</f>
        <v>6</v>
      </c>
      <c r="N16" s="49">
        <f>PLANTILLA!AD17</f>
        <v>1</v>
      </c>
      <c r="O16" s="210">
        <f t="shared" si="0"/>
        <v>1.5</v>
      </c>
      <c r="P16" s="210">
        <f t="shared" ca="1" si="1"/>
        <v>1.6449646703696938</v>
      </c>
      <c r="Q16" s="210">
        <f t="shared" si="2"/>
        <v>0.32999999999999996</v>
      </c>
      <c r="R16" s="210">
        <f t="shared" si="3"/>
        <v>0.31</v>
      </c>
      <c r="S16" s="210">
        <f t="shared" ca="1" si="4"/>
        <v>0.49952728774357713</v>
      </c>
      <c r="T16" s="83">
        <f t="shared" ca="1" si="5"/>
        <v>1.4322824240872145</v>
      </c>
      <c r="U16" s="83">
        <f t="shared" ca="1" si="6"/>
        <v>2.2360132983924328</v>
      </c>
      <c r="V16" s="83">
        <f t="shared" ca="1" si="7"/>
        <v>1.4322824240872145</v>
      </c>
      <c r="W16" s="83">
        <f t="shared" ca="1" si="8"/>
        <v>3.3166342850274946</v>
      </c>
      <c r="X16" s="83">
        <f t="shared" ca="1" si="9"/>
        <v>6.4275858236966945</v>
      </c>
      <c r="Y16" s="83">
        <f t="shared" ca="1" si="10"/>
        <v>1.6583171425137473</v>
      </c>
      <c r="Z16" s="83">
        <f t="shared" ca="1" si="11"/>
        <v>1.6038098704842576</v>
      </c>
      <c r="AA16" s="83">
        <f t="shared" ca="1" si="12"/>
        <v>2.4296274413573506</v>
      </c>
      <c r="AB16" s="83">
        <f t="shared" ca="1" si="13"/>
        <v>4.64714455053271</v>
      </c>
      <c r="AC16" s="83">
        <f t="shared" ca="1" si="14"/>
        <v>1.2148137206786753</v>
      </c>
      <c r="AD16" s="83">
        <f t="shared" ca="1" si="15"/>
        <v>2.5943983199010052</v>
      </c>
      <c r="AE16" s="362">
        <f t="shared" ca="1" si="16"/>
        <v>5.9133789578009592</v>
      </c>
      <c r="AF16" s="83">
        <f t="shared" ca="1" si="17"/>
        <v>2.6610205310104313</v>
      </c>
      <c r="AG16" s="83">
        <f t="shared" ca="1" si="18"/>
        <v>1.1253623881129036</v>
      </c>
      <c r="AH16" s="362">
        <f t="shared" ca="1" si="19"/>
        <v>0.25142046433365645</v>
      </c>
      <c r="AI16" s="83">
        <f t="shared" ca="1" si="20"/>
        <v>4.846399711067308</v>
      </c>
      <c r="AJ16" s="83">
        <f t="shared" ca="1" si="21"/>
        <v>4.5507307631772598</v>
      </c>
      <c r="AK16" s="83">
        <f t="shared" ca="1" si="22"/>
        <v>7.1406832557348004E-2</v>
      </c>
      <c r="AL16" s="83">
        <f t="shared" ca="1" si="23"/>
        <v>0.26714471722464805</v>
      </c>
      <c r="AM16" s="83">
        <f t="shared" ca="1" si="24"/>
        <v>1.7354481723981077</v>
      </c>
      <c r="AN16" s="83">
        <f t="shared" ca="1" si="25"/>
        <v>3.8179859792758362</v>
      </c>
      <c r="AO16" s="83">
        <f t="shared" ca="1" si="26"/>
        <v>0.86772408619905383</v>
      </c>
      <c r="AP16" s="83">
        <f t="shared" ca="1" si="27"/>
        <v>6.3613299064585682</v>
      </c>
      <c r="AQ16" s="83">
        <f t="shared" ca="1" si="28"/>
        <v>5.5586157080570305E-2</v>
      </c>
      <c r="AR16" s="83">
        <f t="shared" ca="1" si="29"/>
        <v>0.99028264634313146</v>
      </c>
      <c r="AS16" s="83">
        <f t="shared" ca="1" si="30"/>
        <v>2.7793078540285152E-2</v>
      </c>
      <c r="AT16" s="83">
        <f t="shared" ca="1" si="31"/>
        <v>1.2148137206786753</v>
      </c>
      <c r="AU16" s="83">
        <f t="shared" ca="1" si="32"/>
        <v>2.5710343294786782</v>
      </c>
      <c r="AV16" s="83">
        <f t="shared" ca="1" si="33"/>
        <v>0.60740686033933766</v>
      </c>
      <c r="AW16" s="83">
        <f t="shared" ca="1" si="34"/>
        <v>6.7386969348078054</v>
      </c>
      <c r="AX16" s="83">
        <f t="shared" ca="1" si="35"/>
        <v>0.10817921339526373</v>
      </c>
      <c r="AY16" s="83">
        <f t="shared" ca="1" si="36"/>
        <v>1.2855997888568786</v>
      </c>
      <c r="AZ16" s="83">
        <f t="shared" ca="1" si="37"/>
        <v>5.4089606697631867E-2</v>
      </c>
      <c r="BA16" s="83">
        <f t="shared" ca="1" si="38"/>
        <v>1.8704274746957379</v>
      </c>
      <c r="BB16" s="83">
        <f t="shared" ca="1" si="39"/>
        <v>2.2367998666464497</v>
      </c>
      <c r="BC16" s="83">
        <f t="shared" ca="1" si="40"/>
        <v>5.9367919995656768</v>
      </c>
      <c r="BD16" s="83">
        <f t="shared" ca="1" si="41"/>
        <v>0.38012379726636147</v>
      </c>
      <c r="BE16" s="83">
        <f t="shared" ca="1" si="42"/>
        <v>0.1030481835109034</v>
      </c>
      <c r="BF16" s="83">
        <f t="shared" ca="1" si="43"/>
        <v>3.1173791244928966</v>
      </c>
      <c r="BG16" s="83">
        <f t="shared" ca="1" si="44"/>
        <v>1.6968826574559275</v>
      </c>
      <c r="BH16" s="83">
        <f t="shared" ca="1" si="45"/>
        <v>2.5674435321617737</v>
      </c>
      <c r="BI16" s="83">
        <f t="shared" ca="1" si="46"/>
        <v>0.37371000991091113</v>
      </c>
      <c r="BJ16" s="83">
        <f t="shared" ca="1" si="47"/>
        <v>2.223446283222812E-2</v>
      </c>
      <c r="BK16" s="83">
        <f t="shared" ca="1" si="48"/>
        <v>1.156965448265405</v>
      </c>
      <c r="BL16" s="83">
        <f t="shared" ca="1" si="49"/>
        <v>0.43707583601137528</v>
      </c>
      <c r="BM16" s="83">
        <f t="shared" ca="1" si="50"/>
        <v>2.0553025651163805</v>
      </c>
      <c r="BN16" s="83">
        <f t="shared" ca="1" si="51"/>
        <v>0.54987536927394931</v>
      </c>
      <c r="BO16" s="83">
        <f t="shared" ca="1" si="52"/>
        <v>5.7724086199053781E-2</v>
      </c>
      <c r="BP16" s="83">
        <f t="shared" ca="1" si="53"/>
        <v>1.8254343739298611</v>
      </c>
      <c r="BQ16" s="83">
        <f t="shared" ca="1" si="54"/>
        <v>1.5683309409819934</v>
      </c>
      <c r="BR16" s="83">
        <f t="shared" ca="1" si="55"/>
        <v>3.0661071053375517</v>
      </c>
      <c r="BS16" s="83">
        <f t="shared" ca="1" si="56"/>
        <v>0.47376509265593764</v>
      </c>
      <c r="BT16" s="83">
        <f t="shared" ca="1" si="57"/>
        <v>5.1737884667300046E-2</v>
      </c>
      <c r="BU16" s="83">
        <f t="shared" ca="1" si="58"/>
        <v>1.8254343739298611</v>
      </c>
      <c r="BV16" s="83">
        <f t="shared" ca="1" si="59"/>
        <v>1.5683309409819934</v>
      </c>
      <c r="BW16" s="83">
        <f t="shared" ca="1" si="60"/>
        <v>4.2521177658637255</v>
      </c>
      <c r="BX16" s="83">
        <f t="shared" ca="1" si="61"/>
        <v>0.38268931220854169</v>
      </c>
      <c r="BY16" s="83">
        <f t="shared" ca="1" si="62"/>
        <v>6.32827019071108E-2</v>
      </c>
      <c r="BZ16" s="83">
        <f t="shared" ca="1" si="63"/>
        <v>2.7359109555319692</v>
      </c>
      <c r="CA16" s="83">
        <f t="shared" ca="1" si="64"/>
        <v>0.85777221414597782</v>
      </c>
      <c r="CB16" s="83">
        <f t="shared" ca="1" si="65"/>
        <v>3.3964616374824779</v>
      </c>
      <c r="CC16" s="83">
        <f t="shared" ca="1" si="66"/>
        <v>0.85777221414597782</v>
      </c>
      <c r="CD16" s="83">
        <f t="shared" ca="1" si="67"/>
        <v>1.7939490223047165</v>
      </c>
      <c r="CE16" s="83">
        <f t="shared" ca="1" si="68"/>
        <v>5.5853649926407751</v>
      </c>
      <c r="CF16" s="83">
        <f t="shared" ca="1" si="69"/>
        <v>1.7939490223047165</v>
      </c>
      <c r="CG16" s="83">
        <f t="shared" ca="1" si="70"/>
        <v>1.6846742337019514</v>
      </c>
    </row>
    <row r="17" spans="1:85" x14ac:dyDescent="0.25">
      <c r="A17" t="str">
        <f>PLANTILLA!D18</f>
        <v>R. Forsyth</v>
      </c>
      <c r="B17" s="355">
        <f>PLANTILLA!E18</f>
        <v>19</v>
      </c>
      <c r="C17" s="122">
        <f ca="1">PLANTILLA!F18</f>
        <v>15</v>
      </c>
      <c r="D17" s="355" t="str">
        <f>PLANTILLA!G18</f>
        <v>POT</v>
      </c>
      <c r="E17" s="87">
        <f>PLANTILLA!O18</f>
        <v>43626</v>
      </c>
      <c r="F17" s="209">
        <f ca="1">PLANTILLA!P18</f>
        <v>0.13672290211839563</v>
      </c>
      <c r="G17" s="210">
        <f>PLANTILLA!I18</f>
        <v>1.8</v>
      </c>
      <c r="H17" s="49">
        <f>PLANTILLA!X18</f>
        <v>0</v>
      </c>
      <c r="I17" s="49">
        <f>PLANTILLA!Y18</f>
        <v>7</v>
      </c>
      <c r="J17" s="49">
        <f>PLANTILLA!Z18</f>
        <v>7.4</v>
      </c>
      <c r="K17" s="49">
        <f>PLANTILLA!AA18</f>
        <v>2</v>
      </c>
      <c r="L17" s="49">
        <f>PLANTILLA!AB18</f>
        <v>4</v>
      </c>
      <c r="M17" s="49">
        <f>PLANTILLA!AC18</f>
        <v>6</v>
      </c>
      <c r="N17" s="49">
        <f>PLANTILLA!AD18</f>
        <v>2</v>
      </c>
      <c r="O17" s="210">
        <f t="shared" si="0"/>
        <v>2.25</v>
      </c>
      <c r="P17" s="210">
        <f t="shared" ca="1" si="1"/>
        <v>4.5143605953860622</v>
      </c>
      <c r="Q17" s="210">
        <f t="shared" si="2"/>
        <v>0.36</v>
      </c>
      <c r="R17" s="210">
        <f t="shared" si="3"/>
        <v>0.34</v>
      </c>
      <c r="S17" s="210">
        <f t="shared" ca="1" si="4"/>
        <v>2.5516519038198706</v>
      </c>
      <c r="T17" s="83">
        <f t="shared" ca="1" si="5"/>
        <v>2.3484962894896078</v>
      </c>
      <c r="U17" s="83">
        <f t="shared" ca="1" si="6"/>
        <v>3.5909183387526724</v>
      </c>
      <c r="V17" s="83">
        <f t="shared" ca="1" si="7"/>
        <v>2.3484962894896078</v>
      </c>
      <c r="W17" s="83">
        <f t="shared" ca="1" si="8"/>
        <v>3.8581765010041669</v>
      </c>
      <c r="X17" s="83">
        <f t="shared" ca="1" si="9"/>
        <v>7.4770862422561368</v>
      </c>
      <c r="Y17" s="83">
        <f t="shared" ca="1" si="10"/>
        <v>1.9290882505020834</v>
      </c>
      <c r="Z17" s="83">
        <f t="shared" ca="1" si="11"/>
        <v>1.8747465256569606</v>
      </c>
      <c r="AA17" s="83">
        <f t="shared" ca="1" si="12"/>
        <v>2.8263385995728196</v>
      </c>
      <c r="AB17" s="83">
        <f t="shared" ca="1" si="13"/>
        <v>5.4059333531511866</v>
      </c>
      <c r="AC17" s="83">
        <f t="shared" ca="1" si="14"/>
        <v>1.4131692997864098</v>
      </c>
      <c r="AD17" s="83">
        <f t="shared" ca="1" si="15"/>
        <v>3.0326782032686128</v>
      </c>
      <c r="AE17" s="362">
        <f t="shared" ca="1" si="16"/>
        <v>6.8789193428756459</v>
      </c>
      <c r="AF17" s="83">
        <f t="shared" ca="1" si="17"/>
        <v>3.0955137042940404</v>
      </c>
      <c r="AG17" s="83">
        <f t="shared" ca="1" si="18"/>
        <v>1.3154734024567749</v>
      </c>
      <c r="AH17" s="362">
        <f t="shared" ca="1" si="19"/>
        <v>1.4565267104466086</v>
      </c>
      <c r="AI17" s="83">
        <f t="shared" ca="1" si="20"/>
        <v>5.6377230266611269</v>
      </c>
      <c r="AJ17" s="83">
        <f t="shared" ca="1" si="21"/>
        <v>5.2937770595173443</v>
      </c>
      <c r="AK17" s="83">
        <f t="shared" ca="1" si="22"/>
        <v>0.41367340245677497</v>
      </c>
      <c r="AL17" s="83">
        <f t="shared" ca="1" si="23"/>
        <v>0.78540083776976743</v>
      </c>
      <c r="AM17" s="83">
        <f t="shared" ca="1" si="24"/>
        <v>2.0188132854091569</v>
      </c>
      <c r="AN17" s="83">
        <f t="shared" ca="1" si="25"/>
        <v>4.441389227900145</v>
      </c>
      <c r="AO17" s="83">
        <f t="shared" ca="1" si="26"/>
        <v>1.0094066427045785</v>
      </c>
      <c r="AP17" s="83">
        <f t="shared" ca="1" si="27"/>
        <v>7.4359694126897935</v>
      </c>
      <c r="AQ17" s="83">
        <f t="shared" ca="1" si="28"/>
        <v>0.58202121149329777</v>
      </c>
      <c r="AR17" s="83">
        <f t="shared" ca="1" si="29"/>
        <v>1.6577862689810479</v>
      </c>
      <c r="AS17" s="83">
        <f t="shared" ca="1" si="30"/>
        <v>0.29101060574664889</v>
      </c>
      <c r="AT17" s="83">
        <f t="shared" ca="1" si="31"/>
        <v>1.4131692997864098</v>
      </c>
      <c r="AU17" s="83">
        <f t="shared" ca="1" si="32"/>
        <v>2.9908344969024547</v>
      </c>
      <c r="AV17" s="83">
        <f t="shared" ca="1" si="33"/>
        <v>0.70658464989320491</v>
      </c>
      <c r="AW17" s="83">
        <f t="shared" ca="1" si="34"/>
        <v>7.8770862422561372</v>
      </c>
      <c r="AX17" s="83">
        <f t="shared" ca="1" si="35"/>
        <v>1.1327028192908026</v>
      </c>
      <c r="AY17" s="83">
        <f t="shared" ca="1" si="36"/>
        <v>2.8868745194831318</v>
      </c>
      <c r="AZ17" s="83">
        <f t="shared" ca="1" si="37"/>
        <v>0.56635140964540132</v>
      </c>
      <c r="BA17" s="83">
        <f t="shared" ca="1" si="38"/>
        <v>2.1758320964965359</v>
      </c>
      <c r="BB17" s="83">
        <f t="shared" ca="1" si="39"/>
        <v>2.6020260123051355</v>
      </c>
      <c r="BC17" s="83">
        <f t="shared" ca="1" si="40"/>
        <v>6.9397129794276573</v>
      </c>
      <c r="BD17" s="83">
        <f t="shared" ca="1" si="41"/>
        <v>2.8321296693657056</v>
      </c>
      <c r="BE17" s="83">
        <f t="shared" ca="1" si="42"/>
        <v>1.0789777843837289</v>
      </c>
      <c r="BF17" s="83">
        <f t="shared" ca="1" si="43"/>
        <v>3.6263868274942261</v>
      </c>
      <c r="BG17" s="83">
        <f t="shared" ca="1" si="44"/>
        <v>1.9739507679556203</v>
      </c>
      <c r="BH17" s="83">
        <f t="shared" ca="1" si="45"/>
        <v>3.0011698582995883</v>
      </c>
      <c r="BI17" s="83">
        <f t="shared" ca="1" si="46"/>
        <v>2.5669733757318642</v>
      </c>
      <c r="BJ17" s="83">
        <f t="shared" ca="1" si="47"/>
        <v>0.23280848459731909</v>
      </c>
      <c r="BK17" s="83">
        <f t="shared" ca="1" si="48"/>
        <v>1.3458755236061046</v>
      </c>
      <c r="BL17" s="83">
        <f t="shared" ca="1" si="49"/>
        <v>0.50844186447341733</v>
      </c>
      <c r="BM17" s="83">
        <f t="shared" ca="1" si="50"/>
        <v>2.4025113038881218</v>
      </c>
      <c r="BN17" s="83">
        <f t="shared" ca="1" si="51"/>
        <v>3.7575329075413926</v>
      </c>
      <c r="BO17" s="83">
        <f t="shared" ca="1" si="52"/>
        <v>0.60440664270457856</v>
      </c>
      <c r="BP17" s="83">
        <f t="shared" ca="1" si="53"/>
        <v>2.1234924928007426</v>
      </c>
      <c r="BQ17" s="83">
        <f t="shared" ca="1" si="54"/>
        <v>1.8244090431104973</v>
      </c>
      <c r="BR17" s="83">
        <f t="shared" ca="1" si="55"/>
        <v>3.5840742402265424</v>
      </c>
      <c r="BS17" s="83">
        <f t="shared" ca="1" si="56"/>
        <v>3.2326115564197999</v>
      </c>
      <c r="BT17" s="83">
        <f t="shared" ca="1" si="57"/>
        <v>0.5417274353129925</v>
      </c>
      <c r="BU17" s="83">
        <f t="shared" ca="1" si="58"/>
        <v>2.1234924928007426</v>
      </c>
      <c r="BV17" s="83">
        <f t="shared" ca="1" si="59"/>
        <v>1.8244090431104973</v>
      </c>
      <c r="BW17" s="83">
        <f t="shared" ca="1" si="60"/>
        <v>4.970441418863623</v>
      </c>
      <c r="BX17" s="83">
        <f t="shared" ca="1" si="61"/>
        <v>2.6029921868192427</v>
      </c>
      <c r="BY17" s="83">
        <f t="shared" ca="1" si="62"/>
        <v>0.66260876385390821</v>
      </c>
      <c r="BZ17" s="83">
        <f t="shared" ca="1" si="63"/>
        <v>3.1980970143559917</v>
      </c>
      <c r="CA17" s="83">
        <f t="shared" ca="1" si="64"/>
        <v>2.2985619322154474</v>
      </c>
      <c r="CB17" s="83">
        <f t="shared" ca="1" si="65"/>
        <v>6.2071991087804097</v>
      </c>
      <c r="CC17" s="83">
        <f t="shared" ca="1" si="66"/>
        <v>2.2985619322154474</v>
      </c>
      <c r="CD17" s="83">
        <f t="shared" ca="1" si="67"/>
        <v>3.0916767743747906</v>
      </c>
      <c r="CE17" s="83">
        <f t="shared" ca="1" si="68"/>
        <v>8.129131065648652</v>
      </c>
      <c r="CF17" s="83">
        <f t="shared" ca="1" si="69"/>
        <v>3.0916767743747906</v>
      </c>
      <c r="CG17" s="83">
        <f t="shared" ca="1" si="70"/>
        <v>1.9692715605640343</v>
      </c>
    </row>
    <row r="18" spans="1:85" x14ac:dyDescent="0.25">
      <c r="A18" t="str">
        <f>PLANTILLA!D19</f>
        <v>K. Nelson</v>
      </c>
      <c r="B18" s="355">
        <f>PLANTILLA!E19</f>
        <v>19</v>
      </c>
      <c r="C18" s="122">
        <f ca="1">PLANTILLA!F19</f>
        <v>7</v>
      </c>
      <c r="D18" s="355">
        <f>PLANTILLA!G19</f>
        <v>0</v>
      </c>
      <c r="E18" s="87">
        <f>PLANTILLA!O19</f>
        <v>43624</v>
      </c>
      <c r="F18" s="209">
        <f ca="1">PLANTILLA!P19</f>
        <v>0.14812561692891457</v>
      </c>
      <c r="G18" s="210">
        <f>PLANTILLA!I19</f>
        <v>1.8</v>
      </c>
      <c r="H18" s="49">
        <f>PLANTILLA!X19</f>
        <v>0</v>
      </c>
      <c r="I18" s="49">
        <f>PLANTILLA!Y19</f>
        <v>5</v>
      </c>
      <c r="J18" s="49">
        <f>PLANTILLA!Z19</f>
        <v>6.1583333333333332</v>
      </c>
      <c r="K18" s="49">
        <f>PLANTILLA!AA19</f>
        <v>2</v>
      </c>
      <c r="L18" s="49">
        <f>PLANTILLA!AB19</f>
        <v>3</v>
      </c>
      <c r="M18" s="49">
        <f>PLANTILLA!AC19</f>
        <v>9</v>
      </c>
      <c r="N18" s="49">
        <f>PLANTILLA!AD19</f>
        <v>1</v>
      </c>
      <c r="O18" s="210">
        <f t="shared" si="0"/>
        <v>1.75</v>
      </c>
      <c r="P18" s="210">
        <f t="shared" ca="1" si="1"/>
        <v>8.9695605951173132</v>
      </c>
      <c r="Q18" s="210">
        <f t="shared" si="2"/>
        <v>0.48</v>
      </c>
      <c r="R18" s="210">
        <f t="shared" si="3"/>
        <v>0.22999999999999998</v>
      </c>
      <c r="S18" s="210">
        <f t="shared" ca="1" si="4"/>
        <v>1.5652971928483508</v>
      </c>
      <c r="T18" s="83">
        <f t="shared" ca="1" si="5"/>
        <v>1.8064508595191908</v>
      </c>
      <c r="U18" s="83">
        <f t="shared" ca="1" si="6"/>
        <v>2.7556392435730528</v>
      </c>
      <c r="V18" s="83">
        <f t="shared" ca="1" si="7"/>
        <v>1.8064508595191908</v>
      </c>
      <c r="W18" s="83">
        <f t="shared" ca="1" si="8"/>
        <v>2.8320603018463943</v>
      </c>
      <c r="X18" s="83">
        <f t="shared" ca="1" si="9"/>
        <v>5.4884889570666555</v>
      </c>
      <c r="Y18" s="83">
        <f t="shared" ca="1" si="10"/>
        <v>1.4160301509231972</v>
      </c>
      <c r="Z18" s="83">
        <f t="shared" ca="1" si="11"/>
        <v>1.5819437051151972</v>
      </c>
      <c r="AA18" s="83">
        <f t="shared" ca="1" si="12"/>
        <v>2.0746488257711957</v>
      </c>
      <c r="AB18" s="83">
        <f t="shared" ca="1" si="13"/>
        <v>3.9681775159591917</v>
      </c>
      <c r="AC18" s="83">
        <f t="shared" ca="1" si="14"/>
        <v>1.0373244128855978</v>
      </c>
      <c r="AD18" s="83">
        <f t="shared" ca="1" si="15"/>
        <v>2.5590265818039959</v>
      </c>
      <c r="AE18" s="362">
        <f t="shared" ca="1" si="16"/>
        <v>5.0494098405013235</v>
      </c>
      <c r="AF18" s="83">
        <f t="shared" ca="1" si="17"/>
        <v>2.2722344282255951</v>
      </c>
      <c r="AG18" s="83">
        <f t="shared" ca="1" si="18"/>
        <v>1.1100193224967982</v>
      </c>
      <c r="AH18" s="362">
        <f t="shared" ca="1" si="19"/>
        <v>1.4632315067551935</v>
      </c>
      <c r="AI18" s="83">
        <f t="shared" ca="1" si="20"/>
        <v>4.1383206736282583</v>
      </c>
      <c r="AJ18" s="83">
        <f t="shared" ca="1" si="21"/>
        <v>3.8858501816031921</v>
      </c>
      <c r="AK18" s="83">
        <f t="shared" ca="1" si="22"/>
        <v>0.24857765583013156</v>
      </c>
      <c r="AL18" s="83">
        <f t="shared" ca="1" si="23"/>
        <v>0.64468481963519686</v>
      </c>
      <c r="AM18" s="83">
        <f t="shared" ca="1" si="24"/>
        <v>1.4818920184079971</v>
      </c>
      <c r="AN18" s="83">
        <f t="shared" ca="1" si="25"/>
        <v>3.2601624404975933</v>
      </c>
      <c r="AO18" s="83">
        <f t="shared" ca="1" si="26"/>
        <v>0.74094600920399856</v>
      </c>
      <c r="AP18" s="83">
        <f t="shared" ca="1" si="27"/>
        <v>6.2746002421375886</v>
      </c>
      <c r="AQ18" s="83">
        <f t="shared" ca="1" si="28"/>
        <v>0.45350356441866529</v>
      </c>
      <c r="AR18" s="83">
        <f t="shared" ca="1" si="29"/>
        <v>2.0601272644205304</v>
      </c>
      <c r="AS18" s="83">
        <f t="shared" ca="1" si="30"/>
        <v>0.22675178220933265</v>
      </c>
      <c r="AT18" s="83">
        <f t="shared" ca="1" si="31"/>
        <v>1.0373244128855978</v>
      </c>
      <c r="AU18" s="83">
        <f t="shared" ca="1" si="32"/>
        <v>2.1953955828266625</v>
      </c>
      <c r="AV18" s="83">
        <f t="shared" ca="1" si="33"/>
        <v>0.51866220644279892</v>
      </c>
      <c r="AW18" s="83">
        <f t="shared" ca="1" si="34"/>
        <v>6.6468222903999887</v>
      </c>
      <c r="AX18" s="83">
        <f t="shared" ca="1" si="35"/>
        <v>0.88258770613786397</v>
      </c>
      <c r="AY18" s="83">
        <f t="shared" ca="1" si="36"/>
        <v>3.1821574153437275</v>
      </c>
      <c r="AZ18" s="83">
        <f t="shared" ca="1" si="37"/>
        <v>0.44129385306893198</v>
      </c>
      <c r="BA18" s="83">
        <f t="shared" ca="1" si="38"/>
        <v>1.5971502865063967</v>
      </c>
      <c r="BB18" s="83">
        <f t="shared" ca="1" si="39"/>
        <v>1.9099941570591961</v>
      </c>
      <c r="BC18" s="83">
        <f t="shared" ca="1" si="40"/>
        <v>5.8558504378423901</v>
      </c>
      <c r="BD18" s="83">
        <f t="shared" ca="1" si="41"/>
        <v>2.527266682832257</v>
      </c>
      <c r="BE18" s="83">
        <f t="shared" ca="1" si="42"/>
        <v>0.84072583865306405</v>
      </c>
      <c r="BF18" s="83">
        <f t="shared" ca="1" si="43"/>
        <v>2.6619171441773277</v>
      </c>
      <c r="BG18" s="83">
        <f t="shared" ca="1" si="44"/>
        <v>1.4489610846655971</v>
      </c>
      <c r="BH18" s="83">
        <f t="shared" ca="1" si="45"/>
        <v>2.5324392926423958</v>
      </c>
      <c r="BI18" s="83">
        <f t="shared" ca="1" si="46"/>
        <v>2.3759393484762574</v>
      </c>
      <c r="BJ18" s="83">
        <f t="shared" ca="1" si="47"/>
        <v>0.1814014257674661</v>
      </c>
      <c r="BK18" s="83">
        <f t="shared" ca="1" si="48"/>
        <v>0.987928012271998</v>
      </c>
      <c r="BL18" s="83">
        <f t="shared" ca="1" si="49"/>
        <v>0.37321724908053261</v>
      </c>
      <c r="BM18" s="83">
        <f t="shared" ca="1" si="50"/>
        <v>2.0272807985719967</v>
      </c>
      <c r="BN18" s="83">
        <f t="shared" ca="1" si="51"/>
        <v>3.4861967987877196</v>
      </c>
      <c r="BO18" s="83">
        <f t="shared" ca="1" si="52"/>
        <v>0.47094600920399859</v>
      </c>
      <c r="BP18" s="83">
        <f t="shared" ca="1" si="53"/>
        <v>1.5587308638069299</v>
      </c>
      <c r="BQ18" s="83">
        <f t="shared" ca="1" si="54"/>
        <v>1.3391913055242639</v>
      </c>
      <c r="BR18" s="83">
        <f t="shared" ca="1" si="55"/>
        <v>3.0243041421319949</v>
      </c>
      <c r="BS18" s="83">
        <f t="shared" ca="1" si="56"/>
        <v>3.0012457644298549</v>
      </c>
      <c r="BT18" s="83">
        <f t="shared" ca="1" si="57"/>
        <v>0.42210716380506536</v>
      </c>
      <c r="BU18" s="83">
        <f t="shared" ca="1" si="58"/>
        <v>1.5587308638069299</v>
      </c>
      <c r="BV18" s="83">
        <f t="shared" ca="1" si="59"/>
        <v>1.3391913055242639</v>
      </c>
      <c r="BW18" s="83">
        <f t="shared" ca="1" si="60"/>
        <v>4.1941448652423929</v>
      </c>
      <c r="BX18" s="83">
        <f t="shared" ca="1" si="61"/>
        <v>2.420197616574657</v>
      </c>
      <c r="BY18" s="83">
        <f t="shared" ca="1" si="62"/>
        <v>0.51629636564586501</v>
      </c>
      <c r="BZ18" s="83">
        <f t="shared" ca="1" si="63"/>
        <v>2.6986098499023958</v>
      </c>
      <c r="CA18" s="83">
        <f t="shared" ca="1" si="64"/>
        <v>2.4355027466317276</v>
      </c>
      <c r="CB18" s="83">
        <f t="shared" ca="1" si="65"/>
        <v>7.4260385656570556</v>
      </c>
      <c r="CC18" s="83">
        <f t="shared" ca="1" si="66"/>
        <v>2.4355027466317276</v>
      </c>
      <c r="CD18" s="83">
        <f t="shared" ca="1" si="67"/>
        <v>3.7338159598510092</v>
      </c>
      <c r="CE18" s="83">
        <f t="shared" ca="1" si="68"/>
        <v>10.775741382224254</v>
      </c>
      <c r="CF18" s="83">
        <f t="shared" ca="1" si="69"/>
        <v>3.7338159598510092</v>
      </c>
      <c r="CG18" s="83">
        <f t="shared" ca="1" si="70"/>
        <v>1.6617055725999972</v>
      </c>
    </row>
    <row r="19" spans="1:85" x14ac:dyDescent="0.25">
      <c r="A19" t="str">
        <f>PLANTILLA!D20</f>
        <v>V. Godoi</v>
      </c>
      <c r="B19" s="355">
        <f>PLANTILLA!E20</f>
        <v>25</v>
      </c>
      <c r="C19" s="122">
        <f ca="1">PLANTILLA!F20</f>
        <v>91</v>
      </c>
      <c r="D19" s="355">
        <f>PLANTILLA!G20</f>
        <v>0</v>
      </c>
      <c r="E19" s="87">
        <f>PLANTILLA!O20</f>
        <v>43639</v>
      </c>
      <c r="F19" s="209">
        <f ca="1">PLANTILLA!P20</f>
        <v>3.7653214615844956E-2</v>
      </c>
      <c r="G19" s="210">
        <f>PLANTILLA!I20</f>
        <v>4.5</v>
      </c>
      <c r="H19" s="49">
        <f>PLANTILLA!X20</f>
        <v>0</v>
      </c>
      <c r="I19" s="49">
        <f>PLANTILLA!Y20</f>
        <v>3</v>
      </c>
      <c r="J19" s="49">
        <f>PLANTILLA!Z20</f>
        <v>9</v>
      </c>
      <c r="K19" s="49">
        <f>PLANTILLA!AA20</f>
        <v>9</v>
      </c>
      <c r="L19" s="49">
        <f>PLANTILLA!AB20</f>
        <v>5</v>
      </c>
      <c r="M19" s="49">
        <f>PLANTILLA!AC20</f>
        <v>5</v>
      </c>
      <c r="N19" s="49">
        <f>PLANTILLA!AD20</f>
        <v>1</v>
      </c>
      <c r="O19" s="210">
        <f t="shared" si="0"/>
        <v>2</v>
      </c>
      <c r="P19" s="210">
        <f t="shared" ca="1" si="1"/>
        <v>3.2580131448923648</v>
      </c>
      <c r="Q19" s="210">
        <f t="shared" si="2"/>
        <v>0.27999999999999997</v>
      </c>
      <c r="R19" s="210">
        <f t="shared" si="3"/>
        <v>0.15000000000000002</v>
      </c>
      <c r="S19" s="210">
        <f t="shared" ca="1" si="4"/>
        <v>1.9481016933481707</v>
      </c>
      <c r="T19" s="83">
        <f t="shared" ca="1" si="5"/>
        <v>1.6212106223941327</v>
      </c>
      <c r="U19" s="83">
        <f t="shared" ca="1" si="6"/>
        <v>2.4480067737810138</v>
      </c>
      <c r="V19" s="83">
        <f t="shared" ca="1" si="7"/>
        <v>1.6212106223941327</v>
      </c>
      <c r="W19" s="83">
        <f t="shared" ca="1" si="8"/>
        <v>2.0168392682192122</v>
      </c>
      <c r="X19" s="83">
        <f t="shared" ca="1" si="9"/>
        <v>3.9086032329829696</v>
      </c>
      <c r="Y19" s="83">
        <f t="shared" ca="1" si="10"/>
        <v>1.0084196341096061</v>
      </c>
      <c r="Z19" s="83">
        <f t="shared" ca="1" si="11"/>
        <v>2.3582475694499472</v>
      </c>
      <c r="AA19" s="83">
        <f t="shared" ca="1" si="12"/>
        <v>1.4774520220675624</v>
      </c>
      <c r="AB19" s="83">
        <f t="shared" ca="1" si="13"/>
        <v>2.8259201374466869</v>
      </c>
      <c r="AC19" s="83">
        <f t="shared" ca="1" si="14"/>
        <v>0.73872601103378122</v>
      </c>
      <c r="AD19" s="83">
        <f t="shared" ca="1" si="15"/>
        <v>3.814812244698444</v>
      </c>
      <c r="AE19" s="362">
        <f t="shared" ca="1" si="16"/>
        <v>3.5959149743443324</v>
      </c>
      <c r="AF19" s="83">
        <f t="shared" ca="1" si="17"/>
        <v>1.6181617384549494</v>
      </c>
      <c r="AG19" s="83">
        <f t="shared" ca="1" si="18"/>
        <v>1.6547367399081563</v>
      </c>
      <c r="AH19" s="362">
        <f t="shared" ca="1" si="19"/>
        <v>5.8262587009939866</v>
      </c>
      <c r="AI19" s="83">
        <f t="shared" ca="1" si="20"/>
        <v>2.947086837669159</v>
      </c>
      <c r="AJ19" s="83">
        <f t="shared" ca="1" si="21"/>
        <v>2.7672910889519424</v>
      </c>
      <c r="AK19" s="83">
        <f t="shared" ca="1" si="22"/>
        <v>0.31873673990815604</v>
      </c>
      <c r="AL19" s="83">
        <f t="shared" ca="1" si="23"/>
        <v>0.83767773109909516</v>
      </c>
      <c r="AM19" s="83">
        <f t="shared" ca="1" si="24"/>
        <v>1.0553228729054018</v>
      </c>
      <c r="AN19" s="83">
        <f t="shared" ca="1" si="25"/>
        <v>2.3217103203918841</v>
      </c>
      <c r="AO19" s="83">
        <f t="shared" ca="1" si="26"/>
        <v>0.52766143645270092</v>
      </c>
      <c r="AP19" s="83">
        <f t="shared" ca="1" si="27"/>
        <v>9.3537214519359235</v>
      </c>
      <c r="AQ19" s="83">
        <f t="shared" ca="1" si="28"/>
        <v>0.7681184202877861</v>
      </c>
      <c r="AR19" s="83">
        <f t="shared" ca="1" si="29"/>
        <v>1.7312207472640102</v>
      </c>
      <c r="AS19" s="83">
        <f t="shared" ca="1" si="30"/>
        <v>0.38405921014389305</v>
      </c>
      <c r="AT19" s="83">
        <f t="shared" ca="1" si="31"/>
        <v>0.73872601103378122</v>
      </c>
      <c r="AU19" s="83">
        <f t="shared" ca="1" si="32"/>
        <v>1.563441293193188</v>
      </c>
      <c r="AV19" s="83">
        <f t="shared" ca="1" si="33"/>
        <v>0.36936300551689061</v>
      </c>
      <c r="AW19" s="83">
        <f t="shared" ca="1" si="34"/>
        <v>9.908603232982971</v>
      </c>
      <c r="AX19" s="83">
        <f t="shared" ca="1" si="35"/>
        <v>1.4948766179446915</v>
      </c>
      <c r="AY19" s="83">
        <f t="shared" ca="1" si="36"/>
        <v>3.2556403813736163</v>
      </c>
      <c r="AZ19" s="83">
        <f t="shared" ca="1" si="37"/>
        <v>0.74743830897234576</v>
      </c>
      <c r="BA19" s="83">
        <f t="shared" ca="1" si="38"/>
        <v>1.1374035407980441</v>
      </c>
      <c r="BB19" s="83">
        <f t="shared" ca="1" si="39"/>
        <v>1.3601939250780732</v>
      </c>
      <c r="BC19" s="83">
        <f t="shared" ca="1" si="40"/>
        <v>8.7294794482579974</v>
      </c>
      <c r="BD19" s="83">
        <f t="shared" ca="1" si="41"/>
        <v>7.5487482741218601</v>
      </c>
      <c r="BE19" s="83">
        <f t="shared" ca="1" si="42"/>
        <v>1.4239733791488958</v>
      </c>
      <c r="BF19" s="83">
        <f t="shared" ca="1" si="43"/>
        <v>1.8956725679967401</v>
      </c>
      <c r="BG19" s="83">
        <f t="shared" ca="1" si="44"/>
        <v>1.0318712535075041</v>
      </c>
      <c r="BH19" s="83">
        <f t="shared" ca="1" si="45"/>
        <v>3.7751778317665119</v>
      </c>
      <c r="BI19" s="83">
        <f t="shared" ca="1" si="46"/>
        <v>7.8561192256271166</v>
      </c>
      <c r="BJ19" s="83">
        <f t="shared" ca="1" si="47"/>
        <v>0.30724736811511444</v>
      </c>
      <c r="BK19" s="83">
        <f t="shared" ca="1" si="48"/>
        <v>0.70354858193693448</v>
      </c>
      <c r="BL19" s="83">
        <f t="shared" ca="1" si="49"/>
        <v>0.26578501984284197</v>
      </c>
      <c r="BM19" s="83">
        <f t="shared" ca="1" si="50"/>
        <v>3.0221239860598059</v>
      </c>
      <c r="BN19" s="83">
        <f t="shared" ca="1" si="51"/>
        <v>11.5984637576161</v>
      </c>
      <c r="BO19" s="83">
        <f t="shared" ca="1" si="52"/>
        <v>0.79766143645270104</v>
      </c>
      <c r="BP19" s="83">
        <f t="shared" ca="1" si="53"/>
        <v>1.1100433181671632</v>
      </c>
      <c r="BQ19" s="83">
        <f t="shared" ca="1" si="54"/>
        <v>0.95369918884784455</v>
      </c>
      <c r="BR19" s="83">
        <f t="shared" ca="1" si="55"/>
        <v>4.508414471007252</v>
      </c>
      <c r="BS19" s="83">
        <f t="shared" ca="1" si="56"/>
        <v>10.002732382145133</v>
      </c>
      <c r="BT19" s="83">
        <f t="shared" ca="1" si="57"/>
        <v>0.71494099119093935</v>
      </c>
      <c r="BU19" s="83">
        <f t="shared" ca="1" si="58"/>
        <v>1.1100433181671632</v>
      </c>
      <c r="BV19" s="83">
        <f t="shared" ca="1" si="59"/>
        <v>0.95369918884784455</v>
      </c>
      <c r="BW19" s="83">
        <f t="shared" ca="1" si="60"/>
        <v>6.2523286400122551</v>
      </c>
      <c r="BX19" s="83">
        <f t="shared" ca="1" si="61"/>
        <v>8.0961998935197581</v>
      </c>
      <c r="BY19" s="83">
        <f t="shared" ca="1" si="62"/>
        <v>0.87447327848147949</v>
      </c>
      <c r="BZ19" s="83">
        <f t="shared" ca="1" si="63"/>
        <v>4.0228929125910868</v>
      </c>
      <c r="CA19" s="83">
        <f t="shared" ca="1" si="64"/>
        <v>3.6543822843841269</v>
      </c>
      <c r="CB19" s="83">
        <f t="shared" ca="1" si="65"/>
        <v>6.6530872403388237</v>
      </c>
      <c r="CC19" s="83">
        <f t="shared" ca="1" si="66"/>
        <v>3.6543822843841269</v>
      </c>
      <c r="CD19" s="83">
        <f t="shared" ca="1" si="67"/>
        <v>4.8152699783482706</v>
      </c>
      <c r="CE19" s="83">
        <f t="shared" ca="1" si="68"/>
        <v>8.088877825953686</v>
      </c>
      <c r="CF19" s="83">
        <f t="shared" ca="1" si="69"/>
        <v>4.8152699783482706</v>
      </c>
      <c r="CG19" s="83">
        <f t="shared" ca="1" si="70"/>
        <v>2.4771508082457427</v>
      </c>
    </row>
    <row r="20" spans="1:85" x14ac:dyDescent="0.25">
      <c r="A20" t="str">
        <f>PLANTILLA!D21</f>
        <v>P. Tuderek</v>
      </c>
      <c r="B20" s="355">
        <f>PLANTILLA!E21</f>
        <v>18</v>
      </c>
      <c r="C20" s="122">
        <f ca="1">PLANTILLA!F21</f>
        <v>72</v>
      </c>
      <c r="D20" s="355" t="str">
        <f>PLANTILLA!G21</f>
        <v>CAB</v>
      </c>
      <c r="E20" s="87">
        <f>PLANTILLA!O21</f>
        <v>43626</v>
      </c>
      <c r="F20" s="209">
        <f ca="1">PLANTILLA!P21</f>
        <v>0.13672290211839563</v>
      </c>
      <c r="G20" s="210">
        <f>PLANTILLA!I21</f>
        <v>0.6</v>
      </c>
      <c r="H20" s="49">
        <f>PLANTILLA!X21</f>
        <v>0</v>
      </c>
      <c r="I20" s="49">
        <f>PLANTILLA!Y21</f>
        <v>6</v>
      </c>
      <c r="J20" s="49">
        <f>PLANTILLA!Z21</f>
        <v>6.1583333333333332</v>
      </c>
      <c r="K20" s="49">
        <f>PLANTILLA!AA21</f>
        <v>2</v>
      </c>
      <c r="L20" s="49">
        <f>PLANTILLA!AB21</f>
        <v>3</v>
      </c>
      <c r="M20" s="49">
        <f>PLANTILLA!AC21</f>
        <v>6</v>
      </c>
      <c r="N20" s="49">
        <f>PLANTILLA!AD21</f>
        <v>8</v>
      </c>
      <c r="O20" s="210">
        <f t="shared" si="0"/>
        <v>1.875</v>
      </c>
      <c r="P20" s="210">
        <f t="shared" ca="1" si="1"/>
        <v>6.4084432981454569</v>
      </c>
      <c r="Q20" s="210">
        <f t="shared" si="2"/>
        <v>0.54</v>
      </c>
      <c r="R20" s="210">
        <f t="shared" si="3"/>
        <v>0.48000000000000009</v>
      </c>
      <c r="S20" s="210">
        <f t="shared" ca="1" si="4"/>
        <v>7.9154902308603212</v>
      </c>
      <c r="T20" s="83">
        <f t="shared" ca="1" si="5"/>
        <v>1.5171271489959206</v>
      </c>
      <c r="U20" s="83">
        <f t="shared" ca="1" si="6"/>
        <v>2.3446336189618942</v>
      </c>
      <c r="V20" s="83">
        <f t="shared" ca="1" si="7"/>
        <v>1.5171271489959206</v>
      </c>
      <c r="W20" s="83">
        <f t="shared" ca="1" si="8"/>
        <v>3.0139170777570388</v>
      </c>
      <c r="X20" s="83">
        <f t="shared" ca="1" si="9"/>
        <v>5.840924569296587</v>
      </c>
      <c r="Y20" s="83">
        <f t="shared" ca="1" si="10"/>
        <v>1.5069585388785194</v>
      </c>
      <c r="Z20" s="83">
        <f t="shared" ca="1" si="11"/>
        <v>1.4278233808259209</v>
      </c>
      <c r="AA20" s="83">
        <f t="shared" ca="1" si="12"/>
        <v>2.20786948719411</v>
      </c>
      <c r="AB20" s="83">
        <f t="shared" ca="1" si="13"/>
        <v>4.2229884636014319</v>
      </c>
      <c r="AC20" s="83">
        <f t="shared" ca="1" si="14"/>
        <v>1.103934743597055</v>
      </c>
      <c r="AD20" s="83">
        <f t="shared" ca="1" si="15"/>
        <v>2.3097142925125191</v>
      </c>
      <c r="AE20" s="362">
        <f t="shared" ca="1" si="16"/>
        <v>5.3736506037528606</v>
      </c>
      <c r="AF20" s="83">
        <f t="shared" ca="1" si="17"/>
        <v>2.4181427716887871</v>
      </c>
      <c r="AG20" s="83">
        <f t="shared" ca="1" si="18"/>
        <v>1.0018760697391966</v>
      </c>
      <c r="AH20" s="362">
        <f t="shared" ca="1" si="19"/>
        <v>1.0824636467463933</v>
      </c>
      <c r="AI20" s="83">
        <f t="shared" ca="1" si="20"/>
        <v>4.4040571252496266</v>
      </c>
      <c r="AJ20" s="83">
        <f t="shared" ca="1" si="21"/>
        <v>4.1353745950619833</v>
      </c>
      <c r="AK20" s="83">
        <f t="shared" ca="1" si="22"/>
        <v>1.30943440307253</v>
      </c>
      <c r="AL20" s="83">
        <f t="shared" ca="1" si="23"/>
        <v>0.4941862759574171</v>
      </c>
      <c r="AM20" s="83">
        <f t="shared" ca="1" si="24"/>
        <v>1.5770496337100786</v>
      </c>
      <c r="AN20" s="83">
        <f t="shared" ca="1" si="25"/>
        <v>3.4695091941621725</v>
      </c>
      <c r="AO20" s="83">
        <f t="shared" ca="1" si="26"/>
        <v>0.78852481685503928</v>
      </c>
      <c r="AP20" s="83">
        <f t="shared" ca="1" si="27"/>
        <v>5.6632994600826443</v>
      </c>
      <c r="AQ20" s="83">
        <f t="shared" ca="1" si="28"/>
        <v>0.36932019400855637</v>
      </c>
      <c r="AR20" s="83">
        <f t="shared" ca="1" si="29"/>
        <v>1.3513908988039001</v>
      </c>
      <c r="AS20" s="83">
        <f t="shared" ca="1" si="30"/>
        <v>0.18466009700427818</v>
      </c>
      <c r="AT20" s="83">
        <f t="shared" ca="1" si="31"/>
        <v>1.103934743597055</v>
      </c>
      <c r="AU20" s="83">
        <f t="shared" ca="1" si="32"/>
        <v>2.3363698277186349</v>
      </c>
      <c r="AV20" s="83">
        <f t="shared" ca="1" si="33"/>
        <v>0.55196737179852751</v>
      </c>
      <c r="AW20" s="83">
        <f t="shared" ca="1" si="34"/>
        <v>5.9992579026299202</v>
      </c>
      <c r="AX20" s="83">
        <f t="shared" ca="1" si="35"/>
        <v>0.71875391603203664</v>
      </c>
      <c r="AY20" s="83">
        <f t="shared" ca="1" si="36"/>
        <v>2.1953494376824194</v>
      </c>
      <c r="AZ20" s="83">
        <f t="shared" ca="1" si="37"/>
        <v>0.35937695801601832</v>
      </c>
      <c r="BA20" s="83">
        <f t="shared" ca="1" si="38"/>
        <v>1.6997090496653067</v>
      </c>
      <c r="BB20" s="83">
        <f t="shared" ca="1" si="39"/>
        <v>2.0326417501152121</v>
      </c>
      <c r="BC20" s="83">
        <f t="shared" ca="1" si="40"/>
        <v>5.2853462122169601</v>
      </c>
      <c r="BD20" s="83">
        <f t="shared" ca="1" si="41"/>
        <v>1.9515819421046658</v>
      </c>
      <c r="BE20" s="83">
        <f t="shared" ca="1" si="42"/>
        <v>0.6846628212004775</v>
      </c>
      <c r="BF20" s="83">
        <f t="shared" ca="1" si="43"/>
        <v>2.8328484161088445</v>
      </c>
      <c r="BG20" s="83">
        <f t="shared" ca="1" si="44"/>
        <v>1.542004086294299</v>
      </c>
      <c r="BH20" s="83">
        <f t="shared" ca="1" si="45"/>
        <v>2.2857172609019996</v>
      </c>
      <c r="BI20" s="83">
        <f t="shared" ca="1" si="46"/>
        <v>1.8099680735652175</v>
      </c>
      <c r="BJ20" s="83">
        <f t="shared" ca="1" si="47"/>
        <v>0.14772807760342255</v>
      </c>
      <c r="BK20" s="83">
        <f t="shared" ca="1" si="48"/>
        <v>1.0513664224733856</v>
      </c>
      <c r="BL20" s="83">
        <f t="shared" ca="1" si="49"/>
        <v>0.39718287071216796</v>
      </c>
      <c r="BM20" s="83">
        <f t="shared" ca="1" si="50"/>
        <v>1.8297736603021255</v>
      </c>
      <c r="BN20" s="83">
        <f t="shared" ca="1" si="51"/>
        <v>2.6534289961154114</v>
      </c>
      <c r="BO20" s="83">
        <f t="shared" ca="1" si="52"/>
        <v>0.38352481685503931</v>
      </c>
      <c r="BP20" s="83">
        <f t="shared" ca="1" si="53"/>
        <v>1.6588225776802306</v>
      </c>
      <c r="BQ20" s="83">
        <f t="shared" ca="1" si="54"/>
        <v>1.4251855949083672</v>
      </c>
      <c r="BR20" s="83">
        <f t="shared" ca="1" si="55"/>
        <v>2.7296623456966138</v>
      </c>
      <c r="BS20" s="83">
        <f t="shared" ca="1" si="56"/>
        <v>2.2837444227806185</v>
      </c>
      <c r="BT20" s="83">
        <f t="shared" ca="1" si="57"/>
        <v>0.34375187288488707</v>
      </c>
      <c r="BU20" s="83">
        <f t="shared" ca="1" si="58"/>
        <v>1.6588225776802306</v>
      </c>
      <c r="BV20" s="83">
        <f t="shared" ca="1" si="59"/>
        <v>1.4251855949083672</v>
      </c>
      <c r="BW20" s="83">
        <f t="shared" ca="1" si="60"/>
        <v>3.7855317365594798</v>
      </c>
      <c r="BX20" s="83">
        <f t="shared" ca="1" si="61"/>
        <v>1.8406274895204455</v>
      </c>
      <c r="BY20" s="83">
        <f t="shared" ca="1" si="62"/>
        <v>0.42045683625589492</v>
      </c>
      <c r="BZ20" s="83">
        <f t="shared" ca="1" si="63"/>
        <v>2.4356987084677479</v>
      </c>
      <c r="CA20" s="83">
        <f t="shared" ca="1" si="64"/>
        <v>1.717121700603522</v>
      </c>
      <c r="CB20" s="83">
        <f t="shared" ca="1" si="65"/>
        <v>4.947881065027957</v>
      </c>
      <c r="CC20" s="83">
        <f t="shared" ca="1" si="66"/>
        <v>1.717121700603522</v>
      </c>
      <c r="CD20" s="83">
        <f t="shared" ca="1" si="67"/>
        <v>2.5533480521209913</v>
      </c>
      <c r="CE20" s="83">
        <f t="shared" ca="1" si="68"/>
        <v>6.8892257353670274</v>
      </c>
      <c r="CF20" s="83">
        <f t="shared" ca="1" si="69"/>
        <v>2.5533480521209913</v>
      </c>
      <c r="CG20" s="83">
        <f t="shared" ca="1" si="70"/>
        <v>1.4998144756574801</v>
      </c>
    </row>
    <row r="21" spans="1:85" x14ac:dyDescent="0.25">
      <c r="A21" t="str">
        <f>PLANTILLA!D22</f>
        <v>R. Scheidecker</v>
      </c>
      <c r="B21" s="355">
        <f>PLANTILLA!E22</f>
        <v>18</v>
      </c>
      <c r="C21" s="122">
        <f ca="1">PLANTILLA!F22</f>
        <v>104</v>
      </c>
      <c r="D21" s="355" t="str">
        <f>PLANTILLA!G22</f>
        <v>RAP</v>
      </c>
      <c r="E21" s="87">
        <f>PLANTILLA!O22</f>
        <v>43626</v>
      </c>
      <c r="F21" s="209">
        <f ca="1">PLANTILLA!P22</f>
        <v>0.13672290211839563</v>
      </c>
      <c r="G21" s="210">
        <f>PLANTILLA!I22</f>
        <v>0.5</v>
      </c>
      <c r="H21" s="49">
        <f>PLANTILLA!X22</f>
        <v>0</v>
      </c>
      <c r="I21" s="49">
        <f>PLANTILLA!Y22</f>
        <v>4</v>
      </c>
      <c r="J21" s="49">
        <f>PLANTILLA!Z22</f>
        <v>5.2857142857142856</v>
      </c>
      <c r="K21" s="49">
        <f>PLANTILLA!AA22</f>
        <v>3</v>
      </c>
      <c r="L21" s="49">
        <f>PLANTILLA!AB22</f>
        <v>4</v>
      </c>
      <c r="M21" s="49">
        <f>PLANTILLA!AC22</f>
        <v>9</v>
      </c>
      <c r="N21" s="49">
        <f>PLANTILLA!AD22</f>
        <v>8</v>
      </c>
      <c r="O21" s="210">
        <f t="shared" si="0"/>
        <v>1.875</v>
      </c>
      <c r="P21" s="210">
        <f t="shared" ca="1" si="1"/>
        <v>11.15512255979179</v>
      </c>
      <c r="Q21" s="210">
        <f t="shared" si="2"/>
        <v>0.69000000000000006</v>
      </c>
      <c r="R21" s="210">
        <f t="shared" si="3"/>
        <v>0.4</v>
      </c>
      <c r="S21" s="210">
        <f t="shared" ca="1" si="4"/>
        <v>7.8099152361301547</v>
      </c>
      <c r="T21" s="83">
        <f t="shared" ca="1" si="5"/>
        <v>0.87296017859648556</v>
      </c>
      <c r="U21" s="83">
        <f t="shared" ca="1" si="6"/>
        <v>1.3583363007652491</v>
      </c>
      <c r="V21" s="83">
        <f t="shared" ca="1" si="7"/>
        <v>0.87296017859648556</v>
      </c>
      <c r="W21" s="83">
        <f t="shared" ca="1" si="8"/>
        <v>1.9274403804762732</v>
      </c>
      <c r="X21" s="83">
        <f t="shared" ca="1" si="9"/>
        <v>3.7353495745664209</v>
      </c>
      <c r="Y21" s="83">
        <f t="shared" ca="1" si="10"/>
        <v>0.9637201902381366</v>
      </c>
      <c r="Z21" s="83">
        <f t="shared" ca="1" si="11"/>
        <v>1.195013198746808</v>
      </c>
      <c r="AA21" s="83">
        <f t="shared" ca="1" si="12"/>
        <v>1.411962139186107</v>
      </c>
      <c r="AB21" s="83">
        <f t="shared" ca="1" si="13"/>
        <v>2.7006577424115221</v>
      </c>
      <c r="AC21" s="83">
        <f t="shared" ca="1" si="14"/>
        <v>0.70598106959305351</v>
      </c>
      <c r="AD21" s="83">
        <f t="shared" ca="1" si="15"/>
        <v>1.9331095862080718</v>
      </c>
      <c r="AE21" s="362">
        <f t="shared" ca="1" si="16"/>
        <v>3.4365216086011072</v>
      </c>
      <c r="AF21" s="83">
        <f t="shared" ca="1" si="17"/>
        <v>1.5464347238704981</v>
      </c>
      <c r="AG21" s="83">
        <f t="shared" ca="1" si="18"/>
        <v>0.83851766466687794</v>
      </c>
      <c r="AH21" s="362">
        <f t="shared" ca="1" si="19"/>
        <v>1.6083855498450554</v>
      </c>
      <c r="AI21" s="83">
        <f t="shared" ca="1" si="20"/>
        <v>2.8164535792230816</v>
      </c>
      <c r="AJ21" s="83">
        <f t="shared" ca="1" si="21"/>
        <v>2.6446274987930258</v>
      </c>
      <c r="AK21" s="83">
        <f t="shared" ca="1" si="22"/>
        <v>1.2918033789525922</v>
      </c>
      <c r="AL21" s="83">
        <f t="shared" ca="1" si="23"/>
        <v>0.46378067747512919</v>
      </c>
      <c r="AM21" s="83">
        <f t="shared" ca="1" si="24"/>
        <v>1.0085443851329337</v>
      </c>
      <c r="AN21" s="83">
        <f t="shared" ca="1" si="25"/>
        <v>2.2187976472924538</v>
      </c>
      <c r="AO21" s="83">
        <f t="shared" ca="1" si="26"/>
        <v>0.50427219256646683</v>
      </c>
      <c r="AP21" s="83">
        <f t="shared" ca="1" si="27"/>
        <v>4.7398842841049866</v>
      </c>
      <c r="AQ21" s="83">
        <f t="shared" ca="1" si="28"/>
        <v>0.48559544469363475</v>
      </c>
      <c r="AR21" s="83">
        <f t="shared" ca="1" si="29"/>
        <v>1.9594574253479611</v>
      </c>
      <c r="AS21" s="83">
        <f t="shared" ca="1" si="30"/>
        <v>0.24279772234681737</v>
      </c>
      <c r="AT21" s="83">
        <f t="shared" ca="1" si="31"/>
        <v>0.70598106959305351</v>
      </c>
      <c r="AU21" s="83">
        <f t="shared" ca="1" si="32"/>
        <v>1.4941398298265685</v>
      </c>
      <c r="AV21" s="83">
        <f t="shared" ca="1" si="33"/>
        <v>0.35299053479652676</v>
      </c>
      <c r="AW21" s="83">
        <f t="shared" ca="1" si="34"/>
        <v>5.0210638602807061</v>
      </c>
      <c r="AX21" s="83">
        <f t="shared" ca="1" si="35"/>
        <v>0.94504344236530446</v>
      </c>
      <c r="AY21" s="83">
        <f t="shared" ca="1" si="36"/>
        <v>3.1081776155860981</v>
      </c>
      <c r="AZ21" s="83">
        <f t="shared" ca="1" si="37"/>
        <v>0.47252172118265223</v>
      </c>
      <c r="BA21" s="83">
        <f t="shared" ca="1" si="38"/>
        <v>1.0869867261988284</v>
      </c>
      <c r="BB21" s="83">
        <f t="shared" ca="1" si="39"/>
        <v>1.2999016519491144</v>
      </c>
      <c r="BC21" s="83">
        <f t="shared" ca="1" si="40"/>
        <v>4.4235572609073017</v>
      </c>
      <c r="BD21" s="83">
        <f t="shared" ca="1" si="41"/>
        <v>2.7467257717895479</v>
      </c>
      <c r="BE21" s="83">
        <f t="shared" ca="1" si="42"/>
        <v>0.90021924747050741</v>
      </c>
      <c r="BF21" s="83">
        <f t="shared" ca="1" si="43"/>
        <v>1.8116445436647142</v>
      </c>
      <c r="BG21" s="83">
        <f t="shared" ca="1" si="44"/>
        <v>0.98613228768553518</v>
      </c>
      <c r="BH21" s="83">
        <f t="shared" ca="1" si="45"/>
        <v>1.9130253307669491</v>
      </c>
      <c r="BI21" s="83">
        <f t="shared" ca="1" si="46"/>
        <v>2.5916955281710523</v>
      </c>
      <c r="BJ21" s="83">
        <f t="shared" ca="1" si="47"/>
        <v>0.19423817787745387</v>
      </c>
      <c r="BK21" s="83">
        <f t="shared" ca="1" si="48"/>
        <v>0.67236292342195569</v>
      </c>
      <c r="BL21" s="83">
        <f t="shared" ca="1" si="49"/>
        <v>0.25400377107051664</v>
      </c>
      <c r="BM21" s="83">
        <f t="shared" ca="1" si="50"/>
        <v>1.5314244773856154</v>
      </c>
      <c r="BN21" s="83">
        <f t="shared" ca="1" si="51"/>
        <v>3.8036595528924173</v>
      </c>
      <c r="BO21" s="83">
        <f t="shared" ca="1" si="52"/>
        <v>0.50427219256646683</v>
      </c>
      <c r="BP21" s="83">
        <f t="shared" ca="1" si="53"/>
        <v>1.0608392791768635</v>
      </c>
      <c r="BQ21" s="83">
        <f t="shared" ca="1" si="54"/>
        <v>0.91142529619420665</v>
      </c>
      <c r="BR21" s="83">
        <f t="shared" ca="1" si="55"/>
        <v>2.2845840564277213</v>
      </c>
      <c r="BS21" s="83">
        <f t="shared" ca="1" si="56"/>
        <v>3.2747673286195944</v>
      </c>
      <c r="BT21" s="83">
        <f t="shared" ca="1" si="57"/>
        <v>0.45197729852253693</v>
      </c>
      <c r="BU21" s="83">
        <f t="shared" ca="1" si="58"/>
        <v>1.0608392791768635</v>
      </c>
      <c r="BV21" s="83">
        <f t="shared" ca="1" si="59"/>
        <v>0.91142529619420665</v>
      </c>
      <c r="BW21" s="83">
        <f t="shared" ca="1" si="60"/>
        <v>3.1682912958371254</v>
      </c>
      <c r="BX21" s="83">
        <f t="shared" ca="1" si="61"/>
        <v>2.6411378692369469</v>
      </c>
      <c r="BY21" s="83">
        <f t="shared" ca="1" si="62"/>
        <v>0.55283173703583022</v>
      </c>
      <c r="BZ21" s="83">
        <f t="shared" ca="1" si="63"/>
        <v>2.0385519272739669</v>
      </c>
      <c r="CA21" s="83">
        <f t="shared" ca="1" si="64"/>
        <v>2.4371171283491053</v>
      </c>
      <c r="CB21" s="83">
        <f t="shared" ca="1" si="65"/>
        <v>7.1210036209617895</v>
      </c>
      <c r="CC21" s="83">
        <f t="shared" ca="1" si="66"/>
        <v>2.4371171283491053</v>
      </c>
      <c r="CD21" s="83">
        <f t="shared" ca="1" si="67"/>
        <v>3.6305748304040972</v>
      </c>
      <c r="CE21" s="83">
        <f t="shared" ca="1" si="68"/>
        <v>10.11369356758143</v>
      </c>
      <c r="CF21" s="83">
        <f t="shared" ca="1" si="69"/>
        <v>3.6305748304040972</v>
      </c>
      <c r="CG21" s="83">
        <f t="shared" ca="1" si="70"/>
        <v>1.2552659650701765</v>
      </c>
    </row>
    <row r="22" spans="1:85" x14ac:dyDescent="0.25">
      <c r="A22" t="str">
        <f>PLANTILLA!D23</f>
        <v>K. Helms</v>
      </c>
      <c r="B22" s="355">
        <f>PLANTILLA!E23</f>
        <v>35</v>
      </c>
      <c r="C22" s="122">
        <f ca="1">PLANTILLA!F23</f>
        <v>35</v>
      </c>
      <c r="D22" s="355" t="str">
        <f>PLANTILLA!G23</f>
        <v>TEC</v>
      </c>
      <c r="E22" s="87">
        <v>36526</v>
      </c>
      <c r="F22" s="209">
        <f>PLANTILLA!P23</f>
        <v>1.5</v>
      </c>
      <c r="G22" s="210">
        <f>PLANTILLA!I23</f>
        <v>13.5</v>
      </c>
      <c r="H22" s="49">
        <f>PLANTILLA!X23</f>
        <v>0</v>
      </c>
      <c r="I22" s="49">
        <f>PLANTILLA!Y23</f>
        <v>7.2503030303030309</v>
      </c>
      <c r="J22" s="49">
        <f>PLANTILLA!Z23</f>
        <v>10.600000000000005</v>
      </c>
      <c r="K22" s="49">
        <f>PLANTILLA!AA23</f>
        <v>12.95</v>
      </c>
      <c r="L22" s="49">
        <f>PLANTILLA!AB23</f>
        <v>9.9499999999999993</v>
      </c>
      <c r="M22" s="49">
        <f>PLANTILLA!AC23</f>
        <v>3.95</v>
      </c>
      <c r="N22" s="49">
        <f>PLANTILLA!AD23</f>
        <v>18</v>
      </c>
      <c r="O22" s="210">
        <f t="shared" si="0"/>
        <v>3.7687878787878786</v>
      </c>
      <c r="P22" s="210">
        <f t="shared" si="1"/>
        <v>15.502716837831953</v>
      </c>
      <c r="Q22" s="210">
        <f t="shared" si="2"/>
        <v>0.73750000000000004</v>
      </c>
      <c r="R22" s="210">
        <f t="shared" si="3"/>
        <v>0.8300121212121212</v>
      </c>
      <c r="S22" s="210">
        <f t="shared" ca="1" si="4"/>
        <v>20.507111691326674</v>
      </c>
      <c r="T22" s="83">
        <f t="shared" si="5"/>
        <v>4.626292142891824</v>
      </c>
      <c r="U22" s="83">
        <f t="shared" si="6"/>
        <v>6.9635599813815254</v>
      </c>
      <c r="V22" s="83">
        <f t="shared" si="7"/>
        <v>4.626292142891824</v>
      </c>
      <c r="W22" s="83">
        <f t="shared" si="8"/>
        <v>5.2928259963609277</v>
      </c>
      <c r="X22" s="83">
        <f t="shared" si="9"/>
        <v>10.257414721629704</v>
      </c>
      <c r="Y22" s="83">
        <f t="shared" si="10"/>
        <v>2.6464129981804638</v>
      </c>
      <c r="Z22" s="83">
        <f t="shared" si="11"/>
        <v>3.2384925825357493</v>
      </c>
      <c r="AA22" s="83">
        <f t="shared" si="12"/>
        <v>3.8773027647760281</v>
      </c>
      <c r="AB22" s="83">
        <f t="shared" si="13"/>
        <v>7.4161108437382763</v>
      </c>
      <c r="AC22" s="83">
        <f t="shared" si="14"/>
        <v>1.938651382388014</v>
      </c>
      <c r="AD22" s="83">
        <f t="shared" si="15"/>
        <v>5.2387380011607716</v>
      </c>
      <c r="AE22" s="362">
        <f t="shared" si="16"/>
        <v>9.4368215438993275</v>
      </c>
      <c r="AF22" s="83">
        <f t="shared" si="17"/>
        <v>4.2465696947546974</v>
      </c>
      <c r="AG22" s="83">
        <f t="shared" si="18"/>
        <v>2.2723876524515556</v>
      </c>
      <c r="AH22" s="362">
        <f t="shared" si="19"/>
        <v>9.3827816745000838</v>
      </c>
      <c r="AI22" s="83">
        <f t="shared" si="20"/>
        <v>7.7340907001087968</v>
      </c>
      <c r="AJ22" s="83">
        <f t="shared" si="21"/>
        <v>7.2622496229138305</v>
      </c>
      <c r="AK22" s="83">
        <f t="shared" si="22"/>
        <v>3.5081876524515549</v>
      </c>
      <c r="AL22" s="83">
        <f t="shared" si="23"/>
        <v>1.9514590761929913</v>
      </c>
      <c r="AM22" s="83">
        <f t="shared" si="24"/>
        <v>2.7695019748400203</v>
      </c>
      <c r="AN22" s="83">
        <f t="shared" si="25"/>
        <v>6.0929043446480442</v>
      </c>
      <c r="AO22" s="83">
        <f t="shared" si="26"/>
        <v>1.3847509874200101</v>
      </c>
      <c r="AP22" s="83">
        <f t="shared" si="27"/>
        <v>12.845113436612385</v>
      </c>
      <c r="AQ22" s="83">
        <f t="shared" si="28"/>
        <v>1.6844245198724677</v>
      </c>
      <c r="AR22" s="83">
        <f t="shared" si="29"/>
        <v>2.7584337255587155</v>
      </c>
      <c r="AS22" s="83">
        <f t="shared" si="30"/>
        <v>0.84221225993623383</v>
      </c>
      <c r="AT22" s="83">
        <f t="shared" si="31"/>
        <v>1.938651382388014</v>
      </c>
      <c r="AU22" s="83">
        <f t="shared" si="32"/>
        <v>4.1029658886518821</v>
      </c>
      <c r="AV22" s="83">
        <f t="shared" si="33"/>
        <v>0.96932569119400702</v>
      </c>
      <c r="AW22" s="83">
        <f t="shared" si="34"/>
        <v>13.607111691326679</v>
      </c>
      <c r="AX22" s="83">
        <f t="shared" si="35"/>
        <v>3.2781492579056484</v>
      </c>
      <c r="AY22" s="83">
        <f t="shared" si="36"/>
        <v>5.8793685419209973</v>
      </c>
      <c r="AZ22" s="83">
        <f t="shared" si="37"/>
        <v>1.6390746289528242</v>
      </c>
      <c r="BA22" s="83">
        <f t="shared" si="38"/>
        <v>2.9849076839942437</v>
      </c>
      <c r="BB22" s="83">
        <f t="shared" si="39"/>
        <v>3.5695803231271368</v>
      </c>
      <c r="BC22" s="83">
        <f t="shared" si="40"/>
        <v>11.987865400058805</v>
      </c>
      <c r="BD22" s="83">
        <f t="shared" si="41"/>
        <v>13.240872293589412</v>
      </c>
      <c r="BE22" s="83">
        <f t="shared" si="42"/>
        <v>3.1226639176097284</v>
      </c>
      <c r="BF22" s="83">
        <f t="shared" si="43"/>
        <v>4.9748461399904063</v>
      </c>
      <c r="BG22" s="83">
        <f t="shared" si="44"/>
        <v>2.7079574865102423</v>
      </c>
      <c r="BH22" s="83">
        <f t="shared" si="45"/>
        <v>5.1843095543954645</v>
      </c>
      <c r="BI22" s="83">
        <f t="shared" si="46"/>
        <v>13.343515618219515</v>
      </c>
      <c r="BJ22" s="83">
        <f t="shared" si="47"/>
        <v>0.673769807948987</v>
      </c>
      <c r="BK22" s="83">
        <f t="shared" si="48"/>
        <v>1.8463346498933466</v>
      </c>
      <c r="BL22" s="83">
        <f t="shared" si="49"/>
        <v>0.6975042010708199</v>
      </c>
      <c r="BM22" s="83">
        <f t="shared" si="50"/>
        <v>4.1501690658546373</v>
      </c>
      <c r="BN22" s="83">
        <f t="shared" si="51"/>
        <v>19.662845635046104</v>
      </c>
      <c r="BO22" s="83">
        <f t="shared" si="52"/>
        <v>1.7492100783291011</v>
      </c>
      <c r="BP22" s="83">
        <f t="shared" si="53"/>
        <v>2.9131057809428356</v>
      </c>
      <c r="BQ22" s="83">
        <f t="shared" si="54"/>
        <v>2.5028091920776476</v>
      </c>
      <c r="BR22" s="83">
        <f t="shared" si="55"/>
        <v>6.191235819553639</v>
      </c>
      <c r="BS22" s="83">
        <f t="shared" si="56"/>
        <v>16.948479753989954</v>
      </c>
      <c r="BT22" s="83">
        <f t="shared" si="57"/>
        <v>1.5678105146505275</v>
      </c>
      <c r="BU22" s="83">
        <f t="shared" si="58"/>
        <v>2.9131057809428356</v>
      </c>
      <c r="BV22" s="83">
        <f t="shared" si="59"/>
        <v>2.5028091920776476</v>
      </c>
      <c r="BW22" s="83">
        <f t="shared" si="60"/>
        <v>8.5860874772271352</v>
      </c>
      <c r="BX22" s="83">
        <f t="shared" si="61"/>
        <v>13.702614963737371</v>
      </c>
      <c r="BY22" s="83">
        <f t="shared" si="62"/>
        <v>1.9176525303163476</v>
      </c>
      <c r="BZ22" s="83">
        <f t="shared" si="63"/>
        <v>5.5244873466786322</v>
      </c>
      <c r="CA22" s="83">
        <f t="shared" si="64"/>
        <v>7.4752241264873307</v>
      </c>
      <c r="CB22" s="83">
        <f t="shared" si="65"/>
        <v>11.091707764433835</v>
      </c>
      <c r="CC22" s="83">
        <f t="shared" si="66"/>
        <v>7.4752241264873307</v>
      </c>
      <c r="CD22" s="83">
        <f t="shared" si="67"/>
        <v>7.0452805836965178</v>
      </c>
      <c r="CE22" s="83">
        <f t="shared" si="68"/>
        <v>11.738285905426217</v>
      </c>
      <c r="CF22" s="83">
        <f t="shared" si="69"/>
        <v>7.0452805836965178</v>
      </c>
      <c r="CG22" s="83">
        <f t="shared" si="70"/>
        <v>3.4017779228316698</v>
      </c>
    </row>
    <row r="23" spans="1:85" x14ac:dyDescent="0.25">
      <c r="A23" t="str">
        <f>PLANTILLA!D24</f>
        <v>S. Zobbe</v>
      </c>
      <c r="B23" s="355">
        <f>PLANTILLA!E24</f>
        <v>32</v>
      </c>
      <c r="C23" s="122">
        <f ca="1">PLANTILLA!F24</f>
        <v>50</v>
      </c>
      <c r="D23" s="355" t="str">
        <f>PLANTILLA!G24</f>
        <v>CAB</v>
      </c>
      <c r="E23" s="87">
        <v>36526</v>
      </c>
      <c r="F23" s="209">
        <f>PLANTILLA!P24</f>
        <v>1.5</v>
      </c>
      <c r="G23" s="210">
        <f>PLANTILLA!I24</f>
        <v>13</v>
      </c>
      <c r="H23" s="49">
        <f>PLANTILLA!X24</f>
        <v>0</v>
      </c>
      <c r="I23" s="49">
        <f>PLANTILLA!Y24</f>
        <v>8.3599999999999977</v>
      </c>
      <c r="J23" s="49">
        <f>PLANTILLA!Z24</f>
        <v>12.253412698412699</v>
      </c>
      <c r="K23" s="49">
        <f>PLANTILLA!AA24</f>
        <v>12.95</v>
      </c>
      <c r="L23" s="49">
        <f>PLANTILLA!AB24</f>
        <v>10.24</v>
      </c>
      <c r="M23" s="49">
        <f>PLANTILLA!AC24</f>
        <v>6.95</v>
      </c>
      <c r="N23" s="49">
        <f>PLANTILLA!AD24</f>
        <v>16</v>
      </c>
      <c r="O23" s="210">
        <f t="shared" si="0"/>
        <v>3.9799999999999995</v>
      </c>
      <c r="P23" s="210">
        <f t="shared" si="1"/>
        <v>19.334419744797479</v>
      </c>
      <c r="Q23" s="210">
        <f t="shared" si="2"/>
        <v>0.82750000000000001</v>
      </c>
      <c r="R23" s="210">
        <f t="shared" si="3"/>
        <v>0.81439999999999979</v>
      </c>
      <c r="S23" s="210">
        <f t="shared" ca="1" si="4"/>
        <v>18.485257803075783</v>
      </c>
      <c r="T23" s="83">
        <f t="shared" si="5"/>
        <v>4.9134900620851578</v>
      </c>
      <c r="U23" s="83">
        <f t="shared" si="6"/>
        <v>7.4069678237708345</v>
      </c>
      <c r="V23" s="83">
        <f t="shared" si="7"/>
        <v>4.9134900620851578</v>
      </c>
      <c r="W23" s="83">
        <f t="shared" si="8"/>
        <v>5.8541530263871024</v>
      </c>
      <c r="X23" s="83">
        <f t="shared" si="9"/>
        <v>11.34525780307578</v>
      </c>
      <c r="Y23" s="83">
        <f t="shared" si="10"/>
        <v>2.9270765131935512</v>
      </c>
      <c r="Z23" s="83">
        <f t="shared" si="11"/>
        <v>3.6268035793542586</v>
      </c>
      <c r="AA23" s="83">
        <f t="shared" si="12"/>
        <v>4.288507449562645</v>
      </c>
      <c r="AB23" s="83">
        <f t="shared" si="13"/>
        <v>8.2026213916237882</v>
      </c>
      <c r="AC23" s="83">
        <f t="shared" si="14"/>
        <v>2.1442537247813225</v>
      </c>
      <c r="AD23" s="83">
        <f t="shared" si="15"/>
        <v>5.8668881430730657</v>
      </c>
      <c r="AE23" s="362">
        <f t="shared" si="16"/>
        <v>10.437637178829718</v>
      </c>
      <c r="AF23" s="83">
        <f t="shared" si="17"/>
        <v>4.6969367304733725</v>
      </c>
      <c r="AG23" s="83">
        <f t="shared" si="18"/>
        <v>2.5448579737485768</v>
      </c>
      <c r="AH23" s="362">
        <f t="shared" si="19"/>
        <v>9.3699315882085585</v>
      </c>
      <c r="AI23" s="83">
        <f t="shared" si="20"/>
        <v>8.5543243835191376</v>
      </c>
      <c r="AJ23" s="83">
        <f t="shared" si="21"/>
        <v>8.0324425245776521</v>
      </c>
      <c r="AK23" s="83">
        <f t="shared" si="22"/>
        <v>3.1705380531136558</v>
      </c>
      <c r="AL23" s="83">
        <f t="shared" si="23"/>
        <v>2.005994247285825</v>
      </c>
      <c r="AM23" s="83">
        <f t="shared" si="24"/>
        <v>3.0632196068304607</v>
      </c>
      <c r="AN23" s="83">
        <f t="shared" si="25"/>
        <v>6.7390831350270135</v>
      </c>
      <c r="AO23" s="83">
        <f t="shared" si="26"/>
        <v>1.5316098034152303</v>
      </c>
      <c r="AP23" s="83">
        <f t="shared" si="27"/>
        <v>14.385304953405127</v>
      </c>
      <c r="AQ23" s="83">
        <f t="shared" si="28"/>
        <v>1.7192835143998517</v>
      </c>
      <c r="AR23" s="83">
        <f t="shared" si="29"/>
        <v>3.3058305363012042</v>
      </c>
      <c r="AS23" s="83">
        <f t="shared" si="30"/>
        <v>0.85964175719992586</v>
      </c>
      <c r="AT23" s="83">
        <f t="shared" si="31"/>
        <v>2.1442537247813225</v>
      </c>
      <c r="AU23" s="83">
        <f t="shared" si="32"/>
        <v>4.5381031212303125</v>
      </c>
      <c r="AV23" s="83">
        <f t="shared" si="33"/>
        <v>1.0721268623906612</v>
      </c>
      <c r="AW23" s="83">
        <f t="shared" si="34"/>
        <v>15.238670501488482</v>
      </c>
      <c r="AX23" s="83">
        <f t="shared" si="35"/>
        <v>3.3459902241781729</v>
      </c>
      <c r="AY23" s="83">
        <f t="shared" si="36"/>
        <v>6.5962170494947561</v>
      </c>
      <c r="AZ23" s="83">
        <f t="shared" si="37"/>
        <v>1.6729951120890865</v>
      </c>
      <c r="BA23" s="83">
        <f t="shared" si="38"/>
        <v>3.301470020695052</v>
      </c>
      <c r="BB23" s="83">
        <f t="shared" si="39"/>
        <v>3.9481497154703713</v>
      </c>
      <c r="BC23" s="83">
        <f t="shared" si="40"/>
        <v>13.425268711811352</v>
      </c>
      <c r="BD23" s="83">
        <f t="shared" si="41"/>
        <v>13.31279418693437</v>
      </c>
      <c r="BE23" s="83">
        <f t="shared" si="42"/>
        <v>3.1872871305412636</v>
      </c>
      <c r="BF23" s="83">
        <f t="shared" si="43"/>
        <v>5.5024500344917531</v>
      </c>
      <c r="BG23" s="83">
        <f t="shared" si="44"/>
        <v>2.995148060012006</v>
      </c>
      <c r="BH23" s="83">
        <f t="shared" si="45"/>
        <v>5.8059334610671121</v>
      </c>
      <c r="BI23" s="83">
        <f t="shared" si="46"/>
        <v>13.382705319888235</v>
      </c>
      <c r="BJ23" s="83">
        <f t="shared" si="47"/>
        <v>0.68771340575994067</v>
      </c>
      <c r="BK23" s="83">
        <f t="shared" si="48"/>
        <v>2.0421464045536402</v>
      </c>
      <c r="BL23" s="83">
        <f t="shared" si="49"/>
        <v>0.77147753060915314</v>
      </c>
      <c r="BM23" s="83">
        <f t="shared" si="50"/>
        <v>4.6477945029539871</v>
      </c>
      <c r="BN23" s="83">
        <f t="shared" si="51"/>
        <v>19.717681534755457</v>
      </c>
      <c r="BO23" s="83">
        <f t="shared" si="52"/>
        <v>1.7854098034152308</v>
      </c>
      <c r="BP23" s="83">
        <f t="shared" si="53"/>
        <v>3.2220532160735211</v>
      </c>
      <c r="BQ23" s="83">
        <f t="shared" si="54"/>
        <v>2.7682429039504903</v>
      </c>
      <c r="BR23" s="83">
        <f t="shared" si="55"/>
        <v>6.9335950781772597</v>
      </c>
      <c r="BS23" s="83">
        <f t="shared" si="56"/>
        <v>16.995025645807967</v>
      </c>
      <c r="BT23" s="83">
        <f t="shared" si="57"/>
        <v>1.6002561941721696</v>
      </c>
      <c r="BU23" s="83">
        <f t="shared" si="58"/>
        <v>3.2220532160735211</v>
      </c>
      <c r="BV23" s="83">
        <f t="shared" si="59"/>
        <v>2.7682429039504903</v>
      </c>
      <c r="BW23" s="83">
        <f t="shared" si="60"/>
        <v>9.6156010864392325</v>
      </c>
      <c r="BX23" s="83">
        <f t="shared" si="61"/>
        <v>13.739025733752825</v>
      </c>
      <c r="BY23" s="83">
        <f t="shared" si="62"/>
        <v>1.9573381548552158</v>
      </c>
      <c r="BZ23" s="83">
        <f t="shared" si="63"/>
        <v>6.186900223604324</v>
      </c>
      <c r="CA23" s="83">
        <f t="shared" si="64"/>
        <v>6.8627693154024829</v>
      </c>
      <c r="CB23" s="83">
        <f t="shared" si="65"/>
        <v>12.973570286263332</v>
      </c>
      <c r="CC23" s="83">
        <f t="shared" si="66"/>
        <v>6.8627693154024829</v>
      </c>
      <c r="CD23" s="83">
        <f t="shared" si="67"/>
        <v>7.8528456113162122</v>
      </c>
      <c r="CE23" s="83">
        <f t="shared" si="68"/>
        <v>14.815377932410746</v>
      </c>
      <c r="CF23" s="83">
        <f t="shared" si="69"/>
        <v>7.8528456113162122</v>
      </c>
      <c r="CG23" s="83">
        <f t="shared" si="70"/>
        <v>3.8096676253721204</v>
      </c>
    </row>
    <row r="24" spans="1:85" x14ac:dyDescent="0.25">
      <c r="A24" t="str">
        <f>PLANTILLA!D25</f>
        <v>L. Bauman</v>
      </c>
      <c r="B24" s="355">
        <f>PLANTILLA!E25</f>
        <v>35</v>
      </c>
      <c r="C24" s="122">
        <f ca="1">PLANTILLA!F25</f>
        <v>50</v>
      </c>
      <c r="D24" s="355">
        <f>PLANTILLA!G25</f>
        <v>0</v>
      </c>
      <c r="E24" s="87">
        <v>36526</v>
      </c>
      <c r="F24" s="209">
        <f>PLANTILLA!P25</f>
        <v>1.5</v>
      </c>
      <c r="G24" s="210">
        <f>PLANTILLA!I25</f>
        <v>12</v>
      </c>
      <c r="H24" s="49">
        <f>PLANTILLA!X25</f>
        <v>0</v>
      </c>
      <c r="I24" s="49">
        <f>PLANTILLA!Y25</f>
        <v>5.95</v>
      </c>
      <c r="J24" s="49">
        <f>PLANTILLA!Z25</f>
        <v>14.1</v>
      </c>
      <c r="K24" s="49">
        <f>PLANTILLA!AA25</f>
        <v>2.95</v>
      </c>
      <c r="L24" s="49">
        <f>PLANTILLA!AB25</f>
        <v>8.9499999999999993</v>
      </c>
      <c r="M24" s="49">
        <f>PLANTILLA!AC25</f>
        <v>5.95</v>
      </c>
      <c r="N24" s="49">
        <f>PLANTILLA!AD25</f>
        <v>16.95</v>
      </c>
      <c r="O24" s="210">
        <f t="shared" si="0"/>
        <v>3.3562499999999997</v>
      </c>
      <c r="P24" s="210">
        <f t="shared" si="1"/>
        <v>18.094487405020338</v>
      </c>
      <c r="Q24" s="210">
        <f t="shared" si="2"/>
        <v>0.80600000000000005</v>
      </c>
      <c r="R24" s="210">
        <f t="shared" si="3"/>
        <v>0.74649999999999994</v>
      </c>
      <c r="S24" s="210">
        <f t="shared" ca="1" si="4"/>
        <v>19.388908328063501</v>
      </c>
      <c r="T24" s="83">
        <f t="shared" si="5"/>
        <v>4.2078669703994356</v>
      </c>
      <c r="U24" s="83">
        <f t="shared" si="6"/>
        <v>6.322880651529978</v>
      </c>
      <c r="V24" s="83">
        <f t="shared" si="7"/>
        <v>4.2078669703994356</v>
      </c>
      <c r="W24" s="83">
        <f t="shared" si="8"/>
        <v>4.5866766972807662</v>
      </c>
      <c r="X24" s="83">
        <f t="shared" si="9"/>
        <v>8.8889083280635006</v>
      </c>
      <c r="Y24" s="83">
        <f t="shared" si="10"/>
        <v>2.2933383486403831</v>
      </c>
      <c r="Z24" s="83">
        <f t="shared" si="11"/>
        <v>4.0552601820791123</v>
      </c>
      <c r="AA24" s="83">
        <f t="shared" si="12"/>
        <v>3.3600073480080033</v>
      </c>
      <c r="AB24" s="83">
        <f t="shared" si="13"/>
        <v>6.4266807211899106</v>
      </c>
      <c r="AC24" s="83">
        <f t="shared" si="14"/>
        <v>1.6800036740040016</v>
      </c>
      <c r="AD24" s="83">
        <f t="shared" si="15"/>
        <v>6.5599797063044472</v>
      </c>
      <c r="AE24" s="362">
        <f t="shared" si="16"/>
        <v>8.1777956618184202</v>
      </c>
      <c r="AF24" s="83">
        <f t="shared" si="17"/>
        <v>3.6800080478182893</v>
      </c>
      <c r="AG24" s="83">
        <f t="shared" si="18"/>
        <v>2.8454976907866047</v>
      </c>
      <c r="AH24" s="362">
        <f t="shared" si="19"/>
        <v>3.4626780969013375</v>
      </c>
      <c r="AI24" s="83">
        <f t="shared" si="20"/>
        <v>6.7022368793598792</v>
      </c>
      <c r="AJ24" s="83">
        <f t="shared" si="21"/>
        <v>6.2933470962689579</v>
      </c>
      <c r="AK24" s="83">
        <f t="shared" si="22"/>
        <v>3.3214476907866048</v>
      </c>
      <c r="AL24" s="83">
        <f t="shared" si="23"/>
        <v>1.8130055984822875</v>
      </c>
      <c r="AM24" s="83">
        <f t="shared" si="24"/>
        <v>2.4000052485771453</v>
      </c>
      <c r="AN24" s="83">
        <f t="shared" si="25"/>
        <v>5.2800115468697193</v>
      </c>
      <c r="AO24" s="83">
        <f t="shared" si="26"/>
        <v>1.2000026242885726</v>
      </c>
      <c r="AP24" s="83">
        <f t="shared" si="27"/>
        <v>16.084729461691943</v>
      </c>
      <c r="AQ24" s="83">
        <f t="shared" si="28"/>
        <v>1.5455580826482549</v>
      </c>
      <c r="AR24" s="83">
        <f t="shared" si="29"/>
        <v>2.9644501401226053</v>
      </c>
      <c r="AS24" s="83">
        <f t="shared" si="30"/>
        <v>0.77277904132412745</v>
      </c>
      <c r="AT24" s="83">
        <f t="shared" si="31"/>
        <v>1.6800036740040016</v>
      </c>
      <c r="AU24" s="83">
        <f t="shared" si="32"/>
        <v>3.5555633312254002</v>
      </c>
      <c r="AV24" s="83">
        <f t="shared" si="33"/>
        <v>0.84000183700200082</v>
      </c>
      <c r="AW24" s="83">
        <f t="shared" si="34"/>
        <v>17.038908328063499</v>
      </c>
      <c r="AX24" s="83">
        <f t="shared" si="35"/>
        <v>3.0078938070000651</v>
      </c>
      <c r="AY24" s="83">
        <f t="shared" si="36"/>
        <v>5.9207884887629882</v>
      </c>
      <c r="AZ24" s="83">
        <f t="shared" si="37"/>
        <v>1.5039469035000326</v>
      </c>
      <c r="BA24" s="83">
        <f t="shared" si="38"/>
        <v>2.5866723234664786</v>
      </c>
      <c r="BB24" s="83">
        <f t="shared" si="39"/>
        <v>3.0933400981660979</v>
      </c>
      <c r="BC24" s="83">
        <f t="shared" si="40"/>
        <v>15.011278237023943</v>
      </c>
      <c r="BD24" s="83">
        <f t="shared" si="41"/>
        <v>7.1252395036484515</v>
      </c>
      <c r="BE24" s="83">
        <f t="shared" si="42"/>
        <v>2.865226907063303</v>
      </c>
      <c r="BF24" s="83">
        <f t="shared" si="43"/>
        <v>4.3111205391107976</v>
      </c>
      <c r="BG24" s="83">
        <f t="shared" si="44"/>
        <v>2.3466717986087642</v>
      </c>
      <c r="BH24" s="83">
        <f t="shared" si="45"/>
        <v>6.491824072992193</v>
      </c>
      <c r="BI24" s="83">
        <f t="shared" si="46"/>
        <v>6.3529058787274995</v>
      </c>
      <c r="BJ24" s="83">
        <f t="shared" si="47"/>
        <v>0.61822323305930194</v>
      </c>
      <c r="BK24" s="83">
        <f t="shared" si="48"/>
        <v>1.60000349905143</v>
      </c>
      <c r="BL24" s="83">
        <f t="shared" si="49"/>
        <v>0.60444576630831803</v>
      </c>
      <c r="BM24" s="83">
        <f t="shared" si="50"/>
        <v>5.1968670400593675</v>
      </c>
      <c r="BN24" s="83">
        <f t="shared" si="51"/>
        <v>9.289136109889661</v>
      </c>
      <c r="BO24" s="83">
        <f t="shared" si="52"/>
        <v>1.6050026242885724</v>
      </c>
      <c r="BP24" s="83">
        <f t="shared" si="53"/>
        <v>2.5244499651700338</v>
      </c>
      <c r="BQ24" s="83">
        <f t="shared" si="54"/>
        <v>2.1688936320474941</v>
      </c>
      <c r="BR24" s="83">
        <f t="shared" si="55"/>
        <v>7.7527032892688927</v>
      </c>
      <c r="BS24" s="83">
        <f t="shared" si="56"/>
        <v>7.988910427494357</v>
      </c>
      <c r="BT24" s="83">
        <f t="shared" si="57"/>
        <v>1.4385579076956834</v>
      </c>
      <c r="BU24" s="83">
        <f t="shared" si="58"/>
        <v>2.5244499651700338</v>
      </c>
      <c r="BV24" s="83">
        <f t="shared" si="59"/>
        <v>2.1688936320474941</v>
      </c>
      <c r="BW24" s="83">
        <f t="shared" si="60"/>
        <v>10.751551155008068</v>
      </c>
      <c r="BX24" s="83">
        <f t="shared" si="61"/>
        <v>6.4285729536168326</v>
      </c>
      <c r="BY24" s="83">
        <f t="shared" si="62"/>
        <v>1.7595584325533977</v>
      </c>
      <c r="BZ24" s="83">
        <f t="shared" si="63"/>
        <v>6.9177967811937808</v>
      </c>
      <c r="CA24" s="83">
        <f t="shared" si="64"/>
        <v>4.9491212389210837</v>
      </c>
      <c r="CB24" s="83">
        <f t="shared" si="65"/>
        <v>11.637910777399501</v>
      </c>
      <c r="CC24" s="83">
        <f t="shared" si="66"/>
        <v>4.9491212389210837</v>
      </c>
      <c r="CD24" s="83">
        <f t="shared" si="67"/>
        <v>5.1707898883835606</v>
      </c>
      <c r="CE24" s="83">
        <f t="shared" si="68"/>
        <v>13.275915501118931</v>
      </c>
      <c r="CF24" s="83">
        <f t="shared" si="69"/>
        <v>5.1707898883835606</v>
      </c>
      <c r="CG24" s="83">
        <f t="shared" si="70"/>
        <v>4.2597270820158748</v>
      </c>
    </row>
    <row r="25" spans="1:85" x14ac:dyDescent="0.25">
      <c r="A25" t="str">
        <f>PLANTILLA!D26</f>
        <v>J. Limon</v>
      </c>
      <c r="B25" s="355">
        <f>PLANTILLA!E26</f>
        <v>34</v>
      </c>
      <c r="C25" s="122">
        <f ca="1">PLANTILLA!F26</f>
        <v>87</v>
      </c>
      <c r="D25" s="355" t="str">
        <f>PLANTILLA!G26</f>
        <v>RAP</v>
      </c>
      <c r="E25" s="87">
        <v>36526</v>
      </c>
      <c r="F25" s="209">
        <f>PLANTILLA!P26</f>
        <v>1.5</v>
      </c>
      <c r="G25" s="210">
        <f>PLANTILLA!I26</f>
        <v>14.3</v>
      </c>
      <c r="H25" s="49">
        <f>PLANTILLA!X26</f>
        <v>0</v>
      </c>
      <c r="I25" s="49">
        <f>PLANTILLA!Y26</f>
        <v>6.8376190476190493</v>
      </c>
      <c r="J25" s="49">
        <f>PLANTILLA!Z26</f>
        <v>8.9499999999999993</v>
      </c>
      <c r="K25" s="49">
        <f>PLANTILLA!AA26</f>
        <v>8.7399999999999967</v>
      </c>
      <c r="L25" s="49">
        <f>PLANTILLA!AB26</f>
        <v>9.9499999999999993</v>
      </c>
      <c r="M25" s="49">
        <f>PLANTILLA!AC26</f>
        <v>6.95</v>
      </c>
      <c r="N25" s="49">
        <f>PLANTILLA!AD26</f>
        <v>18.999999999999993</v>
      </c>
      <c r="O25" s="210">
        <f t="shared" si="0"/>
        <v>3.7172023809523811</v>
      </c>
      <c r="P25" s="210">
        <f t="shared" si="1"/>
        <v>21.106390190397043</v>
      </c>
      <c r="Q25" s="210">
        <f t="shared" si="2"/>
        <v>0.91749999999999976</v>
      </c>
      <c r="R25" s="210">
        <f t="shared" si="3"/>
        <v>0.84350476190476176</v>
      </c>
      <c r="S25" s="210">
        <f t="shared" ca="1" si="4"/>
        <v>21.540448049953408</v>
      </c>
      <c r="T25" s="83">
        <f t="shared" si="5"/>
        <v>4.5414940047521899</v>
      </c>
      <c r="U25" s="83">
        <f t="shared" si="6"/>
        <v>6.8312065277279563</v>
      </c>
      <c r="V25" s="83">
        <f t="shared" si="7"/>
        <v>4.5414940047521899</v>
      </c>
      <c r="W25" s="83">
        <f t="shared" si="8"/>
        <v>5.0970826223473926</v>
      </c>
      <c r="X25" s="83">
        <f t="shared" si="9"/>
        <v>9.8780670975724654</v>
      </c>
      <c r="Y25" s="83">
        <f t="shared" si="10"/>
        <v>2.5485413111736963</v>
      </c>
      <c r="Z25" s="83">
        <f t="shared" si="11"/>
        <v>2.8537266358889126</v>
      </c>
      <c r="AA25" s="83">
        <f t="shared" si="12"/>
        <v>3.7339093628823918</v>
      </c>
      <c r="AB25" s="83">
        <f t="shared" si="13"/>
        <v>7.1418425115448922</v>
      </c>
      <c r="AC25" s="83">
        <f t="shared" si="14"/>
        <v>1.8669546814411959</v>
      </c>
      <c r="AD25" s="83">
        <f t="shared" si="15"/>
        <v>4.6163224992320648</v>
      </c>
      <c r="AE25" s="362">
        <f t="shared" si="16"/>
        <v>9.0878217297666684</v>
      </c>
      <c r="AF25" s="83">
        <f t="shared" si="17"/>
        <v>4.0895197783950001</v>
      </c>
      <c r="AG25" s="83">
        <f t="shared" si="18"/>
        <v>2.0024048243422206</v>
      </c>
      <c r="AH25" s="362">
        <f t="shared" si="19"/>
        <v>6.9269034533726055</v>
      </c>
      <c r="AI25" s="83">
        <f t="shared" si="20"/>
        <v>7.4480625915696388</v>
      </c>
      <c r="AJ25" s="83">
        <f t="shared" si="21"/>
        <v>6.9936715050813048</v>
      </c>
      <c r="AK25" s="83">
        <f t="shared" si="22"/>
        <v>3.6807548243422192</v>
      </c>
      <c r="AL25" s="83">
        <f t="shared" si="23"/>
        <v>1.9462033241008694</v>
      </c>
      <c r="AM25" s="83">
        <f t="shared" si="24"/>
        <v>2.667078116344566</v>
      </c>
      <c r="AN25" s="83">
        <f t="shared" si="25"/>
        <v>5.8675718559580439</v>
      </c>
      <c r="AO25" s="83">
        <f t="shared" si="26"/>
        <v>1.333539058172283</v>
      </c>
      <c r="AP25" s="83">
        <f t="shared" si="27"/>
        <v>11.318982959156022</v>
      </c>
      <c r="AQ25" s="83">
        <f t="shared" si="28"/>
        <v>1.6887582464939439</v>
      </c>
      <c r="AR25" s="83">
        <f t="shared" si="29"/>
        <v>3.28720127863635</v>
      </c>
      <c r="AS25" s="83">
        <f t="shared" si="30"/>
        <v>0.84437912324697195</v>
      </c>
      <c r="AT25" s="83">
        <f t="shared" si="31"/>
        <v>1.8669546814411959</v>
      </c>
      <c r="AU25" s="83">
        <f t="shared" si="32"/>
        <v>3.9512268390289864</v>
      </c>
      <c r="AV25" s="83">
        <f t="shared" si="33"/>
        <v>0.93347734072059796</v>
      </c>
      <c r="AW25" s="83">
        <f t="shared" si="34"/>
        <v>11.990448049953415</v>
      </c>
      <c r="AX25" s="83">
        <f t="shared" si="35"/>
        <v>3.2865833566382139</v>
      </c>
      <c r="AY25" s="83">
        <f t="shared" si="36"/>
        <v>6.5277368755243321</v>
      </c>
      <c r="AZ25" s="83">
        <f t="shared" si="37"/>
        <v>1.6432916783191069</v>
      </c>
      <c r="BA25" s="83">
        <f t="shared" si="38"/>
        <v>2.8745175253935873</v>
      </c>
      <c r="BB25" s="83">
        <f t="shared" si="39"/>
        <v>3.4375673499552177</v>
      </c>
      <c r="BC25" s="83">
        <f t="shared" si="40"/>
        <v>10.563584732008959</v>
      </c>
      <c r="BD25" s="83">
        <f t="shared" si="41"/>
        <v>10.853968316408583</v>
      </c>
      <c r="BE25" s="83">
        <f t="shared" si="42"/>
        <v>3.1306979800387729</v>
      </c>
      <c r="BF25" s="83">
        <f t="shared" si="43"/>
        <v>4.7908625423226452</v>
      </c>
      <c r="BG25" s="83">
        <f t="shared" si="44"/>
        <v>2.607809713759131</v>
      </c>
      <c r="BH25" s="83">
        <f t="shared" si="45"/>
        <v>4.5683607070322507</v>
      </c>
      <c r="BI25" s="83">
        <f t="shared" si="46"/>
        <v>10.539321595659283</v>
      </c>
      <c r="BJ25" s="83">
        <f t="shared" si="47"/>
        <v>0.67550329859757752</v>
      </c>
      <c r="BK25" s="83">
        <f t="shared" si="48"/>
        <v>1.7780520775630437</v>
      </c>
      <c r="BL25" s="83">
        <f t="shared" si="49"/>
        <v>0.67170856263492773</v>
      </c>
      <c r="BM25" s="83">
        <f t="shared" si="50"/>
        <v>3.6570866552357915</v>
      </c>
      <c r="BN25" s="83">
        <f t="shared" si="51"/>
        <v>15.495716192240089</v>
      </c>
      <c r="BO25" s="83">
        <f t="shared" si="52"/>
        <v>1.753710486743711</v>
      </c>
      <c r="BP25" s="83">
        <f t="shared" si="53"/>
        <v>2.8053710557105798</v>
      </c>
      <c r="BQ25" s="83">
        <f t="shared" si="54"/>
        <v>2.4102483718076817</v>
      </c>
      <c r="BR25" s="83">
        <f t="shared" si="55"/>
        <v>5.4556538627288038</v>
      </c>
      <c r="BS25" s="83">
        <f t="shared" si="56"/>
        <v>13.347976439348383</v>
      </c>
      <c r="BT25" s="83">
        <f t="shared" si="57"/>
        <v>1.5718442140443631</v>
      </c>
      <c r="BU25" s="83">
        <f t="shared" si="58"/>
        <v>2.8053710557105798</v>
      </c>
      <c r="BV25" s="83">
        <f t="shared" si="59"/>
        <v>2.4102483718076817</v>
      </c>
      <c r="BW25" s="83">
        <f t="shared" si="60"/>
        <v>7.5659727195206044</v>
      </c>
      <c r="BX25" s="83">
        <f t="shared" si="61"/>
        <v>10.777031004708304</v>
      </c>
      <c r="BY25" s="83">
        <f t="shared" si="62"/>
        <v>1.9225863113931052</v>
      </c>
      <c r="BZ25" s="83">
        <f t="shared" si="63"/>
        <v>4.8681219082810863</v>
      </c>
      <c r="CA25" s="83">
        <f t="shared" si="64"/>
        <v>6.2127834340257282</v>
      </c>
      <c r="CB25" s="83">
        <f t="shared" si="65"/>
        <v>12.878244504247544</v>
      </c>
      <c r="CC25" s="83">
        <f t="shared" si="66"/>
        <v>6.2127834340257282</v>
      </c>
      <c r="CD25" s="83">
        <f t="shared" si="67"/>
        <v>6.9156391351209763</v>
      </c>
      <c r="CE25" s="83">
        <f t="shared" si="68"/>
        <v>14.783923380386224</v>
      </c>
      <c r="CF25" s="83">
        <f t="shared" si="69"/>
        <v>6.9156391351209763</v>
      </c>
      <c r="CG25" s="83">
        <f t="shared" si="70"/>
        <v>2.9976120124883536</v>
      </c>
    </row>
    <row r="26" spans="1:85" x14ac:dyDescent="0.25">
      <c r="A26" t="str">
        <f>PLANTILLA!D27</f>
        <v>P .Trivadi</v>
      </c>
      <c r="B26" s="355">
        <f>PLANTILLA!E27</f>
        <v>32</v>
      </c>
      <c r="C26" s="122">
        <f ca="1">PLANTILLA!F27</f>
        <v>6</v>
      </c>
      <c r="D26" s="355">
        <f>PLANTILLA!G27</f>
        <v>0</v>
      </c>
      <c r="E26" s="87">
        <v>36526</v>
      </c>
      <c r="F26" s="209">
        <f>PLANTILLA!P27</f>
        <v>1.5</v>
      </c>
      <c r="G26" s="210">
        <f>PLANTILLA!I27</f>
        <v>6.2</v>
      </c>
      <c r="H26" s="49">
        <f>PLANTILLA!X27</f>
        <v>0</v>
      </c>
      <c r="I26" s="49">
        <f>PLANTILLA!Y27</f>
        <v>4.0199999999999996</v>
      </c>
      <c r="J26" s="49">
        <f>PLANTILLA!Z27</f>
        <v>5.95</v>
      </c>
      <c r="K26" s="49">
        <f>PLANTILLA!AA27</f>
        <v>5.5099999999999989</v>
      </c>
      <c r="L26" s="49">
        <f>PLANTILLA!AB27</f>
        <v>10.95</v>
      </c>
      <c r="M26" s="49">
        <f>PLANTILLA!AC27</f>
        <v>7.95</v>
      </c>
      <c r="N26" s="49">
        <f>PLANTILLA!AD27</f>
        <v>14</v>
      </c>
      <c r="O26" s="210">
        <f t="shared" si="0"/>
        <v>3.6149999999999998</v>
      </c>
      <c r="P26" s="210">
        <f t="shared" si="1"/>
        <v>18.946914178388191</v>
      </c>
      <c r="Q26" s="210">
        <f t="shared" si="2"/>
        <v>0.81750000000000012</v>
      </c>
      <c r="R26" s="210">
        <f t="shared" si="3"/>
        <v>0.58079999999999998</v>
      </c>
      <c r="S26" s="210">
        <f t="shared" ca="1" si="4"/>
        <v>16.056522252664337</v>
      </c>
      <c r="T26" s="83">
        <f t="shared" si="5"/>
        <v>3.3413639265759674</v>
      </c>
      <c r="U26" s="83">
        <f t="shared" si="6"/>
        <v>5.0089702281896606</v>
      </c>
      <c r="V26" s="83">
        <f t="shared" si="7"/>
        <v>3.3413639265759674</v>
      </c>
      <c r="W26" s="83">
        <f t="shared" si="8"/>
        <v>3.3934854823747984</v>
      </c>
      <c r="X26" s="83">
        <f t="shared" si="9"/>
        <v>6.5765222526643381</v>
      </c>
      <c r="Y26" s="83">
        <f t="shared" si="10"/>
        <v>1.6967427411873992</v>
      </c>
      <c r="Z26" s="83">
        <f t="shared" si="11"/>
        <v>2.0245522961341127</v>
      </c>
      <c r="AA26" s="83">
        <f t="shared" si="12"/>
        <v>2.4859254115071199</v>
      </c>
      <c r="AB26" s="83">
        <f t="shared" si="13"/>
        <v>4.754825588676316</v>
      </c>
      <c r="AC26" s="83">
        <f t="shared" si="14"/>
        <v>1.2429627057535599</v>
      </c>
      <c r="AD26" s="83">
        <f t="shared" si="15"/>
        <v>3.2750110672757708</v>
      </c>
      <c r="AE26" s="362">
        <f t="shared" si="16"/>
        <v>6.0504004724511917</v>
      </c>
      <c r="AF26" s="83">
        <f t="shared" si="17"/>
        <v>2.7226802126030361</v>
      </c>
      <c r="AG26" s="83">
        <f t="shared" si="18"/>
        <v>1.4205892161949447</v>
      </c>
      <c r="AH26" s="362">
        <f t="shared" si="19"/>
        <v>4.7431150845666306</v>
      </c>
      <c r="AI26" s="83">
        <f t="shared" si="20"/>
        <v>4.9586977785089106</v>
      </c>
      <c r="AJ26" s="83">
        <f t="shared" si="21"/>
        <v>4.6561777548863512</v>
      </c>
      <c r="AK26" s="83">
        <f t="shared" si="22"/>
        <v>2.7649392161949442</v>
      </c>
      <c r="AL26" s="83">
        <f t="shared" si="23"/>
        <v>1.7773984087673294</v>
      </c>
      <c r="AM26" s="83">
        <f t="shared" si="24"/>
        <v>1.7756610082193713</v>
      </c>
      <c r="AN26" s="83">
        <f t="shared" si="25"/>
        <v>3.9064542180826165</v>
      </c>
      <c r="AO26" s="83">
        <f t="shared" si="26"/>
        <v>0.88783050410968567</v>
      </c>
      <c r="AP26" s="83">
        <f t="shared" si="27"/>
        <v>8.030157006515136</v>
      </c>
      <c r="AQ26" s="83">
        <f t="shared" si="28"/>
        <v>1.7558478928463639</v>
      </c>
      <c r="AR26" s="83">
        <f t="shared" si="29"/>
        <v>3.4384110200306508</v>
      </c>
      <c r="AS26" s="83">
        <f t="shared" si="30"/>
        <v>0.87792394642318194</v>
      </c>
      <c r="AT26" s="83">
        <f t="shared" si="31"/>
        <v>1.2429627057535599</v>
      </c>
      <c r="AU26" s="83">
        <f t="shared" si="32"/>
        <v>2.6306089010657354</v>
      </c>
      <c r="AV26" s="83">
        <f t="shared" si="33"/>
        <v>0.62148135287677997</v>
      </c>
      <c r="AW26" s="83">
        <f t="shared" si="34"/>
        <v>8.5065222526643396</v>
      </c>
      <c r="AX26" s="83">
        <f t="shared" si="35"/>
        <v>3.4171501299240776</v>
      </c>
      <c r="AY26" s="83">
        <f t="shared" si="36"/>
        <v>6.8120937612180503</v>
      </c>
      <c r="AZ26" s="83">
        <f t="shared" si="37"/>
        <v>1.7085750649620388</v>
      </c>
      <c r="BA26" s="83">
        <f t="shared" si="38"/>
        <v>1.9137679755253223</v>
      </c>
      <c r="BB26" s="83">
        <f t="shared" si="39"/>
        <v>2.2886297439271894</v>
      </c>
      <c r="BC26" s="83">
        <f t="shared" si="40"/>
        <v>7.4942461045972832</v>
      </c>
      <c r="BD26" s="83">
        <f t="shared" si="41"/>
        <v>8.8847382826185957</v>
      </c>
      <c r="BE26" s="83">
        <f t="shared" si="42"/>
        <v>3.2550718628921054</v>
      </c>
      <c r="BF26" s="83">
        <f t="shared" si="43"/>
        <v>3.1896132925422038</v>
      </c>
      <c r="BG26" s="83">
        <f t="shared" si="44"/>
        <v>1.7362018747033854</v>
      </c>
      <c r="BH26" s="83">
        <f t="shared" si="45"/>
        <v>3.2409849782651134</v>
      </c>
      <c r="BI26" s="83">
        <f t="shared" si="46"/>
        <v>8.143580448828633</v>
      </c>
      <c r="BJ26" s="83">
        <f t="shared" si="47"/>
        <v>0.70233915713854556</v>
      </c>
      <c r="BK26" s="83">
        <f t="shared" si="48"/>
        <v>1.1837740054795809</v>
      </c>
      <c r="BL26" s="83">
        <f t="shared" si="49"/>
        <v>0.44720351318117502</v>
      </c>
      <c r="BM26" s="83">
        <f t="shared" si="50"/>
        <v>2.5944892870626237</v>
      </c>
      <c r="BN26" s="83">
        <f t="shared" si="51"/>
        <v>11.929387616926338</v>
      </c>
      <c r="BO26" s="83">
        <f t="shared" si="52"/>
        <v>1.8233805041096858</v>
      </c>
      <c r="BP26" s="83">
        <f t="shared" si="53"/>
        <v>1.8677323197566718</v>
      </c>
      <c r="BQ26" s="83">
        <f t="shared" si="54"/>
        <v>1.6046714296500986</v>
      </c>
      <c r="BR26" s="83">
        <f t="shared" si="55"/>
        <v>3.8704676249622745</v>
      </c>
      <c r="BS26" s="83">
        <f t="shared" si="56"/>
        <v>10.265066655952086</v>
      </c>
      <c r="BT26" s="83">
        <f t="shared" si="57"/>
        <v>1.6342891925723848</v>
      </c>
      <c r="BU26" s="83">
        <f t="shared" si="58"/>
        <v>1.8677323197566718</v>
      </c>
      <c r="BV26" s="83">
        <f t="shared" si="59"/>
        <v>1.6046714296500986</v>
      </c>
      <c r="BW26" s="83">
        <f t="shared" si="60"/>
        <v>5.3676155414311983</v>
      </c>
      <c r="BX26" s="83">
        <f t="shared" si="61"/>
        <v>8.269457416134582</v>
      </c>
      <c r="BY26" s="83">
        <f t="shared" si="62"/>
        <v>1.9989652933943218</v>
      </c>
      <c r="BZ26" s="83">
        <f t="shared" si="63"/>
        <v>3.4536480345817222</v>
      </c>
      <c r="CA26" s="83">
        <f t="shared" si="64"/>
        <v>5.87253809363812</v>
      </c>
      <c r="CB26" s="83">
        <f t="shared" si="65"/>
        <v>13.459344056500044</v>
      </c>
      <c r="CC26" s="83">
        <f t="shared" si="66"/>
        <v>5.87253809363812</v>
      </c>
      <c r="CD26" s="83">
        <f t="shared" si="67"/>
        <v>6.302323363409883</v>
      </c>
      <c r="CE26" s="83">
        <f t="shared" si="68"/>
        <v>15.490428963897479</v>
      </c>
      <c r="CF26" s="83">
        <f t="shared" si="69"/>
        <v>6.302323363409883</v>
      </c>
      <c r="CG26" s="83">
        <f t="shared" si="70"/>
        <v>2.1266305631660849</v>
      </c>
    </row>
  </sheetData>
  <sortState ref="A22:CG31">
    <sortCondition descending="1" ref="CA22:CA31"/>
    <sortCondition descending="1" ref="BZ22:BZ31"/>
  </sortState>
  <conditionalFormatting sqref="S3:S26">
    <cfRule type="cellIs" dxfId="43" priority="101" operator="greaterThan">
      <formula>15</formula>
    </cfRule>
  </conditionalFormatting>
  <conditionalFormatting sqref="O3:O26">
    <cfRule type="cellIs" dxfId="42" priority="100" operator="greaterThan">
      <formula>3.2</formula>
    </cfRule>
  </conditionalFormatting>
  <conditionalFormatting sqref="Q3:R26">
    <cfRule type="cellIs" dxfId="41" priority="99" operator="greaterThan">
      <formula>0.6</formula>
    </cfRule>
  </conditionalFormatting>
  <conditionalFormatting sqref="BI3:CG26 T3:W26 AF3:AF26 Y3:AD26 AH3:AJ26 BD3:BG26 AX3:BA26 AL3:AO26 AQ3:AV26">
    <cfRule type="cellIs" dxfId="40" priority="98" operator="greaterThan">
      <formula>12.5</formula>
    </cfRule>
  </conditionalFormatting>
  <conditionalFormatting sqref="G3:G26">
    <cfRule type="cellIs" dxfId="39" priority="95" operator="greaterThan">
      <formula>7</formula>
    </cfRule>
  </conditionalFormatting>
  <conditionalFormatting sqref="X3:X26 AP3:AP26 AW3:AW26 BH3:BH26 BC3:BC26 AE3:AE26">
    <cfRule type="cellIs" dxfId="38" priority="83" operator="greaterThan">
      <formula>12</formula>
    </cfRule>
  </conditionalFormatting>
  <conditionalFormatting sqref="P3:P26">
    <cfRule type="colorScale" priority="3580">
      <colorScale>
        <cfvo type="min"/>
        <cfvo type="max"/>
        <color rgb="FFFFEF9C"/>
        <color rgb="FF63BE7B"/>
      </colorScale>
    </cfRule>
  </conditionalFormatting>
  <conditionalFormatting sqref="H3:N26">
    <cfRule type="colorScale" priority="358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BO33"/>
  <sheetViews>
    <sheetView zoomScaleNormal="100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P16" sqref="P16"/>
    </sheetView>
  </sheetViews>
  <sheetFormatPr baseColWidth="10" defaultColWidth="11.42578125" defaultRowHeight="15" x14ac:dyDescent="0.25"/>
  <cols>
    <col min="1" max="1" width="4.7109375" bestFit="1" customWidth="1"/>
    <col min="2" max="2" width="5.140625" bestFit="1" customWidth="1"/>
    <col min="3" max="3" width="15.140625" style="55" bestFit="1" customWidth="1"/>
    <col min="4" max="4" width="5.5703125" bestFit="1" customWidth="1"/>
    <col min="5" max="5" width="5" bestFit="1" customWidth="1"/>
    <col min="6" max="6" width="4.5703125" style="166" bestFit="1" customWidth="1"/>
    <col min="7" max="7" width="3.7109375" style="2" customWidth="1"/>
    <col min="8" max="8" width="4.5703125" customWidth="1"/>
    <col min="9" max="9" width="6.140625" style="47" customWidth="1"/>
    <col min="10" max="12" width="6.140625" customWidth="1"/>
    <col min="13" max="13" width="6.140625" bestFit="1" customWidth="1"/>
    <col min="14" max="14" width="5" bestFit="1" customWidth="1"/>
    <col min="15" max="15" width="6.140625" customWidth="1"/>
    <col min="16" max="16" width="5.5703125" style="192" customWidth="1"/>
    <col min="17" max="17" width="5" style="192" customWidth="1"/>
    <col min="18" max="18" width="4.42578125" style="166" bestFit="1" customWidth="1"/>
    <col min="19" max="22" width="6.140625" style="166" bestFit="1" customWidth="1"/>
    <col min="23" max="23" width="5.5703125" style="166" bestFit="1" customWidth="1"/>
    <col min="24" max="24" width="5" style="166" bestFit="1" customWidth="1"/>
    <col min="25" max="25" width="6.140625" style="166" bestFit="1" customWidth="1"/>
    <col min="26" max="32" width="4.85546875" bestFit="1" customWidth="1"/>
    <col min="33" max="33" width="3.7109375" customWidth="1"/>
    <col min="34" max="34" width="5.140625" bestFit="1" customWidth="1"/>
    <col min="35" max="35" width="12.5703125" bestFit="1" customWidth="1"/>
    <col min="36" max="37" width="7.85546875" bestFit="1" customWidth="1"/>
    <col min="38" max="38" width="7.7109375" bestFit="1" customWidth="1"/>
    <col min="39" max="39" width="7.140625" bestFit="1" customWidth="1"/>
    <col min="40" max="41" width="6.5703125" bestFit="1" customWidth="1"/>
    <col min="42" max="42" width="6.42578125" bestFit="1" customWidth="1"/>
    <col min="43" max="44" width="5.85546875" bestFit="1" customWidth="1"/>
    <col min="45" max="45" width="5.5703125" bestFit="1" customWidth="1"/>
    <col min="46" max="46" width="4.5703125" bestFit="1" customWidth="1"/>
    <col min="47" max="47" width="5.5703125" customWidth="1"/>
    <col min="48" max="48" width="5.140625" bestFit="1" customWidth="1"/>
    <col min="49" max="49" width="15.85546875" customWidth="1"/>
    <col min="50" max="51" width="7.85546875" bestFit="1" customWidth="1"/>
    <col min="52" max="52" width="7.7109375" bestFit="1" customWidth="1"/>
    <col min="53" max="53" width="7.140625" bestFit="1" customWidth="1"/>
    <col min="54" max="55" width="6.5703125" bestFit="1" customWidth="1"/>
    <col min="56" max="56" width="6.42578125" bestFit="1" customWidth="1"/>
    <col min="57" max="58" width="5.85546875" bestFit="1" customWidth="1"/>
    <col min="59" max="59" width="5.5703125" bestFit="1" customWidth="1"/>
    <col min="60" max="60" width="4.5703125" bestFit="1" customWidth="1"/>
    <col min="62" max="62" width="11" bestFit="1" customWidth="1"/>
    <col min="63" max="63" width="5.85546875" bestFit="1" customWidth="1"/>
    <col min="64" max="64" width="12.42578125" bestFit="1" customWidth="1"/>
    <col min="65" max="65" width="15.140625" bestFit="1" customWidth="1"/>
    <col min="66" max="67" width="9.5703125" bestFit="1" customWidth="1"/>
  </cols>
  <sheetData>
    <row r="1" spans="1:67" ht="18.75" x14ac:dyDescent="0.3">
      <c r="P1"/>
      <c r="Q1"/>
      <c r="AH1" s="372" t="s">
        <v>278</v>
      </c>
      <c r="AI1" s="372"/>
      <c r="AJ1" s="372"/>
      <c r="AK1" s="372"/>
      <c r="AL1" s="372"/>
      <c r="AM1" s="372"/>
      <c r="AN1" s="372"/>
      <c r="AO1" s="372"/>
      <c r="AP1" s="372"/>
      <c r="AQ1" s="372"/>
      <c r="AR1" s="372"/>
      <c r="AS1" s="372"/>
      <c r="AT1" s="372"/>
      <c r="BJ1" s="183" t="s">
        <v>280</v>
      </c>
      <c r="BK1" s="183" t="s">
        <v>69</v>
      </c>
      <c r="BL1" s="183" t="s">
        <v>281</v>
      </c>
      <c r="BM1" s="184" t="s">
        <v>282</v>
      </c>
      <c r="BN1" s="182" t="s">
        <v>283</v>
      </c>
      <c r="BO1" s="182" t="s">
        <v>284</v>
      </c>
    </row>
    <row r="2" spans="1:67" s="72" customFormat="1" ht="18.75" x14ac:dyDescent="0.3">
      <c r="C2" s="165">
        <f ca="1">TODAY()</f>
        <v>43641</v>
      </c>
      <c r="D2" s="371">
        <v>41471</v>
      </c>
      <c r="E2" s="371"/>
      <c r="F2" s="371"/>
      <c r="G2" s="73"/>
      <c r="H2" s="73"/>
      <c r="I2" s="104"/>
      <c r="J2" s="73"/>
      <c r="K2" s="73"/>
      <c r="L2" s="73"/>
      <c r="M2" s="73"/>
      <c r="N2" s="73"/>
      <c r="O2" s="73"/>
      <c r="P2" s="155"/>
      <c r="Q2" s="85"/>
      <c r="R2" s="85"/>
      <c r="S2" s="85">
        <v>0</v>
      </c>
      <c r="T2" s="85">
        <v>1</v>
      </c>
      <c r="U2" s="85">
        <v>1</v>
      </c>
      <c r="V2" s="85">
        <v>0</v>
      </c>
      <c r="W2" s="85">
        <v>0</v>
      </c>
      <c r="X2" s="85">
        <v>1</v>
      </c>
      <c r="Y2" s="85">
        <v>1</v>
      </c>
      <c r="AJ2" s="180" t="e">
        <f>SUM(AJ4:AJ14)*$BM$3</f>
        <v>#REF!</v>
      </c>
      <c r="AK2" s="180">
        <f>SUM(AK4:AK14)*$BM$3</f>
        <v>7.1570000000000022E-2</v>
      </c>
      <c r="AL2" s="180" t="e">
        <f>SUM(AL4:AL14)*$BM$2</f>
        <v>#REF!</v>
      </c>
      <c r="AM2" s="180" t="e">
        <f>SUM(AM4:AM14)*$BM$4</f>
        <v>#REF!</v>
      </c>
      <c r="AN2" s="180" t="e">
        <f>SUM(AN4:AN14)*$BM$5</f>
        <v>#REF!</v>
      </c>
      <c r="AO2" s="180">
        <f>SUM(AO4:AO14)*$BM$5</f>
        <v>1.3000000000000012E-2</v>
      </c>
      <c r="AP2" s="180" t="e">
        <f>SUM(AP4:AP14)*$BM$6</f>
        <v>#REF!</v>
      </c>
      <c r="AQ2" s="181" t="e">
        <f>SUM(AQ4:AQ14)</f>
        <v>#REF!</v>
      </c>
      <c r="AR2" s="181" t="e">
        <f>SUM(AR4:AR14)</f>
        <v>#REF!</v>
      </c>
      <c r="AS2" s="181">
        <f t="shared" ref="AS2:AT2" si="0">SUM(AS4:AS14)</f>
        <v>6.9789166666666667</v>
      </c>
      <c r="AT2" s="181">
        <f t="shared" si="0"/>
        <v>6.25E-2</v>
      </c>
      <c r="AX2" s="180">
        <f>SUM(AX4:AX14)*$BM$3</f>
        <v>0.10285000000000001</v>
      </c>
      <c r="AY2" s="180" t="e">
        <f>SUM(AY4:AY14)*$BM$3</f>
        <v>#REF!</v>
      </c>
      <c r="AZ2" s="180" t="e">
        <f>SUM(AZ4:AZ14)*$BM$2</f>
        <v>#REF!</v>
      </c>
      <c r="BA2" s="180" t="e">
        <f>SUM(BA4:BA14)*$BM$4</f>
        <v>#REF!</v>
      </c>
      <c r="BB2" s="180">
        <f>SUM(BB4:BB14)*$BM$5</f>
        <v>2.6200000000000025E-2</v>
      </c>
      <c r="BC2" s="180" t="e">
        <f>SUM(BC4:BC14)*$BM$5</f>
        <v>#REF!</v>
      </c>
      <c r="BD2" s="180">
        <f>SUM(BD4:BD14)*$BM$6</f>
        <v>4.2287666666666619E-2</v>
      </c>
      <c r="BE2" s="181" t="e">
        <f>SUM(BE4:BE14)</f>
        <v>#REF!</v>
      </c>
      <c r="BF2" s="181" t="e">
        <f>SUM(BF4:BF14)</f>
        <v>#REF!</v>
      </c>
      <c r="BG2" s="181" t="e">
        <f t="shared" ref="BG2:BH2" si="1">SUM(BG4:BG14)</f>
        <v>#REF!</v>
      </c>
      <c r="BH2" s="181" t="e">
        <f t="shared" si="1"/>
        <v>#REF!</v>
      </c>
      <c r="BJ2" s="77" t="s">
        <v>285</v>
      </c>
      <c r="BK2" s="185">
        <v>1</v>
      </c>
      <c r="BL2" s="186">
        <v>0.624</v>
      </c>
      <c r="BM2" s="187">
        <v>0.245</v>
      </c>
      <c r="BN2" s="121">
        <f>BM2*10</f>
        <v>2.4500000000000002</v>
      </c>
      <c r="BO2" s="121">
        <f>BM2*15</f>
        <v>3.6749999999999998</v>
      </c>
    </row>
    <row r="3" spans="1:67" ht="18.75" x14ac:dyDescent="0.3">
      <c r="A3" s="94" t="s">
        <v>180</v>
      </c>
      <c r="B3" s="94" t="s">
        <v>100</v>
      </c>
      <c r="C3" s="96" t="s">
        <v>71</v>
      </c>
      <c r="D3" s="94" t="s">
        <v>72</v>
      </c>
      <c r="E3" s="94" t="s">
        <v>61</v>
      </c>
      <c r="F3" s="94" t="s">
        <v>74</v>
      </c>
      <c r="G3" s="94" t="s">
        <v>75</v>
      </c>
      <c r="H3" s="94" t="s">
        <v>68</v>
      </c>
      <c r="I3" s="94" t="s">
        <v>106</v>
      </c>
      <c r="J3" s="94" t="s">
        <v>77</v>
      </c>
      <c r="K3" s="94" t="s">
        <v>78</v>
      </c>
      <c r="L3" s="94" t="s">
        <v>79</v>
      </c>
      <c r="M3" s="94" t="s">
        <v>80</v>
      </c>
      <c r="N3" s="94" t="s">
        <v>81</v>
      </c>
      <c r="O3" s="94" t="s">
        <v>74</v>
      </c>
      <c r="P3" s="157" t="s">
        <v>72</v>
      </c>
      <c r="Q3" s="157" t="s">
        <v>61</v>
      </c>
      <c r="R3" s="156" t="s">
        <v>68</v>
      </c>
      <c r="S3" s="156" t="s">
        <v>106</v>
      </c>
      <c r="T3" s="156" t="s">
        <v>77</v>
      </c>
      <c r="U3" s="156" t="s">
        <v>78</v>
      </c>
      <c r="V3" s="156" t="s">
        <v>79</v>
      </c>
      <c r="W3" s="156" t="s">
        <v>80</v>
      </c>
      <c r="X3" s="156" t="s">
        <v>81</v>
      </c>
      <c r="Y3" s="156" t="s">
        <v>74</v>
      </c>
      <c r="Z3" s="156" t="s">
        <v>106</v>
      </c>
      <c r="AA3" s="156" t="s">
        <v>77</v>
      </c>
      <c r="AB3" s="156" t="s">
        <v>78</v>
      </c>
      <c r="AC3" s="156" t="s">
        <v>79</v>
      </c>
      <c r="AD3" s="156" t="s">
        <v>80</v>
      </c>
      <c r="AE3" s="156" t="s">
        <v>81</v>
      </c>
      <c r="AF3" s="156" t="s">
        <v>74</v>
      </c>
      <c r="AH3" s="373" t="s">
        <v>337</v>
      </c>
      <c r="AI3" s="374"/>
      <c r="AJ3" s="119" t="s">
        <v>204</v>
      </c>
      <c r="AK3" s="119" t="s">
        <v>205</v>
      </c>
      <c r="AL3" s="119" t="s">
        <v>215</v>
      </c>
      <c r="AM3" s="119" t="s">
        <v>206</v>
      </c>
      <c r="AN3" s="119" t="s">
        <v>207</v>
      </c>
      <c r="AO3" s="119" t="s">
        <v>208</v>
      </c>
      <c r="AP3" s="119" t="s">
        <v>209</v>
      </c>
      <c r="AQ3" s="119" t="s">
        <v>351</v>
      </c>
      <c r="AR3" s="119" t="s">
        <v>352</v>
      </c>
      <c r="AS3" s="119" t="s">
        <v>257</v>
      </c>
      <c r="AT3" s="119" t="s">
        <v>279</v>
      </c>
      <c r="AV3" s="373" t="s">
        <v>339</v>
      </c>
      <c r="AW3" s="374"/>
      <c r="AX3" s="119" t="s">
        <v>204</v>
      </c>
      <c r="AY3" s="119" t="s">
        <v>205</v>
      </c>
      <c r="AZ3" s="119" t="s">
        <v>215</v>
      </c>
      <c r="BA3" s="119" t="s">
        <v>206</v>
      </c>
      <c r="BB3" s="119" t="s">
        <v>207</v>
      </c>
      <c r="BC3" s="119" t="s">
        <v>208</v>
      </c>
      <c r="BD3" s="119" t="s">
        <v>209</v>
      </c>
      <c r="BE3" s="119" t="s">
        <v>351</v>
      </c>
      <c r="BF3" s="119" t="s">
        <v>352</v>
      </c>
      <c r="BG3" s="119" t="s">
        <v>257</v>
      </c>
      <c r="BH3" s="119" t="s">
        <v>279</v>
      </c>
      <c r="BJ3" s="77" t="s">
        <v>286</v>
      </c>
      <c r="BK3" s="185">
        <v>1</v>
      </c>
      <c r="BL3" s="186">
        <v>1.002</v>
      </c>
      <c r="BM3" s="187">
        <v>0.34</v>
      </c>
      <c r="BN3" s="121">
        <f t="shared" ref="BN3:BN6" si="2">BM3*10</f>
        <v>3.4000000000000004</v>
      </c>
      <c r="BO3" s="121">
        <f t="shared" ref="BO3:BO6" si="3">BM3*15</f>
        <v>5.1000000000000005</v>
      </c>
    </row>
    <row r="4" spans="1:67" s="78" customFormat="1" ht="18.75" x14ac:dyDescent="0.3">
      <c r="A4" s="143" t="str">
        <f>PLANTILLA!A4</f>
        <v>#1</v>
      </c>
      <c r="B4" s="143" t="s">
        <v>1</v>
      </c>
      <c r="C4" s="90" t="str">
        <f>PLANTILLA!D4</f>
        <v>D. Gehmacher</v>
      </c>
      <c r="D4" s="145">
        <f>PLANTILLA!E4</f>
        <v>35</v>
      </c>
      <c r="E4" s="150">
        <f ca="1">PLANTILLA!F4</f>
        <v>3</v>
      </c>
      <c r="F4" s="146"/>
      <c r="G4" s="363">
        <f>PLANTILLA!H4</f>
        <v>6</v>
      </c>
      <c r="H4" s="102">
        <f>PLANTILLA!I4</f>
        <v>23.7</v>
      </c>
      <c r="I4" s="198">
        <f>PLANTILLA!X4</f>
        <v>16.666666666666668</v>
      </c>
      <c r="J4" s="198">
        <f>PLANTILLA!Y4</f>
        <v>11.95</v>
      </c>
      <c r="K4" s="198">
        <f>PLANTILLA!Z4</f>
        <v>2.0699999999999985</v>
      </c>
      <c r="L4" s="198">
        <f>PLANTILLA!AA4</f>
        <v>2.149999999999999</v>
      </c>
      <c r="M4" s="198">
        <f>PLANTILLA!AB4</f>
        <v>0.95</v>
      </c>
      <c r="N4" s="198">
        <f>PLANTILLA!AC4</f>
        <v>0</v>
      </c>
      <c r="O4" s="198">
        <f>PLANTILLA!AD4</f>
        <v>18.2</v>
      </c>
      <c r="P4" s="158">
        <f t="shared" ref="P4:P5" si="4">D4</f>
        <v>35</v>
      </c>
      <c r="Q4" s="159">
        <f t="shared" ref="Q4:Q5" ca="1" si="5">E4+7</f>
        <v>10</v>
      </c>
      <c r="R4" s="92">
        <f t="shared" ref="R4:R27" si="6">H4+$R$2</f>
        <v>23.7</v>
      </c>
      <c r="S4" s="215">
        <f>I4</f>
        <v>16.666666666666668</v>
      </c>
      <c r="T4" s="215">
        <f t="shared" ref="T4:Y12" si="7">J4</f>
        <v>11.95</v>
      </c>
      <c r="U4" s="215">
        <f t="shared" si="7"/>
        <v>2.0699999999999985</v>
      </c>
      <c r="V4" s="215">
        <f t="shared" si="7"/>
        <v>2.149999999999999</v>
      </c>
      <c r="W4" s="215">
        <f t="shared" si="7"/>
        <v>0.95</v>
      </c>
      <c r="X4" s="215">
        <f t="shared" si="7"/>
        <v>0</v>
      </c>
      <c r="Y4" s="215">
        <f t="shared" si="7"/>
        <v>18.2</v>
      </c>
      <c r="Z4" s="168">
        <f t="shared" ref="Z4:Z27" si="8">S4-I4</f>
        <v>0</v>
      </c>
      <c r="AA4" s="168">
        <f t="shared" ref="AA4:AA27" si="9">T4-J4</f>
        <v>0</v>
      </c>
      <c r="AB4" s="168">
        <f t="shared" ref="AB4:AB27" si="10">U4-K4</f>
        <v>0</v>
      </c>
      <c r="AC4" s="168">
        <f t="shared" ref="AC4:AC27" si="11">V4-L4</f>
        <v>0</v>
      </c>
      <c r="AD4" s="168">
        <f t="shared" ref="AD4:AD27" si="12">W4-M4</f>
        <v>0</v>
      </c>
      <c r="AE4" s="168">
        <f t="shared" ref="AE4:AE27" si="13">X4-N4</f>
        <v>0</v>
      </c>
      <c r="AF4" s="168">
        <f t="shared" ref="AF4:AF27" si="14">Y4-O4</f>
        <v>0</v>
      </c>
      <c r="AH4" s="169" t="s">
        <v>1</v>
      </c>
      <c r="AI4" s="99" t="str">
        <f>C4</f>
        <v>D. Gehmacher</v>
      </c>
      <c r="AJ4" s="174">
        <f>(Z4*0.597)+(AA4*0.276)</f>
        <v>0</v>
      </c>
      <c r="AK4" s="174">
        <f>AJ4</f>
        <v>0</v>
      </c>
      <c r="AL4" s="174">
        <f>(Z4*0.866)+(AA4*0.425)</f>
        <v>0</v>
      </c>
      <c r="AM4" s="174">
        <v>0</v>
      </c>
      <c r="AN4" s="174">
        <v>0</v>
      </c>
      <c r="AO4" s="174">
        <v>0</v>
      </c>
      <c r="AP4" s="174">
        <v>0</v>
      </c>
      <c r="AQ4" s="242">
        <v>0</v>
      </c>
      <c r="AR4" s="242">
        <f>0.08*Z4+0.1*AF4</f>
        <v>0</v>
      </c>
      <c r="AS4" s="177">
        <v>0</v>
      </c>
      <c r="AT4" s="177">
        <v>0</v>
      </c>
      <c r="AV4" s="169" t="s">
        <v>1</v>
      </c>
      <c r="AW4" s="99" t="str">
        <f>C4</f>
        <v>D. Gehmacher</v>
      </c>
      <c r="AX4" s="174">
        <f t="shared" ref="AX4:BD4" si="15">AJ4</f>
        <v>0</v>
      </c>
      <c r="AY4" s="174">
        <f t="shared" si="15"/>
        <v>0</v>
      </c>
      <c r="AZ4" s="174">
        <f t="shared" si="15"/>
        <v>0</v>
      </c>
      <c r="BA4" s="174">
        <f t="shared" si="15"/>
        <v>0</v>
      </c>
      <c r="BB4" s="174">
        <f t="shared" si="15"/>
        <v>0</v>
      </c>
      <c r="BC4" s="174">
        <f t="shared" si="15"/>
        <v>0</v>
      </c>
      <c r="BD4" s="174">
        <f t="shared" si="15"/>
        <v>0</v>
      </c>
      <c r="BE4" s="242">
        <f t="shared" ref="BE4" si="16">AQ4</f>
        <v>0</v>
      </c>
      <c r="BF4" s="242">
        <f t="shared" ref="BF4:BH4" si="17">AR4</f>
        <v>0</v>
      </c>
      <c r="BG4" s="177">
        <f t="shared" si="17"/>
        <v>0</v>
      </c>
      <c r="BH4" s="177">
        <f t="shared" si="17"/>
        <v>0</v>
      </c>
      <c r="BJ4" s="77" t="s">
        <v>287</v>
      </c>
      <c r="BK4" s="185">
        <v>1</v>
      </c>
      <c r="BL4" s="186">
        <v>0.46800000000000003</v>
      </c>
      <c r="BM4" s="187">
        <v>0.125</v>
      </c>
      <c r="BN4" s="121">
        <f t="shared" si="2"/>
        <v>1.25</v>
      </c>
      <c r="BO4" s="121">
        <f t="shared" si="3"/>
        <v>1.875</v>
      </c>
    </row>
    <row r="5" spans="1:67" s="75" customFormat="1" ht="18.75" x14ac:dyDescent="0.3">
      <c r="A5" s="143" t="str">
        <f>PLANTILLA!A5</f>
        <v>#25</v>
      </c>
      <c r="B5" s="143" t="s">
        <v>1</v>
      </c>
      <c r="C5" s="90" t="str">
        <f>PLANTILLA!D5</f>
        <v>T. Hammond</v>
      </c>
      <c r="D5" s="145">
        <f>PLANTILLA!E5</f>
        <v>39</v>
      </c>
      <c r="E5" s="150">
        <f ca="1">PLANTILLA!F5</f>
        <v>12</v>
      </c>
      <c r="F5" s="146" t="str">
        <f>PLANTILLA!G5</f>
        <v>CAB</v>
      </c>
      <c r="G5" s="363">
        <f>PLANTILLA!H5</f>
        <v>3</v>
      </c>
      <c r="H5" s="102">
        <f>PLANTILLA!I5</f>
        <v>8.4</v>
      </c>
      <c r="I5" s="198">
        <f>PLANTILLA!X5</f>
        <v>7.95</v>
      </c>
      <c r="J5" s="198">
        <f>PLANTILLA!Y5</f>
        <v>7.95</v>
      </c>
      <c r="K5" s="198">
        <f>PLANTILLA!Z5</f>
        <v>0.95</v>
      </c>
      <c r="L5" s="198">
        <f>PLANTILLA!AA5</f>
        <v>0.95</v>
      </c>
      <c r="M5" s="198">
        <f>PLANTILLA!AB5</f>
        <v>1.95</v>
      </c>
      <c r="N5" s="198">
        <f>PLANTILLA!AC5</f>
        <v>0</v>
      </c>
      <c r="O5" s="198">
        <f>PLANTILLA!AD5</f>
        <v>14.95</v>
      </c>
      <c r="P5" s="158">
        <f t="shared" si="4"/>
        <v>39</v>
      </c>
      <c r="Q5" s="159">
        <f t="shared" ca="1" si="5"/>
        <v>19</v>
      </c>
      <c r="R5" s="92">
        <f t="shared" si="6"/>
        <v>8.4</v>
      </c>
      <c r="S5" s="215">
        <f t="shared" ref="S5:S12" si="18">I5</f>
        <v>7.95</v>
      </c>
      <c r="T5" s="215">
        <f t="shared" si="7"/>
        <v>7.95</v>
      </c>
      <c r="U5" s="215">
        <f t="shared" si="7"/>
        <v>0.95</v>
      </c>
      <c r="V5" s="215">
        <f t="shared" si="7"/>
        <v>0.95</v>
      </c>
      <c r="W5" s="215">
        <f t="shared" si="7"/>
        <v>1.95</v>
      </c>
      <c r="X5" s="215">
        <f t="shared" si="7"/>
        <v>0</v>
      </c>
      <c r="Y5" s="215">
        <f t="shared" si="7"/>
        <v>14.95</v>
      </c>
      <c r="Z5" s="168">
        <f t="shared" si="8"/>
        <v>0</v>
      </c>
      <c r="AA5" s="168">
        <f t="shared" si="9"/>
        <v>0</v>
      </c>
      <c r="AB5" s="168">
        <f t="shared" si="10"/>
        <v>0</v>
      </c>
      <c r="AC5" s="168">
        <f t="shared" si="11"/>
        <v>0</v>
      </c>
      <c r="AD5" s="168">
        <f t="shared" si="12"/>
        <v>0</v>
      </c>
      <c r="AE5" s="168">
        <f t="shared" si="13"/>
        <v>0</v>
      </c>
      <c r="AF5" s="168">
        <f t="shared" si="14"/>
        <v>0</v>
      </c>
      <c r="AH5" s="170" t="s">
        <v>260</v>
      </c>
      <c r="AI5" s="100" t="str">
        <f>C19</f>
        <v>K. Nelson</v>
      </c>
      <c r="AJ5" s="175">
        <f>(AA19*0.919)</f>
        <v>0.22975000000000001</v>
      </c>
      <c r="AK5" s="175">
        <v>0</v>
      </c>
      <c r="AL5" s="175">
        <f>AA19*0.414</f>
        <v>0.10349999999999999</v>
      </c>
      <c r="AM5" s="175">
        <f>AB19*0.167</f>
        <v>4.1750000000000002E-2</v>
      </c>
      <c r="AN5" s="175">
        <f>AC19*0.588</f>
        <v>0</v>
      </c>
      <c r="AO5" s="175">
        <v>0</v>
      </c>
      <c r="AP5" s="175">
        <v>0</v>
      </c>
      <c r="AQ5" s="178">
        <f>(0.5*AE19+0.3*AF19)/10</f>
        <v>3.8333333333333303E-2</v>
      </c>
      <c r="AR5" s="178">
        <f>(0.4*AA19+0.3*AF19)/10</f>
        <v>0.04</v>
      </c>
      <c r="AS5" s="178">
        <f>((T19+1)+(W19+1)*2)/8</f>
        <v>1.78125</v>
      </c>
      <c r="AT5" s="178">
        <f>((AA19)+(AD19)*2)/8</f>
        <v>3.125E-2</v>
      </c>
      <c r="AV5" s="170" t="s">
        <v>260</v>
      </c>
      <c r="AW5" s="100" t="str">
        <f>AI19</f>
        <v>K. Nelson</v>
      </c>
      <c r="AX5" s="176">
        <f>AJ19</f>
        <v>0.22975000000000001</v>
      </c>
      <c r="AY5" s="176">
        <f t="shared" ref="AY5:BH5" si="19">AK19</f>
        <v>0</v>
      </c>
      <c r="AZ5" s="176">
        <f t="shared" si="19"/>
        <v>0.10349999999999999</v>
      </c>
      <c r="BA5" s="176">
        <f t="shared" si="19"/>
        <v>4.1750000000000002E-2</v>
      </c>
      <c r="BB5" s="176">
        <f t="shared" si="19"/>
        <v>0</v>
      </c>
      <c r="BC5" s="176">
        <f t="shared" si="19"/>
        <v>0</v>
      </c>
      <c r="BD5" s="176">
        <f t="shared" si="19"/>
        <v>0</v>
      </c>
      <c r="BE5" s="179">
        <f t="shared" si="19"/>
        <v>3.8333333333333303E-2</v>
      </c>
      <c r="BF5" s="179">
        <f t="shared" si="19"/>
        <v>0.04</v>
      </c>
      <c r="BG5" s="179">
        <f t="shared" si="19"/>
        <v>1.78125</v>
      </c>
      <c r="BH5" s="179">
        <f t="shared" si="19"/>
        <v>3.125E-2</v>
      </c>
      <c r="BJ5" s="77" t="s">
        <v>288</v>
      </c>
      <c r="BK5" s="185">
        <v>1</v>
      </c>
      <c r="BL5" s="186">
        <v>0.877</v>
      </c>
      <c r="BM5" s="187">
        <v>0.25</v>
      </c>
      <c r="BN5" s="121">
        <f t="shared" si="2"/>
        <v>2.5</v>
      </c>
      <c r="BO5" s="121">
        <f t="shared" si="3"/>
        <v>3.75</v>
      </c>
    </row>
    <row r="6" spans="1:67" s="81" customFormat="1" ht="18.75" x14ac:dyDescent="0.3">
      <c r="A6" s="143" t="str">
        <f>PLANTILLA!A6</f>
        <v>#2</v>
      </c>
      <c r="B6" s="143" t="s">
        <v>1</v>
      </c>
      <c r="C6" s="90" t="str">
        <f>PLANTILLA!D6</f>
        <v>E. Toney</v>
      </c>
      <c r="D6" s="145">
        <f>PLANTILLA!E6</f>
        <v>36</v>
      </c>
      <c r="E6" s="150">
        <f ca="1">PLANTILLA!F6</f>
        <v>14</v>
      </c>
      <c r="F6" s="146"/>
      <c r="G6" s="363">
        <f>PLANTILLA!H6</f>
        <v>4</v>
      </c>
      <c r="H6" s="102">
        <f>PLANTILLA!I6</f>
        <v>18</v>
      </c>
      <c r="I6" s="198">
        <f>PLANTILLA!X6</f>
        <v>0</v>
      </c>
      <c r="J6" s="198">
        <f>PLANTILLA!Y6</f>
        <v>11.95</v>
      </c>
      <c r="K6" s="198">
        <f>PLANTILLA!Z6</f>
        <v>12.95</v>
      </c>
      <c r="L6" s="198">
        <f>PLANTILLA!AA6</f>
        <v>8.9499999999999993</v>
      </c>
      <c r="M6" s="198">
        <f>PLANTILLA!AB6</f>
        <v>8.9499999999999993</v>
      </c>
      <c r="N6" s="198">
        <f>PLANTILLA!AC6</f>
        <v>1.95</v>
      </c>
      <c r="O6" s="198">
        <f>PLANTILLA!AD6</f>
        <v>17.177777777777774</v>
      </c>
      <c r="P6" s="158">
        <f t="shared" ref="P6:P27" si="20">D6</f>
        <v>36</v>
      </c>
      <c r="Q6" s="159">
        <f t="shared" ref="Q6:Q27" ca="1" si="21">E6+7</f>
        <v>21</v>
      </c>
      <c r="R6" s="92">
        <f t="shared" si="6"/>
        <v>18</v>
      </c>
      <c r="S6" s="215">
        <f t="shared" si="18"/>
        <v>0</v>
      </c>
      <c r="T6" s="215">
        <f t="shared" si="7"/>
        <v>11.95</v>
      </c>
      <c r="U6" s="215">
        <f t="shared" si="7"/>
        <v>12.95</v>
      </c>
      <c r="V6" s="215">
        <f t="shared" si="7"/>
        <v>8.9499999999999993</v>
      </c>
      <c r="W6" s="215">
        <f t="shared" si="7"/>
        <v>8.9499999999999993</v>
      </c>
      <c r="X6" s="215">
        <f t="shared" si="7"/>
        <v>1.95</v>
      </c>
      <c r="Y6" s="215">
        <f t="shared" si="7"/>
        <v>17.177777777777774</v>
      </c>
      <c r="Z6" s="168">
        <f t="shared" si="8"/>
        <v>0</v>
      </c>
      <c r="AA6" s="168">
        <f t="shared" si="9"/>
        <v>0</v>
      </c>
      <c r="AB6" s="168">
        <f t="shared" si="10"/>
        <v>0</v>
      </c>
      <c r="AC6" s="168">
        <f t="shared" si="11"/>
        <v>0</v>
      </c>
      <c r="AD6" s="168">
        <f t="shared" si="12"/>
        <v>0</v>
      </c>
      <c r="AE6" s="168">
        <f t="shared" si="13"/>
        <v>0</v>
      </c>
      <c r="AF6" s="168">
        <f t="shared" si="14"/>
        <v>0</v>
      </c>
      <c r="AH6" s="171" t="s">
        <v>276</v>
      </c>
      <c r="AI6" s="100" t="str">
        <f>C15</f>
        <v>G. Piscaer</v>
      </c>
      <c r="AJ6" s="176">
        <f>AA15*0.378</f>
        <v>9.4500000000000001E-2</v>
      </c>
      <c r="AK6" s="176">
        <f>AJ6</f>
        <v>9.4500000000000001E-2</v>
      </c>
      <c r="AL6" s="176">
        <f>AA15*1</f>
        <v>0.25</v>
      </c>
      <c r="AM6" s="176">
        <f>AB15*0.236</f>
        <v>4.7199999999999832E-2</v>
      </c>
      <c r="AN6" s="176">
        <v>0</v>
      </c>
      <c r="AO6" s="176">
        <v>0</v>
      </c>
      <c r="AP6" s="176">
        <v>0</v>
      </c>
      <c r="AQ6" s="179">
        <f>(0.5*AE15+0.3*AF15)/10</f>
        <v>3.9999999999999966E-2</v>
      </c>
      <c r="AR6" s="179">
        <f>(0.4*AA15+0.3*AF15)/10</f>
        <v>0.04</v>
      </c>
      <c r="AS6" s="178">
        <f>((T15+1)+(W15+1)*2)/8</f>
        <v>1.40625</v>
      </c>
      <c r="AT6" s="178">
        <f>((AA15)+(AD15)*2)/8</f>
        <v>3.125E-2</v>
      </c>
      <c r="AV6" s="171" t="s">
        <v>303</v>
      </c>
      <c r="AW6" s="79" t="str">
        <f>AW20</f>
        <v>B. Bartolache</v>
      </c>
      <c r="AX6" s="176">
        <f>AX20</f>
        <v>0</v>
      </c>
      <c r="AY6" s="176">
        <f t="shared" ref="AY6:BD6" si="22">AY20</f>
        <v>0</v>
      </c>
      <c r="AZ6" s="176">
        <f t="shared" si="22"/>
        <v>0</v>
      </c>
      <c r="BA6" s="176">
        <f t="shared" si="22"/>
        <v>0</v>
      </c>
      <c r="BB6" s="176">
        <f t="shared" si="22"/>
        <v>0</v>
      </c>
      <c r="BC6" s="176">
        <f t="shared" si="22"/>
        <v>0</v>
      </c>
      <c r="BD6" s="176">
        <f t="shared" si="22"/>
        <v>0</v>
      </c>
      <c r="BE6" s="179">
        <f>(0.5*AE7+0.3*AF7)/10</f>
        <v>0</v>
      </c>
      <c r="BF6" s="179">
        <f>(0.4*AA7+0.3*AF7)/10</f>
        <v>0</v>
      </c>
      <c r="BG6" s="178">
        <f>((T7+1)+(W7+1)*2)/8</f>
        <v>3.8562499999999997</v>
      </c>
      <c r="BH6" s="178">
        <f>((AA7)+(AD7)*2)/8</f>
        <v>0</v>
      </c>
      <c r="BJ6" s="77" t="s">
        <v>289</v>
      </c>
      <c r="BK6" s="185">
        <v>1</v>
      </c>
      <c r="BL6" s="186">
        <v>0.59299999999999997</v>
      </c>
      <c r="BM6" s="187">
        <v>0.19</v>
      </c>
      <c r="BN6" s="121">
        <f t="shared" si="2"/>
        <v>1.9</v>
      </c>
      <c r="BO6" s="121">
        <f t="shared" si="3"/>
        <v>2.85</v>
      </c>
    </row>
    <row r="7" spans="1:67" s="81" customFormat="1" x14ac:dyDescent="0.25">
      <c r="A7" s="143" t="str">
        <f>PLANTILLA!A7</f>
        <v>#24</v>
      </c>
      <c r="B7" s="143" t="s">
        <v>1</v>
      </c>
      <c r="C7" s="90" t="str">
        <f>PLANTILLA!D7</f>
        <v>B. Bartolache</v>
      </c>
      <c r="D7" s="145">
        <f>PLANTILLA!E7</f>
        <v>35</v>
      </c>
      <c r="E7" s="150">
        <f ca="1">PLANTILLA!F7</f>
        <v>111</v>
      </c>
      <c r="F7" s="146">
        <f>PLANTILLA!G7</f>
        <v>0</v>
      </c>
      <c r="G7" s="363">
        <f>PLANTILLA!H7</f>
        <v>3</v>
      </c>
      <c r="H7" s="102">
        <f>PLANTILLA!I7</f>
        <v>11.8</v>
      </c>
      <c r="I7" s="198">
        <f>PLANTILLA!X7</f>
        <v>0</v>
      </c>
      <c r="J7" s="198">
        <f>PLANTILLA!Y7</f>
        <v>11.95</v>
      </c>
      <c r="K7" s="198">
        <f>PLANTILLA!Z7</f>
        <v>5.95</v>
      </c>
      <c r="L7" s="198">
        <f>PLANTILLA!AA7</f>
        <v>6.95</v>
      </c>
      <c r="M7" s="198">
        <f>PLANTILLA!AB7</f>
        <v>7.95</v>
      </c>
      <c r="N7" s="198">
        <f>PLANTILLA!AC7</f>
        <v>2.95</v>
      </c>
      <c r="O7" s="198">
        <f>PLANTILLA!AD7</f>
        <v>16</v>
      </c>
      <c r="P7" s="158">
        <f t="shared" si="20"/>
        <v>35</v>
      </c>
      <c r="Q7" s="159">
        <f t="shared" ca="1" si="21"/>
        <v>118</v>
      </c>
      <c r="R7" s="92">
        <f t="shared" si="6"/>
        <v>11.8</v>
      </c>
      <c r="S7" s="215">
        <f t="shared" si="18"/>
        <v>0</v>
      </c>
      <c r="T7" s="215">
        <f t="shared" si="7"/>
        <v>11.95</v>
      </c>
      <c r="U7" s="215">
        <f t="shared" si="7"/>
        <v>5.95</v>
      </c>
      <c r="V7" s="215">
        <f t="shared" si="7"/>
        <v>6.95</v>
      </c>
      <c r="W7" s="215">
        <f t="shared" si="7"/>
        <v>7.95</v>
      </c>
      <c r="X7" s="215">
        <f t="shared" si="7"/>
        <v>2.95</v>
      </c>
      <c r="Y7" s="215">
        <f t="shared" si="7"/>
        <v>16</v>
      </c>
      <c r="Z7" s="168">
        <f t="shared" si="8"/>
        <v>0</v>
      </c>
      <c r="AA7" s="168">
        <f t="shared" si="9"/>
        <v>0</v>
      </c>
      <c r="AB7" s="168">
        <f t="shared" si="10"/>
        <v>0</v>
      </c>
      <c r="AC7" s="168">
        <f t="shared" si="11"/>
        <v>0</v>
      </c>
      <c r="AD7" s="168">
        <f t="shared" si="12"/>
        <v>0</v>
      </c>
      <c r="AE7" s="168">
        <f t="shared" si="13"/>
        <v>0</v>
      </c>
      <c r="AF7" s="168">
        <f t="shared" si="14"/>
        <v>0</v>
      </c>
      <c r="AH7" s="171" t="s">
        <v>260</v>
      </c>
      <c r="AI7" s="100" t="str">
        <f>C8</f>
        <v>F. Lasprilla</v>
      </c>
      <c r="AJ7" s="176">
        <v>0</v>
      </c>
      <c r="AK7" s="176">
        <f>AA8*0.919</f>
        <v>0</v>
      </c>
      <c r="AL7" s="176">
        <f>AA8*0.414</f>
        <v>0</v>
      </c>
      <c r="AM7" s="176">
        <f>AB8*0.167</f>
        <v>0</v>
      </c>
      <c r="AN7" s="176">
        <v>0</v>
      </c>
      <c r="AO7" s="176">
        <f>AC8*0.588</f>
        <v>0</v>
      </c>
      <c r="AP7" s="176">
        <v>0</v>
      </c>
      <c r="AQ7" s="179">
        <f>(0.5*AE8+0.3*AF8)/10</f>
        <v>0</v>
      </c>
      <c r="AR7" s="179">
        <f>(0.4*AA8+0.3*AF8)/10</f>
        <v>0</v>
      </c>
      <c r="AS7" s="178">
        <f>((T8+1)+(W8+1)*2)/8</f>
        <v>3.7914166666666662</v>
      </c>
      <c r="AT7" s="178">
        <f>((AA8)+(AD8)*2)/8</f>
        <v>0</v>
      </c>
      <c r="AV7" s="171" t="s">
        <v>260</v>
      </c>
      <c r="AW7" s="79" t="e">
        <f>AW23</f>
        <v>#REF!</v>
      </c>
      <c r="AX7" s="176">
        <f>AX23</f>
        <v>0</v>
      </c>
      <c r="AY7" s="176" t="e">
        <f t="shared" ref="AY7:BD7" si="23">AY23</f>
        <v>#REF!</v>
      </c>
      <c r="AZ7" s="176" t="e">
        <f t="shared" si="23"/>
        <v>#REF!</v>
      </c>
      <c r="BA7" s="176" t="e">
        <f t="shared" si="23"/>
        <v>#REF!</v>
      </c>
      <c r="BB7" s="176">
        <f t="shared" si="23"/>
        <v>0</v>
      </c>
      <c r="BC7" s="176" t="e">
        <f t="shared" si="23"/>
        <v>#REF!</v>
      </c>
      <c r="BD7" s="176">
        <f t="shared" si="23"/>
        <v>0</v>
      </c>
      <c r="BE7" s="179" t="e">
        <f>BE23</f>
        <v>#REF!</v>
      </c>
      <c r="BF7" s="179" t="e">
        <f t="shared" ref="BF7:BH7" si="24">BF23</f>
        <v>#REF!</v>
      </c>
      <c r="BG7" s="179" t="e">
        <f t="shared" si="24"/>
        <v>#REF!</v>
      </c>
      <c r="BH7" s="179" t="e">
        <f t="shared" si="24"/>
        <v>#REF!</v>
      </c>
    </row>
    <row r="8" spans="1:67" s="82" customFormat="1" x14ac:dyDescent="0.25">
      <c r="A8" s="143" t="str">
        <f>PLANTILLA!A8</f>
        <v>#13</v>
      </c>
      <c r="B8" s="143" t="s">
        <v>1</v>
      </c>
      <c r="C8" s="90" t="str">
        <f>PLANTILLA!D8</f>
        <v>F. Lasprilla</v>
      </c>
      <c r="D8" s="145">
        <f>PLANTILLA!E8</f>
        <v>32</v>
      </c>
      <c r="E8" s="150">
        <f ca="1">PLANTILLA!F8</f>
        <v>22</v>
      </c>
      <c r="F8" s="146"/>
      <c r="G8" s="363">
        <f>PLANTILLA!H8</f>
        <v>4</v>
      </c>
      <c r="H8" s="102">
        <f>PLANTILLA!I8</f>
        <v>6.3</v>
      </c>
      <c r="I8" s="198">
        <f>PLANTILLA!X8</f>
        <v>0</v>
      </c>
      <c r="J8" s="198">
        <f>PLANTILLA!Y8</f>
        <v>9.6046666666666667</v>
      </c>
      <c r="K8" s="198">
        <f>PLANTILLA!Z8</f>
        <v>7.7607222222222223</v>
      </c>
      <c r="L8" s="198">
        <f>PLANTILLA!AA8</f>
        <v>6.1599999999999984</v>
      </c>
      <c r="M8" s="198">
        <f>PLANTILLA!AB8</f>
        <v>8.8633333333333315</v>
      </c>
      <c r="N8" s="198">
        <f>PLANTILLA!AC8</f>
        <v>2.95</v>
      </c>
      <c r="O8" s="198">
        <f>PLANTILLA!AD8</f>
        <v>13.33611111111111</v>
      </c>
      <c r="P8" s="158">
        <f t="shared" si="20"/>
        <v>32</v>
      </c>
      <c r="Q8" s="159">
        <f t="shared" ca="1" si="21"/>
        <v>29</v>
      </c>
      <c r="R8" s="92">
        <f t="shared" si="6"/>
        <v>6.3</v>
      </c>
      <c r="S8" s="215">
        <f t="shared" si="18"/>
        <v>0</v>
      </c>
      <c r="T8" s="215">
        <f t="shared" si="7"/>
        <v>9.6046666666666667</v>
      </c>
      <c r="U8" s="215">
        <f t="shared" si="7"/>
        <v>7.7607222222222223</v>
      </c>
      <c r="V8" s="215">
        <f t="shared" si="7"/>
        <v>6.1599999999999984</v>
      </c>
      <c r="W8" s="215">
        <f t="shared" si="7"/>
        <v>8.8633333333333315</v>
      </c>
      <c r="X8" s="215">
        <f t="shared" si="7"/>
        <v>2.95</v>
      </c>
      <c r="Y8" s="215">
        <f t="shared" si="7"/>
        <v>13.33611111111111</v>
      </c>
      <c r="Z8" s="168">
        <f t="shared" si="8"/>
        <v>0</v>
      </c>
      <c r="AA8" s="168">
        <f t="shared" si="9"/>
        <v>0</v>
      </c>
      <c r="AB8" s="168">
        <f t="shared" si="10"/>
        <v>0</v>
      </c>
      <c r="AC8" s="168">
        <f t="shared" si="11"/>
        <v>0</v>
      </c>
      <c r="AD8" s="168">
        <f t="shared" si="12"/>
        <v>0</v>
      </c>
      <c r="AE8" s="168">
        <f t="shared" si="13"/>
        <v>0</v>
      </c>
      <c r="AF8" s="168">
        <f t="shared" si="14"/>
        <v>0</v>
      </c>
      <c r="AH8" s="217" t="s">
        <v>304</v>
      </c>
      <c r="AI8" s="99" t="e">
        <f>#REF!</f>
        <v>#REF!</v>
      </c>
      <c r="AJ8" s="174" t="e">
        <f>#REF!*0.349</f>
        <v>#REF!</v>
      </c>
      <c r="AK8" s="174">
        <v>0</v>
      </c>
      <c r="AL8" s="174" t="e">
        <f>#REF!*0.201</f>
        <v>#REF!</v>
      </c>
      <c r="AM8" s="174" t="e">
        <f>#REF!*0.455</f>
        <v>#REF!</v>
      </c>
      <c r="AN8" s="174" t="e">
        <f>(#REF!*0.864)+(#REF!*0.244)</f>
        <v>#REF!</v>
      </c>
      <c r="AO8" s="174">
        <v>0</v>
      </c>
      <c r="AP8" s="174" t="e">
        <f>(#REF!*0.121)</f>
        <v>#REF!</v>
      </c>
      <c r="AQ8" s="179" t="e">
        <f>(0.5*#REF!+0.3*#REF!)/10</f>
        <v>#REF!</v>
      </c>
      <c r="AR8" s="179" t="e">
        <f>(0.4*#REF!+0.3*#REF!)/10</f>
        <v>#REF!</v>
      </c>
      <c r="AS8" s="177">
        <v>0</v>
      </c>
      <c r="AT8" s="177">
        <v>0</v>
      </c>
      <c r="AV8" s="217" t="s">
        <v>305</v>
      </c>
      <c r="AW8" s="99" t="str">
        <f>C11</f>
        <v>E. Gross</v>
      </c>
      <c r="AX8" s="176">
        <f>AX24</f>
        <v>0</v>
      </c>
      <c r="AY8" s="176">
        <f t="shared" ref="AY8:BH8" si="25">AY24</f>
        <v>0</v>
      </c>
      <c r="AZ8" s="176">
        <f t="shared" si="25"/>
        <v>0</v>
      </c>
      <c r="BA8" s="176">
        <f t="shared" si="25"/>
        <v>0</v>
      </c>
      <c r="BB8" s="176">
        <f t="shared" si="25"/>
        <v>0</v>
      </c>
      <c r="BC8" s="176">
        <f t="shared" si="25"/>
        <v>0</v>
      </c>
      <c r="BD8" s="176">
        <f t="shared" si="25"/>
        <v>0</v>
      </c>
      <c r="BE8" s="179">
        <f t="shared" si="25"/>
        <v>0</v>
      </c>
      <c r="BF8" s="179">
        <f t="shared" si="25"/>
        <v>0</v>
      </c>
      <c r="BG8" s="179">
        <f t="shared" si="25"/>
        <v>0</v>
      </c>
      <c r="BH8" s="179">
        <f t="shared" si="25"/>
        <v>0</v>
      </c>
    </row>
    <row r="9" spans="1:67" s="81" customFormat="1" x14ac:dyDescent="0.25">
      <c r="A9" s="143" t="str">
        <f>PLANTILLA!A9</f>
        <v>#7</v>
      </c>
      <c r="B9" s="143" t="s">
        <v>1</v>
      </c>
      <c r="C9" s="90" t="str">
        <f>PLANTILLA!D9</f>
        <v>E. Romweber</v>
      </c>
      <c r="D9" s="145">
        <f>PLANTILLA!E9</f>
        <v>35</v>
      </c>
      <c r="E9" s="150">
        <f ca="1">PLANTILLA!F9</f>
        <v>88</v>
      </c>
      <c r="F9" s="146" t="str">
        <f>PLANTILLA!G9</f>
        <v>IMP</v>
      </c>
      <c r="G9" s="363">
        <f>PLANTILLA!H9</f>
        <v>0</v>
      </c>
      <c r="H9" s="102">
        <f>PLANTILLA!I9</f>
        <v>17.100000000000001</v>
      </c>
      <c r="I9" s="198">
        <f>PLANTILLA!X9</f>
        <v>0</v>
      </c>
      <c r="J9" s="198">
        <f>PLANTILLA!Y9</f>
        <v>11.95</v>
      </c>
      <c r="K9" s="198">
        <f>PLANTILLA!Z9</f>
        <v>12.614111111111114</v>
      </c>
      <c r="L9" s="198">
        <f>PLANTILLA!AA9</f>
        <v>12.95</v>
      </c>
      <c r="M9" s="198">
        <f>PLANTILLA!AB9</f>
        <v>10.95</v>
      </c>
      <c r="N9" s="198">
        <f>PLANTILLA!AC9</f>
        <v>5.95</v>
      </c>
      <c r="O9" s="198">
        <f>PLANTILLA!AD9</f>
        <v>17.529999999999998</v>
      </c>
      <c r="P9" s="158">
        <f t="shared" si="20"/>
        <v>35</v>
      </c>
      <c r="Q9" s="159">
        <f t="shared" ca="1" si="21"/>
        <v>95</v>
      </c>
      <c r="R9" s="92">
        <f t="shared" si="6"/>
        <v>17.100000000000001</v>
      </c>
      <c r="S9" s="215">
        <f t="shared" si="18"/>
        <v>0</v>
      </c>
      <c r="T9" s="215">
        <f t="shared" si="7"/>
        <v>11.95</v>
      </c>
      <c r="U9" s="215">
        <f t="shared" si="7"/>
        <v>12.614111111111114</v>
      </c>
      <c r="V9" s="215">
        <f t="shared" si="7"/>
        <v>12.95</v>
      </c>
      <c r="W9" s="215">
        <f t="shared" si="7"/>
        <v>10.95</v>
      </c>
      <c r="X9" s="215">
        <f t="shared" si="7"/>
        <v>5.95</v>
      </c>
      <c r="Y9" s="215">
        <f t="shared" si="7"/>
        <v>17.529999999999998</v>
      </c>
      <c r="Z9" s="168">
        <f t="shared" si="8"/>
        <v>0</v>
      </c>
      <c r="AA9" s="168">
        <f t="shared" si="9"/>
        <v>0</v>
      </c>
      <c r="AB9" s="168">
        <f t="shared" si="10"/>
        <v>0</v>
      </c>
      <c r="AC9" s="168">
        <f t="shared" si="11"/>
        <v>0</v>
      </c>
      <c r="AD9" s="168">
        <f t="shared" si="12"/>
        <v>0</v>
      </c>
      <c r="AE9" s="168">
        <f t="shared" si="13"/>
        <v>0</v>
      </c>
      <c r="AF9" s="168">
        <f t="shared" si="14"/>
        <v>0</v>
      </c>
      <c r="AH9" s="171" t="s">
        <v>221</v>
      </c>
      <c r="AI9" s="79" t="str">
        <f>C13</f>
        <v>I. Vanags</v>
      </c>
      <c r="AJ9" s="176">
        <f>AA13*0.291</f>
        <v>7.2749999999999995E-2</v>
      </c>
      <c r="AK9" s="176">
        <v>0</v>
      </c>
      <c r="AL9" s="176">
        <f>AA13*0.348</f>
        <v>8.6999999999999994E-2</v>
      </c>
      <c r="AM9" s="176">
        <f>AB13*0.881</f>
        <v>0.17620000000000016</v>
      </c>
      <c r="AN9" s="176">
        <f>(AC13*0.574)+(AD13*0.315)</f>
        <v>0</v>
      </c>
      <c r="AO9" s="176">
        <v>0</v>
      </c>
      <c r="AP9" s="176">
        <f>AD13*0.241</f>
        <v>0</v>
      </c>
      <c r="AQ9" s="179">
        <f>(0.5*AE13+0.3*AF13)/10</f>
        <v>4.0000000000000008E-2</v>
      </c>
      <c r="AR9" s="179">
        <f>(0.4*AA13+0.3*AF13)/10</f>
        <v>0.04</v>
      </c>
      <c r="AS9" s="179">
        <v>0</v>
      </c>
      <c r="AT9" s="179">
        <v>0</v>
      </c>
      <c r="AV9" s="171" t="s">
        <v>221</v>
      </c>
      <c r="AW9" s="79" t="str">
        <f>C13</f>
        <v>I. Vanags</v>
      </c>
      <c r="AX9" s="176">
        <f t="shared" ref="AX9:BD9" si="26">AJ9</f>
        <v>7.2749999999999995E-2</v>
      </c>
      <c r="AY9" s="176">
        <f t="shared" si="26"/>
        <v>0</v>
      </c>
      <c r="AZ9" s="176">
        <f t="shared" si="26"/>
        <v>8.6999999999999994E-2</v>
      </c>
      <c r="BA9" s="176">
        <f t="shared" si="26"/>
        <v>0.17620000000000016</v>
      </c>
      <c r="BB9" s="176">
        <f t="shared" si="26"/>
        <v>0</v>
      </c>
      <c r="BC9" s="176">
        <f t="shared" si="26"/>
        <v>0</v>
      </c>
      <c r="BD9" s="176">
        <f t="shared" si="26"/>
        <v>0</v>
      </c>
      <c r="BE9" s="179">
        <f t="shared" ref="BE9" si="27">AQ9</f>
        <v>4.0000000000000008E-2</v>
      </c>
      <c r="BF9" s="179">
        <f>AR9</f>
        <v>0.04</v>
      </c>
      <c r="BG9" s="179">
        <f>AS9</f>
        <v>0</v>
      </c>
      <c r="BH9" s="179">
        <f>AT9</f>
        <v>0</v>
      </c>
    </row>
    <row r="10" spans="1:67" s="2" customFormat="1" x14ac:dyDescent="0.25">
      <c r="A10" s="143" t="str">
        <f>PLANTILLA!A10</f>
        <v>#6</v>
      </c>
      <c r="B10" s="143" t="s">
        <v>1</v>
      </c>
      <c r="C10" s="90" t="str">
        <f>PLANTILLA!D10</f>
        <v>S. Buschelman</v>
      </c>
      <c r="D10" s="145">
        <f>PLANTILLA!E10</f>
        <v>34</v>
      </c>
      <c r="E10" s="150">
        <f ca="1">PLANTILLA!F10</f>
        <v>47</v>
      </c>
      <c r="F10" s="146"/>
      <c r="G10" s="363">
        <f>PLANTILLA!H10</f>
        <v>3</v>
      </c>
      <c r="H10" s="102">
        <f>PLANTILLA!I10</f>
        <v>14.8</v>
      </c>
      <c r="I10" s="198">
        <f>PLANTILLA!X10</f>
        <v>0</v>
      </c>
      <c r="J10" s="198">
        <f>PLANTILLA!Y10</f>
        <v>9.3036666666666648</v>
      </c>
      <c r="K10" s="198">
        <f>PLANTILLA!Z10</f>
        <v>14</v>
      </c>
      <c r="L10" s="198">
        <f>PLANTILLA!AA10</f>
        <v>12.945</v>
      </c>
      <c r="M10" s="198">
        <f>PLANTILLA!AB10</f>
        <v>9.9499999999999993</v>
      </c>
      <c r="N10" s="198">
        <f>PLANTILLA!AC10</f>
        <v>3.95</v>
      </c>
      <c r="O10" s="198">
        <f>PLANTILLA!AD10</f>
        <v>16</v>
      </c>
      <c r="P10" s="158">
        <f t="shared" si="20"/>
        <v>34</v>
      </c>
      <c r="Q10" s="159">
        <f t="shared" ca="1" si="21"/>
        <v>54</v>
      </c>
      <c r="R10" s="92">
        <f t="shared" si="6"/>
        <v>14.8</v>
      </c>
      <c r="S10" s="215">
        <f t="shared" si="18"/>
        <v>0</v>
      </c>
      <c r="T10" s="215">
        <f t="shared" si="7"/>
        <v>9.3036666666666648</v>
      </c>
      <c r="U10" s="215">
        <f t="shared" si="7"/>
        <v>14</v>
      </c>
      <c r="V10" s="215">
        <f t="shared" si="7"/>
        <v>12.945</v>
      </c>
      <c r="W10" s="215">
        <f t="shared" si="7"/>
        <v>9.9499999999999993</v>
      </c>
      <c r="X10" s="215">
        <f t="shared" si="7"/>
        <v>3.95</v>
      </c>
      <c r="Y10" s="215">
        <f t="shared" si="7"/>
        <v>16</v>
      </c>
      <c r="Z10" s="168">
        <f t="shared" si="8"/>
        <v>0</v>
      </c>
      <c r="AA10" s="168">
        <f t="shared" si="9"/>
        <v>0</v>
      </c>
      <c r="AB10" s="168">
        <f t="shared" si="10"/>
        <v>0</v>
      </c>
      <c r="AC10" s="168">
        <f t="shared" si="11"/>
        <v>0</v>
      </c>
      <c r="AD10" s="168">
        <f t="shared" si="12"/>
        <v>0</v>
      </c>
      <c r="AE10" s="168">
        <f t="shared" si="13"/>
        <v>0</v>
      </c>
      <c r="AF10" s="168">
        <f t="shared" si="14"/>
        <v>0</v>
      </c>
      <c r="AH10" s="171" t="s">
        <v>306</v>
      </c>
      <c r="AI10" s="79" t="str">
        <f>C16</f>
        <v>M. Bondarewski</v>
      </c>
      <c r="AJ10" s="176">
        <f>AA16*0.057</f>
        <v>1.900000000000001E-2</v>
      </c>
      <c r="AK10" s="176">
        <f>AJ10</f>
        <v>1.900000000000001E-2</v>
      </c>
      <c r="AL10" s="176">
        <f>AA16*0.162</f>
        <v>5.4000000000000027E-2</v>
      </c>
      <c r="AM10" s="176">
        <f>AB16*0.944</f>
        <v>0.18879999999999933</v>
      </c>
      <c r="AN10" s="176">
        <f>AD16*0.188</f>
        <v>0</v>
      </c>
      <c r="AO10" s="176">
        <f>AN10</f>
        <v>0</v>
      </c>
      <c r="AP10" s="176">
        <f>AD16*0.507+AE16*0.31</f>
        <v>6.1999999999999778E-2</v>
      </c>
      <c r="AQ10" s="179">
        <f>(0.5*AE16+0.3*AF16)/10</f>
        <v>3.9999999999999966E-2</v>
      </c>
      <c r="AR10" s="179">
        <f>(0.4*AA16+0.3*AF16)/10</f>
        <v>4.3333333333333335E-2</v>
      </c>
      <c r="AS10" s="179">
        <v>0</v>
      </c>
      <c r="AT10" s="179">
        <v>0</v>
      </c>
      <c r="AV10" s="171" t="s">
        <v>303</v>
      </c>
      <c r="AW10" s="79" t="str">
        <f>AW22</f>
        <v>E. Romweber</v>
      </c>
      <c r="AX10" s="176">
        <f>AX22</f>
        <v>0</v>
      </c>
      <c r="AY10" s="176">
        <f t="shared" ref="AY10:BD10" si="28">AY22</f>
        <v>0</v>
      </c>
      <c r="AZ10" s="176">
        <f t="shared" si="28"/>
        <v>0</v>
      </c>
      <c r="BA10" s="176">
        <f t="shared" si="28"/>
        <v>0</v>
      </c>
      <c r="BB10" s="176">
        <f t="shared" si="28"/>
        <v>0</v>
      </c>
      <c r="BC10" s="176">
        <f t="shared" si="28"/>
        <v>0</v>
      </c>
      <c r="BD10" s="176">
        <f t="shared" si="28"/>
        <v>0</v>
      </c>
      <c r="BE10" s="179">
        <f>AQ7</f>
        <v>0</v>
      </c>
      <c r="BF10" s="179">
        <f>AR7</f>
        <v>0</v>
      </c>
      <c r="BG10" s="179">
        <f t="shared" ref="BG10:BH10" si="29">BG22</f>
        <v>3.7914166666666662</v>
      </c>
      <c r="BH10" s="179">
        <f t="shared" si="29"/>
        <v>0</v>
      </c>
    </row>
    <row r="11" spans="1:67" x14ac:dyDescent="0.25">
      <c r="A11" s="143" t="str">
        <f>PLANTILLA!A11</f>
        <v>#12</v>
      </c>
      <c r="B11" s="143" t="s">
        <v>1</v>
      </c>
      <c r="C11" s="90" t="str">
        <f>PLANTILLA!D11</f>
        <v>E. Gross</v>
      </c>
      <c r="D11" s="145">
        <f>PLANTILLA!E11</f>
        <v>35</v>
      </c>
      <c r="E11" s="150">
        <f ca="1">PLANTILLA!F11</f>
        <v>75</v>
      </c>
      <c r="F11" s="146"/>
      <c r="G11" s="363">
        <f>PLANTILLA!H11</f>
        <v>3</v>
      </c>
      <c r="H11" s="102">
        <f>PLANTILLA!I11</f>
        <v>13.1</v>
      </c>
      <c r="I11" s="198">
        <f>PLANTILLA!X11</f>
        <v>0</v>
      </c>
      <c r="J11" s="198">
        <f>PLANTILLA!Y11</f>
        <v>10.549999999999995</v>
      </c>
      <c r="K11" s="198">
        <f>PLANTILLA!Z11</f>
        <v>12.95</v>
      </c>
      <c r="L11" s="198">
        <f>PLANTILLA!AA11</f>
        <v>3.95</v>
      </c>
      <c r="M11" s="198">
        <f>PLANTILLA!AB11</f>
        <v>8.9499999999999993</v>
      </c>
      <c r="N11" s="198">
        <f>PLANTILLA!AC11</f>
        <v>0.95</v>
      </c>
      <c r="O11" s="198">
        <f>PLANTILLA!AD11</f>
        <v>17.3</v>
      </c>
      <c r="P11" s="158">
        <f t="shared" si="20"/>
        <v>35</v>
      </c>
      <c r="Q11" s="159">
        <f t="shared" ca="1" si="21"/>
        <v>82</v>
      </c>
      <c r="R11" s="92">
        <f t="shared" si="6"/>
        <v>13.1</v>
      </c>
      <c r="S11" s="215">
        <f t="shared" si="18"/>
        <v>0</v>
      </c>
      <c r="T11" s="215">
        <f t="shared" si="7"/>
        <v>10.549999999999995</v>
      </c>
      <c r="U11" s="215">
        <f t="shared" si="7"/>
        <v>12.95</v>
      </c>
      <c r="V11" s="215">
        <f t="shared" si="7"/>
        <v>3.95</v>
      </c>
      <c r="W11" s="215">
        <f t="shared" si="7"/>
        <v>8.9499999999999993</v>
      </c>
      <c r="X11" s="215">
        <f t="shared" si="7"/>
        <v>0.95</v>
      </c>
      <c r="Y11" s="215">
        <f t="shared" si="7"/>
        <v>17.3</v>
      </c>
      <c r="Z11" s="168">
        <f t="shared" si="8"/>
        <v>0</v>
      </c>
      <c r="AA11" s="168">
        <f t="shared" si="9"/>
        <v>0</v>
      </c>
      <c r="AB11" s="168">
        <f t="shared" si="10"/>
        <v>0</v>
      </c>
      <c r="AC11" s="168">
        <f t="shared" si="11"/>
        <v>0</v>
      </c>
      <c r="AD11" s="168">
        <f t="shared" si="12"/>
        <v>0</v>
      </c>
      <c r="AE11" s="168">
        <f t="shared" si="13"/>
        <v>0</v>
      </c>
      <c r="AF11" s="168">
        <f t="shared" si="14"/>
        <v>0</v>
      </c>
      <c r="AH11" s="171" t="s">
        <v>221</v>
      </c>
      <c r="AI11" s="79" t="str">
        <f>C14</f>
        <v>I. Stone</v>
      </c>
      <c r="AJ11" s="176">
        <v>0</v>
      </c>
      <c r="AK11" s="176">
        <f>AA14*0.291</f>
        <v>9.7000000000000031E-2</v>
      </c>
      <c r="AL11" s="176">
        <f>AA14*0.348</f>
        <v>0.11600000000000005</v>
      </c>
      <c r="AM11" s="176">
        <f>AB14*0.881</f>
        <v>0.22025</v>
      </c>
      <c r="AN11" s="176">
        <v>0</v>
      </c>
      <c r="AO11" s="176">
        <f>(AC14*0.574)+(AD14*0.314)</f>
        <v>0</v>
      </c>
      <c r="AP11" s="176">
        <f>AD14*0.241</f>
        <v>0</v>
      </c>
      <c r="AQ11" s="179">
        <f>(0.5*AE14+0.3*AF14)/10</f>
        <v>3.8333333333333303E-2</v>
      </c>
      <c r="AR11" s="179">
        <f>(0.4*AA14+0.3*AF14)/10</f>
        <v>4.3333333333333335E-2</v>
      </c>
      <c r="AS11" s="179">
        <v>0</v>
      </c>
      <c r="AT11" s="179">
        <v>0</v>
      </c>
      <c r="AV11" s="171" t="s">
        <v>221</v>
      </c>
      <c r="AW11" s="79" t="str">
        <f>C14</f>
        <v>I. Stone</v>
      </c>
      <c r="AX11" s="176">
        <f>AX26</f>
        <v>0</v>
      </c>
      <c r="AY11" s="176">
        <f t="shared" ref="AY11:BD11" si="30">AY26</f>
        <v>9.7000000000000031E-2</v>
      </c>
      <c r="AZ11" s="176">
        <f t="shared" si="30"/>
        <v>0.11600000000000005</v>
      </c>
      <c r="BA11" s="176">
        <f t="shared" si="30"/>
        <v>0.22025</v>
      </c>
      <c r="BB11" s="176">
        <f t="shared" si="30"/>
        <v>0</v>
      </c>
      <c r="BC11" s="176">
        <f t="shared" si="30"/>
        <v>0</v>
      </c>
      <c r="BD11" s="176">
        <f t="shared" si="30"/>
        <v>0</v>
      </c>
      <c r="BE11" s="179">
        <f>BE26</f>
        <v>3.8333333333333303E-2</v>
      </c>
      <c r="BF11" s="179">
        <f t="shared" ref="BF11:BH11" si="31">BF26</f>
        <v>4.3333333333333335E-2</v>
      </c>
      <c r="BG11" s="179">
        <f t="shared" si="31"/>
        <v>0</v>
      </c>
      <c r="BH11" s="179">
        <f t="shared" si="31"/>
        <v>0</v>
      </c>
    </row>
    <row r="12" spans="1:67" s="81" customFormat="1" x14ac:dyDescent="0.25">
      <c r="A12" s="143" t="str">
        <f>PLANTILLA!A12</f>
        <v>#23</v>
      </c>
      <c r="B12" s="143" t="s">
        <v>1</v>
      </c>
      <c r="C12" s="90" t="str">
        <f>PLANTILLA!D12</f>
        <v>W. Gelifini</v>
      </c>
      <c r="D12" s="145">
        <f>PLANTILLA!E12</f>
        <v>34</v>
      </c>
      <c r="E12" s="150">
        <f ca="1">PLANTILLA!F12</f>
        <v>0</v>
      </c>
      <c r="F12" s="146">
        <f>PLANTILLA!G12</f>
        <v>0</v>
      </c>
      <c r="G12" s="363">
        <f>PLANTILLA!H12</f>
        <v>2</v>
      </c>
      <c r="H12" s="102">
        <f>PLANTILLA!I12</f>
        <v>4.5</v>
      </c>
      <c r="I12" s="198">
        <f>PLANTILLA!X12</f>
        <v>0</v>
      </c>
      <c r="J12" s="198">
        <f>PLANTILLA!Y12</f>
        <v>5.6515555555555519</v>
      </c>
      <c r="K12" s="198">
        <f>PLANTILLA!Z12</f>
        <v>8.9499999999999993</v>
      </c>
      <c r="L12" s="198">
        <f>PLANTILLA!AA12</f>
        <v>6.95</v>
      </c>
      <c r="M12" s="198">
        <f>PLANTILLA!AB12</f>
        <v>9.2666666666666639</v>
      </c>
      <c r="N12" s="198">
        <f>PLANTILLA!AC12</f>
        <v>2.95</v>
      </c>
      <c r="O12" s="198">
        <f>PLANTILLA!AD12</f>
        <v>12.847222222222223</v>
      </c>
      <c r="P12" s="158">
        <f t="shared" si="20"/>
        <v>34</v>
      </c>
      <c r="Q12" s="159">
        <f t="shared" ca="1" si="21"/>
        <v>7</v>
      </c>
      <c r="R12" s="92">
        <f t="shared" si="6"/>
        <v>4.5</v>
      </c>
      <c r="S12" s="215">
        <f t="shared" si="18"/>
        <v>0</v>
      </c>
      <c r="T12" s="215">
        <f t="shared" si="7"/>
        <v>5.6515555555555519</v>
      </c>
      <c r="U12" s="215">
        <f t="shared" si="7"/>
        <v>8.9499999999999993</v>
      </c>
      <c r="V12" s="215">
        <f t="shared" si="7"/>
        <v>6.95</v>
      </c>
      <c r="W12" s="215">
        <f t="shared" si="7"/>
        <v>9.2666666666666639</v>
      </c>
      <c r="X12" s="215">
        <f t="shared" si="7"/>
        <v>2.95</v>
      </c>
      <c r="Y12" s="215">
        <f t="shared" si="7"/>
        <v>12.847222222222223</v>
      </c>
      <c r="Z12" s="168">
        <f t="shared" si="8"/>
        <v>0</v>
      </c>
      <c r="AA12" s="168">
        <f t="shared" si="9"/>
        <v>0</v>
      </c>
      <c r="AB12" s="168">
        <f t="shared" si="10"/>
        <v>0</v>
      </c>
      <c r="AC12" s="168">
        <f t="shared" si="11"/>
        <v>0</v>
      </c>
      <c r="AD12" s="168">
        <f t="shared" si="12"/>
        <v>0</v>
      </c>
      <c r="AE12" s="168">
        <f t="shared" si="13"/>
        <v>0</v>
      </c>
      <c r="AF12" s="168">
        <f t="shared" si="14"/>
        <v>0</v>
      </c>
      <c r="AH12" s="218" t="s">
        <v>305</v>
      </c>
      <c r="AI12" s="79" t="str">
        <f>C11</f>
        <v>E. Gross</v>
      </c>
      <c r="AJ12" s="176">
        <v>0</v>
      </c>
      <c r="AK12" s="176">
        <f>AA11*0.18</f>
        <v>0</v>
      </c>
      <c r="AL12" s="176">
        <f>AA11*0.068</f>
        <v>0</v>
      </c>
      <c r="AM12" s="176">
        <f>AB11*0.305</f>
        <v>0</v>
      </c>
      <c r="AN12" s="176">
        <v>0</v>
      </c>
      <c r="AO12" s="176">
        <f>(AC11*1)+(AD11*0.286)</f>
        <v>0</v>
      </c>
      <c r="AP12" s="176">
        <f>AD11*0.135</f>
        <v>0</v>
      </c>
      <c r="AQ12" s="179">
        <f>(0.5*AE11+0.3*AF11)/10</f>
        <v>0</v>
      </c>
      <c r="AR12" s="179">
        <f>(0.4*AA11+0.3*AF11)/10</f>
        <v>0</v>
      </c>
      <c r="AS12" s="179">
        <v>0</v>
      </c>
      <c r="AT12" s="179">
        <v>0</v>
      </c>
      <c r="AV12" s="218" t="s">
        <v>305</v>
      </c>
      <c r="AW12" s="79" t="str">
        <f>AW27</f>
        <v>W. Gelifini</v>
      </c>
      <c r="AX12" s="176">
        <f>AX27</f>
        <v>0</v>
      </c>
      <c r="AY12" s="176">
        <f t="shared" ref="AY12:BD12" si="32">AY27</f>
        <v>0</v>
      </c>
      <c r="AZ12" s="176">
        <f t="shared" si="32"/>
        <v>0</v>
      </c>
      <c r="BA12" s="176">
        <f t="shared" si="32"/>
        <v>0</v>
      </c>
      <c r="BB12" s="176">
        <f t="shared" si="32"/>
        <v>0</v>
      </c>
      <c r="BC12" s="176">
        <f t="shared" si="32"/>
        <v>0</v>
      </c>
      <c r="BD12" s="176">
        <f t="shared" si="32"/>
        <v>0</v>
      </c>
      <c r="BE12" s="179">
        <f>BE27</f>
        <v>0</v>
      </c>
      <c r="BF12" s="179">
        <f t="shared" ref="BF12:BH12" si="33">BF27</f>
        <v>0</v>
      </c>
      <c r="BG12" s="179">
        <f t="shared" si="33"/>
        <v>0</v>
      </c>
      <c r="BH12" s="179">
        <f t="shared" si="33"/>
        <v>0</v>
      </c>
    </row>
    <row r="13" spans="1:67" s="82" customFormat="1" x14ac:dyDescent="0.25">
      <c r="A13" s="143" t="str">
        <f>PLANTILLA!A13</f>
        <v>#17</v>
      </c>
      <c r="B13" s="143" t="s">
        <v>1</v>
      </c>
      <c r="C13" s="90" t="str">
        <f>PLANTILLA!D13</f>
        <v>I. Vanags</v>
      </c>
      <c r="D13" s="145">
        <f>PLANTILLA!E13</f>
        <v>18</v>
      </c>
      <c r="E13" s="150">
        <f ca="1">PLANTILLA!F13</f>
        <v>70</v>
      </c>
      <c r="F13" s="146"/>
      <c r="G13" s="363">
        <f>PLANTILLA!H13</f>
        <v>4</v>
      </c>
      <c r="H13" s="102">
        <f>PLANTILLA!I13</f>
        <v>0.4</v>
      </c>
      <c r="I13" s="198">
        <f>PLANTILLA!X13</f>
        <v>0</v>
      </c>
      <c r="J13" s="198">
        <f>PLANTILLA!Y13</f>
        <v>4</v>
      </c>
      <c r="K13" s="198">
        <f>PLANTILLA!Z13</f>
        <v>7.4</v>
      </c>
      <c r="L13" s="198">
        <f>PLANTILLA!AA13</f>
        <v>3</v>
      </c>
      <c r="M13" s="198">
        <f>PLANTILLA!AB13</f>
        <v>4</v>
      </c>
      <c r="N13" s="198">
        <f>PLANTILLA!AC13</f>
        <v>7</v>
      </c>
      <c r="O13" s="198">
        <f>PLANTILLA!AD13</f>
        <v>6</v>
      </c>
      <c r="P13" s="158">
        <f t="shared" si="20"/>
        <v>18</v>
      </c>
      <c r="Q13" s="159">
        <f t="shared" ca="1" si="21"/>
        <v>77</v>
      </c>
      <c r="R13" s="92">
        <f t="shared" si="6"/>
        <v>0.4</v>
      </c>
      <c r="S13" s="215">
        <f t="shared" ref="S13:S27" si="34">I13</f>
        <v>0</v>
      </c>
      <c r="T13" s="215">
        <f>J13+T$2/4</f>
        <v>4.25</v>
      </c>
      <c r="U13" s="215">
        <f>K13+U$2/5</f>
        <v>7.6000000000000005</v>
      </c>
      <c r="V13" s="215">
        <f t="shared" ref="V13:V27" si="35">L13</f>
        <v>3</v>
      </c>
      <c r="W13" s="215">
        <f t="shared" ref="W13:W27" si="36">M13</f>
        <v>4</v>
      </c>
      <c r="X13" s="215">
        <f>N13+X$2/5</f>
        <v>7.2</v>
      </c>
      <c r="Y13" s="215">
        <f>O13+Y$2/1</f>
        <v>7</v>
      </c>
      <c r="Z13" s="168">
        <f t="shared" si="8"/>
        <v>0</v>
      </c>
      <c r="AA13" s="168">
        <f t="shared" si="9"/>
        <v>0.25</v>
      </c>
      <c r="AB13" s="168">
        <f t="shared" si="10"/>
        <v>0.20000000000000018</v>
      </c>
      <c r="AC13" s="168">
        <f t="shared" si="11"/>
        <v>0</v>
      </c>
      <c r="AD13" s="168">
        <f t="shared" si="12"/>
        <v>0</v>
      </c>
      <c r="AE13" s="168">
        <f t="shared" si="13"/>
        <v>0.20000000000000018</v>
      </c>
      <c r="AF13" s="168">
        <f t="shared" si="14"/>
        <v>1</v>
      </c>
      <c r="AH13" s="217" t="s">
        <v>64</v>
      </c>
      <c r="AI13" s="99" t="str">
        <f>C20</f>
        <v>V. Godoi</v>
      </c>
      <c r="AJ13" s="174">
        <v>0</v>
      </c>
      <c r="AK13" s="174">
        <v>0</v>
      </c>
      <c r="AL13" s="174">
        <v>0</v>
      </c>
      <c r="AM13" s="174">
        <f>AB20*0.25</f>
        <v>4.9999999999999822E-2</v>
      </c>
      <c r="AN13" s="174">
        <f>(AD20*0.142)+(AC20*0.221)+(AE20*0.26)</f>
        <v>5.2000000000000046E-2</v>
      </c>
      <c r="AO13" s="174">
        <f>AN13</f>
        <v>5.2000000000000046E-2</v>
      </c>
      <c r="AP13" s="174">
        <f>(AD20*0.369)+(AE20*1)</f>
        <v>0.20000000000000018</v>
      </c>
      <c r="AQ13" s="241">
        <f>((0.5*AE20+0.3*AF20)/10)+0.09*AF20</f>
        <v>0.13</v>
      </c>
      <c r="AR13" s="241">
        <f>(0.4*AA20+0.3*AF20)/10</f>
        <v>4.3333333333333335E-2</v>
      </c>
      <c r="AS13" s="177">
        <v>0</v>
      </c>
      <c r="AT13" s="177">
        <v>0</v>
      </c>
      <c r="AV13" s="217" t="s">
        <v>302</v>
      </c>
      <c r="AW13" s="99" t="str">
        <f>C20</f>
        <v>V. Godoi</v>
      </c>
      <c r="AX13" s="174">
        <v>0</v>
      </c>
      <c r="AY13" s="174">
        <v>0</v>
      </c>
      <c r="AZ13" s="174">
        <v>0</v>
      </c>
      <c r="BA13" s="174">
        <f>AB20*0.25</f>
        <v>4.9999999999999822E-2</v>
      </c>
      <c r="BB13" s="174">
        <f>(AD20*0.209)+(AC20*0.607)+(AE20*0.524)</f>
        <v>0.1048000000000001</v>
      </c>
      <c r="BC13" s="174">
        <v>0</v>
      </c>
      <c r="BD13" s="174">
        <f>(AD20*0.261)+(AE20*0.607)</f>
        <v>0.12140000000000011</v>
      </c>
      <c r="BE13" s="242">
        <f>AQ13</f>
        <v>0.13</v>
      </c>
      <c r="BF13" s="242">
        <f>AR13</f>
        <v>4.3333333333333335E-2</v>
      </c>
      <c r="BG13" s="177">
        <v>0</v>
      </c>
      <c r="BH13" s="177">
        <v>0</v>
      </c>
    </row>
    <row r="14" spans="1:67" s="81" customFormat="1" x14ac:dyDescent="0.25">
      <c r="A14" s="143" t="str">
        <f>PLANTILLA!A14</f>
        <v>#8</v>
      </c>
      <c r="B14" s="143" t="s">
        <v>1</v>
      </c>
      <c r="C14" s="90" t="str">
        <f>PLANTILLA!D14</f>
        <v>I. Stone</v>
      </c>
      <c r="D14" s="145">
        <f>PLANTILLA!E14</f>
        <v>18</v>
      </c>
      <c r="E14" s="150">
        <f ca="1">PLANTILLA!F14</f>
        <v>13</v>
      </c>
      <c r="F14" s="146" t="str">
        <f>PLANTILLA!G14</f>
        <v>RAP</v>
      </c>
      <c r="G14" s="363">
        <f>PLANTILLA!H14</f>
        <v>6</v>
      </c>
      <c r="H14" s="102">
        <f>PLANTILLA!I14</f>
        <v>1.2</v>
      </c>
      <c r="I14" s="198">
        <f>PLANTILLA!X14</f>
        <v>0</v>
      </c>
      <c r="J14" s="198">
        <f>PLANTILLA!Y14</f>
        <v>3</v>
      </c>
      <c r="K14" s="198">
        <f>PLANTILLA!Z14</f>
        <v>5.25</v>
      </c>
      <c r="L14" s="198">
        <f>PLANTILLA!AA14</f>
        <v>2</v>
      </c>
      <c r="M14" s="198">
        <f>PLANTILLA!AB14</f>
        <v>6</v>
      </c>
      <c r="N14" s="198">
        <f>PLANTILLA!AC14</f>
        <v>9</v>
      </c>
      <c r="O14" s="198">
        <f>PLANTILLA!AD14</f>
        <v>2</v>
      </c>
      <c r="P14" s="158">
        <f t="shared" si="20"/>
        <v>18</v>
      </c>
      <c r="Q14" s="159">
        <f t="shared" ca="1" si="21"/>
        <v>20</v>
      </c>
      <c r="R14" s="92">
        <f t="shared" si="6"/>
        <v>1.2</v>
      </c>
      <c r="S14" s="215">
        <f t="shared" si="34"/>
        <v>0</v>
      </c>
      <c r="T14" s="215">
        <f>J14+T$2/3</f>
        <v>3.3333333333333335</v>
      </c>
      <c r="U14" s="215">
        <f t="shared" ref="U14" si="37">K14+U$2/4</f>
        <v>5.5</v>
      </c>
      <c r="V14" s="215">
        <f t="shared" si="35"/>
        <v>2</v>
      </c>
      <c r="W14" s="215">
        <f t="shared" si="36"/>
        <v>6</v>
      </c>
      <c r="X14" s="215">
        <f>N14+X$2/6</f>
        <v>9.1666666666666661</v>
      </c>
      <c r="Y14" s="215">
        <f t="shared" ref="Y14:Y22" si="38">O14+Y$2/1</f>
        <v>3</v>
      </c>
      <c r="Z14" s="168">
        <f t="shared" si="8"/>
        <v>0</v>
      </c>
      <c r="AA14" s="168">
        <f t="shared" si="9"/>
        <v>0.33333333333333348</v>
      </c>
      <c r="AB14" s="168">
        <f t="shared" si="10"/>
        <v>0.25</v>
      </c>
      <c r="AC14" s="168">
        <f t="shared" si="11"/>
        <v>0</v>
      </c>
      <c r="AD14" s="168">
        <f t="shared" si="12"/>
        <v>0</v>
      </c>
      <c r="AE14" s="168">
        <f t="shared" si="13"/>
        <v>0.16666666666666607</v>
      </c>
      <c r="AF14" s="168">
        <f t="shared" si="14"/>
        <v>1</v>
      </c>
      <c r="AH14" s="218" t="s">
        <v>64</v>
      </c>
      <c r="AI14" s="79" t="str">
        <f>C12</f>
        <v>W. Gelifini</v>
      </c>
      <c r="AJ14" s="176">
        <v>0</v>
      </c>
      <c r="AK14" s="176">
        <v>0</v>
      </c>
      <c r="AL14" s="176">
        <v>0</v>
      </c>
      <c r="AM14" s="174">
        <f>AB12*0.25</f>
        <v>0</v>
      </c>
      <c r="AN14" s="174">
        <f>(AD12*0.142)+(AC12*0.221)+(AE12*0.26)</f>
        <v>0</v>
      </c>
      <c r="AO14" s="174">
        <f>AN14</f>
        <v>0</v>
      </c>
      <c r="AP14" s="174">
        <f>(AD12*0.369)+(AE12*1)</f>
        <v>0</v>
      </c>
      <c r="AQ14" s="179">
        <f>(0.5*AE12+0.3*AF12)/10</f>
        <v>0</v>
      </c>
      <c r="AR14" s="179">
        <f>(0.4*AA12+0.3*AF12)/10</f>
        <v>0</v>
      </c>
      <c r="AS14" s="177">
        <v>0</v>
      </c>
      <c r="AT14" s="177">
        <v>0</v>
      </c>
      <c r="AV14" s="218" t="s">
        <v>302</v>
      </c>
      <c r="AW14" s="79" t="s">
        <v>340</v>
      </c>
      <c r="AX14" s="176">
        <v>0</v>
      </c>
      <c r="AY14" s="176">
        <v>0</v>
      </c>
      <c r="AZ14" s="176">
        <v>0</v>
      </c>
      <c r="BA14" s="174">
        <f>AB22*0.25</f>
        <v>6.25E-2</v>
      </c>
      <c r="BB14" s="174">
        <v>0</v>
      </c>
      <c r="BC14" s="174">
        <f>(AD22*0.209)+(AC22*0.607)+(AE22*0.524)</f>
        <v>8.7333333333333027E-2</v>
      </c>
      <c r="BD14" s="174">
        <f>(AD22*0.261)+(AE22*0.607)</f>
        <v>0.10116666666666631</v>
      </c>
      <c r="BE14" s="177">
        <f>AQ20</f>
        <v>3.8333333333333303E-2</v>
      </c>
      <c r="BF14" s="177">
        <f>AR20</f>
        <v>0.04</v>
      </c>
      <c r="BG14" s="177">
        <v>0</v>
      </c>
      <c r="BH14" s="177">
        <v>0</v>
      </c>
    </row>
    <row r="15" spans="1:67" s="75" customFormat="1" x14ac:dyDescent="0.25">
      <c r="A15" s="143" t="str">
        <f>PLANTILLA!A15</f>
        <v>#14</v>
      </c>
      <c r="B15" s="143" t="s">
        <v>1</v>
      </c>
      <c r="C15" s="90" t="str">
        <f>PLANTILLA!D15</f>
        <v>G. Piscaer</v>
      </c>
      <c r="D15" s="145">
        <f>PLANTILLA!E15</f>
        <v>18</v>
      </c>
      <c r="E15" s="150">
        <f ca="1">PLANTILLA!F15</f>
        <v>86</v>
      </c>
      <c r="F15" s="146"/>
      <c r="G15" s="363">
        <f>PLANTILLA!H15</f>
        <v>1</v>
      </c>
      <c r="H15" s="102">
        <f>PLANTILLA!I15</f>
        <v>1.8</v>
      </c>
      <c r="I15" s="198">
        <f>PLANTILLA!X15</f>
        <v>0</v>
      </c>
      <c r="J15" s="198">
        <f>PLANTILLA!Y15</f>
        <v>4</v>
      </c>
      <c r="K15" s="198">
        <f>PLANTILLA!Z15</f>
        <v>8.1999999999999993</v>
      </c>
      <c r="L15" s="198">
        <f>PLANTILLA!AA15</f>
        <v>3</v>
      </c>
      <c r="M15" s="198">
        <f>PLANTILLA!AB15</f>
        <v>2</v>
      </c>
      <c r="N15" s="198">
        <f>PLANTILLA!AC15</f>
        <v>8</v>
      </c>
      <c r="O15" s="198">
        <f>PLANTILLA!AD15</f>
        <v>0</v>
      </c>
      <c r="P15" s="158">
        <f t="shared" si="20"/>
        <v>18</v>
      </c>
      <c r="Q15" s="159">
        <f t="shared" ca="1" si="21"/>
        <v>93</v>
      </c>
      <c r="R15" s="92">
        <f t="shared" si="6"/>
        <v>1.8</v>
      </c>
      <c r="S15" s="215">
        <f t="shared" si="34"/>
        <v>0</v>
      </c>
      <c r="T15" s="215">
        <f>J15+T$2/4</f>
        <v>4.25</v>
      </c>
      <c r="U15" s="215">
        <f>K15+U$2/5</f>
        <v>8.3999999999999986</v>
      </c>
      <c r="V15" s="215">
        <f t="shared" si="35"/>
        <v>3</v>
      </c>
      <c r="W15" s="215">
        <f t="shared" si="36"/>
        <v>2</v>
      </c>
      <c r="X15" s="215">
        <f t="shared" ref="X15:X20" si="39">N15+X$2/5</f>
        <v>8.1999999999999993</v>
      </c>
      <c r="Y15" s="215">
        <f t="shared" si="38"/>
        <v>1</v>
      </c>
      <c r="Z15" s="168">
        <f t="shared" si="8"/>
        <v>0</v>
      </c>
      <c r="AA15" s="168">
        <f t="shared" si="9"/>
        <v>0.25</v>
      </c>
      <c r="AB15" s="168">
        <f t="shared" si="10"/>
        <v>0.19999999999999929</v>
      </c>
      <c r="AC15" s="168">
        <f t="shared" si="11"/>
        <v>0</v>
      </c>
      <c r="AD15" s="168">
        <f t="shared" si="12"/>
        <v>0</v>
      </c>
      <c r="AE15" s="168">
        <f t="shared" si="13"/>
        <v>0.19999999999999929</v>
      </c>
      <c r="AF15" s="168">
        <f t="shared" si="14"/>
        <v>1</v>
      </c>
      <c r="AH15" s="172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3"/>
      <c r="AV15"/>
      <c r="AW15"/>
      <c r="AX15"/>
      <c r="AY15"/>
      <c r="AZ15"/>
      <c r="BA15"/>
      <c r="BB15"/>
      <c r="BC15"/>
      <c r="BD15"/>
      <c r="BE15"/>
      <c r="BF15"/>
      <c r="BG15"/>
      <c r="BH15"/>
    </row>
    <row r="16" spans="1:67" s="82" customFormat="1" x14ac:dyDescent="0.25">
      <c r="A16" s="143" t="str">
        <f>PLANTILLA!A16</f>
        <v>#3</v>
      </c>
      <c r="B16" s="143" t="s">
        <v>1</v>
      </c>
      <c r="C16" s="90" t="str">
        <f>PLANTILLA!D16</f>
        <v>M. Bondarewski</v>
      </c>
      <c r="D16" s="145">
        <f>PLANTILLA!E16</f>
        <v>18</v>
      </c>
      <c r="E16" s="150">
        <f ca="1">PLANTILLA!F16</f>
        <v>86</v>
      </c>
      <c r="F16" s="146" t="str">
        <f>PLANTILLA!G16</f>
        <v>RAP</v>
      </c>
      <c r="G16" s="363">
        <f>PLANTILLA!H16</f>
        <v>1</v>
      </c>
      <c r="H16" s="102">
        <f>PLANTILLA!I16</f>
        <v>1.6</v>
      </c>
      <c r="I16" s="198">
        <f>PLANTILLA!X16</f>
        <v>0</v>
      </c>
      <c r="J16" s="198">
        <f>PLANTILLA!Y16</f>
        <v>2</v>
      </c>
      <c r="K16" s="198">
        <f>PLANTILLA!Z16</f>
        <v>8.4</v>
      </c>
      <c r="L16" s="198">
        <f>PLANTILLA!AA16</f>
        <v>5</v>
      </c>
      <c r="M16" s="198">
        <f>PLANTILLA!AB16</f>
        <v>4</v>
      </c>
      <c r="N16" s="198">
        <f>PLANTILLA!AC16</f>
        <v>8</v>
      </c>
      <c r="O16" s="198">
        <f>PLANTILLA!AD16</f>
        <v>6</v>
      </c>
      <c r="P16" s="158">
        <f t="shared" si="20"/>
        <v>18</v>
      </c>
      <c r="Q16" s="159">
        <f t="shared" ca="1" si="21"/>
        <v>93</v>
      </c>
      <c r="R16" s="92">
        <f t="shared" si="6"/>
        <v>1.6</v>
      </c>
      <c r="S16" s="215">
        <f t="shared" si="34"/>
        <v>0</v>
      </c>
      <c r="T16" s="215">
        <f>J16+T$2/3</f>
        <v>2.3333333333333335</v>
      </c>
      <c r="U16" s="215">
        <f>K16+U$2/5</f>
        <v>8.6</v>
      </c>
      <c r="V16" s="215">
        <f t="shared" si="35"/>
        <v>5</v>
      </c>
      <c r="W16" s="215">
        <f t="shared" si="36"/>
        <v>4</v>
      </c>
      <c r="X16" s="215">
        <f t="shared" si="39"/>
        <v>8.1999999999999993</v>
      </c>
      <c r="Y16" s="215">
        <f t="shared" si="38"/>
        <v>7</v>
      </c>
      <c r="Z16" s="168">
        <f t="shared" si="8"/>
        <v>0</v>
      </c>
      <c r="AA16" s="168">
        <f t="shared" si="9"/>
        <v>0.33333333333333348</v>
      </c>
      <c r="AB16" s="168">
        <f t="shared" si="10"/>
        <v>0.19999999999999929</v>
      </c>
      <c r="AC16" s="168">
        <f t="shared" si="11"/>
        <v>0</v>
      </c>
      <c r="AD16" s="168">
        <f t="shared" si="12"/>
        <v>0</v>
      </c>
      <c r="AE16" s="168">
        <f t="shared" si="13"/>
        <v>0.19999999999999929</v>
      </c>
      <c r="AF16" s="168">
        <f t="shared" si="14"/>
        <v>1</v>
      </c>
      <c r="AH16" s="72"/>
      <c r="AI16" s="72"/>
      <c r="AJ16" s="180" t="e">
        <f>SUM(AJ18:AJ28)*$BM$3</f>
        <v>#REF!</v>
      </c>
      <c r="AK16" s="180">
        <f>SUM(AK18:AK28)*$BM$3</f>
        <v>0.14359333333333341</v>
      </c>
      <c r="AL16" s="180" t="e">
        <f>SUM(AL18:AL28)*$BM$2</f>
        <v>#REF!</v>
      </c>
      <c r="AM16" s="180" t="e">
        <f>SUM(AM18:AM28)*$BM$4</f>
        <v>#REF!</v>
      </c>
      <c r="AN16" s="180" t="e">
        <f>SUM(AN18:AN28)*$BM$5</f>
        <v>#REF!</v>
      </c>
      <c r="AO16" s="180">
        <f>SUM(AO18:AO28)*$BM$5</f>
        <v>2.3833333333333307E-2</v>
      </c>
      <c r="AP16" s="180" t="e">
        <f>SUM(AP18:AP28)*$BM$6</f>
        <v>#REF!</v>
      </c>
      <c r="AQ16" s="181" t="e">
        <f>SUM(AQ18:AQ28)</f>
        <v>#REF!</v>
      </c>
      <c r="AR16" s="181" t="e">
        <f>SUM(AR18:AR28)</f>
        <v>#REF!</v>
      </c>
      <c r="AS16" s="181">
        <f t="shared" ref="AS16:AT16" si="40">SUM(AS18:AS28)</f>
        <v>5.46875</v>
      </c>
      <c r="AT16" s="181">
        <f t="shared" si="40"/>
        <v>9.375E-2</v>
      </c>
      <c r="AV16" s="72"/>
      <c r="AW16" s="72"/>
      <c r="AX16" s="180">
        <f>SUM(AX18:AX28)*$BM$3</f>
        <v>0.13498000000000002</v>
      </c>
      <c r="AY16" s="180" t="e">
        <f>SUM(AY18:AY28)*$BM$3</f>
        <v>#REF!</v>
      </c>
      <c r="AZ16" s="180" t="e">
        <f>SUM(AZ18:AZ28)*$BM$2</f>
        <v>#REF!</v>
      </c>
      <c r="BA16" s="180" t="e">
        <f>SUM(BA18:BA28)*$BM$4</f>
        <v>#REF!</v>
      </c>
      <c r="BB16" s="180">
        <f>SUM(BB18:BB28)*$BM$5</f>
        <v>1.3000000000000012E-2</v>
      </c>
      <c r="BC16" s="180" t="e">
        <f>SUM(BC18:BC28)*$BM$5</f>
        <v>#REF!</v>
      </c>
      <c r="BD16" s="180">
        <f>SUM(BD18:BD28)*$BM$6</f>
        <v>3.8000000000000034E-2</v>
      </c>
      <c r="BE16" s="181" t="e">
        <f>SUM(BE18:BE28)</f>
        <v>#REF!</v>
      </c>
      <c r="BF16" s="181" t="e">
        <f>SUM(BF18:BF28)</f>
        <v>#REF!</v>
      </c>
      <c r="BG16" s="181" t="e">
        <f t="shared" ref="BG16:BH16" si="41">SUM(BG18:BG28)</f>
        <v>#REF!</v>
      </c>
      <c r="BH16" s="181" t="e">
        <f t="shared" si="41"/>
        <v>#REF!</v>
      </c>
    </row>
    <row r="17" spans="1:60" s="75" customFormat="1" x14ac:dyDescent="0.25">
      <c r="A17" s="143" t="str">
        <f>PLANTILLA!A17</f>
        <v>#18</v>
      </c>
      <c r="B17" s="143" t="s">
        <v>1</v>
      </c>
      <c r="C17" s="90" t="str">
        <f>PLANTILLA!D17</f>
        <v>J. Vartiainen</v>
      </c>
      <c r="D17" s="145">
        <f>PLANTILLA!E17</f>
        <v>19</v>
      </c>
      <c r="E17" s="150">
        <f ca="1">PLANTILLA!F17</f>
        <v>20</v>
      </c>
      <c r="F17" s="146"/>
      <c r="G17" s="363">
        <f>PLANTILLA!H17</f>
        <v>4</v>
      </c>
      <c r="H17" s="102">
        <f>PLANTILLA!I17</f>
        <v>0.3</v>
      </c>
      <c r="I17" s="198">
        <f>PLANTILLA!X17</f>
        <v>0</v>
      </c>
      <c r="J17" s="198">
        <f>PLANTILLA!Y17</f>
        <v>7</v>
      </c>
      <c r="K17" s="198">
        <f>PLANTILLA!Z17</f>
        <v>7.3111111111111109</v>
      </c>
      <c r="L17" s="198">
        <f>PLANTILLA!AA17</f>
        <v>1</v>
      </c>
      <c r="M17" s="198">
        <f>PLANTILLA!AB17</f>
        <v>1</v>
      </c>
      <c r="N17" s="198">
        <f>PLANTILLA!AC17</f>
        <v>6</v>
      </c>
      <c r="O17" s="198">
        <f>PLANTILLA!AD17</f>
        <v>1</v>
      </c>
      <c r="P17" s="158">
        <f t="shared" si="20"/>
        <v>19</v>
      </c>
      <c r="Q17" s="159">
        <f t="shared" ca="1" si="21"/>
        <v>27</v>
      </c>
      <c r="R17" s="92">
        <f t="shared" si="6"/>
        <v>0.3</v>
      </c>
      <c r="S17" s="215">
        <f t="shared" si="34"/>
        <v>0</v>
      </c>
      <c r="T17" s="215">
        <f>J17+T$2/5</f>
        <v>7.2</v>
      </c>
      <c r="U17" s="215">
        <f>K17+U$2/5</f>
        <v>7.5111111111111111</v>
      </c>
      <c r="V17" s="215">
        <f t="shared" si="35"/>
        <v>1</v>
      </c>
      <c r="W17" s="215">
        <f t="shared" si="36"/>
        <v>1</v>
      </c>
      <c r="X17" s="215">
        <f>N17+X$2/4</f>
        <v>6.25</v>
      </c>
      <c r="Y17" s="215">
        <f t="shared" si="38"/>
        <v>2</v>
      </c>
      <c r="Z17" s="168">
        <f t="shared" si="8"/>
        <v>0</v>
      </c>
      <c r="AA17" s="168">
        <f t="shared" si="9"/>
        <v>0.20000000000000018</v>
      </c>
      <c r="AB17" s="168">
        <f t="shared" si="10"/>
        <v>0.20000000000000018</v>
      </c>
      <c r="AC17" s="168">
        <f t="shared" si="11"/>
        <v>0</v>
      </c>
      <c r="AD17" s="168">
        <f t="shared" si="12"/>
        <v>0</v>
      </c>
      <c r="AE17" s="168">
        <f t="shared" si="13"/>
        <v>0.25</v>
      </c>
      <c r="AF17" s="168">
        <f t="shared" si="14"/>
        <v>1</v>
      </c>
      <c r="AH17" s="373" t="s">
        <v>338</v>
      </c>
      <c r="AI17" s="374"/>
      <c r="AJ17" s="119" t="s">
        <v>204</v>
      </c>
      <c r="AK17" s="119" t="s">
        <v>205</v>
      </c>
      <c r="AL17" s="119" t="s">
        <v>215</v>
      </c>
      <c r="AM17" s="119" t="s">
        <v>206</v>
      </c>
      <c r="AN17" s="119" t="s">
        <v>207</v>
      </c>
      <c r="AO17" s="119" t="s">
        <v>208</v>
      </c>
      <c r="AP17" s="119" t="s">
        <v>209</v>
      </c>
      <c r="AQ17" s="119" t="s">
        <v>351</v>
      </c>
      <c r="AR17" s="119" t="s">
        <v>352</v>
      </c>
      <c r="AS17" s="119" t="s">
        <v>257</v>
      </c>
      <c r="AT17" s="119" t="s">
        <v>279</v>
      </c>
      <c r="AV17" s="373" t="s">
        <v>301</v>
      </c>
      <c r="AW17" s="374"/>
      <c r="AX17" s="119" t="s">
        <v>204</v>
      </c>
      <c r="AY17" s="119" t="s">
        <v>205</v>
      </c>
      <c r="AZ17" s="119" t="s">
        <v>215</v>
      </c>
      <c r="BA17" s="119" t="s">
        <v>206</v>
      </c>
      <c r="BB17" s="119" t="s">
        <v>207</v>
      </c>
      <c r="BC17" s="119" t="s">
        <v>208</v>
      </c>
      <c r="BD17" s="119" t="s">
        <v>209</v>
      </c>
      <c r="BE17" s="119" t="s">
        <v>351</v>
      </c>
      <c r="BF17" s="119" t="s">
        <v>352</v>
      </c>
      <c r="BG17" s="119" t="s">
        <v>257</v>
      </c>
      <c r="BH17" s="119" t="s">
        <v>279</v>
      </c>
    </row>
    <row r="18" spans="1:60" s="70" customFormat="1" x14ac:dyDescent="0.25">
      <c r="A18" s="143" t="str">
        <f>PLANTILLA!A18</f>
        <v>#16</v>
      </c>
      <c r="B18" s="143" t="s">
        <v>1</v>
      </c>
      <c r="C18" s="90" t="str">
        <f>PLANTILLA!D18</f>
        <v>R. Forsyth</v>
      </c>
      <c r="D18" s="145">
        <f>PLANTILLA!E18</f>
        <v>19</v>
      </c>
      <c r="E18" s="150">
        <f ca="1">PLANTILLA!F18</f>
        <v>15</v>
      </c>
      <c r="F18" s="146" t="str">
        <f>PLANTILLA!G18</f>
        <v>POT</v>
      </c>
      <c r="G18" s="363">
        <f>PLANTILLA!H18</f>
        <v>4</v>
      </c>
      <c r="H18" s="102">
        <f>PLANTILLA!I18</f>
        <v>1.8</v>
      </c>
      <c r="I18" s="198">
        <f>PLANTILLA!X18</f>
        <v>0</v>
      </c>
      <c r="J18" s="198">
        <f>PLANTILLA!Y18</f>
        <v>7</v>
      </c>
      <c r="K18" s="198">
        <f>PLANTILLA!Z18</f>
        <v>7.4</v>
      </c>
      <c r="L18" s="198">
        <f>PLANTILLA!AA18</f>
        <v>2</v>
      </c>
      <c r="M18" s="198">
        <f>PLANTILLA!AB18</f>
        <v>4</v>
      </c>
      <c r="N18" s="198">
        <f>PLANTILLA!AC18</f>
        <v>6</v>
      </c>
      <c r="O18" s="198">
        <f>PLANTILLA!AD18</f>
        <v>2</v>
      </c>
      <c r="P18" s="158">
        <f t="shared" si="20"/>
        <v>19</v>
      </c>
      <c r="Q18" s="159">
        <f t="shared" ca="1" si="21"/>
        <v>22</v>
      </c>
      <c r="R18" s="92">
        <f t="shared" si="6"/>
        <v>1.8</v>
      </c>
      <c r="S18" s="215">
        <f t="shared" si="34"/>
        <v>0</v>
      </c>
      <c r="T18" s="215">
        <f>J18+T$2/5</f>
        <v>7.2</v>
      </c>
      <c r="U18" s="215">
        <f>K18+U$2/5</f>
        <v>7.6000000000000005</v>
      </c>
      <c r="V18" s="215">
        <f t="shared" si="35"/>
        <v>2</v>
      </c>
      <c r="W18" s="215">
        <f t="shared" si="36"/>
        <v>4</v>
      </c>
      <c r="X18" s="215">
        <f>N18+X$2/4</f>
        <v>6.25</v>
      </c>
      <c r="Y18" s="215">
        <f t="shared" si="38"/>
        <v>3</v>
      </c>
      <c r="Z18" s="168">
        <f t="shared" si="8"/>
        <v>0</v>
      </c>
      <c r="AA18" s="168">
        <f t="shared" si="9"/>
        <v>0.20000000000000018</v>
      </c>
      <c r="AB18" s="168">
        <f t="shared" si="10"/>
        <v>0.20000000000000018</v>
      </c>
      <c r="AC18" s="168">
        <f t="shared" si="11"/>
        <v>0</v>
      </c>
      <c r="AD18" s="168">
        <f t="shared" si="12"/>
        <v>0</v>
      </c>
      <c r="AE18" s="168">
        <f t="shared" si="13"/>
        <v>0.25</v>
      </c>
      <c r="AF18" s="168">
        <f t="shared" si="14"/>
        <v>1</v>
      </c>
      <c r="AH18" s="169" t="s">
        <v>1</v>
      </c>
      <c r="AI18" s="99" t="str">
        <f>C4</f>
        <v>D. Gehmacher</v>
      </c>
      <c r="AJ18" s="174">
        <f>AJ4</f>
        <v>0</v>
      </c>
      <c r="AK18" s="174">
        <f t="shared" ref="AK18:AT18" si="42">AK4</f>
        <v>0</v>
      </c>
      <c r="AL18" s="174">
        <f t="shared" si="42"/>
        <v>0</v>
      </c>
      <c r="AM18" s="174">
        <f t="shared" si="42"/>
        <v>0</v>
      </c>
      <c r="AN18" s="174">
        <f t="shared" si="42"/>
        <v>0</v>
      </c>
      <c r="AO18" s="174">
        <f t="shared" si="42"/>
        <v>0</v>
      </c>
      <c r="AP18" s="174">
        <f t="shared" si="42"/>
        <v>0</v>
      </c>
      <c r="AQ18" s="242">
        <f t="shared" si="42"/>
        <v>0</v>
      </c>
      <c r="AR18" s="242">
        <f t="shared" si="42"/>
        <v>0</v>
      </c>
      <c r="AS18" s="177">
        <f t="shared" si="42"/>
        <v>0</v>
      </c>
      <c r="AT18" s="177">
        <f t="shared" si="42"/>
        <v>0</v>
      </c>
      <c r="AV18" s="169" t="s">
        <v>1</v>
      </c>
      <c r="AW18" s="99" t="str">
        <f>C4</f>
        <v>D. Gehmacher</v>
      </c>
      <c r="AX18" s="174">
        <f>AX4</f>
        <v>0</v>
      </c>
      <c r="AY18" s="174">
        <f t="shared" ref="AY18:BH18" si="43">AY4</f>
        <v>0</v>
      </c>
      <c r="AZ18" s="174">
        <f t="shared" si="43"/>
        <v>0</v>
      </c>
      <c r="BA18" s="174">
        <f t="shared" si="43"/>
        <v>0</v>
      </c>
      <c r="BB18" s="174">
        <f t="shared" si="43"/>
        <v>0</v>
      </c>
      <c r="BC18" s="174">
        <f t="shared" si="43"/>
        <v>0</v>
      </c>
      <c r="BD18" s="174">
        <f t="shared" si="43"/>
        <v>0</v>
      </c>
      <c r="BE18" s="242">
        <f t="shared" si="43"/>
        <v>0</v>
      </c>
      <c r="BF18" s="242">
        <f t="shared" si="43"/>
        <v>0</v>
      </c>
      <c r="BG18" s="177">
        <f t="shared" si="43"/>
        <v>0</v>
      </c>
      <c r="BH18" s="177">
        <f t="shared" si="43"/>
        <v>0</v>
      </c>
    </row>
    <row r="19" spans="1:60" s="70" customFormat="1" x14ac:dyDescent="0.25">
      <c r="A19" s="143" t="str">
        <f>PLANTILLA!A19</f>
        <v>#21</v>
      </c>
      <c r="B19" s="143" t="s">
        <v>1</v>
      </c>
      <c r="C19" s="90" t="str">
        <f>PLANTILLA!D19</f>
        <v>K. Nelson</v>
      </c>
      <c r="D19" s="145">
        <f>PLANTILLA!E19</f>
        <v>19</v>
      </c>
      <c r="E19" s="150">
        <f ca="1">PLANTILLA!F19</f>
        <v>7</v>
      </c>
      <c r="F19" s="146"/>
      <c r="G19" s="363">
        <f>PLANTILLA!H19</f>
        <v>4</v>
      </c>
      <c r="H19" s="102">
        <f>PLANTILLA!I19</f>
        <v>1.8</v>
      </c>
      <c r="I19" s="198">
        <f>PLANTILLA!X19</f>
        <v>0</v>
      </c>
      <c r="J19" s="198">
        <f>PLANTILLA!Y19</f>
        <v>5</v>
      </c>
      <c r="K19" s="198">
        <f>PLANTILLA!Z19</f>
        <v>6.1583333333333332</v>
      </c>
      <c r="L19" s="198">
        <f>PLANTILLA!AA19</f>
        <v>2</v>
      </c>
      <c r="M19" s="198">
        <f>PLANTILLA!AB19</f>
        <v>3</v>
      </c>
      <c r="N19" s="198">
        <f>PLANTILLA!AC19</f>
        <v>9</v>
      </c>
      <c r="O19" s="198">
        <f>PLANTILLA!AD19</f>
        <v>1</v>
      </c>
      <c r="P19" s="158">
        <f t="shared" si="20"/>
        <v>19</v>
      </c>
      <c r="Q19" s="159">
        <f t="shared" ca="1" si="21"/>
        <v>14</v>
      </c>
      <c r="R19" s="92">
        <f t="shared" si="6"/>
        <v>1.8</v>
      </c>
      <c r="S19" s="215">
        <f t="shared" si="34"/>
        <v>0</v>
      </c>
      <c r="T19" s="215">
        <f>J19+T$2/4</f>
        <v>5.25</v>
      </c>
      <c r="U19" s="215">
        <f>K19+U$2/4</f>
        <v>6.4083333333333332</v>
      </c>
      <c r="V19" s="215">
        <f t="shared" si="35"/>
        <v>2</v>
      </c>
      <c r="W19" s="215">
        <f t="shared" si="36"/>
        <v>3</v>
      </c>
      <c r="X19" s="215">
        <f>N19+X$2/6</f>
        <v>9.1666666666666661</v>
      </c>
      <c r="Y19" s="215">
        <f t="shared" si="38"/>
        <v>2</v>
      </c>
      <c r="Z19" s="168">
        <f t="shared" si="8"/>
        <v>0</v>
      </c>
      <c r="AA19" s="168">
        <f t="shared" si="9"/>
        <v>0.25</v>
      </c>
      <c r="AB19" s="168">
        <f t="shared" si="10"/>
        <v>0.25</v>
      </c>
      <c r="AC19" s="168">
        <f t="shared" si="11"/>
        <v>0</v>
      </c>
      <c r="AD19" s="168">
        <f t="shared" si="12"/>
        <v>0</v>
      </c>
      <c r="AE19" s="168">
        <f t="shared" si="13"/>
        <v>0.16666666666666607</v>
      </c>
      <c r="AF19" s="168">
        <f t="shared" si="14"/>
        <v>1</v>
      </c>
      <c r="AH19" s="170" t="s">
        <v>260</v>
      </c>
      <c r="AI19" s="100" t="str">
        <f>C19</f>
        <v>K. Nelson</v>
      </c>
      <c r="AJ19" s="175">
        <f>(AA19*0.919)</f>
        <v>0.22975000000000001</v>
      </c>
      <c r="AK19" s="175">
        <v>0</v>
      </c>
      <c r="AL19" s="175">
        <f>AA19*0.414</f>
        <v>0.10349999999999999</v>
      </c>
      <c r="AM19" s="175">
        <f>AB19*0.167</f>
        <v>4.1750000000000002E-2</v>
      </c>
      <c r="AN19" s="175">
        <f>AC19*0.588</f>
        <v>0</v>
      </c>
      <c r="AO19" s="175">
        <v>0</v>
      </c>
      <c r="AP19" s="175">
        <v>0</v>
      </c>
      <c r="AQ19" s="178">
        <f>AQ5</f>
        <v>3.8333333333333303E-2</v>
      </c>
      <c r="AR19" s="178">
        <f>AR5</f>
        <v>0.04</v>
      </c>
      <c r="AS19" s="178">
        <f>((T19+1)+(W19+1)*2)/8</f>
        <v>1.78125</v>
      </c>
      <c r="AT19" s="178">
        <f>((AA19)+(AD19)*2)/8</f>
        <v>3.125E-2</v>
      </c>
      <c r="AV19" s="170" t="s">
        <v>260</v>
      </c>
      <c r="AW19" s="100" t="str">
        <f>C8</f>
        <v>F. Lasprilla</v>
      </c>
      <c r="AX19" s="175">
        <f t="shared" ref="AX19:BD19" si="44">AJ5</f>
        <v>0.22975000000000001</v>
      </c>
      <c r="AY19" s="175">
        <f t="shared" si="44"/>
        <v>0</v>
      </c>
      <c r="AZ19" s="175">
        <f t="shared" si="44"/>
        <v>0.10349999999999999</v>
      </c>
      <c r="BA19" s="175">
        <f t="shared" si="44"/>
        <v>4.1750000000000002E-2</v>
      </c>
      <c r="BB19" s="175">
        <f t="shared" si="44"/>
        <v>0</v>
      </c>
      <c r="BC19" s="175">
        <f t="shared" si="44"/>
        <v>0</v>
      </c>
      <c r="BD19" s="175">
        <f t="shared" si="44"/>
        <v>0</v>
      </c>
      <c r="BE19" s="178">
        <f t="shared" ref="BE19" si="45">AQ5</f>
        <v>3.8333333333333303E-2</v>
      </c>
      <c r="BF19" s="178">
        <f>AR5</f>
        <v>0.04</v>
      </c>
      <c r="BG19" s="178">
        <f>AS5</f>
        <v>1.78125</v>
      </c>
      <c r="BH19" s="178">
        <f>AT5</f>
        <v>3.125E-2</v>
      </c>
    </row>
    <row r="20" spans="1:60" s="69" customFormat="1" x14ac:dyDescent="0.25">
      <c r="A20" s="143" t="str">
        <f>PLANTILLA!A20</f>
        <v>#19</v>
      </c>
      <c r="B20" s="143" t="s">
        <v>1</v>
      </c>
      <c r="C20" s="90" t="str">
        <f>PLANTILLA!D20</f>
        <v>V. Godoi</v>
      </c>
      <c r="D20" s="145">
        <f>PLANTILLA!E20</f>
        <v>25</v>
      </c>
      <c r="E20" s="150">
        <f ca="1">PLANTILLA!F20</f>
        <v>91</v>
      </c>
      <c r="F20" s="146">
        <f>PLANTILLA!G20</f>
        <v>0</v>
      </c>
      <c r="G20" s="363">
        <f>PLANTILLA!H20</f>
        <v>5</v>
      </c>
      <c r="H20" s="102">
        <f>PLANTILLA!I20</f>
        <v>4.5</v>
      </c>
      <c r="I20" s="198">
        <f>PLANTILLA!X20</f>
        <v>0</v>
      </c>
      <c r="J20" s="198">
        <f>PLANTILLA!Y20</f>
        <v>3</v>
      </c>
      <c r="K20" s="198">
        <f>PLANTILLA!Z20</f>
        <v>9</v>
      </c>
      <c r="L20" s="198">
        <f>PLANTILLA!AA20</f>
        <v>9</v>
      </c>
      <c r="M20" s="198">
        <f>PLANTILLA!AB20</f>
        <v>5</v>
      </c>
      <c r="N20" s="198">
        <f>PLANTILLA!AC20</f>
        <v>5</v>
      </c>
      <c r="O20" s="198">
        <f>PLANTILLA!AD20</f>
        <v>1</v>
      </c>
      <c r="P20" s="158">
        <f t="shared" si="20"/>
        <v>25</v>
      </c>
      <c r="Q20" s="159">
        <f t="shared" ca="1" si="21"/>
        <v>98</v>
      </c>
      <c r="R20" s="92">
        <f t="shared" si="6"/>
        <v>4.5</v>
      </c>
      <c r="S20" s="215">
        <f t="shared" si="34"/>
        <v>0</v>
      </c>
      <c r="T20" s="215">
        <f>J20+T$2/3</f>
        <v>3.3333333333333335</v>
      </c>
      <c r="U20" s="215">
        <f>K20+U$2/5</f>
        <v>9.1999999999999993</v>
      </c>
      <c r="V20" s="215">
        <f t="shared" si="35"/>
        <v>9</v>
      </c>
      <c r="W20" s="215">
        <f t="shared" si="36"/>
        <v>5</v>
      </c>
      <c r="X20" s="215">
        <f t="shared" si="39"/>
        <v>5.2</v>
      </c>
      <c r="Y20" s="215">
        <f t="shared" si="38"/>
        <v>2</v>
      </c>
      <c r="Z20" s="168">
        <f t="shared" si="8"/>
        <v>0</v>
      </c>
      <c r="AA20" s="168">
        <f t="shared" si="9"/>
        <v>0.33333333333333348</v>
      </c>
      <c r="AB20" s="168">
        <f t="shared" si="10"/>
        <v>0.19999999999999929</v>
      </c>
      <c r="AC20" s="168">
        <f t="shared" si="11"/>
        <v>0</v>
      </c>
      <c r="AD20" s="168">
        <f t="shared" si="12"/>
        <v>0</v>
      </c>
      <c r="AE20" s="168">
        <f t="shared" si="13"/>
        <v>0.20000000000000018</v>
      </c>
      <c r="AF20" s="168">
        <f t="shared" si="14"/>
        <v>1</v>
      </c>
      <c r="AH20" s="218" t="s">
        <v>64</v>
      </c>
      <c r="AI20" s="79" t="str">
        <f>C22</f>
        <v>R. Scheidecker</v>
      </c>
      <c r="AJ20" s="174">
        <v>0</v>
      </c>
      <c r="AK20" s="174">
        <v>0</v>
      </c>
      <c r="AL20" s="174">
        <v>0</v>
      </c>
      <c r="AM20" s="176">
        <f>AB22*0.25</f>
        <v>6.25E-2</v>
      </c>
      <c r="AN20" s="176">
        <f>(AD22*0.142)+(AC22*0.221)+(AE22*0.26)</f>
        <v>4.3333333333333182E-2</v>
      </c>
      <c r="AO20" s="174">
        <f>AN20</f>
        <v>4.3333333333333182E-2</v>
      </c>
      <c r="AP20" s="176">
        <f>(AD22*0.369)+(AE22*1)</f>
        <v>0.16666666666666607</v>
      </c>
      <c r="AQ20" s="179">
        <f>(0.5*AE22+0.3*AF22)/10</f>
        <v>3.8333333333333303E-2</v>
      </c>
      <c r="AR20" s="179">
        <f>(0.4*AA22+0.3*AF22)/10</f>
        <v>0.04</v>
      </c>
      <c r="AS20" s="178">
        <f>((T22+1)+(W22+1)*2)/8</f>
        <v>1.90625</v>
      </c>
      <c r="AT20" s="178">
        <f>((AA22)+(AD22)*2)/8</f>
        <v>3.125E-2</v>
      </c>
      <c r="AV20" s="171" t="s">
        <v>303</v>
      </c>
      <c r="AW20" s="79" t="str">
        <f>C7</f>
        <v>B. Bartolache</v>
      </c>
      <c r="AX20" s="176">
        <f>AA7*0.754</f>
        <v>0</v>
      </c>
      <c r="AY20" s="176">
        <v>0</v>
      </c>
      <c r="AZ20" s="176">
        <f>AA7*0.708</f>
        <v>0</v>
      </c>
      <c r="BA20" s="176">
        <f>AB7*0.165</f>
        <v>0</v>
      </c>
      <c r="BB20" s="176">
        <f>AC7*0.286</f>
        <v>0</v>
      </c>
      <c r="BC20" s="176">
        <v>0</v>
      </c>
      <c r="BD20" s="176">
        <v>0</v>
      </c>
      <c r="BE20" s="179">
        <f>BE6</f>
        <v>0</v>
      </c>
      <c r="BF20" s="179">
        <f>BF6</f>
        <v>0</v>
      </c>
      <c r="BG20" s="178">
        <f>((T7+1)+(W7+1)*2)/8</f>
        <v>3.8562499999999997</v>
      </c>
      <c r="BH20" s="178">
        <f>((AA7)+(AD7)*2)/8</f>
        <v>0</v>
      </c>
    </row>
    <row r="21" spans="1:60" s="78" customFormat="1" x14ac:dyDescent="0.25">
      <c r="A21" s="143" t="str">
        <f>PLANTILLA!A21</f>
        <v>#20</v>
      </c>
      <c r="B21" s="143" t="s">
        <v>1</v>
      </c>
      <c r="C21" s="90" t="str">
        <f>PLANTILLA!D21</f>
        <v>P. Tuderek</v>
      </c>
      <c r="D21" s="145">
        <f>PLANTILLA!E21</f>
        <v>18</v>
      </c>
      <c r="E21" s="150">
        <f ca="1">PLANTILLA!F21</f>
        <v>72</v>
      </c>
      <c r="F21" s="146"/>
      <c r="G21" s="363">
        <f>PLANTILLA!H21</f>
        <v>4</v>
      </c>
      <c r="H21" s="102">
        <f>PLANTILLA!I21</f>
        <v>0.6</v>
      </c>
      <c r="I21" s="198">
        <f>PLANTILLA!X21</f>
        <v>0</v>
      </c>
      <c r="J21" s="198">
        <f>PLANTILLA!Y21</f>
        <v>6</v>
      </c>
      <c r="K21" s="198">
        <f>PLANTILLA!Z21</f>
        <v>6.1583333333333332</v>
      </c>
      <c r="L21" s="198">
        <f>PLANTILLA!AA21</f>
        <v>2</v>
      </c>
      <c r="M21" s="198">
        <f>PLANTILLA!AB21</f>
        <v>3</v>
      </c>
      <c r="N21" s="198">
        <f>PLANTILLA!AC21</f>
        <v>6</v>
      </c>
      <c r="O21" s="198">
        <f>PLANTILLA!AD21</f>
        <v>8</v>
      </c>
      <c r="P21" s="158">
        <f t="shared" si="20"/>
        <v>18</v>
      </c>
      <c r="Q21" s="159">
        <f t="shared" ca="1" si="21"/>
        <v>79</v>
      </c>
      <c r="R21" s="92">
        <f t="shared" si="6"/>
        <v>0.6</v>
      </c>
      <c r="S21" s="215">
        <f t="shared" si="34"/>
        <v>0</v>
      </c>
      <c r="T21" s="215">
        <f>J21+T$2/5</f>
        <v>6.2</v>
      </c>
      <c r="U21" s="215">
        <f>K21+U$2/4</f>
        <v>6.4083333333333332</v>
      </c>
      <c r="V21" s="215">
        <f t="shared" si="35"/>
        <v>2</v>
      </c>
      <c r="W21" s="215">
        <f t="shared" si="36"/>
        <v>3</v>
      </c>
      <c r="X21" s="215">
        <f>N21+X$2/4</f>
        <v>6.25</v>
      </c>
      <c r="Y21" s="215">
        <f t="shared" si="38"/>
        <v>9</v>
      </c>
      <c r="Z21" s="168">
        <f t="shared" si="8"/>
        <v>0</v>
      </c>
      <c r="AA21" s="168">
        <f t="shared" si="9"/>
        <v>0.20000000000000018</v>
      </c>
      <c r="AB21" s="168">
        <f t="shared" si="10"/>
        <v>0.25</v>
      </c>
      <c r="AC21" s="168">
        <f t="shared" si="11"/>
        <v>0</v>
      </c>
      <c r="AD21" s="168">
        <f t="shared" si="12"/>
        <v>0</v>
      </c>
      <c r="AE21" s="168">
        <f t="shared" si="13"/>
        <v>0.25</v>
      </c>
      <c r="AF21" s="168">
        <f t="shared" si="14"/>
        <v>1</v>
      </c>
      <c r="AH21" s="171" t="s">
        <v>260</v>
      </c>
      <c r="AI21" s="79" t="str">
        <f>C8</f>
        <v>F. Lasprilla</v>
      </c>
      <c r="AJ21" s="176">
        <v>0</v>
      </c>
      <c r="AK21" s="176">
        <f>AA16*0.919</f>
        <v>0.30633333333333346</v>
      </c>
      <c r="AL21" s="176">
        <f>AA8*0.414</f>
        <v>0</v>
      </c>
      <c r="AM21" s="176">
        <f>AB8*0.167</f>
        <v>0</v>
      </c>
      <c r="AN21" s="176">
        <v>0</v>
      </c>
      <c r="AO21" s="176">
        <f>AC8*0.588</f>
        <v>0</v>
      </c>
      <c r="AP21" s="176">
        <v>0</v>
      </c>
      <c r="AQ21" s="179">
        <f>AQ5</f>
        <v>3.8333333333333303E-2</v>
      </c>
      <c r="AR21" s="179">
        <f>AR5</f>
        <v>0.04</v>
      </c>
      <c r="AS21" s="179">
        <f>AS5</f>
        <v>1.78125</v>
      </c>
      <c r="AT21" s="179">
        <f>AT5</f>
        <v>3.125E-2</v>
      </c>
      <c r="AV21" s="171" t="s">
        <v>276</v>
      </c>
      <c r="AW21" s="79" t="str">
        <f>C15</f>
        <v>G. Piscaer</v>
      </c>
      <c r="AX21" s="176">
        <f t="shared" ref="AX21:BD21" si="46">AJ6</f>
        <v>9.4500000000000001E-2</v>
      </c>
      <c r="AY21" s="176">
        <f t="shared" si="46"/>
        <v>9.4500000000000001E-2</v>
      </c>
      <c r="AZ21" s="176">
        <f t="shared" si="46"/>
        <v>0.25</v>
      </c>
      <c r="BA21" s="176">
        <f t="shared" si="46"/>
        <v>4.7199999999999832E-2</v>
      </c>
      <c r="BB21" s="176">
        <f t="shared" si="46"/>
        <v>0</v>
      </c>
      <c r="BC21" s="176">
        <f t="shared" si="46"/>
        <v>0</v>
      </c>
      <c r="BD21" s="176">
        <f t="shared" si="46"/>
        <v>0</v>
      </c>
      <c r="BE21" s="179">
        <f t="shared" ref="BE21" si="47">AQ6</f>
        <v>3.9999999999999966E-2</v>
      </c>
      <c r="BF21" s="179">
        <f t="shared" ref="BF21:BH22" si="48">AR6</f>
        <v>0.04</v>
      </c>
      <c r="BG21" s="178">
        <f t="shared" si="48"/>
        <v>1.40625</v>
      </c>
      <c r="BH21" s="178">
        <f t="shared" si="48"/>
        <v>3.125E-2</v>
      </c>
    </row>
    <row r="22" spans="1:60" s="75" customFormat="1" x14ac:dyDescent="0.25">
      <c r="A22" s="143" t="str">
        <f>PLANTILLA!A22</f>
        <v>#22</v>
      </c>
      <c r="B22" s="143" t="s">
        <v>1</v>
      </c>
      <c r="C22" s="90" t="str">
        <f>PLANTILLA!D22</f>
        <v>R. Scheidecker</v>
      </c>
      <c r="D22" s="145">
        <f>PLANTILLA!E22</f>
        <v>18</v>
      </c>
      <c r="E22" s="150">
        <f ca="1">PLANTILLA!F22</f>
        <v>104</v>
      </c>
      <c r="F22" s="146" t="str">
        <f>PLANTILLA!G22</f>
        <v>RAP</v>
      </c>
      <c r="G22" s="363">
        <f>PLANTILLA!H22</f>
        <v>4</v>
      </c>
      <c r="H22" s="102">
        <f>PLANTILLA!I22</f>
        <v>0.5</v>
      </c>
      <c r="I22" s="198">
        <f>PLANTILLA!X22</f>
        <v>0</v>
      </c>
      <c r="J22" s="198">
        <f>PLANTILLA!Y22</f>
        <v>4</v>
      </c>
      <c r="K22" s="198">
        <f>PLANTILLA!Z22</f>
        <v>5.2857142857142856</v>
      </c>
      <c r="L22" s="198">
        <f>PLANTILLA!AA22</f>
        <v>3</v>
      </c>
      <c r="M22" s="198">
        <f>PLANTILLA!AB22</f>
        <v>4</v>
      </c>
      <c r="N22" s="198">
        <f>PLANTILLA!AC22</f>
        <v>9</v>
      </c>
      <c r="O22" s="198">
        <f>PLANTILLA!AD22</f>
        <v>8</v>
      </c>
      <c r="P22" s="158">
        <f t="shared" si="20"/>
        <v>18</v>
      </c>
      <c r="Q22" s="159">
        <f t="shared" ca="1" si="21"/>
        <v>111</v>
      </c>
      <c r="R22" s="92">
        <f t="shared" si="6"/>
        <v>0.5</v>
      </c>
      <c r="S22" s="215">
        <f t="shared" si="34"/>
        <v>0</v>
      </c>
      <c r="T22" s="215">
        <f>J22+T$2/4</f>
        <v>4.25</v>
      </c>
      <c r="U22" s="215">
        <f>K22+U$2/4</f>
        <v>5.5357142857142856</v>
      </c>
      <c r="V22" s="215">
        <f t="shared" si="35"/>
        <v>3</v>
      </c>
      <c r="W22" s="215">
        <f t="shared" si="36"/>
        <v>4</v>
      </c>
      <c r="X22" s="215">
        <f>N22+X$2/6</f>
        <v>9.1666666666666661</v>
      </c>
      <c r="Y22" s="215">
        <f t="shared" si="38"/>
        <v>9</v>
      </c>
      <c r="Z22" s="168">
        <f t="shared" si="8"/>
        <v>0</v>
      </c>
      <c r="AA22" s="168">
        <f t="shared" si="9"/>
        <v>0.25</v>
      </c>
      <c r="AB22" s="168">
        <f t="shared" si="10"/>
        <v>0.25</v>
      </c>
      <c r="AC22" s="168">
        <f t="shared" si="11"/>
        <v>0</v>
      </c>
      <c r="AD22" s="168">
        <f t="shared" si="12"/>
        <v>0</v>
      </c>
      <c r="AE22" s="168">
        <f t="shared" si="13"/>
        <v>0.16666666666666607</v>
      </c>
      <c r="AF22" s="168">
        <f t="shared" si="14"/>
        <v>1</v>
      </c>
      <c r="AH22" s="217" t="s">
        <v>304</v>
      </c>
      <c r="AI22" s="99" t="e">
        <f>AI8</f>
        <v>#REF!</v>
      </c>
      <c r="AJ22" s="174" t="e">
        <f>AJ8</f>
        <v>#REF!</v>
      </c>
      <c r="AK22" s="174">
        <f t="shared" ref="AK22:AP22" si="49">AK8</f>
        <v>0</v>
      </c>
      <c r="AL22" s="174" t="e">
        <f t="shared" si="49"/>
        <v>#REF!</v>
      </c>
      <c r="AM22" s="174" t="e">
        <f t="shared" si="49"/>
        <v>#REF!</v>
      </c>
      <c r="AN22" s="174" t="e">
        <f>AN8</f>
        <v>#REF!</v>
      </c>
      <c r="AO22" s="174">
        <f t="shared" si="49"/>
        <v>0</v>
      </c>
      <c r="AP22" s="174" t="e">
        <f t="shared" si="49"/>
        <v>#REF!</v>
      </c>
      <c r="AQ22" s="177" t="e">
        <f>AQ8</f>
        <v>#REF!</v>
      </c>
      <c r="AR22" s="177" t="e">
        <f t="shared" ref="AR22:AT22" si="50">AR8</f>
        <v>#REF!</v>
      </c>
      <c r="AS22" s="177">
        <f t="shared" si="50"/>
        <v>0</v>
      </c>
      <c r="AT22" s="177">
        <f t="shared" si="50"/>
        <v>0</v>
      </c>
      <c r="AV22" s="171" t="s">
        <v>303</v>
      </c>
      <c r="AW22" s="99" t="str">
        <f>C9</f>
        <v>E. Romweber</v>
      </c>
      <c r="AX22" s="174">
        <v>0</v>
      </c>
      <c r="AY22" s="174">
        <f>AA9*0.754</f>
        <v>0</v>
      </c>
      <c r="AZ22" s="174">
        <f>AA9*0.708</f>
        <v>0</v>
      </c>
      <c r="BA22" s="174">
        <f>AB9*0.165</f>
        <v>0</v>
      </c>
      <c r="BB22" s="174">
        <v>0</v>
      </c>
      <c r="BC22" s="174">
        <f>AC9*0.286</f>
        <v>0</v>
      </c>
      <c r="BD22" s="174">
        <v>0</v>
      </c>
      <c r="BE22" s="177">
        <f>AQ7</f>
        <v>0</v>
      </c>
      <c r="BF22" s="177">
        <f t="shared" si="48"/>
        <v>0</v>
      </c>
      <c r="BG22" s="177">
        <f t="shared" si="48"/>
        <v>3.7914166666666662</v>
      </c>
      <c r="BH22" s="177">
        <f t="shared" si="48"/>
        <v>0</v>
      </c>
    </row>
    <row r="23" spans="1:60" s="82" customFormat="1" x14ac:dyDescent="0.25">
      <c r="A23" s="143" t="str">
        <f>PLANTILLA!A23</f>
        <v>#11</v>
      </c>
      <c r="B23" s="143" t="s">
        <v>1</v>
      </c>
      <c r="C23" s="90" t="str">
        <f>PLANTILLA!D23</f>
        <v>K. Helms</v>
      </c>
      <c r="D23" s="145">
        <f>PLANTILLA!E23</f>
        <v>35</v>
      </c>
      <c r="E23" s="150">
        <f ca="1">PLANTILLA!F23</f>
        <v>35</v>
      </c>
      <c r="F23" s="146"/>
      <c r="G23" s="363">
        <f>PLANTILLA!H23</f>
        <v>2</v>
      </c>
      <c r="H23" s="102">
        <f>PLANTILLA!I23</f>
        <v>13.5</v>
      </c>
      <c r="I23" s="198">
        <f>PLANTILLA!X23</f>
        <v>0</v>
      </c>
      <c r="J23" s="198">
        <f>PLANTILLA!Y23</f>
        <v>7.2503030303030309</v>
      </c>
      <c r="K23" s="198">
        <f>PLANTILLA!Z23</f>
        <v>10.600000000000005</v>
      </c>
      <c r="L23" s="198">
        <f>PLANTILLA!AA23</f>
        <v>12.95</v>
      </c>
      <c r="M23" s="198">
        <f>PLANTILLA!AB23</f>
        <v>9.9499999999999993</v>
      </c>
      <c r="N23" s="198">
        <f>PLANTILLA!AC23</f>
        <v>3.95</v>
      </c>
      <c r="O23" s="198">
        <f>PLANTILLA!AD23</f>
        <v>18</v>
      </c>
      <c r="P23" s="158">
        <f t="shared" si="20"/>
        <v>35</v>
      </c>
      <c r="Q23" s="159">
        <f t="shared" ca="1" si="21"/>
        <v>42</v>
      </c>
      <c r="R23" s="92">
        <f t="shared" si="6"/>
        <v>13.5</v>
      </c>
      <c r="S23" s="215">
        <f t="shared" si="34"/>
        <v>0</v>
      </c>
      <c r="T23" s="215">
        <f t="shared" ref="T23:T27" si="51">J23</f>
        <v>7.2503030303030309</v>
      </c>
      <c r="U23" s="215">
        <f t="shared" ref="U23:U27" si="52">K23</f>
        <v>10.600000000000005</v>
      </c>
      <c r="V23" s="215">
        <f t="shared" si="35"/>
        <v>12.95</v>
      </c>
      <c r="W23" s="215">
        <f t="shared" si="36"/>
        <v>9.9499999999999993</v>
      </c>
      <c r="X23" s="215">
        <f t="shared" ref="X23:X27" si="53">N23</f>
        <v>3.95</v>
      </c>
      <c r="Y23" s="215">
        <f t="shared" ref="Y23:Y27" si="54">O23</f>
        <v>18</v>
      </c>
      <c r="Z23" s="168">
        <f t="shared" si="8"/>
        <v>0</v>
      </c>
      <c r="AA23" s="168">
        <f t="shared" si="9"/>
        <v>0</v>
      </c>
      <c r="AB23" s="168">
        <f t="shared" si="10"/>
        <v>0</v>
      </c>
      <c r="AC23" s="168">
        <f t="shared" si="11"/>
        <v>0</v>
      </c>
      <c r="AD23" s="168">
        <f t="shared" si="12"/>
        <v>0</v>
      </c>
      <c r="AE23" s="168">
        <f t="shared" si="13"/>
        <v>0</v>
      </c>
      <c r="AF23" s="168">
        <f t="shared" si="14"/>
        <v>0</v>
      </c>
      <c r="AH23" s="171" t="s">
        <v>221</v>
      </c>
      <c r="AI23" s="79" t="str">
        <f>C13</f>
        <v>I. Vanags</v>
      </c>
      <c r="AJ23" s="176">
        <f t="shared" ref="AJ23:AJ28" si="55">AJ9</f>
        <v>7.2749999999999995E-2</v>
      </c>
      <c r="AK23" s="176">
        <f t="shared" ref="AK23:AT23" si="56">AK9</f>
        <v>0</v>
      </c>
      <c r="AL23" s="176">
        <f t="shared" si="56"/>
        <v>8.6999999999999994E-2</v>
      </c>
      <c r="AM23" s="176">
        <f t="shared" si="56"/>
        <v>0.17620000000000016</v>
      </c>
      <c r="AN23" s="176">
        <f t="shared" si="56"/>
        <v>0</v>
      </c>
      <c r="AO23" s="176">
        <f t="shared" si="56"/>
        <v>0</v>
      </c>
      <c r="AP23" s="176">
        <f t="shared" si="56"/>
        <v>0</v>
      </c>
      <c r="AQ23" s="179">
        <f t="shared" si="56"/>
        <v>4.0000000000000008E-2</v>
      </c>
      <c r="AR23" s="179">
        <f t="shared" si="56"/>
        <v>0.04</v>
      </c>
      <c r="AS23" s="179">
        <f t="shared" si="56"/>
        <v>0</v>
      </c>
      <c r="AT23" s="179">
        <f t="shared" si="56"/>
        <v>0</v>
      </c>
      <c r="AV23" s="171" t="s">
        <v>260</v>
      </c>
      <c r="AW23" s="79" t="e">
        <f>#REF!</f>
        <v>#REF!</v>
      </c>
      <c r="AX23" s="176">
        <v>0</v>
      </c>
      <c r="AY23" s="176" t="e">
        <f>#REF!*0.919</f>
        <v>#REF!</v>
      </c>
      <c r="AZ23" s="176" t="e">
        <f>#REF!*0.414</f>
        <v>#REF!</v>
      </c>
      <c r="BA23" s="176" t="e">
        <f>#REF!*0.167</f>
        <v>#REF!</v>
      </c>
      <c r="BB23" s="176">
        <v>0</v>
      </c>
      <c r="BC23" s="176" t="e">
        <f>#REF!*0.588</f>
        <v>#REF!</v>
      </c>
      <c r="BD23" s="176">
        <v>0</v>
      </c>
      <c r="BE23" s="179" t="e">
        <f>AQ8</f>
        <v>#REF!</v>
      </c>
      <c r="BF23" s="179" t="e">
        <f>AR8</f>
        <v>#REF!</v>
      </c>
      <c r="BG23" s="179" t="e">
        <f>((#REF!+1)+(#REF!+1)*2)/8</f>
        <v>#REF!</v>
      </c>
      <c r="BH23" s="179" t="e">
        <f>((#REF!)+(#REF!)*2)/8</f>
        <v>#REF!</v>
      </c>
    </row>
    <row r="24" spans="1:60" s="71" customFormat="1" x14ac:dyDescent="0.25">
      <c r="A24" s="143" t="str">
        <f>PLANTILLA!A24</f>
        <v>#10</v>
      </c>
      <c r="B24" s="143" t="s">
        <v>1</v>
      </c>
      <c r="C24" s="90" t="str">
        <f>PLANTILLA!D24</f>
        <v>S. Zobbe</v>
      </c>
      <c r="D24" s="145">
        <f>PLANTILLA!E24</f>
        <v>32</v>
      </c>
      <c r="E24" s="150">
        <f ca="1">PLANTILLA!F24</f>
        <v>50</v>
      </c>
      <c r="F24" s="146" t="str">
        <f>PLANTILLA!G24</f>
        <v>CAB</v>
      </c>
      <c r="G24" s="363">
        <f>PLANTILLA!H24</f>
        <v>2</v>
      </c>
      <c r="H24" s="102">
        <f>PLANTILLA!I24</f>
        <v>13</v>
      </c>
      <c r="I24" s="198">
        <f>PLANTILLA!X24</f>
        <v>0</v>
      </c>
      <c r="J24" s="198">
        <f>PLANTILLA!Y24</f>
        <v>8.3599999999999977</v>
      </c>
      <c r="K24" s="198">
        <f>PLANTILLA!Z24</f>
        <v>12.253412698412699</v>
      </c>
      <c r="L24" s="198">
        <f>PLANTILLA!AA24</f>
        <v>12.95</v>
      </c>
      <c r="M24" s="198">
        <f>PLANTILLA!AB24</f>
        <v>10.24</v>
      </c>
      <c r="N24" s="198">
        <f>PLANTILLA!AC24</f>
        <v>6.95</v>
      </c>
      <c r="O24" s="198">
        <f>PLANTILLA!AD24</f>
        <v>16</v>
      </c>
      <c r="P24" s="158">
        <f t="shared" si="20"/>
        <v>32</v>
      </c>
      <c r="Q24" s="159">
        <f t="shared" ca="1" si="21"/>
        <v>57</v>
      </c>
      <c r="R24" s="92">
        <f t="shared" si="6"/>
        <v>13</v>
      </c>
      <c r="S24" s="215">
        <f t="shared" si="34"/>
        <v>0</v>
      </c>
      <c r="T24" s="215">
        <f t="shared" si="51"/>
        <v>8.3599999999999977</v>
      </c>
      <c r="U24" s="215">
        <f t="shared" si="52"/>
        <v>12.253412698412699</v>
      </c>
      <c r="V24" s="215">
        <f t="shared" si="35"/>
        <v>12.95</v>
      </c>
      <c r="W24" s="215">
        <f t="shared" si="36"/>
        <v>10.24</v>
      </c>
      <c r="X24" s="215">
        <f t="shared" si="53"/>
        <v>6.95</v>
      </c>
      <c r="Y24" s="215">
        <f t="shared" si="54"/>
        <v>16</v>
      </c>
      <c r="Z24" s="168">
        <f t="shared" si="8"/>
        <v>0</v>
      </c>
      <c r="AA24" s="168">
        <f t="shared" si="9"/>
        <v>0</v>
      </c>
      <c r="AB24" s="168">
        <f t="shared" si="10"/>
        <v>0</v>
      </c>
      <c r="AC24" s="168">
        <f t="shared" si="11"/>
        <v>0</v>
      </c>
      <c r="AD24" s="168">
        <f t="shared" si="12"/>
        <v>0</v>
      </c>
      <c r="AE24" s="168">
        <f t="shared" si="13"/>
        <v>0</v>
      </c>
      <c r="AF24" s="168">
        <f t="shared" si="14"/>
        <v>0</v>
      </c>
      <c r="AH24" s="171" t="s">
        <v>306</v>
      </c>
      <c r="AI24" s="79" t="str">
        <f>AI10</f>
        <v>M. Bondarewski</v>
      </c>
      <c r="AJ24" s="176">
        <f t="shared" si="55"/>
        <v>1.900000000000001E-2</v>
      </c>
      <c r="AK24" s="176">
        <f t="shared" ref="AK24:AP24" si="57">AK10</f>
        <v>1.900000000000001E-2</v>
      </c>
      <c r="AL24" s="176">
        <f t="shared" si="57"/>
        <v>5.4000000000000027E-2</v>
      </c>
      <c r="AM24" s="176">
        <f t="shared" si="57"/>
        <v>0.18879999999999933</v>
      </c>
      <c r="AN24" s="176">
        <f t="shared" si="57"/>
        <v>0</v>
      </c>
      <c r="AO24" s="176">
        <f t="shared" si="57"/>
        <v>0</v>
      </c>
      <c r="AP24" s="176">
        <f t="shared" si="57"/>
        <v>6.1999999999999778E-2</v>
      </c>
      <c r="AQ24" s="179">
        <f>AQ10</f>
        <v>3.9999999999999966E-2</v>
      </c>
      <c r="AR24" s="179">
        <f t="shared" ref="AR24:AT24" si="58">AR10</f>
        <v>4.3333333333333335E-2</v>
      </c>
      <c r="AS24" s="179">
        <f t="shared" si="58"/>
        <v>0</v>
      </c>
      <c r="AT24" s="179">
        <f t="shared" si="58"/>
        <v>0</v>
      </c>
      <c r="AV24" s="218" t="s">
        <v>305</v>
      </c>
      <c r="AW24" s="79" t="str">
        <f>C11</f>
        <v>E. Gross</v>
      </c>
      <c r="AX24" s="174">
        <f>AK12</f>
        <v>0</v>
      </c>
      <c r="AY24" s="174">
        <f>AJ12</f>
        <v>0</v>
      </c>
      <c r="AZ24" s="174">
        <f>AL12</f>
        <v>0</v>
      </c>
      <c r="BA24" s="174">
        <f>AM12</f>
        <v>0</v>
      </c>
      <c r="BB24" s="174">
        <f>AO12</f>
        <v>0</v>
      </c>
      <c r="BC24" s="174">
        <v>0</v>
      </c>
      <c r="BD24" s="174">
        <f>AP12</f>
        <v>0</v>
      </c>
      <c r="BE24" s="177">
        <f>AQ12</f>
        <v>0</v>
      </c>
      <c r="BF24" s="177">
        <f t="shared" ref="BF24:BH24" si="59">AR12</f>
        <v>0</v>
      </c>
      <c r="BG24" s="177">
        <f t="shared" si="59"/>
        <v>0</v>
      </c>
      <c r="BH24" s="177">
        <f t="shared" si="59"/>
        <v>0</v>
      </c>
    </row>
    <row r="25" spans="1:60" s="69" customFormat="1" x14ac:dyDescent="0.25">
      <c r="A25" s="143" t="str">
        <f>PLANTILLA!A25</f>
        <v>#5</v>
      </c>
      <c r="B25" s="143" t="s">
        <v>1</v>
      </c>
      <c r="C25" s="90" t="str">
        <f>PLANTILLA!D25</f>
        <v>L. Bauman</v>
      </c>
      <c r="D25" s="145">
        <f>PLANTILLA!E25</f>
        <v>35</v>
      </c>
      <c r="E25" s="150">
        <f ca="1">PLANTILLA!F25</f>
        <v>50</v>
      </c>
      <c r="F25" s="146"/>
      <c r="G25" s="363">
        <f>PLANTILLA!H25</f>
        <v>0</v>
      </c>
      <c r="H25" s="102">
        <f>PLANTILLA!I25</f>
        <v>12</v>
      </c>
      <c r="I25" s="198">
        <f>PLANTILLA!X25</f>
        <v>0</v>
      </c>
      <c r="J25" s="198">
        <f>PLANTILLA!Y25</f>
        <v>5.95</v>
      </c>
      <c r="K25" s="198">
        <f>PLANTILLA!Z25</f>
        <v>14.1</v>
      </c>
      <c r="L25" s="198">
        <f>PLANTILLA!AA25</f>
        <v>2.95</v>
      </c>
      <c r="M25" s="198">
        <f>PLANTILLA!AB25</f>
        <v>8.9499999999999993</v>
      </c>
      <c r="N25" s="198">
        <f>PLANTILLA!AC25</f>
        <v>5.95</v>
      </c>
      <c r="O25" s="198">
        <f>PLANTILLA!AD25</f>
        <v>16.95</v>
      </c>
      <c r="P25" s="158">
        <f t="shared" si="20"/>
        <v>35</v>
      </c>
      <c r="Q25" s="159">
        <f t="shared" ca="1" si="21"/>
        <v>57</v>
      </c>
      <c r="R25" s="92">
        <f t="shared" si="6"/>
        <v>12</v>
      </c>
      <c r="S25" s="215">
        <f t="shared" si="34"/>
        <v>0</v>
      </c>
      <c r="T25" s="215">
        <f t="shared" si="51"/>
        <v>5.95</v>
      </c>
      <c r="U25" s="215">
        <f t="shared" si="52"/>
        <v>14.1</v>
      </c>
      <c r="V25" s="215">
        <f t="shared" si="35"/>
        <v>2.95</v>
      </c>
      <c r="W25" s="215">
        <f t="shared" si="36"/>
        <v>8.9499999999999993</v>
      </c>
      <c r="X25" s="215">
        <f t="shared" si="53"/>
        <v>5.95</v>
      </c>
      <c r="Y25" s="215">
        <f t="shared" si="54"/>
        <v>16.95</v>
      </c>
      <c r="Z25" s="168">
        <f t="shared" si="8"/>
        <v>0</v>
      </c>
      <c r="AA25" s="168">
        <f t="shared" si="9"/>
        <v>0</v>
      </c>
      <c r="AB25" s="168">
        <f t="shared" si="10"/>
        <v>0</v>
      </c>
      <c r="AC25" s="168">
        <f t="shared" si="11"/>
        <v>0</v>
      </c>
      <c r="AD25" s="168">
        <f t="shared" si="12"/>
        <v>0</v>
      </c>
      <c r="AE25" s="168">
        <f t="shared" si="13"/>
        <v>0</v>
      </c>
      <c r="AF25" s="168">
        <f t="shared" si="14"/>
        <v>0</v>
      </c>
      <c r="AH25" s="171" t="s">
        <v>221</v>
      </c>
      <c r="AI25" s="79" t="str">
        <f>C14</f>
        <v>I. Stone</v>
      </c>
      <c r="AJ25" s="176">
        <f t="shared" si="55"/>
        <v>0</v>
      </c>
      <c r="AK25" s="176">
        <f t="shared" ref="AK25:AT25" si="60">AK11</f>
        <v>9.7000000000000031E-2</v>
      </c>
      <c r="AL25" s="176">
        <f t="shared" si="60"/>
        <v>0.11600000000000005</v>
      </c>
      <c r="AM25" s="176">
        <f t="shared" si="60"/>
        <v>0.22025</v>
      </c>
      <c r="AN25" s="176">
        <f t="shared" si="60"/>
        <v>0</v>
      </c>
      <c r="AO25" s="176">
        <f t="shared" si="60"/>
        <v>0</v>
      </c>
      <c r="AP25" s="176">
        <f t="shared" si="60"/>
        <v>0</v>
      </c>
      <c r="AQ25" s="179">
        <f t="shared" si="60"/>
        <v>3.8333333333333303E-2</v>
      </c>
      <c r="AR25" s="179">
        <f t="shared" si="60"/>
        <v>4.3333333333333335E-2</v>
      </c>
      <c r="AS25" s="179">
        <f t="shared" si="60"/>
        <v>0</v>
      </c>
      <c r="AT25" s="179">
        <f t="shared" si="60"/>
        <v>0</v>
      </c>
      <c r="AV25" s="171" t="s">
        <v>221</v>
      </c>
      <c r="AW25" s="79" t="str">
        <f>C13</f>
        <v>I. Vanags</v>
      </c>
      <c r="AX25" s="176">
        <f t="shared" ref="AX25:BD25" si="61">AJ9</f>
        <v>7.2749999999999995E-2</v>
      </c>
      <c r="AY25" s="176">
        <f t="shared" si="61"/>
        <v>0</v>
      </c>
      <c r="AZ25" s="176">
        <f t="shared" si="61"/>
        <v>8.6999999999999994E-2</v>
      </c>
      <c r="BA25" s="176">
        <f t="shared" si="61"/>
        <v>0.17620000000000016</v>
      </c>
      <c r="BB25" s="176">
        <f t="shared" si="61"/>
        <v>0</v>
      </c>
      <c r="BC25" s="176">
        <f t="shared" si="61"/>
        <v>0</v>
      </c>
      <c r="BD25" s="176">
        <f t="shared" si="61"/>
        <v>0</v>
      </c>
      <c r="BE25" s="179">
        <f t="shared" ref="BE25" si="62">AQ9</f>
        <v>4.0000000000000008E-2</v>
      </c>
      <c r="BF25" s="179">
        <f>AR9</f>
        <v>0.04</v>
      </c>
      <c r="BG25" s="179">
        <f>AS9</f>
        <v>0</v>
      </c>
      <c r="BH25" s="179">
        <f>AT9</f>
        <v>0</v>
      </c>
    </row>
    <row r="26" spans="1:60" s="82" customFormat="1" ht="14.25" customHeight="1" x14ac:dyDescent="0.25">
      <c r="A26" s="143" t="str">
        <f>PLANTILLA!A26</f>
        <v>#9</v>
      </c>
      <c r="B26" s="143" t="s">
        <v>1</v>
      </c>
      <c r="C26" s="90" t="str">
        <f>PLANTILLA!D26</f>
        <v>J. Limon</v>
      </c>
      <c r="D26" s="145">
        <f>PLANTILLA!E26</f>
        <v>34</v>
      </c>
      <c r="E26" s="150">
        <f ca="1">PLANTILLA!F26</f>
        <v>87</v>
      </c>
      <c r="F26" s="146" t="str">
        <f>PLANTILLA!G26</f>
        <v>RAP</v>
      </c>
      <c r="G26" s="363">
        <f>PLANTILLA!H26</f>
        <v>3</v>
      </c>
      <c r="H26" s="102">
        <f>PLANTILLA!I26</f>
        <v>14.3</v>
      </c>
      <c r="I26" s="198">
        <f>PLANTILLA!X26</f>
        <v>0</v>
      </c>
      <c r="J26" s="198">
        <f>PLANTILLA!Y26</f>
        <v>6.8376190476190493</v>
      </c>
      <c r="K26" s="198">
        <f>PLANTILLA!Z26</f>
        <v>8.9499999999999993</v>
      </c>
      <c r="L26" s="198">
        <f>PLANTILLA!AA26</f>
        <v>8.7399999999999967</v>
      </c>
      <c r="M26" s="198">
        <f>PLANTILLA!AB26</f>
        <v>9.9499999999999993</v>
      </c>
      <c r="N26" s="198">
        <f>PLANTILLA!AC26</f>
        <v>6.95</v>
      </c>
      <c r="O26" s="198">
        <f>PLANTILLA!AD26</f>
        <v>18.999999999999993</v>
      </c>
      <c r="P26" s="158">
        <f t="shared" si="20"/>
        <v>34</v>
      </c>
      <c r="Q26" s="159">
        <f t="shared" ca="1" si="21"/>
        <v>94</v>
      </c>
      <c r="R26" s="92">
        <f t="shared" si="6"/>
        <v>14.3</v>
      </c>
      <c r="S26" s="215">
        <f t="shared" si="34"/>
        <v>0</v>
      </c>
      <c r="T26" s="215">
        <f t="shared" si="51"/>
        <v>6.8376190476190493</v>
      </c>
      <c r="U26" s="215">
        <f t="shared" si="52"/>
        <v>8.9499999999999993</v>
      </c>
      <c r="V26" s="215">
        <f t="shared" si="35"/>
        <v>8.7399999999999967</v>
      </c>
      <c r="W26" s="215">
        <f t="shared" si="36"/>
        <v>9.9499999999999993</v>
      </c>
      <c r="X26" s="215">
        <f t="shared" si="53"/>
        <v>6.95</v>
      </c>
      <c r="Y26" s="215">
        <f t="shared" si="54"/>
        <v>18.999999999999993</v>
      </c>
      <c r="Z26" s="168">
        <f t="shared" si="8"/>
        <v>0</v>
      </c>
      <c r="AA26" s="168">
        <f t="shared" si="9"/>
        <v>0</v>
      </c>
      <c r="AB26" s="168">
        <f t="shared" si="10"/>
        <v>0</v>
      </c>
      <c r="AC26" s="168">
        <f t="shared" si="11"/>
        <v>0</v>
      </c>
      <c r="AD26" s="168">
        <f t="shared" si="12"/>
        <v>0</v>
      </c>
      <c r="AE26" s="168">
        <f t="shared" si="13"/>
        <v>0</v>
      </c>
      <c r="AF26" s="168">
        <f t="shared" si="14"/>
        <v>0</v>
      </c>
      <c r="AH26" s="218" t="s">
        <v>305</v>
      </c>
      <c r="AI26" s="79" t="str">
        <f>AI12</f>
        <v>E. Gross</v>
      </c>
      <c r="AJ26" s="176">
        <f t="shared" si="55"/>
        <v>0</v>
      </c>
      <c r="AK26" s="176">
        <f t="shared" ref="AK26:AP26" si="63">AK12</f>
        <v>0</v>
      </c>
      <c r="AL26" s="176">
        <f t="shared" si="63"/>
        <v>0</v>
      </c>
      <c r="AM26" s="176">
        <f t="shared" si="63"/>
        <v>0</v>
      </c>
      <c r="AN26" s="176">
        <f t="shared" si="63"/>
        <v>0</v>
      </c>
      <c r="AO26" s="176">
        <f t="shared" si="63"/>
        <v>0</v>
      </c>
      <c r="AP26" s="176">
        <f t="shared" si="63"/>
        <v>0</v>
      </c>
      <c r="AQ26" s="179">
        <f>AQ12</f>
        <v>0</v>
      </c>
      <c r="AR26" s="179">
        <f t="shared" ref="AR26:AT26" si="64">AR12</f>
        <v>0</v>
      </c>
      <c r="AS26" s="179">
        <f t="shared" si="64"/>
        <v>0</v>
      </c>
      <c r="AT26" s="179">
        <f t="shared" si="64"/>
        <v>0</v>
      </c>
      <c r="AV26" s="171" t="s">
        <v>221</v>
      </c>
      <c r="AW26" s="79" t="str">
        <f>C14</f>
        <v>I. Stone</v>
      </c>
      <c r="AX26" s="176">
        <f t="shared" ref="AX26:BD26" si="65">AJ11</f>
        <v>0</v>
      </c>
      <c r="AY26" s="176">
        <f t="shared" si="65"/>
        <v>9.7000000000000031E-2</v>
      </c>
      <c r="AZ26" s="176">
        <f t="shared" si="65"/>
        <v>0.11600000000000005</v>
      </c>
      <c r="BA26" s="176">
        <f t="shared" si="65"/>
        <v>0.22025</v>
      </c>
      <c r="BB26" s="176">
        <f t="shared" si="65"/>
        <v>0</v>
      </c>
      <c r="BC26" s="176">
        <f t="shared" si="65"/>
        <v>0</v>
      </c>
      <c r="BD26" s="176">
        <f t="shared" si="65"/>
        <v>0</v>
      </c>
      <c r="BE26" s="179">
        <f t="shared" ref="BE26" si="66">AQ11</f>
        <v>3.8333333333333303E-2</v>
      </c>
      <c r="BF26" s="179">
        <f>AR11</f>
        <v>4.3333333333333335E-2</v>
      </c>
      <c r="BG26" s="179">
        <f>AS11</f>
        <v>0</v>
      </c>
      <c r="BH26" s="179">
        <f>AT11</f>
        <v>0</v>
      </c>
    </row>
    <row r="27" spans="1:60" x14ac:dyDescent="0.25">
      <c r="A27" s="143" t="str">
        <f>PLANTILLA!A27</f>
        <v>#15</v>
      </c>
      <c r="B27" s="143" t="s">
        <v>1</v>
      </c>
      <c r="C27" s="90" t="str">
        <f>PLANTILLA!D27</f>
        <v>P .Trivadi</v>
      </c>
      <c r="D27" s="145">
        <f>PLANTILLA!E27</f>
        <v>32</v>
      </c>
      <c r="E27" s="150">
        <f ca="1">PLANTILLA!F27</f>
        <v>6</v>
      </c>
      <c r="F27" s="146"/>
      <c r="G27" s="363">
        <f>PLANTILLA!H27</f>
        <v>5</v>
      </c>
      <c r="H27" s="102">
        <f>PLANTILLA!I27</f>
        <v>6.2</v>
      </c>
      <c r="I27" s="198">
        <f>PLANTILLA!X27</f>
        <v>0</v>
      </c>
      <c r="J27" s="198">
        <f>PLANTILLA!Y27</f>
        <v>4.0199999999999996</v>
      </c>
      <c r="K27" s="198">
        <f>PLANTILLA!Z27</f>
        <v>5.95</v>
      </c>
      <c r="L27" s="198">
        <f>PLANTILLA!AA27</f>
        <v>5.5099999999999989</v>
      </c>
      <c r="M27" s="198">
        <f>PLANTILLA!AB27</f>
        <v>10.95</v>
      </c>
      <c r="N27" s="198">
        <f>PLANTILLA!AC27</f>
        <v>7.95</v>
      </c>
      <c r="O27" s="198">
        <f>PLANTILLA!AD27</f>
        <v>14</v>
      </c>
      <c r="P27" s="158">
        <f t="shared" si="20"/>
        <v>32</v>
      </c>
      <c r="Q27" s="159">
        <f t="shared" ca="1" si="21"/>
        <v>13</v>
      </c>
      <c r="R27" s="92">
        <f t="shared" si="6"/>
        <v>6.2</v>
      </c>
      <c r="S27" s="215">
        <f t="shared" si="34"/>
        <v>0</v>
      </c>
      <c r="T27" s="215">
        <f t="shared" si="51"/>
        <v>4.0199999999999996</v>
      </c>
      <c r="U27" s="215">
        <f t="shared" si="52"/>
        <v>5.95</v>
      </c>
      <c r="V27" s="215">
        <f t="shared" si="35"/>
        <v>5.5099999999999989</v>
      </c>
      <c r="W27" s="215">
        <f t="shared" si="36"/>
        <v>10.95</v>
      </c>
      <c r="X27" s="215">
        <f t="shared" si="53"/>
        <v>7.95</v>
      </c>
      <c r="Y27" s="215">
        <f t="shared" si="54"/>
        <v>14</v>
      </c>
      <c r="Z27" s="168">
        <f t="shared" si="8"/>
        <v>0</v>
      </c>
      <c r="AA27" s="168">
        <f t="shared" si="9"/>
        <v>0</v>
      </c>
      <c r="AB27" s="168">
        <f t="shared" si="10"/>
        <v>0</v>
      </c>
      <c r="AC27" s="168">
        <f t="shared" si="11"/>
        <v>0</v>
      </c>
      <c r="AD27" s="168">
        <f t="shared" si="12"/>
        <v>0</v>
      </c>
      <c r="AE27" s="168">
        <f t="shared" si="13"/>
        <v>0</v>
      </c>
      <c r="AF27" s="168">
        <f t="shared" si="14"/>
        <v>0</v>
      </c>
      <c r="AH27" s="217" t="s">
        <v>64</v>
      </c>
      <c r="AI27" s="99" t="str">
        <f>C20</f>
        <v>V. Godoi</v>
      </c>
      <c r="AJ27" s="174">
        <f t="shared" si="55"/>
        <v>0</v>
      </c>
      <c r="AK27" s="174">
        <f t="shared" ref="AK27:AT27" si="67">AK13</f>
        <v>0</v>
      </c>
      <c r="AL27" s="174">
        <f t="shared" si="67"/>
        <v>0</v>
      </c>
      <c r="AM27" s="174">
        <f t="shared" si="67"/>
        <v>4.9999999999999822E-2</v>
      </c>
      <c r="AN27" s="174">
        <f t="shared" si="67"/>
        <v>5.2000000000000046E-2</v>
      </c>
      <c r="AO27" s="174">
        <f t="shared" si="67"/>
        <v>5.2000000000000046E-2</v>
      </c>
      <c r="AP27" s="174">
        <f t="shared" si="67"/>
        <v>0.20000000000000018</v>
      </c>
      <c r="AQ27" s="242">
        <f t="shared" si="67"/>
        <v>0.13</v>
      </c>
      <c r="AR27" s="242">
        <f t="shared" si="67"/>
        <v>4.3333333333333335E-2</v>
      </c>
      <c r="AS27" s="177">
        <f t="shared" si="67"/>
        <v>0</v>
      </c>
      <c r="AT27" s="177">
        <f t="shared" si="67"/>
        <v>0</v>
      </c>
      <c r="AV27" s="217" t="s">
        <v>305</v>
      </c>
      <c r="AW27" s="99" t="str">
        <f>C12</f>
        <v>W. Gelifini</v>
      </c>
      <c r="AX27" s="176">
        <v>0</v>
      </c>
      <c r="AY27" s="176">
        <f>AA12*0.18</f>
        <v>0</v>
      </c>
      <c r="AZ27" s="176">
        <f>AA12*0.068</f>
        <v>0</v>
      </c>
      <c r="BA27" s="176">
        <f>AB12*0.305</f>
        <v>0</v>
      </c>
      <c r="BB27" s="176">
        <v>0</v>
      </c>
      <c r="BC27" s="176">
        <f>(AC12*1)+(AD12*0.286)</f>
        <v>0</v>
      </c>
      <c r="BD27" s="176">
        <f>AD12*0.135</f>
        <v>0</v>
      </c>
      <c r="BE27" s="179">
        <f>AQ14</f>
        <v>0</v>
      </c>
      <c r="BF27" s="179">
        <f t="shared" ref="BF27:BH27" si="68">AR14</f>
        <v>0</v>
      </c>
      <c r="BG27" s="179">
        <f t="shared" si="68"/>
        <v>0</v>
      </c>
      <c r="BH27" s="179">
        <f t="shared" si="68"/>
        <v>0</v>
      </c>
    </row>
    <row r="28" spans="1:60" x14ac:dyDescent="0.25">
      <c r="A28" s="143"/>
      <c r="B28" s="143"/>
      <c r="C28" s="90"/>
      <c r="D28" s="145"/>
      <c r="E28" s="150"/>
      <c r="F28" s="146"/>
      <c r="G28" s="363"/>
      <c r="H28" s="102"/>
      <c r="I28" s="198"/>
      <c r="J28" s="198"/>
      <c r="K28" s="198"/>
      <c r="L28" s="198"/>
      <c r="M28" s="198"/>
      <c r="N28" s="198"/>
      <c r="O28" s="198"/>
      <c r="P28" s="158"/>
      <c r="Q28" s="159"/>
      <c r="R28" s="92"/>
      <c r="S28" s="215"/>
      <c r="T28" s="215"/>
      <c r="U28" s="215"/>
      <c r="V28" s="215"/>
      <c r="W28" s="215"/>
      <c r="X28" s="215"/>
      <c r="Y28" s="215"/>
      <c r="Z28" s="168"/>
      <c r="AA28" s="168"/>
      <c r="AB28" s="168"/>
      <c r="AC28" s="168"/>
      <c r="AD28" s="168"/>
      <c r="AE28" s="168"/>
      <c r="AF28" s="168"/>
      <c r="AH28" s="218" t="s">
        <v>64</v>
      </c>
      <c r="AI28" s="79" t="str">
        <f>AI14</f>
        <v>W. Gelifini</v>
      </c>
      <c r="AJ28" s="176">
        <f t="shared" si="55"/>
        <v>0</v>
      </c>
      <c r="AK28" s="176">
        <f t="shared" ref="AK28:AP28" si="69">AK14</f>
        <v>0</v>
      </c>
      <c r="AL28" s="176">
        <f t="shared" si="69"/>
        <v>0</v>
      </c>
      <c r="AM28" s="176">
        <f t="shared" si="69"/>
        <v>0</v>
      </c>
      <c r="AN28" s="176">
        <f t="shared" si="69"/>
        <v>0</v>
      </c>
      <c r="AO28" s="176">
        <f t="shared" si="69"/>
        <v>0</v>
      </c>
      <c r="AP28" s="176">
        <f t="shared" si="69"/>
        <v>0</v>
      </c>
      <c r="AQ28" s="177">
        <f>AQ14</f>
        <v>0</v>
      </c>
      <c r="AR28" s="177">
        <f t="shared" ref="AR28:AT28" si="70">AR14</f>
        <v>0</v>
      </c>
      <c r="AS28" s="177">
        <f t="shared" si="70"/>
        <v>0</v>
      </c>
      <c r="AT28" s="177">
        <f t="shared" si="70"/>
        <v>0</v>
      </c>
      <c r="AV28" s="218" t="s">
        <v>64</v>
      </c>
      <c r="AW28" s="79" t="str">
        <f>C20</f>
        <v>V. Godoi</v>
      </c>
      <c r="AX28" s="174">
        <f t="shared" ref="AX28:BD28" si="71">AJ13</f>
        <v>0</v>
      </c>
      <c r="AY28" s="174">
        <f t="shared" si="71"/>
        <v>0</v>
      </c>
      <c r="AZ28" s="174">
        <f t="shared" si="71"/>
        <v>0</v>
      </c>
      <c r="BA28" s="174">
        <f t="shared" si="71"/>
        <v>4.9999999999999822E-2</v>
      </c>
      <c r="BB28" s="174">
        <f t="shared" si="71"/>
        <v>5.2000000000000046E-2</v>
      </c>
      <c r="BC28" s="174">
        <f t="shared" si="71"/>
        <v>5.2000000000000046E-2</v>
      </c>
      <c r="BD28" s="174">
        <f t="shared" si="71"/>
        <v>0.20000000000000018</v>
      </c>
      <c r="BE28" s="242">
        <f t="shared" ref="BE28" si="72">AQ13</f>
        <v>0.13</v>
      </c>
      <c r="BF28" s="242">
        <f>AR13</f>
        <v>4.3333333333333335E-2</v>
      </c>
      <c r="BG28" s="177">
        <f>AS13</f>
        <v>0</v>
      </c>
      <c r="BH28" s="177">
        <f>AT13</f>
        <v>0</v>
      </c>
    </row>
    <row r="29" spans="1:60" x14ac:dyDescent="0.25">
      <c r="A29" s="143"/>
      <c r="B29" s="143"/>
      <c r="C29" s="90"/>
      <c r="D29" s="145"/>
      <c r="E29" s="150"/>
      <c r="F29" s="146"/>
      <c r="G29" s="363"/>
      <c r="H29" s="102"/>
      <c r="I29" s="198"/>
      <c r="J29" s="198"/>
      <c r="K29" s="198"/>
      <c r="L29" s="198"/>
      <c r="M29" s="198"/>
      <c r="N29" s="198"/>
      <c r="O29" s="198"/>
      <c r="P29" s="158"/>
      <c r="Q29" s="159"/>
      <c r="R29" s="92"/>
      <c r="S29" s="215"/>
      <c r="T29" s="215"/>
      <c r="U29" s="215"/>
      <c r="V29" s="215"/>
      <c r="W29" s="215"/>
      <c r="X29" s="215"/>
      <c r="Y29" s="215"/>
      <c r="Z29" s="168"/>
      <c r="AA29" s="168"/>
      <c r="AB29" s="168"/>
      <c r="AC29" s="168"/>
      <c r="AD29" s="168"/>
      <c r="AE29" s="168"/>
      <c r="AF29" s="168"/>
      <c r="AH29" s="172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</row>
    <row r="30" spans="1:60" x14ac:dyDescent="0.25">
      <c r="F30" s="355"/>
      <c r="S30" s="49"/>
      <c r="T30" s="49"/>
      <c r="U30" s="49"/>
      <c r="V30" s="49"/>
      <c r="W30" s="49"/>
      <c r="X30" s="49"/>
      <c r="Y30" s="49"/>
    </row>
    <row r="31" spans="1:60" x14ac:dyDescent="0.25">
      <c r="S31" s="49"/>
      <c r="T31" s="49"/>
      <c r="U31" s="49"/>
      <c r="V31" s="49"/>
      <c r="W31" s="49"/>
      <c r="X31" s="49"/>
      <c r="Y31" s="49"/>
    </row>
    <row r="32" spans="1:60" x14ac:dyDescent="0.25">
      <c r="S32" s="49"/>
      <c r="T32" s="49"/>
      <c r="U32" s="49"/>
      <c r="V32" s="49"/>
      <c r="W32" s="49"/>
      <c r="X32" s="49"/>
      <c r="Y32" s="49"/>
    </row>
    <row r="33" spans="19:25" x14ac:dyDescent="0.25">
      <c r="S33" s="49"/>
      <c r="T33" s="49"/>
      <c r="U33" s="49"/>
      <c r="V33" s="49"/>
      <c r="W33" s="49"/>
      <c r="X33" s="49"/>
      <c r="Y33" s="49"/>
    </row>
  </sheetData>
  <mergeCells count="6">
    <mergeCell ref="D2:F2"/>
    <mergeCell ref="AH1:AT1"/>
    <mergeCell ref="AH3:AI3"/>
    <mergeCell ref="AH17:AI17"/>
    <mergeCell ref="AV3:AW3"/>
    <mergeCell ref="AV17:AW17"/>
  </mergeCells>
  <conditionalFormatting sqref="Z4:AF29">
    <cfRule type="cellIs" dxfId="37" priority="92" operator="greaterThan">
      <formula>0</formula>
    </cfRule>
  </conditionalFormatting>
  <conditionalFormatting sqref="AJ4:AP13 AJ14:AL14">
    <cfRule type="cellIs" dxfId="36" priority="91" operator="greaterThan">
      <formula>0</formula>
    </cfRule>
  </conditionalFormatting>
  <conditionalFormatting sqref="AX16:BD16">
    <cfRule type="cellIs" dxfId="35" priority="43" operator="greaterThan">
      <formula>0</formula>
    </cfRule>
  </conditionalFormatting>
  <conditionalFormatting sqref="AJ19:AP19 AJ24:AP24 AJ21:AP22 AM20:AN20 AP20">
    <cfRule type="cellIs" dxfId="34" priority="48" operator="greaterThan">
      <formula>0</formula>
    </cfRule>
  </conditionalFormatting>
  <conditionalFormatting sqref="AX6:BD7 AX12:BD13">
    <cfRule type="cellIs" dxfId="33" priority="46" operator="greaterThan">
      <formula>0</formula>
    </cfRule>
  </conditionalFormatting>
  <conditionalFormatting sqref="AJ18:AP18">
    <cfRule type="cellIs" dxfId="32" priority="42" operator="greaterThan">
      <formula>0</formula>
    </cfRule>
  </conditionalFormatting>
  <conditionalFormatting sqref="AX20:BD20 AX22:BD22">
    <cfRule type="cellIs" dxfId="31" priority="44" operator="greaterThan">
      <formula>0</formula>
    </cfRule>
  </conditionalFormatting>
  <conditionalFormatting sqref="AX4:BD4">
    <cfRule type="cellIs" dxfId="30" priority="41" operator="greaterThan">
      <formula>0</formula>
    </cfRule>
  </conditionalFormatting>
  <conditionalFormatting sqref="AX18:BD18">
    <cfRule type="cellIs" dxfId="29" priority="40" operator="greaterThan">
      <formula>0</formula>
    </cfRule>
  </conditionalFormatting>
  <conditionalFormatting sqref="AX21:BD21">
    <cfRule type="cellIs" dxfId="28" priority="37" operator="greaterThan">
      <formula>0</formula>
    </cfRule>
  </conditionalFormatting>
  <conditionalFormatting sqref="AX19:BD19">
    <cfRule type="cellIs" dxfId="27" priority="38" operator="greaterThan">
      <formula>0</formula>
    </cfRule>
  </conditionalFormatting>
  <conditionalFormatting sqref="AJ23:AP23">
    <cfRule type="cellIs" dxfId="26" priority="35" operator="greaterThan">
      <formula>0</formula>
    </cfRule>
  </conditionalFormatting>
  <conditionalFormatting sqref="AX9:BD9">
    <cfRule type="cellIs" dxfId="25" priority="34" operator="greaterThan">
      <formula>0</formula>
    </cfRule>
  </conditionalFormatting>
  <conditionalFormatting sqref="AX23:BD23">
    <cfRule type="cellIs" dxfId="24" priority="33" operator="greaterThan">
      <formula>0</formula>
    </cfRule>
  </conditionalFormatting>
  <conditionalFormatting sqref="AX10:BD10">
    <cfRule type="cellIs" dxfId="23" priority="32" operator="greaterThan">
      <formula>0</formula>
    </cfRule>
  </conditionalFormatting>
  <conditionalFormatting sqref="AX24:BD24">
    <cfRule type="cellIs" dxfId="22" priority="31" operator="greaterThan">
      <formula>0</formula>
    </cfRule>
  </conditionalFormatting>
  <conditionalFormatting sqref="AJ25:AP25">
    <cfRule type="cellIs" dxfId="21" priority="30" operator="greaterThan">
      <formula>0</formula>
    </cfRule>
  </conditionalFormatting>
  <conditionalFormatting sqref="AX11:BD11">
    <cfRule type="cellIs" dxfId="20" priority="29" operator="greaterThan">
      <formula>0</formula>
    </cfRule>
  </conditionalFormatting>
  <conditionalFormatting sqref="AJ26:AP26">
    <cfRule type="cellIs" dxfId="19" priority="27" operator="greaterThan">
      <formula>0</formula>
    </cfRule>
  </conditionalFormatting>
  <conditionalFormatting sqref="AX26:BD26">
    <cfRule type="cellIs" dxfId="18" priority="26" operator="greaterThan">
      <formula>0</formula>
    </cfRule>
  </conditionalFormatting>
  <conditionalFormatting sqref="AJ27:AP27">
    <cfRule type="cellIs" dxfId="17" priority="25" operator="greaterThan">
      <formula>0</formula>
    </cfRule>
  </conditionalFormatting>
  <conditionalFormatting sqref="AX27:BD27">
    <cfRule type="cellIs" dxfId="16" priority="24" operator="greaterThan">
      <formula>0</formula>
    </cfRule>
  </conditionalFormatting>
  <conditionalFormatting sqref="AM14:AP14">
    <cfRule type="cellIs" dxfId="15" priority="23" operator="greaterThan">
      <formula>0</formula>
    </cfRule>
  </conditionalFormatting>
  <conditionalFormatting sqref="AJ28:AP28">
    <cfRule type="cellIs" dxfId="14" priority="22" operator="greaterThan">
      <formula>0</formula>
    </cfRule>
  </conditionalFormatting>
  <conditionalFormatting sqref="AX14:AZ14">
    <cfRule type="cellIs" dxfId="13" priority="20" operator="greaterThan">
      <formula>0</formula>
    </cfRule>
  </conditionalFormatting>
  <conditionalFormatting sqref="AX28:BD28">
    <cfRule type="cellIs" dxfId="12" priority="18" operator="greaterThan">
      <formula>0</formula>
    </cfRule>
  </conditionalFormatting>
  <conditionalFormatting sqref="AX25:BD25">
    <cfRule type="cellIs" dxfId="11" priority="17" operator="greaterThan">
      <formula>0</formula>
    </cfRule>
  </conditionalFormatting>
  <conditionalFormatting sqref="AJ20:AL20">
    <cfRule type="cellIs" dxfId="10" priority="9" operator="greaterThan">
      <formula>0</formula>
    </cfRule>
  </conditionalFormatting>
  <conditionalFormatting sqref="AO20">
    <cfRule type="cellIs" dxfId="9" priority="8" operator="greaterThan">
      <formula>0</formula>
    </cfRule>
  </conditionalFormatting>
  <conditionalFormatting sqref="BA14:BD14">
    <cfRule type="cellIs" dxfId="8" priority="7" operator="greaterThan">
      <formula>0</formula>
    </cfRule>
  </conditionalFormatting>
  <conditionalFormatting sqref="AX2:BD2">
    <cfRule type="cellIs" dxfId="7" priority="6" operator="greaterThan">
      <formula>0</formula>
    </cfRule>
  </conditionalFormatting>
  <conditionalFormatting sqref="AJ2:AP2">
    <cfRule type="cellIs" dxfId="6" priority="5" operator="greaterThan">
      <formula>0</formula>
    </cfRule>
  </conditionalFormatting>
  <conditionalFormatting sqref="AJ16:AP16">
    <cfRule type="cellIs" dxfId="5" priority="4" operator="greaterThan">
      <formula>0</formula>
    </cfRule>
  </conditionalFormatting>
  <conditionalFormatting sqref="AX8:BD8">
    <cfRule type="cellIs" dxfId="4" priority="2" operator="greaterThan">
      <formula>0</formula>
    </cfRule>
  </conditionalFormatting>
  <conditionalFormatting sqref="AX5:BD5">
    <cfRule type="cellIs" dxfId="3" priority="3" operator="greaterThan">
      <formula>0</formula>
    </cfRule>
  </conditionalFormatting>
  <conditionalFormatting sqref="I4:O29">
    <cfRule type="cellIs" dxfId="2" priority="3585" operator="greaterThan">
      <formula>8</formula>
    </cfRule>
    <cfRule type="colorScale" priority="3586">
      <colorScale>
        <cfvo type="min"/>
        <cfvo type="max"/>
        <color rgb="FFFFEF9C"/>
        <color rgb="FFFF7128"/>
      </colorScale>
    </cfRule>
  </conditionalFormatting>
  <conditionalFormatting sqref="S4:Y29">
    <cfRule type="colorScale" priority="3589">
      <colorScale>
        <cfvo type="min"/>
        <cfvo type="max"/>
        <color rgb="FFFFEF9C"/>
        <color rgb="FF63BE7B"/>
      </colorScale>
    </cfRule>
  </conditionalFormatting>
  <conditionalFormatting sqref="H4:H29">
    <cfRule type="colorScale" priority="35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0866141732283472" right="0.70866141732283472" top="0.74803149606299213" bottom="0.74803149606299213" header="0.31496062992125984" footer="0.31496062992125984"/>
  <pageSetup paperSize="9" scale="55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AG34"/>
  <sheetViews>
    <sheetView zoomScale="90" zoomScaleNormal="90" workbookViewId="0">
      <selection activeCell="M22" sqref="M22"/>
    </sheetView>
  </sheetViews>
  <sheetFormatPr baseColWidth="10" defaultColWidth="11.42578125" defaultRowHeight="15" x14ac:dyDescent="0.25"/>
  <cols>
    <col min="1" max="1" width="13.28515625" style="216" customWidth="1"/>
    <col min="2" max="2" width="14.28515625" style="216" bestFit="1" customWidth="1"/>
    <col min="3" max="9" width="8.28515625" style="216" bestFit="1" customWidth="1"/>
    <col min="10" max="10" width="8.28515625" style="239" bestFit="1" customWidth="1"/>
    <col min="11" max="11" width="9.28515625" style="239" bestFit="1" customWidth="1"/>
    <col min="12" max="12" width="8.28515625" style="216" bestFit="1" customWidth="1"/>
    <col min="14" max="14" width="13.42578125" customWidth="1"/>
    <col min="15" max="15" width="15" customWidth="1"/>
    <col min="16" max="22" width="8.42578125" bestFit="1" customWidth="1"/>
    <col min="23" max="23" width="7.85546875" bestFit="1" customWidth="1"/>
    <col min="24" max="24" width="7.140625" bestFit="1" customWidth="1"/>
    <col min="25" max="25" width="7.7109375" style="197" bestFit="1" customWidth="1"/>
    <col min="26" max="26" width="7.140625" bestFit="1" customWidth="1"/>
    <col min="27" max="27" width="7.7109375" bestFit="1" customWidth="1"/>
    <col min="28" max="28" width="7.140625" bestFit="1" customWidth="1"/>
    <col min="29" max="29" width="7.7109375" bestFit="1" customWidth="1"/>
    <col min="30" max="30" width="8.42578125" bestFit="1" customWidth="1"/>
    <col min="31" max="31" width="8.42578125" customWidth="1"/>
    <col min="32" max="32" width="7.140625" bestFit="1" customWidth="1"/>
    <col min="33" max="33" width="7.140625" customWidth="1"/>
  </cols>
  <sheetData>
    <row r="1" spans="1:33" x14ac:dyDescent="0.25">
      <c r="B1" s="1" t="s">
        <v>350</v>
      </c>
      <c r="C1" s="250">
        <f t="shared" ref="C1:L1" si="0">MAX(C3:C27)</f>
        <v>7.6541020779221203E-2</v>
      </c>
      <c r="D1" s="250">
        <f t="shared" si="0"/>
        <v>9.516709370629349E-2</v>
      </c>
      <c r="E1" s="250">
        <f t="shared" si="0"/>
        <v>0.10114897692307692</v>
      </c>
      <c r="F1" s="250">
        <f t="shared" si="0"/>
        <v>5.254696863959811E-2</v>
      </c>
      <c r="G1" s="250">
        <f t="shared" si="0"/>
        <v>5.2239892473118138E-2</v>
      </c>
      <c r="H1" s="250">
        <f t="shared" si="0"/>
        <v>8.0176190476190248E-2</v>
      </c>
      <c r="I1" s="250">
        <f t="shared" si="0"/>
        <v>5.7961761904761842E-2</v>
      </c>
      <c r="J1" s="250">
        <f t="shared" si="0"/>
        <v>0</v>
      </c>
      <c r="K1" s="250">
        <f t="shared" si="0"/>
        <v>3.6222627372627408E-2</v>
      </c>
      <c r="L1" s="250">
        <f t="shared" si="0"/>
        <v>0.16964285714285698</v>
      </c>
      <c r="N1" s="216"/>
      <c r="O1" s="216"/>
      <c r="P1" s="219"/>
      <c r="Q1" s="219"/>
      <c r="R1" s="219"/>
      <c r="S1" s="219"/>
      <c r="T1" s="219"/>
      <c r="U1" s="219"/>
      <c r="V1" s="219"/>
      <c r="W1" s="219"/>
      <c r="X1" s="219"/>
      <c r="Y1" s="303"/>
      <c r="Z1" s="219"/>
      <c r="AA1" s="219"/>
      <c r="AB1" s="219"/>
      <c r="AC1" s="219"/>
      <c r="AD1" s="219"/>
      <c r="AE1" s="219"/>
      <c r="AF1" s="219"/>
      <c r="AG1" s="219"/>
    </row>
    <row r="2" spans="1:33" x14ac:dyDescent="0.25">
      <c r="A2" s="298" t="s">
        <v>342</v>
      </c>
      <c r="B2" s="299" t="s">
        <v>341</v>
      </c>
      <c r="C2" s="119" t="s">
        <v>204</v>
      </c>
      <c r="D2" s="222" t="s">
        <v>205</v>
      </c>
      <c r="E2" s="222" t="s">
        <v>215</v>
      </c>
      <c r="F2" s="222" t="s">
        <v>206</v>
      </c>
      <c r="G2" s="222" t="s">
        <v>207</v>
      </c>
      <c r="H2" s="222" t="s">
        <v>208</v>
      </c>
      <c r="I2" s="222" t="s">
        <v>209</v>
      </c>
      <c r="J2" s="222" t="s">
        <v>351</v>
      </c>
      <c r="K2" s="222" t="s">
        <v>352</v>
      </c>
      <c r="L2" s="222" t="s">
        <v>263</v>
      </c>
      <c r="N2" s="298" t="s">
        <v>342</v>
      </c>
      <c r="O2" s="299" t="s">
        <v>341</v>
      </c>
      <c r="P2" s="119" t="s">
        <v>204</v>
      </c>
      <c r="Q2" s="222" t="s">
        <v>392</v>
      </c>
      <c r="R2" s="222" t="s">
        <v>205</v>
      </c>
      <c r="S2" s="222" t="s">
        <v>392</v>
      </c>
      <c r="T2" s="222" t="s">
        <v>215</v>
      </c>
      <c r="U2" s="222" t="s">
        <v>392</v>
      </c>
      <c r="V2" s="222" t="s">
        <v>206</v>
      </c>
      <c r="W2" s="222" t="s">
        <v>392</v>
      </c>
      <c r="X2" s="222" t="s">
        <v>207</v>
      </c>
      <c r="Y2" s="222" t="s">
        <v>392</v>
      </c>
      <c r="Z2" s="222" t="s">
        <v>208</v>
      </c>
      <c r="AA2" s="222" t="s">
        <v>392</v>
      </c>
      <c r="AB2" s="222" t="s">
        <v>209</v>
      </c>
      <c r="AC2" s="222" t="s">
        <v>392</v>
      </c>
      <c r="AD2" s="247" t="s">
        <v>351</v>
      </c>
      <c r="AE2" s="247" t="s">
        <v>392</v>
      </c>
      <c r="AF2" s="247" t="s">
        <v>352</v>
      </c>
      <c r="AG2" s="247" t="s">
        <v>392</v>
      </c>
    </row>
    <row r="3" spans="1:33" x14ac:dyDescent="0.25">
      <c r="A3" s="221" t="s">
        <v>343</v>
      </c>
      <c r="B3" s="220" t="s">
        <v>70</v>
      </c>
      <c r="C3" s="230"/>
      <c r="D3" s="231"/>
      <c r="E3" s="231"/>
      <c r="F3" s="231"/>
      <c r="G3" s="231"/>
      <c r="H3" s="231"/>
      <c r="I3" s="231"/>
      <c r="J3" s="231"/>
      <c r="K3" s="231"/>
      <c r="L3" s="231"/>
      <c r="M3" s="7"/>
      <c r="N3" s="251" t="s">
        <v>343</v>
      </c>
      <c r="O3" s="252" t="s">
        <v>70</v>
      </c>
      <c r="P3" s="233">
        <f>C3/$C$4</f>
        <v>0</v>
      </c>
      <c r="Q3" s="311" t="e">
        <f>1/C3</f>
        <v>#DIV/0!</v>
      </c>
      <c r="R3" s="233">
        <f>D3/D1</f>
        <v>0</v>
      </c>
      <c r="S3" s="311" t="e">
        <f>1/D3</f>
        <v>#DIV/0!</v>
      </c>
      <c r="T3" s="233">
        <f>E3/E1</f>
        <v>0</v>
      </c>
      <c r="U3" s="311" t="e">
        <f>1/E3</f>
        <v>#DIV/0!</v>
      </c>
      <c r="V3" s="234"/>
      <c r="W3" s="234"/>
      <c r="X3" s="234"/>
      <c r="Y3" s="304"/>
      <c r="Z3" s="234"/>
      <c r="AA3" s="234"/>
      <c r="AB3" s="234"/>
      <c r="AC3" s="234"/>
      <c r="AD3" s="234"/>
      <c r="AE3" s="234"/>
      <c r="AF3" s="234">
        <f>K3/K1</f>
        <v>0</v>
      </c>
      <c r="AG3" s="304"/>
    </row>
    <row r="4" spans="1:33" x14ac:dyDescent="0.25">
      <c r="A4" s="375" t="s">
        <v>344</v>
      </c>
      <c r="B4" s="228" t="s">
        <v>309</v>
      </c>
      <c r="C4" s="253">
        <v>5.9340247552447711E-2</v>
      </c>
      <c r="D4" s="245">
        <v>6.8999559240759498E-2</v>
      </c>
      <c r="E4" s="245">
        <v>7.5579372027972075E-2</v>
      </c>
      <c r="F4" s="245"/>
      <c r="G4" s="245"/>
      <c r="H4" s="245"/>
      <c r="I4" s="245"/>
      <c r="J4" s="245">
        <v>0</v>
      </c>
      <c r="K4" s="245">
        <v>3.6222627372627408E-2</v>
      </c>
      <c r="L4" s="245"/>
      <c r="M4" s="7"/>
      <c r="N4" s="377" t="s">
        <v>344</v>
      </c>
      <c r="O4" s="254" t="s">
        <v>309</v>
      </c>
      <c r="P4" s="235">
        <f>C4/$C$1</f>
        <v>0.77527379369046734</v>
      </c>
      <c r="Q4" s="305">
        <f>1/C4</f>
        <v>16.851968794301925</v>
      </c>
      <c r="R4" s="236">
        <f>D4/$D$1</f>
        <v>0.72503589795131562</v>
      </c>
      <c r="S4" s="305">
        <f>1/D4</f>
        <v>14.492846200809916</v>
      </c>
      <c r="T4" s="236">
        <f>E4/$E$1</f>
        <v>0.74720846742176794</v>
      </c>
      <c r="U4" s="305">
        <f>1/E4</f>
        <v>13.231123429153367</v>
      </c>
      <c r="V4" s="236"/>
      <c r="W4" s="236"/>
      <c r="X4" s="235"/>
      <c r="Y4" s="305"/>
      <c r="Z4" s="236"/>
      <c r="AA4" s="236"/>
      <c r="AB4" s="236"/>
      <c r="AC4" s="236"/>
      <c r="AD4" s="235"/>
      <c r="AE4" s="235"/>
      <c r="AF4" s="235">
        <f>K4/K1</f>
        <v>1</v>
      </c>
      <c r="AG4" s="309"/>
    </row>
    <row r="5" spans="1:33" x14ac:dyDescent="0.25">
      <c r="A5" s="375"/>
      <c r="B5" s="228" t="s">
        <v>308</v>
      </c>
      <c r="C5" s="248"/>
      <c r="D5" s="232"/>
      <c r="E5" s="232"/>
      <c r="F5" s="232">
        <v>5.254696863959811E-2</v>
      </c>
      <c r="G5" s="232"/>
      <c r="H5" s="232"/>
      <c r="I5" s="232"/>
      <c r="J5" s="232"/>
      <c r="K5" s="232"/>
      <c r="L5" s="232"/>
      <c r="M5" s="7"/>
      <c r="N5" s="377"/>
      <c r="O5" s="254" t="s">
        <v>308</v>
      </c>
      <c r="P5" s="237"/>
      <c r="Q5" s="306"/>
      <c r="R5" s="224"/>
      <c r="S5" s="306"/>
      <c r="T5" s="224"/>
      <c r="U5" s="306"/>
      <c r="V5" s="224">
        <f>F5/F1</f>
        <v>1</v>
      </c>
      <c r="W5" s="306">
        <f>1/F5</f>
        <v>19.03059350309362</v>
      </c>
      <c r="X5" s="237"/>
      <c r="Y5" s="306"/>
      <c r="Z5" s="224"/>
      <c r="AA5" s="224"/>
      <c r="AB5" s="224"/>
      <c r="AC5" s="224"/>
      <c r="AD5" s="237"/>
      <c r="AE5" s="237"/>
      <c r="AF5" s="237"/>
      <c r="AG5" s="308"/>
    </row>
    <row r="6" spans="1:33" x14ac:dyDescent="0.25">
      <c r="A6" s="375"/>
      <c r="B6" s="228" t="s">
        <v>348</v>
      </c>
      <c r="C6" s="248"/>
      <c r="D6" s="232"/>
      <c r="E6" s="232"/>
      <c r="F6" s="232"/>
      <c r="G6" s="232">
        <v>3.9584999999999822E-2</v>
      </c>
      <c r="H6" s="232">
        <v>6.3542692307692147E-2</v>
      </c>
      <c r="I6" s="232">
        <v>0</v>
      </c>
      <c r="J6" s="232"/>
      <c r="K6" s="232"/>
      <c r="L6" s="232"/>
      <c r="M6" s="7"/>
      <c r="N6" s="377"/>
      <c r="O6" s="254" t="s">
        <v>348</v>
      </c>
      <c r="P6" s="237"/>
      <c r="Q6" s="306"/>
      <c r="R6" s="224"/>
      <c r="S6" s="306"/>
      <c r="T6" s="224"/>
      <c r="U6" s="306"/>
      <c r="V6" s="224"/>
      <c r="W6" s="306"/>
      <c r="X6" s="237">
        <f>G6/$G$1</f>
        <v>0.75775423964300204</v>
      </c>
      <c r="Y6" s="306">
        <f>1/G6</f>
        <v>25.262094227611584</v>
      </c>
      <c r="Z6" s="224">
        <f>H6/$H$1</f>
        <v>0.79253818284821453</v>
      </c>
      <c r="AA6" s="306">
        <f>1/H6</f>
        <v>15.737450896126811</v>
      </c>
      <c r="AB6" s="224">
        <f>I6/$I$1</f>
        <v>0</v>
      </c>
      <c r="AC6" s="224"/>
      <c r="AD6" s="237"/>
      <c r="AE6" s="237"/>
      <c r="AF6" s="237"/>
      <c r="AG6" s="308"/>
    </row>
    <row r="7" spans="1:33" x14ac:dyDescent="0.25">
      <c r="A7" s="375"/>
      <c r="B7" s="228" t="s">
        <v>349</v>
      </c>
      <c r="C7" s="248"/>
      <c r="D7" s="232"/>
      <c r="E7" s="232"/>
      <c r="F7" s="232"/>
      <c r="G7" s="232">
        <v>3.3714285714285648E-2</v>
      </c>
      <c r="H7" s="232">
        <v>3.433928571428569E-2</v>
      </c>
      <c r="I7" s="232">
        <v>4.9198011904761828E-2</v>
      </c>
      <c r="J7" s="232"/>
      <c r="K7" s="232"/>
      <c r="L7" s="232"/>
      <c r="M7" s="7"/>
      <c r="N7" s="377"/>
      <c r="O7" s="254" t="s">
        <v>349</v>
      </c>
      <c r="P7" s="237"/>
      <c r="Q7" s="306"/>
      <c r="R7" s="224"/>
      <c r="S7" s="306"/>
      <c r="T7" s="224"/>
      <c r="U7" s="306"/>
      <c r="V7" s="224"/>
      <c r="W7" s="306"/>
      <c r="X7" s="237">
        <f t="shared" ref="X7" si="1">G7/$G$1</f>
        <v>0.64537433210902018</v>
      </c>
      <c r="Y7" s="306">
        <f t="shared" ref="Y7" si="2">1/G7</f>
        <v>29.6610169491526</v>
      </c>
      <c r="Z7" s="224">
        <f t="shared" ref="Z7" si="3">H7/$H$1</f>
        <v>0.42829779651957089</v>
      </c>
      <c r="AA7" s="306">
        <f t="shared" ref="AA7" si="4">1/H7</f>
        <v>29.121164846593885</v>
      </c>
      <c r="AB7" s="224">
        <f t="shared" ref="AB7" si="5">I7/$I$1</f>
        <v>0.84880118008835015</v>
      </c>
      <c r="AC7" s="306">
        <f t="shared" ref="AC7" si="6">1/I7</f>
        <v>20.326024594973745</v>
      </c>
      <c r="AD7" s="237"/>
      <c r="AE7" s="237"/>
      <c r="AF7" s="237"/>
      <c r="AG7" s="308"/>
    </row>
    <row r="8" spans="1:33" x14ac:dyDescent="0.25">
      <c r="A8" s="375"/>
      <c r="B8" s="228" t="s">
        <v>327</v>
      </c>
      <c r="C8" s="248"/>
      <c r="D8" s="232"/>
      <c r="E8" s="232"/>
      <c r="F8" s="232"/>
      <c r="G8" s="232"/>
      <c r="H8" s="232"/>
      <c r="I8" s="232"/>
      <c r="J8" s="232"/>
      <c r="K8" s="232"/>
      <c r="L8" s="232"/>
      <c r="M8" s="7"/>
      <c r="N8" s="377"/>
      <c r="O8" s="254" t="s">
        <v>327</v>
      </c>
      <c r="P8" s="237"/>
      <c r="Q8" s="306"/>
      <c r="R8" s="224"/>
      <c r="S8" s="306"/>
      <c r="T8" s="224"/>
      <c r="U8" s="306"/>
      <c r="V8" s="224"/>
      <c r="W8" s="306"/>
      <c r="X8" s="237"/>
      <c r="Y8" s="306"/>
      <c r="Z8" s="224"/>
      <c r="AA8" s="306"/>
      <c r="AB8" s="224"/>
      <c r="AC8" s="306"/>
      <c r="AD8" s="237"/>
      <c r="AE8" s="308"/>
      <c r="AF8" s="237"/>
      <c r="AG8" s="308"/>
    </row>
    <row r="9" spans="1:33" x14ac:dyDescent="0.25">
      <c r="A9" s="375"/>
      <c r="B9" s="240" t="s">
        <v>0</v>
      </c>
      <c r="C9" s="249"/>
      <c r="D9" s="223"/>
      <c r="E9" s="223"/>
      <c r="F9" s="223"/>
      <c r="G9" s="223"/>
      <c r="H9" s="223"/>
      <c r="I9" s="223"/>
      <c r="J9" s="223"/>
      <c r="K9" s="223"/>
      <c r="L9" s="223"/>
      <c r="M9" s="7"/>
      <c r="N9" s="377"/>
      <c r="O9" s="254" t="s">
        <v>0</v>
      </c>
      <c r="P9" s="238"/>
      <c r="Q9" s="307"/>
      <c r="R9" s="225"/>
      <c r="S9" s="307"/>
      <c r="T9" s="225"/>
      <c r="U9" s="307"/>
      <c r="V9" s="225"/>
      <c r="W9" s="307"/>
      <c r="X9" s="238"/>
      <c r="Y9" s="307"/>
      <c r="Z9" s="225"/>
      <c r="AA9" s="225"/>
      <c r="AB9" s="225"/>
      <c r="AC9" s="225"/>
      <c r="AD9" s="238" t="e">
        <f>J9/$J$1</f>
        <v>#DIV/0!</v>
      </c>
      <c r="AE9" s="310" t="e">
        <f>1/J9</f>
        <v>#DIV/0!</v>
      </c>
      <c r="AF9" s="238">
        <f>K9/$K$1</f>
        <v>0</v>
      </c>
      <c r="AG9" s="310" t="e">
        <f>1/K9</f>
        <v>#DIV/0!</v>
      </c>
    </row>
    <row r="10" spans="1:33" x14ac:dyDescent="0.25">
      <c r="A10" s="376" t="s">
        <v>345</v>
      </c>
      <c r="B10" s="229" t="s">
        <v>309</v>
      </c>
      <c r="C10" s="253">
        <v>4.0980247552447779E-2</v>
      </c>
      <c r="D10" s="245">
        <v>7.0304873926074096E-2</v>
      </c>
      <c r="E10" s="245">
        <v>4.0579372027972196E-2</v>
      </c>
      <c r="F10" s="245"/>
      <c r="G10" s="245"/>
      <c r="H10" s="245"/>
      <c r="I10" s="245"/>
      <c r="J10" s="245">
        <v>0</v>
      </c>
      <c r="K10" s="245">
        <v>3.0871978021978067E-2</v>
      </c>
      <c r="L10" s="245"/>
      <c r="M10" s="7"/>
      <c r="N10" s="378" t="s">
        <v>345</v>
      </c>
      <c r="O10" s="255" t="s">
        <v>309</v>
      </c>
      <c r="P10" s="237">
        <f>C10/$C$1</f>
        <v>0.53540241736066307</v>
      </c>
      <c r="Q10" s="305">
        <f>1/C10</f>
        <v>24.40199998109258</v>
      </c>
      <c r="R10" s="236">
        <f>D10/$D$1</f>
        <v>0.73875192766788012</v>
      </c>
      <c r="S10" s="305">
        <f>1/D10</f>
        <v>14.223764927755999</v>
      </c>
      <c r="T10" s="236">
        <f>E10/$E$1</f>
        <v>0.40118420632996138</v>
      </c>
      <c r="U10" s="305">
        <f>1/E10</f>
        <v>24.643062472989463</v>
      </c>
      <c r="V10" s="224"/>
      <c r="W10" s="306"/>
      <c r="X10" s="237"/>
      <c r="Y10" s="306"/>
      <c r="Z10" s="224"/>
      <c r="AA10" s="224"/>
      <c r="AB10" s="224"/>
      <c r="AC10" s="224"/>
      <c r="AD10" s="237"/>
      <c r="AE10" s="224"/>
      <c r="AF10" s="224">
        <f>K10/K1</f>
        <v>0.85228433885796195</v>
      </c>
      <c r="AG10" s="306"/>
    </row>
    <row r="11" spans="1:33" x14ac:dyDescent="0.25">
      <c r="A11" s="375"/>
      <c r="B11" s="228" t="s">
        <v>308</v>
      </c>
      <c r="C11" s="248"/>
      <c r="D11" s="232"/>
      <c r="E11" s="232"/>
      <c r="F11" s="232">
        <v>5.1022557865187314E-2</v>
      </c>
      <c r="G11" s="232"/>
      <c r="H11" s="232"/>
      <c r="I11" s="232"/>
      <c r="J11" s="232"/>
      <c r="K11" s="232"/>
      <c r="L11" s="232"/>
      <c r="M11" s="7"/>
      <c r="N11" s="377"/>
      <c r="O11" s="254" t="s">
        <v>308</v>
      </c>
      <c r="P11" s="237"/>
      <c r="Q11" s="306"/>
      <c r="R11" s="224"/>
      <c r="S11" s="306"/>
      <c r="T11" s="224"/>
      <c r="U11" s="306"/>
      <c r="V11" s="224">
        <f>F11/F1</f>
        <v>0.97098955822045196</v>
      </c>
      <c r="W11" s="306">
        <f>1/F11</f>
        <v>19.599174205303804</v>
      </c>
      <c r="X11" s="237"/>
      <c r="Y11" s="306"/>
      <c r="Z11" s="224"/>
      <c r="AA11" s="224"/>
      <c r="AB11" s="224"/>
      <c r="AC11" s="224"/>
      <c r="AD11" s="237"/>
      <c r="AE11" s="224"/>
      <c r="AF11" s="224"/>
      <c r="AG11" s="306"/>
    </row>
    <row r="12" spans="1:33" x14ac:dyDescent="0.25">
      <c r="A12" s="375"/>
      <c r="B12" s="228" t="s">
        <v>348</v>
      </c>
      <c r="C12" s="248"/>
      <c r="D12" s="232"/>
      <c r="E12" s="232"/>
      <c r="F12" s="232"/>
      <c r="G12" s="232">
        <v>4.2215952380952187E-2</v>
      </c>
      <c r="H12" s="232">
        <v>6.617364468864452E-2</v>
      </c>
      <c r="I12" s="232">
        <v>0</v>
      </c>
      <c r="J12" s="232"/>
      <c r="K12" s="232"/>
      <c r="L12" s="232"/>
      <c r="M12" s="7"/>
      <c r="N12" s="377"/>
      <c r="O12" s="254" t="s">
        <v>348</v>
      </c>
      <c r="P12" s="237"/>
      <c r="Q12" s="306"/>
      <c r="R12" s="224"/>
      <c r="S12" s="306"/>
      <c r="T12" s="224"/>
      <c r="U12" s="306"/>
      <c r="V12" s="224"/>
      <c r="W12" s="306"/>
      <c r="X12" s="237">
        <f t="shared" ref="X12:X13" si="7">G12/$G$1</f>
        <v>0.80811713773484284</v>
      </c>
      <c r="Y12" s="306">
        <f t="shared" ref="Y12:Y13" si="8">1/G12</f>
        <v>23.687728064881924</v>
      </c>
      <c r="Z12" s="224">
        <f t="shared" ref="Z12:Z13" si="9">H12/$H$1</f>
        <v>0.82535281728427801</v>
      </c>
      <c r="AA12" s="306">
        <f t="shared" ref="AA12:AA13" si="10">1/H12</f>
        <v>15.111756420628305</v>
      </c>
      <c r="AB12" s="224">
        <f t="shared" ref="AB12:AB13" si="11">I12/$I$1</f>
        <v>0</v>
      </c>
      <c r="AC12" s="306"/>
      <c r="AD12" s="237"/>
      <c r="AE12" s="224"/>
      <c r="AF12" s="224"/>
      <c r="AG12" s="306"/>
    </row>
    <row r="13" spans="1:33" x14ac:dyDescent="0.25">
      <c r="A13" s="375"/>
      <c r="B13" s="228" t="s">
        <v>349</v>
      </c>
      <c r="C13" s="248"/>
      <c r="D13" s="232"/>
      <c r="E13" s="232"/>
      <c r="F13" s="232"/>
      <c r="G13" s="232">
        <v>3.8151785714285652E-2</v>
      </c>
      <c r="H13" s="232">
        <v>3.8776785714285687E-2</v>
      </c>
      <c r="I13" s="232">
        <v>5.7961761904761842E-2</v>
      </c>
      <c r="J13" s="232"/>
      <c r="K13" s="232"/>
      <c r="L13" s="232"/>
      <c r="M13" s="7"/>
      <c r="N13" s="377"/>
      <c r="O13" s="254" t="s">
        <v>349</v>
      </c>
      <c r="P13" s="237"/>
      <c r="Q13" s="306"/>
      <c r="R13" s="224"/>
      <c r="S13" s="306"/>
      <c r="T13" s="224"/>
      <c r="U13" s="306"/>
      <c r="V13" s="224"/>
      <c r="W13" s="306"/>
      <c r="X13" s="237">
        <f t="shared" si="7"/>
        <v>0.73031899393586974</v>
      </c>
      <c r="Y13" s="306">
        <f t="shared" si="8"/>
        <v>26.211092908963302</v>
      </c>
      <c r="Z13" s="224">
        <f t="shared" si="9"/>
        <v>0.48364465166003551</v>
      </c>
      <c r="AA13" s="306">
        <f t="shared" si="10"/>
        <v>25.788625374165342</v>
      </c>
      <c r="AB13" s="224">
        <f t="shared" si="11"/>
        <v>1</v>
      </c>
      <c r="AC13" s="306">
        <f t="shared" ref="AC13" si="12">1/I13</f>
        <v>17.252753662718543</v>
      </c>
      <c r="AD13" s="237"/>
      <c r="AE13" s="224"/>
      <c r="AF13" s="224"/>
      <c r="AG13" s="306"/>
    </row>
    <row r="14" spans="1:33" x14ac:dyDescent="0.25">
      <c r="A14" s="375"/>
      <c r="B14" s="228" t="s">
        <v>327</v>
      </c>
      <c r="C14" s="248"/>
      <c r="D14" s="232"/>
      <c r="E14" s="232"/>
      <c r="F14" s="232"/>
      <c r="G14" s="232"/>
      <c r="H14" s="232"/>
      <c r="I14" s="232"/>
      <c r="J14" s="232"/>
      <c r="K14" s="232"/>
      <c r="L14" s="232"/>
      <c r="M14" s="7"/>
      <c r="N14" s="377"/>
      <c r="O14" s="254" t="s">
        <v>327</v>
      </c>
      <c r="P14" s="237"/>
      <c r="Q14" s="306"/>
      <c r="R14" s="224"/>
      <c r="S14" s="306"/>
      <c r="T14" s="224"/>
      <c r="U14" s="306"/>
      <c r="V14" s="224"/>
      <c r="W14" s="306"/>
      <c r="X14" s="237"/>
      <c r="Y14" s="306"/>
      <c r="Z14" s="224"/>
      <c r="AA14" s="306"/>
      <c r="AB14" s="224"/>
      <c r="AC14" s="306"/>
      <c r="AD14" s="237"/>
      <c r="AE14" s="308"/>
      <c r="AF14" s="237"/>
      <c r="AG14" s="308"/>
    </row>
    <row r="15" spans="1:33" x14ac:dyDescent="0.25">
      <c r="A15" s="375"/>
      <c r="B15" s="240" t="s">
        <v>0</v>
      </c>
      <c r="C15" s="249"/>
      <c r="D15" s="223"/>
      <c r="E15" s="223"/>
      <c r="F15" s="223"/>
      <c r="G15" s="223"/>
      <c r="H15" s="223"/>
      <c r="I15" s="223"/>
      <c r="J15" s="223"/>
      <c r="K15" s="223"/>
      <c r="L15" s="223"/>
      <c r="M15" s="7"/>
      <c r="N15" s="377"/>
      <c r="O15" s="254" t="s">
        <v>0</v>
      </c>
      <c r="P15" s="238"/>
      <c r="Q15" s="307"/>
      <c r="R15" s="225"/>
      <c r="S15" s="307"/>
      <c r="T15" s="225"/>
      <c r="U15" s="307"/>
      <c r="V15" s="225"/>
      <c r="W15" s="307"/>
      <c r="X15" s="238"/>
      <c r="Y15" s="307"/>
      <c r="Z15" s="225"/>
      <c r="AA15" s="225"/>
      <c r="AB15" s="225"/>
      <c r="AC15" s="225"/>
      <c r="AD15" s="238" t="e">
        <f>J15/$J$1</f>
        <v>#DIV/0!</v>
      </c>
      <c r="AE15" s="310" t="e">
        <f>1/J15</f>
        <v>#DIV/0!</v>
      </c>
      <c r="AF15" s="238">
        <f>K15/$K$1</f>
        <v>0</v>
      </c>
      <c r="AG15" s="310" t="e">
        <f>1/K15</f>
        <v>#DIV/0!</v>
      </c>
    </row>
    <row r="16" spans="1:33" x14ac:dyDescent="0.25">
      <c r="A16" s="376" t="s">
        <v>346</v>
      </c>
      <c r="B16" s="229" t="s">
        <v>309</v>
      </c>
      <c r="C16" s="248">
        <v>5.8181020779221264E-2</v>
      </c>
      <c r="D16" s="232">
        <v>7.6807093706293558E-2</v>
      </c>
      <c r="E16" s="232">
        <v>6.6148976923077044E-2</v>
      </c>
      <c r="F16" s="232"/>
      <c r="G16" s="232"/>
      <c r="H16" s="232"/>
      <c r="I16" s="232"/>
      <c r="J16" s="232">
        <v>0</v>
      </c>
      <c r="K16" s="232">
        <v>2.9990859140859215E-2</v>
      </c>
      <c r="L16" s="232">
        <v>4.1477272727272974E-2</v>
      </c>
      <c r="M16" s="7"/>
      <c r="N16" s="378" t="s">
        <v>346</v>
      </c>
      <c r="O16" s="255" t="s">
        <v>309</v>
      </c>
      <c r="P16" s="237">
        <f>C16/$C$1</f>
        <v>0.76012862367019574</v>
      </c>
      <c r="Q16" s="305">
        <f>1/C16</f>
        <v>17.18773556405424</v>
      </c>
      <c r="R16" s="236">
        <f>D16/$D$1</f>
        <v>0.80707617218339234</v>
      </c>
      <c r="S16" s="305">
        <f>1/D16</f>
        <v>13.019630762543228</v>
      </c>
      <c r="T16" s="236">
        <f>E16/$E$1</f>
        <v>0.65397573890819349</v>
      </c>
      <c r="U16" s="305">
        <f>1/E16</f>
        <v>15.117391780115881</v>
      </c>
      <c r="V16" s="224"/>
      <c r="W16" s="306"/>
      <c r="X16" s="224"/>
      <c r="Y16" s="306"/>
      <c r="Z16" s="224"/>
      <c r="AA16" s="224"/>
      <c r="AB16" s="224"/>
      <c r="AC16" s="224"/>
      <c r="AD16" s="224"/>
      <c r="AE16" s="224"/>
      <c r="AF16" s="224">
        <f>K16/K1</f>
        <v>0.827959243053766</v>
      </c>
      <c r="AG16" s="306"/>
    </row>
    <row r="17" spans="1:33" x14ac:dyDescent="0.25">
      <c r="A17" s="375"/>
      <c r="B17" s="228" t="s">
        <v>308</v>
      </c>
      <c r="C17" s="248"/>
      <c r="D17" s="232"/>
      <c r="E17" s="232"/>
      <c r="F17" s="232">
        <v>4.2273232055429683E-2</v>
      </c>
      <c r="G17" s="232"/>
      <c r="H17" s="232"/>
      <c r="I17" s="232"/>
      <c r="J17" s="232"/>
      <c r="K17" s="232"/>
      <c r="L17" s="232"/>
      <c r="M17" s="7"/>
      <c r="N17" s="377"/>
      <c r="O17" s="254" t="s">
        <v>308</v>
      </c>
      <c r="P17" s="237"/>
      <c r="Q17" s="306"/>
      <c r="R17" s="224"/>
      <c r="S17" s="306"/>
      <c r="T17" s="224"/>
      <c r="U17" s="306"/>
      <c r="V17" s="224">
        <f>F17/F1</f>
        <v>0.80448469530882905</v>
      </c>
      <c r="W17" s="306">
        <f>1/F17</f>
        <v>23.655631504323487</v>
      </c>
      <c r="X17" s="224"/>
      <c r="Y17" s="306"/>
      <c r="Z17" s="224"/>
      <c r="AA17" s="224"/>
      <c r="AB17" s="224"/>
      <c r="AC17" s="224"/>
      <c r="AD17" s="224"/>
      <c r="AE17" s="224"/>
      <c r="AF17" s="224"/>
      <c r="AG17" s="306"/>
    </row>
    <row r="18" spans="1:33" x14ac:dyDescent="0.25">
      <c r="A18" s="375"/>
      <c r="B18" s="228" t="s">
        <v>348</v>
      </c>
      <c r="C18" s="248"/>
      <c r="D18" s="232"/>
      <c r="E18" s="232"/>
      <c r="F18" s="232"/>
      <c r="G18" s="232">
        <v>5.2239892473118138E-2</v>
      </c>
      <c r="H18" s="232">
        <v>8.0176190476190248E-2</v>
      </c>
      <c r="I18" s="232">
        <v>0</v>
      </c>
      <c r="J18" s="232"/>
      <c r="K18" s="232"/>
      <c r="L18" s="232"/>
      <c r="M18" s="7"/>
      <c r="N18" s="377"/>
      <c r="O18" s="254" t="s">
        <v>348</v>
      </c>
      <c r="P18" s="237"/>
      <c r="Q18" s="306"/>
      <c r="R18" s="224"/>
      <c r="S18" s="306"/>
      <c r="T18" s="224"/>
      <c r="U18" s="306"/>
      <c r="V18" s="224"/>
      <c r="W18" s="306"/>
      <c r="X18" s="224">
        <f t="shared" ref="X18:X19" si="13">G18/$G$1</f>
        <v>1</v>
      </c>
      <c r="Y18" s="306">
        <f t="shared" ref="Y18:Y19" si="14">1/G18</f>
        <v>19.142459003233686</v>
      </c>
      <c r="Z18" s="224">
        <f t="shared" ref="Z18:Z19" si="15">H18/$H$1</f>
        <v>1</v>
      </c>
      <c r="AA18" s="306">
        <f t="shared" ref="AA18:AA19" si="16">1/H18</f>
        <v>12.472530735879349</v>
      </c>
      <c r="AB18" s="224">
        <f t="shared" ref="AB18:AB19" si="17">I18/$I$1</f>
        <v>0</v>
      </c>
      <c r="AC18" s="306"/>
      <c r="AD18" s="224"/>
      <c r="AE18" s="224"/>
      <c r="AF18" s="224"/>
      <c r="AG18" s="306"/>
    </row>
    <row r="19" spans="1:33" x14ac:dyDescent="0.25">
      <c r="A19" s="375"/>
      <c r="B19" s="228" t="s">
        <v>349</v>
      </c>
      <c r="C19" s="248"/>
      <c r="D19" s="232"/>
      <c r="E19" s="232"/>
      <c r="F19" s="232"/>
      <c r="G19" s="232">
        <v>2.5968749999999961E-2</v>
      </c>
      <c r="H19" s="232">
        <v>2.5281249999999998E-2</v>
      </c>
      <c r="I19" s="232">
        <v>3.0639083333333313E-2</v>
      </c>
      <c r="J19" s="232"/>
      <c r="K19" s="232"/>
      <c r="L19" s="232">
        <v>0.1339285714285714</v>
      </c>
      <c r="M19" s="316">
        <f>1/L19</f>
        <v>7.4666666666666686</v>
      </c>
      <c r="N19" s="377"/>
      <c r="O19" s="254" t="s">
        <v>349</v>
      </c>
      <c r="P19" s="237"/>
      <c r="Q19" s="306"/>
      <c r="R19" s="224"/>
      <c r="S19" s="306"/>
      <c r="T19" s="224"/>
      <c r="U19" s="306"/>
      <c r="V19" s="224"/>
      <c r="W19" s="306"/>
      <c r="X19" s="224">
        <f t="shared" si="13"/>
        <v>0.49710573224022403</v>
      </c>
      <c r="Y19" s="306">
        <f t="shared" si="14"/>
        <v>38.507821901323766</v>
      </c>
      <c r="Z19" s="224">
        <f t="shared" si="15"/>
        <v>0.31532116766644974</v>
      </c>
      <c r="AA19" s="306">
        <f t="shared" si="16"/>
        <v>39.555006180469718</v>
      </c>
      <c r="AB19" s="224">
        <f t="shared" si="17"/>
        <v>0.52860855720150501</v>
      </c>
      <c r="AC19" s="306">
        <f t="shared" ref="AC19" si="18">1/I19</f>
        <v>32.63805216104705</v>
      </c>
      <c r="AD19" s="224"/>
      <c r="AE19" s="224"/>
      <c r="AF19" s="224"/>
      <c r="AG19" s="306"/>
    </row>
    <row r="20" spans="1:33" x14ac:dyDescent="0.25">
      <c r="A20" s="375"/>
      <c r="B20" s="228" t="s">
        <v>327</v>
      </c>
      <c r="C20" s="248"/>
      <c r="D20" s="232"/>
      <c r="E20" s="232"/>
      <c r="F20" s="232"/>
      <c r="G20" s="232"/>
      <c r="H20" s="232"/>
      <c r="I20" s="232"/>
      <c r="J20" s="232"/>
      <c r="K20" s="232"/>
      <c r="L20" s="232"/>
      <c r="M20" s="7"/>
      <c r="N20" s="377"/>
      <c r="O20" s="254" t="s">
        <v>327</v>
      </c>
      <c r="P20" s="237"/>
      <c r="Q20" s="306"/>
      <c r="R20" s="224"/>
      <c r="S20" s="306"/>
      <c r="T20" s="224"/>
      <c r="U20" s="306"/>
      <c r="V20" s="224"/>
      <c r="W20" s="306"/>
      <c r="X20" s="224"/>
      <c r="Y20" s="306"/>
      <c r="Z20" s="224"/>
      <c r="AA20" s="306"/>
      <c r="AB20" s="224"/>
      <c r="AC20" s="306"/>
      <c r="AD20" s="224"/>
      <c r="AE20" s="308"/>
      <c r="AF20" s="237"/>
      <c r="AG20" s="308"/>
    </row>
    <row r="21" spans="1:33" x14ac:dyDescent="0.25">
      <c r="A21" s="375"/>
      <c r="B21" s="240" t="s">
        <v>0</v>
      </c>
      <c r="C21" s="248"/>
      <c r="D21" s="232"/>
      <c r="E21" s="232"/>
      <c r="F21" s="232"/>
      <c r="G21" s="232"/>
      <c r="H21" s="232"/>
      <c r="I21" s="232"/>
      <c r="J21" s="232"/>
      <c r="K21" s="232"/>
      <c r="L21" s="232"/>
      <c r="M21" s="7"/>
      <c r="N21" s="377"/>
      <c r="O21" s="254" t="s">
        <v>0</v>
      </c>
      <c r="P21" s="238"/>
      <c r="Q21" s="307"/>
      <c r="R21" s="225"/>
      <c r="S21" s="307"/>
      <c r="T21" s="225"/>
      <c r="U21" s="307"/>
      <c r="V21" s="225"/>
      <c r="W21" s="307"/>
      <c r="X21" s="225"/>
      <c r="Y21" s="307"/>
      <c r="Z21" s="225"/>
      <c r="AA21" s="225"/>
      <c r="AB21" s="225"/>
      <c r="AC21" s="224"/>
      <c r="AD21" s="224" t="e">
        <f>J21/$J$1</f>
        <v>#DIV/0!</v>
      </c>
      <c r="AE21" s="310" t="e">
        <f>1/J21</f>
        <v>#DIV/0!</v>
      </c>
      <c r="AF21" s="238">
        <f>K21/$K$1</f>
        <v>0</v>
      </c>
      <c r="AG21" s="310" t="e">
        <f>1/K21</f>
        <v>#DIV/0!</v>
      </c>
    </row>
    <row r="22" spans="1:33" x14ac:dyDescent="0.25">
      <c r="A22" s="376" t="s">
        <v>347</v>
      </c>
      <c r="B22" s="243" t="s">
        <v>309</v>
      </c>
      <c r="C22" s="253">
        <v>7.6541020779221203E-2</v>
      </c>
      <c r="D22" s="245">
        <v>9.516709370629349E-2</v>
      </c>
      <c r="E22" s="245">
        <v>0.10114897692307692</v>
      </c>
      <c r="F22" s="245"/>
      <c r="G22" s="245"/>
      <c r="H22" s="245"/>
      <c r="I22" s="245"/>
      <c r="J22" s="245">
        <v>0</v>
      </c>
      <c r="K22" s="245">
        <v>3.3705144855144913E-2</v>
      </c>
      <c r="L22" s="245">
        <v>5.9334415584415767E-2</v>
      </c>
      <c r="M22" s="7"/>
      <c r="N22" s="378" t="s">
        <v>347</v>
      </c>
      <c r="O22" s="255" t="s">
        <v>309</v>
      </c>
      <c r="P22" s="237">
        <f>C22/$C$1</f>
        <v>1</v>
      </c>
      <c r="Q22" s="305">
        <f>1/C22</f>
        <v>13.064889778311823</v>
      </c>
      <c r="R22" s="236">
        <f>D22/$D$1</f>
        <v>1</v>
      </c>
      <c r="S22" s="305">
        <f>1/D22</f>
        <v>10.507833759074531</v>
      </c>
      <c r="T22" s="236">
        <f>E22/$E$1</f>
        <v>1</v>
      </c>
      <c r="U22" s="312">
        <f>1/E22</f>
        <v>9.8864074597659339</v>
      </c>
      <c r="V22" s="300"/>
      <c r="W22" s="309"/>
      <c r="X22" s="237"/>
      <c r="Y22" s="306"/>
      <c r="Z22" s="224"/>
      <c r="AA22" s="224"/>
      <c r="AB22" s="237"/>
      <c r="AC22" s="235"/>
      <c r="AD22" s="235"/>
      <c r="AE22" s="224"/>
      <c r="AF22" s="224">
        <f>K22/K1</f>
        <v>0.93049972627372424</v>
      </c>
      <c r="AG22" s="306"/>
    </row>
    <row r="23" spans="1:33" x14ac:dyDescent="0.25">
      <c r="A23" s="375"/>
      <c r="B23" s="244" t="s">
        <v>308</v>
      </c>
      <c r="C23" s="248"/>
      <c r="D23" s="232"/>
      <c r="E23" s="232"/>
      <c r="F23" s="232">
        <v>4.3797642829840472E-2</v>
      </c>
      <c r="G23" s="232"/>
      <c r="H23" s="232"/>
      <c r="I23" s="232"/>
      <c r="J23" s="232"/>
      <c r="K23" s="232"/>
      <c r="L23" s="232"/>
      <c r="M23" s="7"/>
      <c r="N23" s="377"/>
      <c r="O23" s="254" t="s">
        <v>308</v>
      </c>
      <c r="P23" s="237"/>
      <c r="Q23" s="306"/>
      <c r="R23" s="224"/>
      <c r="S23" s="306"/>
      <c r="T23" s="224"/>
      <c r="U23" s="313"/>
      <c r="V23" s="301">
        <f>F23/F1</f>
        <v>0.83349513708837697</v>
      </c>
      <c r="W23" s="308">
        <f>1/F23</f>
        <v>22.832278985541066</v>
      </c>
      <c r="X23" s="237"/>
      <c r="Y23" s="306"/>
      <c r="Z23" s="224"/>
      <c r="AA23" s="224"/>
      <c r="AB23" s="237"/>
      <c r="AC23" s="237"/>
      <c r="AD23" s="237"/>
      <c r="AE23" s="224"/>
      <c r="AF23" s="224"/>
      <c r="AG23" s="306"/>
    </row>
    <row r="24" spans="1:33" x14ac:dyDescent="0.25">
      <c r="A24" s="375"/>
      <c r="B24" s="244" t="s">
        <v>348</v>
      </c>
      <c r="C24" s="248"/>
      <c r="D24" s="232"/>
      <c r="E24" s="232"/>
      <c r="F24" s="232"/>
      <c r="G24" s="232">
        <v>4.8379892473118219E-2</v>
      </c>
      <c r="H24" s="232">
        <v>7.5159999999999741E-2</v>
      </c>
      <c r="I24" s="232">
        <v>0</v>
      </c>
      <c r="J24" s="232"/>
      <c r="K24" s="232"/>
      <c r="L24" s="232"/>
      <c r="M24" s="7"/>
      <c r="N24" s="377"/>
      <c r="O24" s="254" t="s">
        <v>348</v>
      </c>
      <c r="P24" s="237"/>
      <c r="Q24" s="306"/>
      <c r="R24" s="224"/>
      <c r="S24" s="306"/>
      <c r="T24" s="224"/>
      <c r="U24" s="313"/>
      <c r="V24" s="301"/>
      <c r="W24" s="308"/>
      <c r="X24" s="237">
        <f t="shared" ref="X24:X25" si="19">G24/$G$1</f>
        <v>0.92611010824751949</v>
      </c>
      <c r="Y24" s="306">
        <f t="shared" ref="Y24:Y25" si="20">1/G24</f>
        <v>20.669744161908575</v>
      </c>
      <c r="Z24" s="224">
        <f t="shared" ref="Z24:Z25" si="21">H24/$H$1</f>
        <v>0.93743541010868858</v>
      </c>
      <c r="AA24" s="306">
        <f t="shared" ref="AA24:AA25" si="22">1/H24</f>
        <v>13.30494944119217</v>
      </c>
      <c r="AB24" s="224">
        <f t="shared" ref="AB24:AB25" si="23">I24/$I$1</f>
        <v>0</v>
      </c>
      <c r="AC24" s="308"/>
      <c r="AD24" s="237"/>
      <c r="AE24" s="224"/>
      <c r="AF24" s="224"/>
      <c r="AG24" s="306"/>
    </row>
    <row r="25" spans="1:33" x14ac:dyDescent="0.25">
      <c r="A25" s="375"/>
      <c r="B25" s="244" t="s">
        <v>349</v>
      </c>
      <c r="C25" s="248"/>
      <c r="D25" s="232"/>
      <c r="E25" s="232"/>
      <c r="F25" s="232"/>
      <c r="G25" s="232">
        <v>2.3874999999999962E-2</v>
      </c>
      <c r="H25" s="232">
        <v>2.31875E-2</v>
      </c>
      <c r="I25" s="232">
        <v>2.7005333333333312E-2</v>
      </c>
      <c r="J25" s="232"/>
      <c r="K25" s="232"/>
      <c r="L25" s="232">
        <v>0.16964285714285698</v>
      </c>
      <c r="M25" s="316">
        <f>1/L25</f>
        <v>5.894736842105269</v>
      </c>
      <c r="N25" s="377"/>
      <c r="O25" s="254" t="s">
        <v>349</v>
      </c>
      <c r="P25" s="237"/>
      <c r="Q25" s="306"/>
      <c r="R25" s="224"/>
      <c r="S25" s="306"/>
      <c r="T25" s="224"/>
      <c r="U25" s="313"/>
      <c r="V25" s="301"/>
      <c r="W25" s="308"/>
      <c r="X25" s="237">
        <f t="shared" si="19"/>
        <v>0.45702620870220356</v>
      </c>
      <c r="Y25" s="306">
        <f t="shared" si="20"/>
        <v>41.884816753926771</v>
      </c>
      <c r="Z25" s="224">
        <f t="shared" si="21"/>
        <v>0.2892068064382024</v>
      </c>
      <c r="AA25" s="306">
        <f t="shared" si="22"/>
        <v>43.126684636118597</v>
      </c>
      <c r="AB25" s="224">
        <f t="shared" si="23"/>
        <v>0.46591636357960148</v>
      </c>
      <c r="AC25" s="308">
        <f t="shared" ref="AC25" si="24">1/I25</f>
        <v>37.029722523945914</v>
      </c>
      <c r="AD25" s="237"/>
      <c r="AE25" s="224"/>
      <c r="AF25" s="224"/>
      <c r="AG25" s="306"/>
    </row>
    <row r="26" spans="1:33" x14ac:dyDescent="0.25">
      <c r="A26" s="375"/>
      <c r="B26" s="244" t="s">
        <v>327</v>
      </c>
      <c r="C26" s="248"/>
      <c r="D26" s="232"/>
      <c r="E26" s="232"/>
      <c r="F26" s="232"/>
      <c r="G26" s="232"/>
      <c r="H26" s="232"/>
      <c r="I26" s="232"/>
      <c r="J26" s="232"/>
      <c r="K26" s="232"/>
      <c r="L26" s="232"/>
      <c r="M26" s="7"/>
      <c r="N26" s="377"/>
      <c r="O26" s="254" t="s">
        <v>327</v>
      </c>
      <c r="P26" s="237"/>
      <c r="Q26" s="306"/>
      <c r="R26" s="224"/>
      <c r="S26" s="306"/>
      <c r="T26" s="224"/>
      <c r="U26" s="313"/>
      <c r="V26" s="301"/>
      <c r="W26" s="237"/>
      <c r="X26" s="237"/>
      <c r="Y26" s="306"/>
      <c r="Z26" s="224"/>
      <c r="AA26" s="306"/>
      <c r="AB26" s="224"/>
      <c r="AC26" s="308"/>
      <c r="AD26" s="237"/>
      <c r="AE26" s="308"/>
      <c r="AF26" s="237"/>
      <c r="AG26" s="308"/>
    </row>
    <row r="27" spans="1:33" x14ac:dyDescent="0.25">
      <c r="A27" s="375"/>
      <c r="B27" s="240" t="s">
        <v>0</v>
      </c>
      <c r="C27" s="249"/>
      <c r="D27" s="223"/>
      <c r="E27" s="223"/>
      <c r="F27" s="223"/>
      <c r="G27" s="223"/>
      <c r="H27" s="223"/>
      <c r="I27" s="223"/>
      <c r="J27" s="223"/>
      <c r="K27" s="223"/>
      <c r="L27" s="223"/>
      <c r="M27" s="7"/>
      <c r="N27" s="377"/>
      <c r="O27" s="254" t="s">
        <v>0</v>
      </c>
      <c r="P27" s="238"/>
      <c r="Q27" s="307"/>
      <c r="R27" s="225"/>
      <c r="S27" s="307"/>
      <c r="T27" s="225"/>
      <c r="U27" s="314"/>
      <c r="V27" s="302"/>
      <c r="W27" s="238"/>
      <c r="X27" s="238"/>
      <c r="Y27" s="307"/>
      <c r="Z27" s="225"/>
      <c r="AA27" s="225"/>
      <c r="AB27" s="238"/>
      <c r="AC27" s="238"/>
      <c r="AD27" s="238" t="e">
        <f>J27/$J$1</f>
        <v>#DIV/0!</v>
      </c>
      <c r="AE27" s="310" t="e">
        <f>1/J27</f>
        <v>#DIV/0!</v>
      </c>
      <c r="AF27" s="238">
        <f>K27/$K$1</f>
        <v>0</v>
      </c>
      <c r="AG27" s="310" t="e">
        <f>1/K27</f>
        <v>#DIV/0!</v>
      </c>
    </row>
    <row r="28" spans="1:33" x14ac:dyDescent="0.25">
      <c r="Q28" s="197"/>
      <c r="S28" s="197"/>
      <c r="U28" s="197"/>
      <c r="AD28" s="7"/>
      <c r="AE28" s="7"/>
      <c r="AF28" s="7"/>
      <c r="AG28" s="7"/>
    </row>
    <row r="29" spans="1:33" x14ac:dyDescent="0.25">
      <c r="Q29" s="197"/>
      <c r="S29" s="197"/>
      <c r="U29" s="197"/>
    </row>
    <row r="30" spans="1:33" x14ac:dyDescent="0.25">
      <c r="B30" s="226" t="s">
        <v>336</v>
      </c>
      <c r="H30" s="295"/>
      <c r="I30" s="295"/>
      <c r="Q30" s="197"/>
      <c r="S30" s="197"/>
      <c r="U30" s="197"/>
    </row>
    <row r="31" spans="1:33" x14ac:dyDescent="0.25">
      <c r="B31" s="227">
        <v>42724</v>
      </c>
      <c r="G31" s="295"/>
      <c r="H31" s="295"/>
      <c r="I31" s="295"/>
      <c r="Q31" s="197"/>
      <c r="S31" s="197"/>
    </row>
    <row r="32" spans="1:33" x14ac:dyDescent="0.25">
      <c r="G32" s="295"/>
      <c r="H32" s="295"/>
      <c r="I32" s="295"/>
      <c r="Q32" s="197"/>
    </row>
    <row r="33" spans="17:17" x14ac:dyDescent="0.25">
      <c r="Q33" s="197"/>
    </row>
    <row r="34" spans="17:17" x14ac:dyDescent="0.25">
      <c r="Q34" s="197"/>
    </row>
  </sheetData>
  <mergeCells count="8">
    <mergeCell ref="A4:A9"/>
    <mergeCell ref="A10:A15"/>
    <mergeCell ref="A16:A21"/>
    <mergeCell ref="A22:A27"/>
    <mergeCell ref="N4:N9"/>
    <mergeCell ref="N10:N15"/>
    <mergeCell ref="N16:N21"/>
    <mergeCell ref="N22:N2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249977111117893"/>
  </sheetPr>
  <dimension ref="B2:Y17"/>
  <sheetViews>
    <sheetView workbookViewId="0">
      <selection activeCell="B12" sqref="B12"/>
    </sheetView>
  </sheetViews>
  <sheetFormatPr baseColWidth="10" defaultColWidth="11.42578125" defaultRowHeight="15" x14ac:dyDescent="0.25"/>
  <cols>
    <col min="1" max="1" width="5.5703125" customWidth="1"/>
    <col min="2" max="2" width="6" bestFit="1" customWidth="1"/>
    <col min="3" max="3" width="13.7109375" bestFit="1" customWidth="1"/>
    <col min="4" max="4" width="6" bestFit="1" customWidth="1"/>
    <col min="5" max="5" width="4.7109375" bestFit="1" customWidth="1"/>
    <col min="6" max="9" width="4.5703125" bestFit="1" customWidth="1"/>
    <col min="10" max="10" width="5.140625" bestFit="1" customWidth="1"/>
    <col min="11" max="11" width="4.5703125" bestFit="1" customWidth="1"/>
    <col min="12" max="12" width="5.5703125" customWidth="1"/>
    <col min="13" max="13" width="6" bestFit="1" customWidth="1"/>
    <col min="14" max="14" width="11.7109375" bestFit="1" customWidth="1"/>
    <col min="15" max="15" width="7.42578125" bestFit="1" customWidth="1"/>
    <col min="16" max="16" width="7.7109375" bestFit="1" customWidth="1"/>
    <col min="17" max="17" width="7.42578125" bestFit="1" customWidth="1"/>
    <col min="18" max="18" width="5.5703125" bestFit="1" customWidth="1"/>
    <col min="19" max="19" width="6.42578125" bestFit="1" customWidth="1"/>
    <col min="20" max="20" width="6.85546875" bestFit="1" customWidth="1"/>
    <col min="21" max="21" width="6.42578125" bestFit="1" customWidth="1"/>
    <col min="22" max="22" width="5.5703125" bestFit="1" customWidth="1"/>
    <col min="23" max="24" width="4.5703125" bestFit="1" customWidth="1"/>
  </cols>
  <sheetData>
    <row r="2" spans="2:25" x14ac:dyDescent="0.25">
      <c r="B2" s="205" t="s">
        <v>100</v>
      </c>
      <c r="C2" s="205" t="s">
        <v>71</v>
      </c>
      <c r="D2" s="205" t="s">
        <v>319</v>
      </c>
      <c r="E2" s="205" t="s">
        <v>1</v>
      </c>
      <c r="F2" s="205" t="s">
        <v>2</v>
      </c>
      <c r="G2" s="205" t="s">
        <v>326</v>
      </c>
      <c r="H2" s="205" t="s">
        <v>63</v>
      </c>
      <c r="I2" s="205" t="s">
        <v>262</v>
      </c>
      <c r="J2" s="205" t="s">
        <v>327</v>
      </c>
      <c r="K2" s="205" t="s">
        <v>0</v>
      </c>
      <c r="M2" s="261">
        <v>352</v>
      </c>
      <c r="N2" s="188" t="s">
        <v>364</v>
      </c>
      <c r="O2" s="46" t="s">
        <v>330</v>
      </c>
      <c r="P2" s="46" t="s">
        <v>365</v>
      </c>
      <c r="Q2" s="46" t="s">
        <v>330</v>
      </c>
      <c r="R2" s="46" t="s">
        <v>62</v>
      </c>
      <c r="S2" s="46" t="s">
        <v>332</v>
      </c>
      <c r="T2" s="46" t="s">
        <v>333</v>
      </c>
      <c r="U2" s="46" t="s">
        <v>332</v>
      </c>
      <c r="V2" s="46" t="s">
        <v>257</v>
      </c>
      <c r="W2" s="46" t="s">
        <v>366</v>
      </c>
      <c r="X2" s="46" t="s">
        <v>367</v>
      </c>
    </row>
    <row r="3" spans="2:25" x14ac:dyDescent="0.25">
      <c r="B3" t="s">
        <v>1</v>
      </c>
      <c r="C3" t="str">
        <f>Evaluacion!A3</f>
        <v>D. Gehmacher</v>
      </c>
      <c r="D3" s="297"/>
      <c r="E3" s="83">
        <f>Evaluacion!K3</f>
        <v>16.666666666666668</v>
      </c>
      <c r="F3" s="83">
        <f>Evaluacion!L3</f>
        <v>11.95</v>
      </c>
      <c r="G3" s="83">
        <f>Evaluacion!M3</f>
        <v>2.0699999999999985</v>
      </c>
      <c r="H3" s="83">
        <f>Evaluacion!N3</f>
        <v>2.149999999999999</v>
      </c>
      <c r="I3" s="83">
        <f>Evaluacion!O3</f>
        <v>0.95</v>
      </c>
      <c r="J3" s="83">
        <f>Evaluacion!P3</f>
        <v>0</v>
      </c>
      <c r="K3" s="83">
        <f>Evaluacion!Q3</f>
        <v>18.2</v>
      </c>
      <c r="M3" t="s">
        <v>1</v>
      </c>
      <c r="N3" s="262">
        <v>1</v>
      </c>
      <c r="O3" s="263">
        <f ca="1">Evaluacion!X3</f>
        <v>15.721407074755762</v>
      </c>
      <c r="P3" s="263">
        <f ca="1">Evaluacion!Y3</f>
        <v>23.169483486265392</v>
      </c>
      <c r="Q3" s="263">
        <f ca="1">Evaluacion!Z3</f>
        <v>15.721407074755762</v>
      </c>
      <c r="R3" s="263">
        <v>0</v>
      </c>
      <c r="S3" s="263">
        <v>0</v>
      </c>
      <c r="T3" s="263">
        <v>0</v>
      </c>
      <c r="U3" s="263">
        <v>0</v>
      </c>
      <c r="V3" s="263">
        <v>0</v>
      </c>
      <c r="W3" s="263">
        <f>Evaluacion!T3</f>
        <v>0.54600000000000004</v>
      </c>
      <c r="X3" s="263">
        <f>Evaluacion!U3</f>
        <v>1.024</v>
      </c>
      <c r="Y3" s="267"/>
    </row>
    <row r="4" spans="2:25" x14ac:dyDescent="0.25">
      <c r="B4" t="s">
        <v>360</v>
      </c>
      <c r="C4" t="str">
        <f>Evaluacion!A6</f>
        <v>B. Bartolache</v>
      </c>
      <c r="D4" s="297"/>
      <c r="E4" s="83">
        <f>Evaluacion!K6</f>
        <v>0</v>
      </c>
      <c r="F4" s="83">
        <f>Evaluacion!L6</f>
        <v>11.95</v>
      </c>
      <c r="G4" s="83">
        <f>Evaluacion!M6</f>
        <v>5.95</v>
      </c>
      <c r="H4" s="83">
        <f>Evaluacion!N6</f>
        <v>6.95</v>
      </c>
      <c r="I4" s="83">
        <f>Evaluacion!O6</f>
        <v>7.95</v>
      </c>
      <c r="J4" s="83">
        <f>Evaluacion!P6</f>
        <v>2.95</v>
      </c>
      <c r="K4" s="83">
        <f>Evaluacion!Q6</f>
        <v>16</v>
      </c>
      <c r="M4" t="s">
        <v>360</v>
      </c>
      <c r="N4" s="262">
        <v>1</v>
      </c>
      <c r="O4" s="263">
        <f>Evaluacion!AI6</f>
        <v>13.68884192896218</v>
      </c>
      <c r="P4" s="263">
        <f>Evaluacion!AJ6</f>
        <v>6.1599788680329803</v>
      </c>
      <c r="Q4" s="263">
        <v>0</v>
      </c>
      <c r="R4" s="263">
        <f>Evaluacion!AK6</f>
        <v>1.4828223936268308</v>
      </c>
      <c r="S4" s="263">
        <f>Evaluacion!AL6</f>
        <v>5.8089554937280017</v>
      </c>
      <c r="T4" s="263">
        <v>0</v>
      </c>
      <c r="U4" s="263">
        <v>0</v>
      </c>
      <c r="V4" s="263">
        <f>Evaluacion!R6</f>
        <v>3.8562499999999997</v>
      </c>
      <c r="W4" s="263">
        <f>Evaluacion!T6</f>
        <v>0.62750000000000006</v>
      </c>
      <c r="X4" s="263">
        <f>Evaluacion!U6</f>
        <v>0.95799999999999996</v>
      </c>
    </row>
    <row r="5" spans="2:25" x14ac:dyDescent="0.25">
      <c r="B5" t="s">
        <v>361</v>
      </c>
      <c r="C5" t="str">
        <f>Evaluacion!A14</f>
        <v>G. Piscaer</v>
      </c>
      <c r="D5" s="297"/>
      <c r="E5" s="83">
        <f>Evaluacion!K14</f>
        <v>0</v>
      </c>
      <c r="F5" s="83">
        <f>Evaluacion!L14</f>
        <v>4</v>
      </c>
      <c r="G5" s="83">
        <f>Evaluacion!M14</f>
        <v>8.1999999999999993</v>
      </c>
      <c r="H5" s="83">
        <f>Evaluacion!N14</f>
        <v>3</v>
      </c>
      <c r="I5" s="83">
        <f>Evaluacion!O14</f>
        <v>2</v>
      </c>
      <c r="J5" s="83">
        <f>Evaluacion!P14</f>
        <v>8</v>
      </c>
      <c r="K5" s="83">
        <f>Evaluacion!Q14</f>
        <v>0</v>
      </c>
      <c r="M5" t="s">
        <v>361</v>
      </c>
      <c r="N5" s="262">
        <v>1</v>
      </c>
      <c r="O5" s="263">
        <f ca="1">(Evaluacion!AA14+Evaluacion!AC14)/2</f>
        <v>1.7231061664897007</v>
      </c>
      <c r="P5" s="263">
        <f ca="1">Evaluacion!AB14</f>
        <v>4.4524707144436704</v>
      </c>
      <c r="Q5" s="263">
        <f ca="1">O5</f>
        <v>1.7231061664897007</v>
      </c>
      <c r="R5" s="263">
        <f ca="1">Evaluacion!AD14</f>
        <v>2.0592880300375938</v>
      </c>
      <c r="S5" s="263">
        <v>0</v>
      </c>
      <c r="T5" s="263">
        <v>0</v>
      </c>
      <c r="U5" s="263">
        <v>0</v>
      </c>
      <c r="V5" s="263">
        <f>Evaluacion!R14</f>
        <v>1.375</v>
      </c>
      <c r="W5" s="263">
        <f>Evaluacion!T14</f>
        <v>0.4</v>
      </c>
      <c r="X5" s="263">
        <f>Evaluacion!U14</f>
        <v>0.16</v>
      </c>
    </row>
    <row r="6" spans="2:25" x14ac:dyDescent="0.25">
      <c r="B6" t="s">
        <v>360</v>
      </c>
      <c r="C6" t="str">
        <f>Evaluacion!A9</f>
        <v>S. Buschelman</v>
      </c>
      <c r="D6" s="297" t="str">
        <f>Evaluacion!D9</f>
        <v>TEC</v>
      </c>
      <c r="E6" s="83">
        <f>Evaluacion!K9</f>
        <v>0</v>
      </c>
      <c r="F6" s="83">
        <f>Evaluacion!L9</f>
        <v>9.3036666666666648</v>
      </c>
      <c r="G6" s="83">
        <f>Evaluacion!M9</f>
        <v>14</v>
      </c>
      <c r="H6" s="83">
        <f>Evaluacion!N9</f>
        <v>12.945</v>
      </c>
      <c r="I6" s="83">
        <f>Evaluacion!O9</f>
        <v>9.9499999999999993</v>
      </c>
      <c r="J6" s="83">
        <f>Evaluacion!P9</f>
        <v>3.95</v>
      </c>
      <c r="K6" s="83">
        <f>Evaluacion!Q9</f>
        <v>16</v>
      </c>
      <c r="M6" t="s">
        <v>360</v>
      </c>
      <c r="N6" s="262">
        <v>1</v>
      </c>
      <c r="O6" s="263">
        <v>0</v>
      </c>
      <c r="P6" s="263">
        <f>Evaluacion!AJ9</f>
        <v>5.1187024668980152</v>
      </c>
      <c r="Q6" s="263">
        <f>Evaluacion!AI9</f>
        <v>11.37489437088448</v>
      </c>
      <c r="R6" s="263">
        <f>Evaluacion!AK9</f>
        <v>2.8490782752946107</v>
      </c>
      <c r="S6" s="263">
        <v>0</v>
      </c>
      <c r="T6" s="263">
        <f>0</f>
        <v>0</v>
      </c>
      <c r="U6" s="263">
        <f>Evaluacion!AL9</f>
        <v>9.4111451848696461</v>
      </c>
      <c r="V6" s="263">
        <f>Evaluacion!R9</f>
        <v>4.0254583333333329</v>
      </c>
      <c r="W6" s="263">
        <f>Evaluacion!T9</f>
        <v>0.67749999999999999</v>
      </c>
      <c r="X6" s="263">
        <f>Evaluacion!U9</f>
        <v>0.8521466666666665</v>
      </c>
    </row>
    <row r="7" spans="2:25" x14ac:dyDescent="0.25">
      <c r="B7" t="s">
        <v>221</v>
      </c>
      <c r="C7" t="str">
        <f>Evaluacion!A12</f>
        <v>I. Vanags</v>
      </c>
      <c r="D7" s="297" t="str">
        <f>Evaluacion!D12</f>
        <v>CAB</v>
      </c>
      <c r="E7" s="83">
        <f>Evaluacion!K12</f>
        <v>0</v>
      </c>
      <c r="F7" s="83">
        <f>Evaluacion!L12</f>
        <v>4</v>
      </c>
      <c r="G7" s="83">
        <f>Evaluacion!M12</f>
        <v>7.4</v>
      </c>
      <c r="H7" s="83">
        <f>Evaluacion!N12</f>
        <v>3</v>
      </c>
      <c r="I7" s="83">
        <f>Evaluacion!O12</f>
        <v>4</v>
      </c>
      <c r="J7" s="83">
        <f>Evaluacion!P12</f>
        <v>7</v>
      </c>
      <c r="K7" s="83">
        <f>Evaluacion!Q12</f>
        <v>6</v>
      </c>
      <c r="M7" t="s">
        <v>221</v>
      </c>
      <c r="N7" s="262">
        <v>0.82499999999999996</v>
      </c>
      <c r="O7" s="263">
        <f ca="1">Evaluacion!BE12*N7</f>
        <v>0.86574315395015466</v>
      </c>
      <c r="P7" s="263">
        <f ca="1">Evaluacion!BF12*N7</f>
        <v>1.0353217098785352</v>
      </c>
      <c r="Q7" s="263">
        <v>0</v>
      </c>
      <c r="R7" s="263">
        <f ca="1">Evaluacion!BG12*N7</f>
        <v>5.0922349609281321</v>
      </c>
      <c r="S7" s="263">
        <f ca="1">Evaluacion!BH12*N7</f>
        <v>2.1712804600057987</v>
      </c>
      <c r="T7" s="263">
        <f ca="1">Evaluacion!BI12*N7</f>
        <v>0.71699003471473277</v>
      </c>
      <c r="U7" s="263">
        <v>0</v>
      </c>
      <c r="V7" s="263">
        <v>0</v>
      </c>
      <c r="W7" s="263">
        <f>Evaluacion!T12*N7</f>
        <v>0.43724999999999997</v>
      </c>
      <c r="X7" s="263">
        <f>Evaluacion!U12*N7</f>
        <v>0.28049999999999997</v>
      </c>
    </row>
    <row r="8" spans="2:25" x14ac:dyDescent="0.25">
      <c r="B8" t="s">
        <v>362</v>
      </c>
      <c r="C8" t="str">
        <f>Evaluacion!A15</f>
        <v>M. Bondarewski</v>
      </c>
      <c r="D8" s="297"/>
      <c r="E8" s="83">
        <f>Evaluacion!K15</f>
        <v>0</v>
      </c>
      <c r="F8" s="83">
        <f>Evaluacion!L15</f>
        <v>2</v>
      </c>
      <c r="G8" s="83">
        <f>Evaluacion!M15</f>
        <v>8.4</v>
      </c>
      <c r="H8" s="83">
        <f>Evaluacion!N15</f>
        <v>5</v>
      </c>
      <c r="I8" s="83">
        <f>Evaluacion!O15</f>
        <v>4</v>
      </c>
      <c r="J8" s="83">
        <f>Evaluacion!P15</f>
        <v>8</v>
      </c>
      <c r="K8" s="83">
        <f>Evaluacion!Q15</f>
        <v>6</v>
      </c>
      <c r="M8" t="s">
        <v>362</v>
      </c>
      <c r="N8" s="262">
        <v>0.82499999999999996</v>
      </c>
      <c r="O8" s="263">
        <f ca="1">((Evaluacion!AX15+Evaluacion!AZ15)/2)*N8</f>
        <v>0.28101316067857374</v>
      </c>
      <c r="P8" s="263">
        <f ca="1">Evaluacion!AY15*N8</f>
        <v>0.79298246399597527</v>
      </c>
      <c r="Q8" s="263">
        <f ca="1">O8</f>
        <v>0.28101316067857374</v>
      </c>
      <c r="R8" s="263">
        <f ca="1">Evaluacion!BA15*N8</f>
        <v>7.2624561599899371</v>
      </c>
      <c r="S8" s="263">
        <f ca="1">((Evaluacion!BB15+Evaluacion!BD15)/2)*N8</f>
        <v>0.68925855635809075</v>
      </c>
      <c r="T8" s="263">
        <f ca="1">Evaluacion!BC15*N8</f>
        <v>2.694483344154456</v>
      </c>
      <c r="U8" s="263">
        <f ca="1">S8</f>
        <v>0.68925855635809075</v>
      </c>
      <c r="V8" s="263">
        <v>0</v>
      </c>
      <c r="W8" s="263">
        <f>Evaluacion!T15*N8</f>
        <v>0.47849999999999993</v>
      </c>
      <c r="X8" s="263">
        <f>Evaluacion!U15*N8</f>
        <v>0.21449999999999994</v>
      </c>
    </row>
    <row r="9" spans="2:25" x14ac:dyDescent="0.25">
      <c r="B9" t="s">
        <v>221</v>
      </c>
      <c r="C9" t="str">
        <f>Evaluacion!A13</f>
        <v>I. Stone</v>
      </c>
      <c r="D9" s="297" t="str">
        <f>Evaluacion!D13</f>
        <v>RAP</v>
      </c>
      <c r="E9" s="83">
        <f>Evaluacion!K13</f>
        <v>0</v>
      </c>
      <c r="F9" s="83">
        <f>Evaluacion!L13</f>
        <v>3</v>
      </c>
      <c r="G9" s="83">
        <f>Evaluacion!M13</f>
        <v>5.25</v>
      </c>
      <c r="H9" s="83">
        <f>Evaluacion!N13</f>
        <v>2</v>
      </c>
      <c r="I9" s="83">
        <f>Evaluacion!O13</f>
        <v>6</v>
      </c>
      <c r="J9" s="83">
        <f>Evaluacion!P13</f>
        <v>9</v>
      </c>
      <c r="K9" s="83">
        <f>Evaluacion!Q13</f>
        <v>2</v>
      </c>
      <c r="M9" t="s">
        <v>221</v>
      </c>
      <c r="N9" s="262">
        <v>0.82499999999999996</v>
      </c>
      <c r="O9" s="263">
        <v>0</v>
      </c>
      <c r="P9" s="263">
        <f ca="1">Evaluacion!BF13*N9</f>
        <v>0.91786205214093963</v>
      </c>
      <c r="Q9" s="263">
        <f ca="1">Evaluacion!BE13*N9</f>
        <v>0.76752257808337188</v>
      </c>
      <c r="R9" s="263">
        <f ca="1">Evaluacion!BG13*N9</f>
        <v>3.9590242613108275</v>
      </c>
      <c r="S9" s="263">
        <v>0</v>
      </c>
      <c r="T9" s="263">
        <f ca="1">Evaluacion!BI13*N9</f>
        <v>1.2321208464539266</v>
      </c>
      <c r="U9" s="263">
        <f ca="1">Evaluacion!BH13*N9</f>
        <v>2.6508432883715383</v>
      </c>
      <c r="V9" s="263">
        <v>0</v>
      </c>
      <c r="W9" s="263">
        <f>Evaluacion!T13*N9</f>
        <v>0.42074999999999996</v>
      </c>
      <c r="X9" s="263">
        <f>Evaluacion!U13*N9</f>
        <v>0.14850000000000002</v>
      </c>
    </row>
    <row r="10" spans="2:25" x14ac:dyDescent="0.25">
      <c r="B10" t="s">
        <v>363</v>
      </c>
      <c r="C10" t="e">
        <f>Evaluacion!#REF!</f>
        <v>#REF!</v>
      </c>
      <c r="D10" s="297" t="e">
        <f>Evaluacion!#REF!</f>
        <v>#REF!</v>
      </c>
      <c r="E10" s="83" t="e">
        <f>Evaluacion!#REF!</f>
        <v>#REF!</v>
      </c>
      <c r="F10" s="83" t="e">
        <f>Evaluacion!#REF!</f>
        <v>#REF!</v>
      </c>
      <c r="G10" s="83" t="e">
        <f>Evaluacion!#REF!</f>
        <v>#REF!</v>
      </c>
      <c r="H10" s="83" t="e">
        <f>Evaluacion!#REF!</f>
        <v>#REF!</v>
      </c>
      <c r="I10" s="83" t="e">
        <f>Evaluacion!#REF!</f>
        <v>#REF!</v>
      </c>
      <c r="J10" s="83" t="e">
        <f>Evaluacion!#REF!</f>
        <v>#REF!</v>
      </c>
      <c r="K10" s="83" t="e">
        <f>Evaluacion!#REF!</f>
        <v>#REF!</v>
      </c>
      <c r="M10" t="s">
        <v>363</v>
      </c>
      <c r="N10" s="262">
        <v>1</v>
      </c>
      <c r="O10" s="263" t="e">
        <f>Evaluacion!#REF!</f>
        <v>#REF!</v>
      </c>
      <c r="P10" s="263" t="e">
        <f>Evaluacion!#REF!</f>
        <v>#REF!</v>
      </c>
      <c r="Q10" s="263">
        <v>0</v>
      </c>
      <c r="R10" s="263" t="e">
        <f>Evaluacion!#REF!</f>
        <v>#REF!</v>
      </c>
      <c r="S10" s="263" t="e">
        <f>Evaluacion!#REF!</f>
        <v>#REF!</v>
      </c>
      <c r="T10" s="263" t="e">
        <f>Evaluacion!#REF!</f>
        <v>#REF!</v>
      </c>
      <c r="U10" s="263">
        <v>0</v>
      </c>
      <c r="V10" s="263">
        <v>0</v>
      </c>
      <c r="W10" s="263" t="e">
        <f>Evaluacion!#REF!*N10</f>
        <v>#REF!</v>
      </c>
      <c r="X10" s="263" t="e">
        <f>Evaluacion!#REF!*N10</f>
        <v>#REF!</v>
      </c>
    </row>
    <row r="11" spans="2:25" x14ac:dyDescent="0.25">
      <c r="B11" t="s">
        <v>363</v>
      </c>
      <c r="C11" t="str">
        <f>Evaluacion!A10</f>
        <v>E. Gross</v>
      </c>
      <c r="D11" s="297">
        <f>Evaluacion!D10</f>
        <v>0</v>
      </c>
      <c r="E11" s="83">
        <f>Evaluacion!K10</f>
        <v>0</v>
      </c>
      <c r="F11" s="83">
        <f>Evaluacion!L10</f>
        <v>10.549999999999995</v>
      </c>
      <c r="G11" s="83">
        <f>Evaluacion!M10</f>
        <v>12.95</v>
      </c>
      <c r="H11" s="83">
        <f>Evaluacion!N10</f>
        <v>3.95</v>
      </c>
      <c r="I11" s="83">
        <f>Evaluacion!O10</f>
        <v>8.9499999999999993</v>
      </c>
      <c r="J11" s="83">
        <f>Evaluacion!P10</f>
        <v>0.95</v>
      </c>
      <c r="K11" s="83">
        <f>Evaluacion!Q10</f>
        <v>17.3</v>
      </c>
      <c r="M11" t="s">
        <v>363</v>
      </c>
      <c r="N11" s="262">
        <v>1</v>
      </c>
      <c r="O11" s="263">
        <v>0</v>
      </c>
      <c r="P11" s="263">
        <f>Evaluacion!BU10</f>
        <v>3.3036855948533406</v>
      </c>
      <c r="Q11" s="263">
        <f>Evaluacion!BT10</f>
        <v>3.8452733972883144</v>
      </c>
      <c r="R11" s="263">
        <f>Evaluacion!BV10</f>
        <v>7.2525612526978298</v>
      </c>
      <c r="S11" s="263">
        <v>0</v>
      </c>
      <c r="T11" s="263">
        <f>Evaluacion!BX10</f>
        <v>1.4447031023657964</v>
      </c>
      <c r="U11" s="263">
        <f>Evaluacion!BW10</f>
        <v>8.9091821274487817</v>
      </c>
      <c r="V11" s="263">
        <v>0</v>
      </c>
      <c r="W11" s="263">
        <f>Evaluacion!T10*N11</f>
        <v>0.5665</v>
      </c>
      <c r="X11" s="263">
        <f>Evaluacion!U10*N11</f>
        <v>0.94099999999999984</v>
      </c>
    </row>
    <row r="12" spans="2:25" x14ac:dyDescent="0.25">
      <c r="B12" t="s">
        <v>64</v>
      </c>
      <c r="C12" t="str">
        <f>Evaluacion!A18</f>
        <v>K. Nelson</v>
      </c>
      <c r="D12" s="297">
        <f>Evaluacion!D18</f>
        <v>0</v>
      </c>
      <c r="E12" s="83">
        <f>Evaluacion!K18</f>
        <v>0</v>
      </c>
      <c r="F12" s="83">
        <f>Evaluacion!L18</f>
        <v>5</v>
      </c>
      <c r="G12" s="83">
        <f>Evaluacion!M18</f>
        <v>6.1583333333333332</v>
      </c>
      <c r="H12" s="83">
        <f>Evaluacion!N18</f>
        <v>2</v>
      </c>
      <c r="I12" s="83">
        <f>Evaluacion!O18</f>
        <v>3</v>
      </c>
      <c r="J12" s="83">
        <f>Evaluacion!P18</f>
        <v>9</v>
      </c>
      <c r="K12" s="83">
        <f>Evaluacion!Q18</f>
        <v>1</v>
      </c>
      <c r="M12" t="s">
        <v>64</v>
      </c>
      <c r="N12" s="262">
        <v>0.94499999999999995</v>
      </c>
      <c r="O12" s="263">
        <v>0</v>
      </c>
      <c r="P12" s="263">
        <v>0</v>
      </c>
      <c r="Q12" s="263">
        <v>0</v>
      </c>
      <c r="R12" s="263">
        <f ca="1">N12*Evaluacion!CK18</f>
        <v>1.5703117661069972</v>
      </c>
      <c r="S12" s="263">
        <f ca="1">N12*Evaluacion!CH18</f>
        <v>3.5284560820592037</v>
      </c>
      <c r="T12" s="263">
        <f ca="1">N12*Evaluacion!CI18</f>
        <v>10.183075606201919</v>
      </c>
      <c r="U12" s="263">
        <f ca="1">S12</f>
        <v>3.5284560820592037</v>
      </c>
      <c r="V12" s="263">
        <v>0</v>
      </c>
      <c r="W12" s="263">
        <f>Evaluacion!T18*N12</f>
        <v>0.45359999999999995</v>
      </c>
      <c r="X12" s="263">
        <f>Evaluacion!U18*N12</f>
        <v>0.21734999999999996</v>
      </c>
    </row>
    <row r="13" spans="2:25" x14ac:dyDescent="0.25">
      <c r="B13" t="s">
        <v>277</v>
      </c>
      <c r="C13" t="str">
        <f>Evaluacion!A19</f>
        <v>V. Godoi</v>
      </c>
      <c r="D13" s="297">
        <f>Evaluacion!D19</f>
        <v>0</v>
      </c>
      <c r="E13" s="83">
        <f>Evaluacion!K19</f>
        <v>0</v>
      </c>
      <c r="F13" s="83">
        <f>Evaluacion!L19</f>
        <v>3</v>
      </c>
      <c r="G13" s="83">
        <f>Evaluacion!M19</f>
        <v>9</v>
      </c>
      <c r="H13" s="83">
        <f>Evaluacion!N19</f>
        <v>9</v>
      </c>
      <c r="I13" s="83">
        <f>Evaluacion!O19</f>
        <v>5</v>
      </c>
      <c r="J13" s="83">
        <f>Evaluacion!P19</f>
        <v>5</v>
      </c>
      <c r="K13" s="83">
        <f>Evaluacion!Q19</f>
        <v>1</v>
      </c>
      <c r="M13" t="s">
        <v>277</v>
      </c>
      <c r="N13" s="262">
        <f>1-0.055</f>
        <v>0.94499999999999995</v>
      </c>
      <c r="O13" s="263">
        <v>0</v>
      </c>
      <c r="P13" s="263">
        <v>0</v>
      </c>
      <c r="Q13" s="263">
        <v>0</v>
      </c>
      <c r="R13" s="263">
        <f ca="1">N13*Evaluacion!CD19</f>
        <v>3.8016338023985767</v>
      </c>
      <c r="S13" s="263">
        <f ca="1">N13*Evaluacion!CE19</f>
        <v>3.4533912587429998</v>
      </c>
      <c r="T13" s="263">
        <f ca="1">N13*Evaluacion!CF19</f>
        <v>6.2871674421201877</v>
      </c>
      <c r="U13" s="263">
        <f ca="1">S13</f>
        <v>3.4533912587429998</v>
      </c>
      <c r="V13" s="263">
        <v>0</v>
      </c>
      <c r="W13" s="263">
        <f>Evaluacion!T19*N13</f>
        <v>0.26459999999999995</v>
      </c>
      <c r="X13" s="263">
        <f>Evaluacion!U19*N13</f>
        <v>0.14175000000000001</v>
      </c>
    </row>
    <row r="14" spans="2:25" x14ac:dyDescent="0.25">
      <c r="M14" s="81"/>
      <c r="N14" s="188"/>
      <c r="O14" s="264" t="e">
        <f ca="1">SUM(O3:O13)</f>
        <v>#REF!</v>
      </c>
      <c r="P14" s="264" t="e">
        <f t="shared" ref="P14:X14" ca="1" si="0">SUM(P3:P13)</f>
        <v>#REF!</v>
      </c>
      <c r="Q14" s="264">
        <f t="shared" ca="1" si="0"/>
        <v>33.713216748180201</v>
      </c>
      <c r="R14" s="264" t="e">
        <f t="shared" ca="1" si="0"/>
        <v>#REF!</v>
      </c>
      <c r="S14" s="264" t="e">
        <f t="shared" ca="1" si="0"/>
        <v>#REF!</v>
      </c>
      <c r="T14" s="264" t="e">
        <f t="shared" ca="1" si="0"/>
        <v>#REF!</v>
      </c>
      <c r="U14" s="264">
        <f t="shared" ca="1" si="0"/>
        <v>28.642276497850261</v>
      </c>
      <c r="V14" s="315">
        <f t="shared" si="0"/>
        <v>9.2567083333333322</v>
      </c>
      <c r="W14" s="315" t="e">
        <f t="shared" si="0"/>
        <v>#REF!</v>
      </c>
      <c r="X14" s="315" t="e">
        <f t="shared" si="0"/>
        <v>#REF!</v>
      </c>
    </row>
    <row r="15" spans="2:25" ht="15.75" x14ac:dyDescent="0.25">
      <c r="M15" s="81"/>
      <c r="N15" s="81" t="s">
        <v>368</v>
      </c>
      <c r="O15" s="266" t="e">
        <f ca="1">O14*0.34</f>
        <v>#REF!</v>
      </c>
      <c r="P15" s="266" t="e">
        <f ca="1">P14*0.245</f>
        <v>#REF!</v>
      </c>
      <c r="Q15" s="266">
        <f ca="1">Q14*0.34</f>
        <v>11.462493694381269</v>
      </c>
      <c r="R15" s="266" t="e">
        <f ca="1">R14*0.125</f>
        <v>#REF!</v>
      </c>
      <c r="S15" s="266" t="e">
        <f ca="1">S14*0.25</f>
        <v>#REF!</v>
      </c>
      <c r="T15" s="266" t="e">
        <f ca="1">T14*0.19</f>
        <v>#REF!</v>
      </c>
      <c r="U15" s="266">
        <f ca="1">U14*0.25</f>
        <v>7.1605691244625653</v>
      </c>
    </row>
    <row r="16" spans="2:25" ht="15.75" x14ac:dyDescent="0.25">
      <c r="M16" s="81"/>
      <c r="N16" s="81" t="s">
        <v>369</v>
      </c>
      <c r="O16" s="276" t="e">
        <f ca="1">O15*1.2/1.05</f>
        <v>#REF!</v>
      </c>
      <c r="P16" s="276" t="e">
        <f t="shared" ref="P16:Q16" ca="1" si="1">P15*1.2/1.05</f>
        <v>#REF!</v>
      </c>
      <c r="Q16" s="276">
        <f t="shared" ca="1" si="1"/>
        <v>13.099992793578592</v>
      </c>
      <c r="R16" s="276" t="e">
        <f ca="1">R15</f>
        <v>#REF!</v>
      </c>
      <c r="S16" s="276" t="e">
        <f ca="1">S15*0.925/1.05</f>
        <v>#REF!</v>
      </c>
      <c r="T16" s="276" t="e">
        <f t="shared" ref="T16:U16" ca="1" si="2">T15*0.925/1.05</f>
        <v>#REF!</v>
      </c>
      <c r="U16" s="276">
        <f t="shared" ca="1" si="2"/>
        <v>6.308120419169402</v>
      </c>
    </row>
    <row r="17" spans="13:21" ht="15.75" x14ac:dyDescent="0.25">
      <c r="M17" s="81"/>
      <c r="N17" s="81" t="s">
        <v>370</v>
      </c>
      <c r="O17" s="276" t="e">
        <f ca="1">O15*0.925/1.05</f>
        <v>#REF!</v>
      </c>
      <c r="P17" s="276" t="e">
        <f t="shared" ref="P17:Q17" ca="1" si="3">P15*0.925/1.05</f>
        <v>#REF!</v>
      </c>
      <c r="Q17" s="276">
        <f t="shared" ca="1" si="3"/>
        <v>10.097911111716833</v>
      </c>
      <c r="R17" s="276" t="e">
        <f ca="1">R16</f>
        <v>#REF!</v>
      </c>
      <c r="S17" s="276" t="e">
        <f ca="1">S15*1.135/1.05</f>
        <v>#REF!</v>
      </c>
      <c r="T17" s="276" t="e">
        <f t="shared" ref="T17:U17" ca="1" si="4">T15*1.135/1.05</f>
        <v>#REF!</v>
      </c>
      <c r="U17" s="276">
        <f t="shared" ca="1" si="4"/>
        <v>7.7402342440619165</v>
      </c>
    </row>
  </sheetData>
  <conditionalFormatting sqref="E3:K13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-0.249977111117893"/>
  </sheetPr>
  <dimension ref="A1:AA16"/>
  <sheetViews>
    <sheetView workbookViewId="0">
      <selection activeCell="Q12" sqref="Q12"/>
    </sheetView>
  </sheetViews>
  <sheetFormatPr baseColWidth="10" defaultColWidth="11.42578125" defaultRowHeight="15" x14ac:dyDescent="0.25"/>
  <cols>
    <col min="1" max="1" width="6" bestFit="1" customWidth="1"/>
    <col min="2" max="2" width="13.7109375" bestFit="1" customWidth="1"/>
    <col min="3" max="3" width="4.5703125" bestFit="1" customWidth="1"/>
    <col min="4" max="7" width="5.5703125" bestFit="1" customWidth="1"/>
    <col min="8" max="8" width="4.5703125" bestFit="1" customWidth="1"/>
    <col min="9" max="9" width="5.140625" bestFit="1" customWidth="1"/>
    <col min="10" max="10" width="5.5703125" bestFit="1" customWidth="1"/>
    <col min="11" max="11" width="5.5703125" customWidth="1"/>
    <col min="12" max="12" width="6" bestFit="1" customWidth="1"/>
    <col min="13" max="13" width="13.7109375" bestFit="1" customWidth="1"/>
    <col min="14" max="14" width="7.42578125" bestFit="1" customWidth="1"/>
    <col min="15" max="15" width="7.7109375" bestFit="1" customWidth="1"/>
    <col min="16" max="16" width="7.42578125" bestFit="1" customWidth="1"/>
    <col min="17" max="20" width="7" bestFit="1" customWidth="1"/>
    <col min="21" max="23" width="6.5703125" bestFit="1" customWidth="1"/>
  </cols>
  <sheetData>
    <row r="1" spans="1:27" x14ac:dyDescent="0.25">
      <c r="A1" s="205" t="s">
        <v>100</v>
      </c>
      <c r="B1" s="205" t="s">
        <v>71</v>
      </c>
      <c r="C1" s="205" t="s">
        <v>319</v>
      </c>
      <c r="D1" s="205" t="s">
        <v>1</v>
      </c>
      <c r="E1" s="205" t="s">
        <v>2</v>
      </c>
      <c r="F1" s="205" t="s">
        <v>326</v>
      </c>
      <c r="G1" s="205" t="s">
        <v>63</v>
      </c>
      <c r="H1" s="205" t="s">
        <v>262</v>
      </c>
      <c r="I1" s="205" t="s">
        <v>327</v>
      </c>
      <c r="J1" s="205" t="s">
        <v>0</v>
      </c>
      <c r="L1" s="261">
        <v>541</v>
      </c>
      <c r="M1" s="188" t="s">
        <v>364</v>
      </c>
      <c r="N1" s="46" t="s">
        <v>330</v>
      </c>
      <c r="O1" s="46" t="s">
        <v>365</v>
      </c>
      <c r="P1" s="46" t="s">
        <v>330</v>
      </c>
      <c r="Q1" s="46" t="s">
        <v>62</v>
      </c>
      <c r="R1" s="46" t="s">
        <v>332</v>
      </c>
      <c r="S1" s="46" t="s">
        <v>333</v>
      </c>
      <c r="T1" s="46" t="s">
        <v>332</v>
      </c>
      <c r="U1" s="46" t="s">
        <v>257</v>
      </c>
      <c r="V1" s="46" t="s">
        <v>366</v>
      </c>
      <c r="W1" s="46" t="s">
        <v>367</v>
      </c>
    </row>
    <row r="2" spans="1:27" x14ac:dyDescent="0.25">
      <c r="A2" t="s">
        <v>1</v>
      </c>
      <c r="B2" t="str">
        <f>Evaluacion!A3</f>
        <v>D. Gehmacher</v>
      </c>
      <c r="C2">
        <f>Evaluacion!D3</f>
        <v>0</v>
      </c>
      <c r="D2" s="83">
        <f>Evaluacion!K3</f>
        <v>16.666666666666668</v>
      </c>
      <c r="E2" s="83">
        <f>Evaluacion!L3</f>
        <v>11.95</v>
      </c>
      <c r="F2" s="83">
        <f>Evaluacion!M3</f>
        <v>2.0699999999999985</v>
      </c>
      <c r="G2" s="83">
        <f>Evaluacion!N3</f>
        <v>2.149999999999999</v>
      </c>
      <c r="H2" s="83">
        <f>Evaluacion!O3</f>
        <v>0.95</v>
      </c>
      <c r="I2" s="83">
        <f>Evaluacion!P3</f>
        <v>0</v>
      </c>
      <c r="J2" s="83">
        <f>Evaluacion!Q3</f>
        <v>18.2</v>
      </c>
      <c r="L2" t="str">
        <f>A2</f>
        <v>POR</v>
      </c>
      <c r="M2" s="262">
        <v>1</v>
      </c>
      <c r="N2" s="263">
        <f ca="1">Evaluacion!X3</f>
        <v>15.721407074755762</v>
      </c>
      <c r="O2" s="263">
        <f ca="1">Evaluacion!Y3</f>
        <v>23.169483486265392</v>
      </c>
      <c r="P2" s="263">
        <f ca="1">Evaluacion!Z3</f>
        <v>15.721407074755762</v>
      </c>
      <c r="Q2" s="263">
        <v>0</v>
      </c>
      <c r="R2" s="263">
        <v>0</v>
      </c>
      <c r="S2" s="263">
        <v>0</v>
      </c>
      <c r="T2" s="263">
        <v>0</v>
      </c>
      <c r="U2" s="263">
        <v>0</v>
      </c>
      <c r="V2" s="263">
        <f>Evaluacion!T3</f>
        <v>0.54600000000000004</v>
      </c>
      <c r="W2" s="263">
        <f>Evaluacion!U3</f>
        <v>1.024</v>
      </c>
      <c r="AA2" s="268"/>
    </row>
    <row r="3" spans="1:27" x14ac:dyDescent="0.25">
      <c r="A3" t="s">
        <v>360</v>
      </c>
      <c r="B3" t="str">
        <f>Evaluacion!A9</f>
        <v>S. Buschelman</v>
      </c>
      <c r="C3" t="str">
        <f>Evaluacion!D9</f>
        <v>TEC</v>
      </c>
      <c r="D3" s="83">
        <f>Evaluacion!K9</f>
        <v>0</v>
      </c>
      <c r="E3" s="83">
        <f>Evaluacion!L9</f>
        <v>9.3036666666666648</v>
      </c>
      <c r="F3" s="83">
        <f>Evaluacion!M9</f>
        <v>14</v>
      </c>
      <c r="G3" s="83">
        <f>Evaluacion!N9</f>
        <v>12.945</v>
      </c>
      <c r="H3" s="83">
        <f>Evaluacion!O9</f>
        <v>9.9499999999999993</v>
      </c>
      <c r="I3" s="83">
        <f>Evaluacion!P9</f>
        <v>3.95</v>
      </c>
      <c r="J3" s="83">
        <f>Evaluacion!Q9</f>
        <v>16</v>
      </c>
      <c r="L3" t="str">
        <f t="shared" ref="L3:L12" si="0">A3</f>
        <v>LATN</v>
      </c>
      <c r="M3" s="262">
        <v>1</v>
      </c>
      <c r="N3" s="263">
        <f>Evaluacion!AI9</f>
        <v>11.37489437088448</v>
      </c>
      <c r="O3" s="263">
        <f>Evaluacion!AJ9</f>
        <v>5.1187024668980152</v>
      </c>
      <c r="P3" s="263">
        <v>0</v>
      </c>
      <c r="Q3" s="263">
        <f>Evaluacion!AK9</f>
        <v>2.8490782752946107</v>
      </c>
      <c r="R3" s="263">
        <f>Evaluacion!AL9</f>
        <v>9.4111451848696461</v>
      </c>
      <c r="S3" s="263">
        <v>0</v>
      </c>
      <c r="T3" s="263">
        <v>0</v>
      </c>
      <c r="U3" s="263">
        <f>Evaluacion!R9</f>
        <v>4.0254583333333329</v>
      </c>
      <c r="V3" s="263">
        <f>Evaluacion!T9</f>
        <v>0.67749999999999999</v>
      </c>
      <c r="W3" s="263">
        <f>Evaluacion!U9</f>
        <v>0.8521466666666665</v>
      </c>
      <c r="AA3" s="269"/>
    </row>
    <row r="4" spans="1:27" x14ac:dyDescent="0.25">
      <c r="A4" t="s">
        <v>372</v>
      </c>
      <c r="B4" t="str">
        <f>Evaluacion!A7</f>
        <v>F. Lasprilla</v>
      </c>
      <c r="C4">
        <f>Evaluacion!D7</f>
        <v>0</v>
      </c>
      <c r="D4" s="83">
        <f>Evaluacion!K7</f>
        <v>0</v>
      </c>
      <c r="E4" s="83">
        <f>Evaluacion!L7</f>
        <v>9.6046666666666667</v>
      </c>
      <c r="F4" s="83">
        <f>Evaluacion!M7</f>
        <v>7.7607222222222223</v>
      </c>
      <c r="G4" s="83">
        <f>Evaluacion!N7</f>
        <v>6.1599999999999984</v>
      </c>
      <c r="H4" s="83">
        <f>Evaluacion!O7</f>
        <v>8.8633333333333315</v>
      </c>
      <c r="I4" s="83">
        <f>Evaluacion!P7</f>
        <v>2.95</v>
      </c>
      <c r="J4" s="83">
        <f>Evaluacion!Q7</f>
        <v>13.33611111111111</v>
      </c>
      <c r="L4" t="str">
        <f t="shared" si="0"/>
        <v>DCHL</v>
      </c>
      <c r="M4" s="262">
        <v>0.9</v>
      </c>
      <c r="N4" s="263">
        <f>M4*Evaluacion!AM7</f>
        <v>8.2588701291456008</v>
      </c>
      <c r="O4" s="263">
        <f>M4*Evaluacion!AN7</f>
        <v>7.755013330815764</v>
      </c>
      <c r="P4" s="263">
        <v>0</v>
      </c>
      <c r="Q4" s="263">
        <f>M4*Evaluacion!AO7</f>
        <v>2.3900553461104979</v>
      </c>
      <c r="R4" s="263">
        <f>M4*Evaluacion!AP7</f>
        <v>1.6477872938911577</v>
      </c>
      <c r="S4" s="263">
        <v>0</v>
      </c>
      <c r="T4" s="263">
        <v>0</v>
      </c>
      <c r="U4" s="263">
        <f>Evaluacion!R7</f>
        <v>3.7914166666666662</v>
      </c>
      <c r="V4" s="263">
        <f>Evaluacion!T7*M4</f>
        <v>0.4928249999999999</v>
      </c>
      <c r="W4" s="263">
        <f>Evaluacion!U7*M4</f>
        <v>0.70584299999999989</v>
      </c>
      <c r="AA4" s="269"/>
    </row>
    <row r="5" spans="1:27" x14ac:dyDescent="0.25">
      <c r="A5" t="s">
        <v>371</v>
      </c>
      <c r="B5" t="str">
        <f>Evaluacion!A6</f>
        <v>B. Bartolache</v>
      </c>
      <c r="C5">
        <f>Evaluacion!D6</f>
        <v>0</v>
      </c>
      <c r="D5" s="83">
        <f>Evaluacion!K6</f>
        <v>0</v>
      </c>
      <c r="E5" s="83">
        <f>Evaluacion!L6</f>
        <v>11.95</v>
      </c>
      <c r="F5" s="83">
        <f>Evaluacion!M6</f>
        <v>5.95</v>
      </c>
      <c r="G5" s="83">
        <f>Evaluacion!N6</f>
        <v>6.95</v>
      </c>
      <c r="H5" s="83">
        <f>Evaluacion!O6</f>
        <v>7.95</v>
      </c>
      <c r="I5" s="83">
        <f>Evaluacion!P6</f>
        <v>2.95</v>
      </c>
      <c r="J5" s="83">
        <f>Evaluacion!Q6</f>
        <v>16</v>
      </c>
      <c r="L5" t="str">
        <f t="shared" si="0"/>
        <v>DCN</v>
      </c>
      <c r="M5" s="262">
        <v>0.9</v>
      </c>
      <c r="N5" s="263">
        <f>M5*(Evaluacion!AA6+Evaluacion!AC6)/2</f>
        <v>5.1824170041929651</v>
      </c>
      <c r="O5" s="263">
        <f>M5*Evaluacion!AB6</f>
        <v>13.391258408767349</v>
      </c>
      <c r="P5" s="263">
        <f>N5</f>
        <v>5.1824170041929651</v>
      </c>
      <c r="Q5" s="263">
        <f>M5*Evaluacion!AD6</f>
        <v>1.9019195012866297</v>
      </c>
      <c r="R5" s="263">
        <v>0</v>
      </c>
      <c r="S5" s="263">
        <f>0</f>
        <v>0</v>
      </c>
      <c r="T5" s="263">
        <v>0</v>
      </c>
      <c r="U5" s="263">
        <f>Evaluacion!R6</f>
        <v>3.8562499999999997</v>
      </c>
      <c r="V5" s="263">
        <f>Evaluacion!T6*M5</f>
        <v>0.56475000000000009</v>
      </c>
      <c r="W5" s="263">
        <f>Evaluacion!U6*M5</f>
        <v>0.86219999999999997</v>
      </c>
      <c r="AA5" s="269"/>
    </row>
    <row r="6" spans="1:27" x14ac:dyDescent="0.25">
      <c r="A6" t="s">
        <v>372</v>
      </c>
      <c r="B6" t="str">
        <f>Evaluacion!A5</f>
        <v>E. Toney</v>
      </c>
      <c r="C6">
        <f>Evaluacion!D5</f>
        <v>0</v>
      </c>
      <c r="D6" s="83">
        <f>Evaluacion!K5</f>
        <v>0</v>
      </c>
      <c r="E6" s="83">
        <f>Evaluacion!L5</f>
        <v>11.95</v>
      </c>
      <c r="F6" s="83">
        <f>Evaluacion!M5</f>
        <v>12.95</v>
      </c>
      <c r="G6" s="83">
        <f>Evaluacion!N5</f>
        <v>8.9499999999999993</v>
      </c>
      <c r="H6" s="83">
        <f>Evaluacion!O5</f>
        <v>8.9499999999999993</v>
      </c>
      <c r="I6" s="83">
        <f>Evaluacion!P5</f>
        <v>1.95</v>
      </c>
      <c r="J6" s="83">
        <f>Evaluacion!Q5</f>
        <v>17.177777777777774</v>
      </c>
      <c r="L6" t="str">
        <f t="shared" si="0"/>
        <v>DCHL</v>
      </c>
      <c r="M6" s="262">
        <v>0.9</v>
      </c>
      <c r="N6" s="263">
        <v>0</v>
      </c>
      <c r="O6" s="263">
        <f>M6*Evaluacion!AN5</f>
        <v>9.6368195203357683</v>
      </c>
      <c r="P6" s="263">
        <f>M6*Evaluacion!AM5</f>
        <v>10.262940562617469</v>
      </c>
      <c r="Q6" s="263">
        <f>M6*Evaluacion!AO5</f>
        <v>3.0588266100227024</v>
      </c>
      <c r="R6" s="263">
        <v>0</v>
      </c>
      <c r="S6" s="263">
        <v>0</v>
      </c>
      <c r="T6" s="263">
        <f>M6*Evaluacion!AP5</f>
        <v>1.8869621777637025</v>
      </c>
      <c r="U6" s="263">
        <f>Evaluacion!R5</f>
        <v>4.1062499999999993</v>
      </c>
      <c r="V6" s="263">
        <f>Evaluacion!T5*M6</f>
        <v>0.55154999999999987</v>
      </c>
      <c r="W6" s="263">
        <f>Evaluacion!U5*M6</f>
        <v>0.89399999999999991</v>
      </c>
      <c r="AA6" s="269"/>
    </row>
    <row r="7" spans="1:27" x14ac:dyDescent="0.25">
      <c r="A7" t="s">
        <v>360</v>
      </c>
      <c r="B7" t="e">
        <f>Evaluacion!#REF!</f>
        <v>#REF!</v>
      </c>
      <c r="C7" t="e">
        <f>Evaluacion!#REF!</f>
        <v>#REF!</v>
      </c>
      <c r="D7" s="83" t="e">
        <f>Evaluacion!#REF!</f>
        <v>#REF!</v>
      </c>
      <c r="E7" s="83" t="e">
        <f>Evaluacion!#REF!</f>
        <v>#REF!</v>
      </c>
      <c r="F7" s="83" t="e">
        <f>Evaluacion!#REF!</f>
        <v>#REF!</v>
      </c>
      <c r="G7" s="83" t="e">
        <f>Evaluacion!#REF!</f>
        <v>#REF!</v>
      </c>
      <c r="H7" s="83" t="e">
        <f>Evaluacion!#REF!</f>
        <v>#REF!</v>
      </c>
      <c r="I7" s="83" t="e">
        <f>Evaluacion!#REF!</f>
        <v>#REF!</v>
      </c>
      <c r="J7" s="83" t="e">
        <f>Evaluacion!#REF!</f>
        <v>#REF!</v>
      </c>
      <c r="L7" t="str">
        <f t="shared" si="0"/>
        <v>LATN</v>
      </c>
      <c r="M7" s="262">
        <v>1</v>
      </c>
      <c r="N7" s="263">
        <v>0</v>
      </c>
      <c r="O7" s="263" t="e">
        <f>Evaluacion!#REF!</f>
        <v>#REF!</v>
      </c>
      <c r="P7" s="263" t="e">
        <f>Evaluacion!#REF!</f>
        <v>#REF!</v>
      </c>
      <c r="Q7" s="263" t="e">
        <f>Evaluacion!#REF!</f>
        <v>#REF!</v>
      </c>
      <c r="R7" s="263">
        <v>0</v>
      </c>
      <c r="S7" s="263">
        <v>0</v>
      </c>
      <c r="T7" s="263" t="e">
        <f>Evaluacion!#REF!</f>
        <v>#REF!</v>
      </c>
      <c r="U7" s="263" t="e">
        <f>Evaluacion!#REF!</f>
        <v>#REF!</v>
      </c>
      <c r="V7" s="263" t="e">
        <f>Evaluacion!#REF!</f>
        <v>#REF!</v>
      </c>
      <c r="W7" s="263" t="e">
        <f>Evaluacion!#REF!</f>
        <v>#REF!</v>
      </c>
      <c r="AA7" s="269"/>
    </row>
    <row r="8" spans="1:27" x14ac:dyDescent="0.25">
      <c r="A8" t="s">
        <v>221</v>
      </c>
      <c r="B8" t="str">
        <f>Evaluacion!A13</f>
        <v>I. Stone</v>
      </c>
      <c r="C8" t="str">
        <f>Evaluacion!D13</f>
        <v>RAP</v>
      </c>
      <c r="D8" s="83">
        <f>Evaluacion!K13</f>
        <v>0</v>
      </c>
      <c r="E8" s="83">
        <f>Evaluacion!L13</f>
        <v>3</v>
      </c>
      <c r="F8" s="83">
        <f>Evaluacion!M13</f>
        <v>5.25</v>
      </c>
      <c r="G8" s="83">
        <f>Evaluacion!N13</f>
        <v>2</v>
      </c>
      <c r="H8" s="83">
        <f>Evaluacion!O13</f>
        <v>6</v>
      </c>
      <c r="I8" s="83">
        <f>Evaluacion!P13</f>
        <v>9</v>
      </c>
      <c r="J8" s="83">
        <f>Evaluacion!Q13</f>
        <v>2</v>
      </c>
      <c r="L8" t="str">
        <f t="shared" si="0"/>
        <v>IHL</v>
      </c>
      <c r="M8" s="262">
        <f>1-0.065</f>
        <v>0.93500000000000005</v>
      </c>
      <c r="N8" s="263">
        <f ca="1">M8*Evaluacion!BE13</f>
        <v>0.86985892182782154</v>
      </c>
      <c r="O8" s="263">
        <f ca="1">M8*Evaluacion!BF13</f>
        <v>1.040243659093065</v>
      </c>
      <c r="P8" s="263">
        <v>0</v>
      </c>
      <c r="Q8" s="263">
        <f ca="1">Evaluacion!BG13*M8</f>
        <v>4.4868941628189383</v>
      </c>
      <c r="R8" s="263">
        <f ca="1">Evaluacion!BH13*M8</f>
        <v>3.0042890601544103</v>
      </c>
      <c r="S8" s="263">
        <f ca="1">Evaluacion!BI13*M8</f>
        <v>1.396403625981117</v>
      </c>
      <c r="T8" s="263">
        <v>0</v>
      </c>
      <c r="U8" s="263">
        <v>0</v>
      </c>
      <c r="V8" s="263">
        <f>Evaluacion!T13*M8</f>
        <v>0.47685000000000005</v>
      </c>
      <c r="W8" s="263">
        <f>Evaluacion!U13*M8</f>
        <v>0.16830000000000003</v>
      </c>
      <c r="AA8" s="269"/>
    </row>
    <row r="9" spans="1:27" x14ac:dyDescent="0.25">
      <c r="A9" t="s">
        <v>221</v>
      </c>
      <c r="B9" t="str">
        <f>Evaluacion!A12</f>
        <v>I. Vanags</v>
      </c>
      <c r="C9" t="str">
        <f>Evaluacion!D12</f>
        <v>CAB</v>
      </c>
      <c r="D9" s="83">
        <f>Evaluacion!K12</f>
        <v>0</v>
      </c>
      <c r="E9" s="83">
        <f>Evaluacion!L12</f>
        <v>4</v>
      </c>
      <c r="F9" s="83">
        <f>Evaluacion!M12</f>
        <v>7.4</v>
      </c>
      <c r="G9" s="83">
        <f>Evaluacion!N12</f>
        <v>3</v>
      </c>
      <c r="H9" s="83">
        <f>Evaluacion!O12</f>
        <v>4</v>
      </c>
      <c r="I9" s="83">
        <f>Evaluacion!P12</f>
        <v>7</v>
      </c>
      <c r="J9" s="83">
        <f>Evaluacion!Q12</f>
        <v>6</v>
      </c>
      <c r="L9" t="str">
        <f t="shared" si="0"/>
        <v>IHL</v>
      </c>
      <c r="M9" s="262">
        <f>1-0.065</f>
        <v>0.93500000000000005</v>
      </c>
      <c r="N9" s="263">
        <v>0</v>
      </c>
      <c r="O9" s="263">
        <f ca="1">M9*Evaluacion!BF12</f>
        <v>1.1733646045290067</v>
      </c>
      <c r="P9" s="263">
        <f ca="1">M9*Evaluacion!BE12</f>
        <v>0.98117557447684201</v>
      </c>
      <c r="Q9" s="263">
        <f ca="1">Evaluacion!BG12*M9</f>
        <v>5.7711996223852164</v>
      </c>
      <c r="R9" s="263">
        <v>0</v>
      </c>
      <c r="S9" s="263">
        <f ca="1">Evaluacion!BI12*M9</f>
        <v>0.81258870601003064</v>
      </c>
      <c r="T9" s="263">
        <f ca="1">Evaluacion!BH12*M9</f>
        <v>2.4607845213399053</v>
      </c>
      <c r="U9" s="263">
        <v>0</v>
      </c>
      <c r="V9" s="263">
        <f>Evaluacion!T12*M9</f>
        <v>0.49555000000000005</v>
      </c>
      <c r="W9" s="263">
        <f>Evaluacion!U12*M9</f>
        <v>0.31790000000000002</v>
      </c>
      <c r="AA9" s="269"/>
    </row>
    <row r="10" spans="1:27" x14ac:dyDescent="0.25">
      <c r="A10" t="s">
        <v>363</v>
      </c>
      <c r="B10" t="str">
        <f>Evaluacion!A10</f>
        <v>E. Gross</v>
      </c>
      <c r="C10">
        <f>Evaluacion!D10</f>
        <v>0</v>
      </c>
      <c r="D10" s="83">
        <f>Evaluacion!K10</f>
        <v>0</v>
      </c>
      <c r="E10" s="83">
        <f>Evaluacion!L10</f>
        <v>10.549999999999995</v>
      </c>
      <c r="F10" s="83">
        <f>Evaluacion!M10</f>
        <v>12.95</v>
      </c>
      <c r="G10" s="83">
        <f>Evaluacion!N10</f>
        <v>3.95</v>
      </c>
      <c r="H10" s="83">
        <f>Evaluacion!O10</f>
        <v>8.9499999999999993</v>
      </c>
      <c r="I10" s="83">
        <f>Evaluacion!P10</f>
        <v>0.95</v>
      </c>
      <c r="J10" s="83">
        <f>Evaluacion!Q10</f>
        <v>17.3</v>
      </c>
      <c r="L10" t="str">
        <f t="shared" si="0"/>
        <v>EXTN</v>
      </c>
      <c r="M10" s="262">
        <v>1</v>
      </c>
      <c r="N10" s="263">
        <f>Evaluacion!BT10</f>
        <v>3.8452733972883144</v>
      </c>
      <c r="O10" s="263">
        <f>Evaluacion!BU10</f>
        <v>3.3036855948533406</v>
      </c>
      <c r="P10" s="263">
        <v>0</v>
      </c>
      <c r="Q10" s="263">
        <f>Evaluacion!BV10</f>
        <v>7.2525612526978298</v>
      </c>
      <c r="R10" s="263">
        <f>Evaluacion!BW10</f>
        <v>8.9091821274487817</v>
      </c>
      <c r="S10" s="263">
        <f>Evaluacion!BX10</f>
        <v>1.4447031023657964</v>
      </c>
      <c r="T10" s="263">
        <v>0</v>
      </c>
      <c r="U10" s="263">
        <v>0</v>
      </c>
      <c r="V10" s="263">
        <f>Evaluacion!T10</f>
        <v>0.5665</v>
      </c>
      <c r="W10" s="263">
        <f>Evaluacion!U10</f>
        <v>0.94099999999999984</v>
      </c>
      <c r="AA10" s="269"/>
    </row>
    <row r="11" spans="1:27" x14ac:dyDescent="0.25">
      <c r="A11" t="s">
        <v>363</v>
      </c>
      <c r="B11" t="str">
        <f>Evaluacion!A11</f>
        <v>W. Gelifini</v>
      </c>
      <c r="C11">
        <f>Evaluacion!D11</f>
        <v>0</v>
      </c>
      <c r="D11" s="83">
        <f>Evaluacion!K11</f>
        <v>0</v>
      </c>
      <c r="E11" s="83">
        <f>Evaluacion!L11</f>
        <v>5.6515555555555519</v>
      </c>
      <c r="F11" s="83">
        <f>Evaluacion!M11</f>
        <v>8.9499999999999993</v>
      </c>
      <c r="G11" s="83">
        <f>Evaluacion!N11</f>
        <v>6.95</v>
      </c>
      <c r="H11" s="83">
        <f>Evaluacion!O11</f>
        <v>9.2666666666666639</v>
      </c>
      <c r="I11" s="83">
        <f>Evaluacion!P11</f>
        <v>2.95</v>
      </c>
      <c r="J11" s="83">
        <f>Evaluacion!Q11</f>
        <v>12.847222222222223</v>
      </c>
      <c r="L11" t="str">
        <f t="shared" si="0"/>
        <v>EXTN</v>
      </c>
      <c r="M11" s="262">
        <v>1</v>
      </c>
      <c r="N11" s="263">
        <v>0</v>
      </c>
      <c r="O11" s="263">
        <f>Evaluacion!BU11</f>
        <v>1.9574913600371331</v>
      </c>
      <c r="P11" s="263">
        <f>Evaluacion!BT11</f>
        <v>2.2783915829940402</v>
      </c>
      <c r="Q11" s="263">
        <f>Evaluacion!BV11</f>
        <v>5.1510322583570423</v>
      </c>
      <c r="R11" s="263">
        <v>0</v>
      </c>
      <c r="S11" s="263">
        <f>Evaluacion!BX11</f>
        <v>1.4081516188890884</v>
      </c>
      <c r="T11" s="263">
        <f>Evaluacion!BW11</f>
        <v>10.89287928701744</v>
      </c>
      <c r="U11" s="263">
        <v>0</v>
      </c>
      <c r="V11" s="263">
        <f>Evaluacion!T11</f>
        <v>0.53291666666666671</v>
      </c>
      <c r="W11" s="263">
        <f>Evaluacion!U11</f>
        <v>0.61147888888888879</v>
      </c>
      <c r="AA11" s="269"/>
    </row>
    <row r="12" spans="1:27" x14ac:dyDescent="0.25">
      <c r="A12" t="s">
        <v>277</v>
      </c>
      <c r="B12" t="str">
        <f>Evaluacion!A19</f>
        <v>V. Godoi</v>
      </c>
      <c r="C12">
        <f>Evaluacion!D19</f>
        <v>0</v>
      </c>
      <c r="D12" s="83">
        <f>Evaluacion!K19</f>
        <v>0</v>
      </c>
      <c r="E12" s="83">
        <f>Evaluacion!L19</f>
        <v>3</v>
      </c>
      <c r="F12" s="83">
        <f>Evaluacion!M19</f>
        <v>9</v>
      </c>
      <c r="G12" s="83">
        <f>Evaluacion!N19</f>
        <v>9</v>
      </c>
      <c r="H12" s="83">
        <f>Evaluacion!O19</f>
        <v>5</v>
      </c>
      <c r="I12" s="83">
        <f>Evaluacion!P19</f>
        <v>5</v>
      </c>
      <c r="J12" s="83">
        <f>Evaluacion!Q19</f>
        <v>1</v>
      </c>
      <c r="L12" t="str">
        <f t="shared" si="0"/>
        <v>DD</v>
      </c>
      <c r="M12" s="262">
        <v>1</v>
      </c>
      <c r="N12" s="263">
        <v>0</v>
      </c>
      <c r="O12" s="263">
        <v>0</v>
      </c>
      <c r="P12" s="263">
        <v>0</v>
      </c>
      <c r="Q12" s="263">
        <f ca="1">M12*Evaluacion!CD19</f>
        <v>4.0228929125910868</v>
      </c>
      <c r="R12" s="263">
        <f ca="1">M12*Evaluacion!CE19</f>
        <v>3.6543822843841269</v>
      </c>
      <c r="S12" s="263">
        <f ca="1">M12*Evaluacion!CF19</f>
        <v>6.6530872403388237</v>
      </c>
      <c r="T12" s="263">
        <f ca="1">R12</f>
        <v>3.6543822843841269</v>
      </c>
      <c r="U12" s="263">
        <v>0</v>
      </c>
      <c r="V12" s="263">
        <f>Evaluacion!T19*M12</f>
        <v>0.27999999999999997</v>
      </c>
      <c r="W12" s="263">
        <f>Evaluacion!U19*M12</f>
        <v>0.15000000000000002</v>
      </c>
      <c r="AA12" s="269"/>
    </row>
    <row r="13" spans="1:27" x14ac:dyDescent="0.25">
      <c r="L13" s="81"/>
      <c r="M13" s="188"/>
      <c r="N13" s="264">
        <f ca="1">SUM(N2:N12)</f>
        <v>45.252720898094942</v>
      </c>
      <c r="O13" s="264" t="e">
        <f t="shared" ref="O13:W13" ca="1" si="1">SUM(O2:O12)</f>
        <v>#REF!</v>
      </c>
      <c r="P13" s="264" t="e">
        <f t="shared" ca="1" si="1"/>
        <v>#REF!</v>
      </c>
      <c r="Q13" s="264" t="e">
        <f t="shared" si="1"/>
        <v>#REF!</v>
      </c>
      <c r="R13" s="264">
        <f t="shared" ca="1" si="1"/>
        <v>26.626785950748122</v>
      </c>
      <c r="S13" s="264">
        <f t="shared" ca="1" si="1"/>
        <v>11.714934293584857</v>
      </c>
      <c r="T13" s="264" t="e">
        <f t="shared" si="1"/>
        <v>#REF!</v>
      </c>
      <c r="U13" s="265" t="e">
        <f t="shared" si="1"/>
        <v>#REF!</v>
      </c>
      <c r="V13" s="265" t="e">
        <f t="shared" si="1"/>
        <v>#REF!</v>
      </c>
      <c r="W13" s="265" t="e">
        <f t="shared" si="1"/>
        <v>#REF!</v>
      </c>
    </row>
    <row r="14" spans="1:27" ht="15.75" x14ac:dyDescent="0.25">
      <c r="L14" s="81"/>
      <c r="M14" s="81" t="s">
        <v>368</v>
      </c>
      <c r="N14" s="266">
        <f ca="1">N13*0.34</f>
        <v>15.385925105352282</v>
      </c>
      <c r="O14" s="266" t="e">
        <f ca="1">O13*0.245</f>
        <v>#REF!</v>
      </c>
      <c r="P14" s="266" t="e">
        <f ca="1">P13*0.34</f>
        <v>#REF!</v>
      </c>
      <c r="Q14" s="266" t="e">
        <f>Q13*0.125</f>
        <v>#REF!</v>
      </c>
      <c r="R14" s="266">
        <f ca="1">R13*0.25</f>
        <v>6.6566964876870305</v>
      </c>
      <c r="S14" s="266">
        <f ca="1">S13*0.19</f>
        <v>2.225837515781123</v>
      </c>
      <c r="T14" s="266" t="e">
        <f>T13*0.25</f>
        <v>#REF!</v>
      </c>
    </row>
    <row r="15" spans="1:27" ht="15.75" x14ac:dyDescent="0.25">
      <c r="L15" s="81"/>
      <c r="M15" s="81" t="s">
        <v>369</v>
      </c>
      <c r="N15" s="276">
        <f ca="1">N14*1.2/1.05</f>
        <v>17.583914406116893</v>
      </c>
      <c r="O15" s="276" t="e">
        <f t="shared" ref="O15:P15" ca="1" si="2">O14*1.2/1.05</f>
        <v>#REF!</v>
      </c>
      <c r="P15" s="276" t="e">
        <f t="shared" ca="1" si="2"/>
        <v>#REF!</v>
      </c>
      <c r="Q15" s="276" t="e">
        <f>Q14</f>
        <v>#REF!</v>
      </c>
      <c r="R15" s="276">
        <f ca="1">R14*0.925/1.05</f>
        <v>5.8642326201052413</v>
      </c>
      <c r="S15" s="276">
        <f t="shared" ref="S15:T15" ca="1" si="3">S14*0.925/1.05</f>
        <v>1.9608568591405133</v>
      </c>
      <c r="T15" s="276" t="e">
        <f t="shared" si="3"/>
        <v>#REF!</v>
      </c>
    </row>
    <row r="16" spans="1:27" ht="15.75" x14ac:dyDescent="0.25">
      <c r="L16" s="81"/>
      <c r="M16" s="81" t="s">
        <v>370</v>
      </c>
      <c r="N16" s="276">
        <f ca="1">N14*0.925/1.05</f>
        <v>13.554267354715106</v>
      </c>
      <c r="O16" s="276" t="e">
        <f t="shared" ref="O16:P16" ca="1" si="4">O14*0.925/1.05</f>
        <v>#REF!</v>
      </c>
      <c r="P16" s="276" t="e">
        <f t="shared" ca="1" si="4"/>
        <v>#REF!</v>
      </c>
      <c r="Q16" s="276" t="e">
        <f>Q15</f>
        <v>#REF!</v>
      </c>
      <c r="R16" s="276">
        <f ca="1">R14*1.135/1.05</f>
        <v>7.1955719176426474</v>
      </c>
      <c r="S16" s="276">
        <f t="shared" ref="S16:T16" ca="1" si="5">S14*1.135/1.05</f>
        <v>2.4060243622967379</v>
      </c>
      <c r="T16" s="276" t="e">
        <f t="shared" si="5"/>
        <v>#REF!</v>
      </c>
    </row>
  </sheetData>
  <conditionalFormatting sqref="D2:J12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39997558519241921"/>
  </sheetPr>
  <dimension ref="A1:AH26"/>
  <sheetViews>
    <sheetView workbookViewId="0">
      <selection activeCell="D25" sqref="D25"/>
    </sheetView>
  </sheetViews>
  <sheetFormatPr baseColWidth="10" defaultColWidth="11.42578125" defaultRowHeight="15" x14ac:dyDescent="0.25"/>
  <cols>
    <col min="1" max="1" width="4" bestFit="1" customWidth="1"/>
    <col min="2" max="2" width="13.7109375" bestFit="1" customWidth="1"/>
    <col min="3" max="3" width="5.5703125" bestFit="1" customWidth="1"/>
    <col min="4" max="4" width="5" bestFit="1" customWidth="1"/>
    <col min="5" max="11" width="5.5703125" bestFit="1" customWidth="1"/>
    <col min="12" max="12" width="6.42578125" style="277" bestFit="1" customWidth="1"/>
    <col min="13" max="13" width="6.5703125" style="283" customWidth="1"/>
    <col min="14" max="14" width="8.28515625" style="277" bestFit="1" customWidth="1"/>
    <col min="15" max="15" width="5.140625" customWidth="1"/>
    <col min="16" max="16" width="6" bestFit="1" customWidth="1"/>
    <col min="17" max="17" width="5.42578125" bestFit="1" customWidth="1"/>
    <col min="18" max="18" width="5.42578125" customWidth="1"/>
    <col min="19" max="19" width="5.140625" bestFit="1" customWidth="1"/>
    <col min="20" max="20" width="4.5703125" bestFit="1" customWidth="1"/>
    <col min="21" max="21" width="4.5703125" customWidth="1"/>
    <col min="22" max="22" width="4.85546875" bestFit="1" customWidth="1"/>
    <col min="23" max="23" width="4.5703125" bestFit="1" customWidth="1"/>
    <col min="24" max="24" width="4.5703125" customWidth="1"/>
    <col min="25" max="26" width="7.7109375" customWidth="1"/>
    <col min="27" max="27" width="12.42578125" customWidth="1"/>
    <col min="30" max="30" width="6" bestFit="1" customWidth="1"/>
    <col min="31" max="31" width="13.7109375" bestFit="1" customWidth="1"/>
    <col min="33" max="33" width="5.7109375" bestFit="1" customWidth="1"/>
    <col min="34" max="34" width="13.7109375" bestFit="1" customWidth="1"/>
  </cols>
  <sheetData>
    <row r="1" spans="1:34" x14ac:dyDescent="0.25">
      <c r="B1" t="s">
        <v>381</v>
      </c>
      <c r="AD1" t="s">
        <v>382</v>
      </c>
      <c r="AG1" t="s">
        <v>383</v>
      </c>
    </row>
    <row r="2" spans="1:34" x14ac:dyDescent="0.25">
      <c r="B2" s="87">
        <v>43060</v>
      </c>
      <c r="Y2" s="285">
        <f>SUM(Y4:Y12)</f>
        <v>0.23658764552873529</v>
      </c>
      <c r="Z2" s="285">
        <f>SUM(Z4:Z12)</f>
        <v>0.33824859010884656</v>
      </c>
      <c r="AA2" s="285"/>
      <c r="AD2" s="205" t="s">
        <v>100</v>
      </c>
      <c r="AE2" s="205" t="s">
        <v>71</v>
      </c>
      <c r="AG2" s="205" t="s">
        <v>100</v>
      </c>
      <c r="AH2" s="205" t="s">
        <v>71</v>
      </c>
    </row>
    <row r="3" spans="1:34" x14ac:dyDescent="0.25">
      <c r="A3" s="94" t="s">
        <v>401</v>
      </c>
      <c r="B3" s="94" t="str">
        <f>PLANTILLA!D3</f>
        <v>Jugador</v>
      </c>
      <c r="C3" s="94" t="str">
        <f>PLANTILLA!E3</f>
        <v>Anys</v>
      </c>
      <c r="D3" s="94" t="str">
        <f>PLANTILLA!F3</f>
        <v>Dias</v>
      </c>
      <c r="E3" s="94" t="str">
        <f>PLANTILLA!X3</f>
        <v>Po</v>
      </c>
      <c r="F3" s="94" t="str">
        <f>PLANTILLA!Y3</f>
        <v>De</v>
      </c>
      <c r="G3" s="94" t="str">
        <f>PLANTILLA!Z3</f>
        <v>Cr</v>
      </c>
      <c r="H3" s="94" t="str">
        <f>PLANTILLA!AA3</f>
        <v>Ex</v>
      </c>
      <c r="I3" s="94" t="str">
        <f>PLANTILLA!AB3</f>
        <v>Ps</v>
      </c>
      <c r="J3" s="94" t="str">
        <f>PLANTILLA!AC3</f>
        <v>An</v>
      </c>
      <c r="K3" s="94" t="str">
        <f>PLANTILLA!AD3</f>
        <v>PA</v>
      </c>
      <c r="L3" s="278">
        <v>1</v>
      </c>
      <c r="M3" s="278">
        <v>0.5</v>
      </c>
      <c r="N3" s="94" t="s">
        <v>386</v>
      </c>
      <c r="O3" s="282" t="s">
        <v>1</v>
      </c>
      <c r="P3" s="280" t="s">
        <v>361</v>
      </c>
      <c r="Q3" s="279" t="s">
        <v>379</v>
      </c>
      <c r="R3" s="279" t="s">
        <v>385</v>
      </c>
      <c r="S3" s="279" t="s">
        <v>380</v>
      </c>
      <c r="T3" s="279" t="s">
        <v>362</v>
      </c>
      <c r="U3" s="279" t="s">
        <v>221</v>
      </c>
      <c r="V3" s="279" t="s">
        <v>384</v>
      </c>
      <c r="W3" s="280" t="s">
        <v>277</v>
      </c>
      <c r="X3" s="280" t="s">
        <v>64</v>
      </c>
      <c r="Y3" s="279" t="s">
        <v>382</v>
      </c>
      <c r="Z3" s="282" t="s">
        <v>383</v>
      </c>
      <c r="AA3" s="282" t="s">
        <v>387</v>
      </c>
      <c r="AD3" t="s">
        <v>1</v>
      </c>
      <c r="AE3" t="s">
        <v>353</v>
      </c>
      <c r="AG3" t="s">
        <v>1</v>
      </c>
      <c r="AH3" t="s">
        <v>353</v>
      </c>
    </row>
    <row r="4" spans="1:34" x14ac:dyDescent="0.25">
      <c r="A4" s="86" t="str">
        <f>PLANTILLA!A11</f>
        <v>#12</v>
      </c>
      <c r="B4" s="52" t="str">
        <f>PLANTILLA!D11</f>
        <v>E. Gross</v>
      </c>
      <c r="C4" s="3">
        <f>PLANTILLA!E11</f>
        <v>35</v>
      </c>
      <c r="D4" s="3">
        <f ca="1">PLANTILLA!F11</f>
        <v>75</v>
      </c>
      <c r="E4" s="49">
        <f>PLANTILLA!X11</f>
        <v>0</v>
      </c>
      <c r="F4" s="49">
        <f>PLANTILLA!Y11</f>
        <v>10.549999999999995</v>
      </c>
      <c r="G4" s="49">
        <f>PLANTILLA!Z11</f>
        <v>12.95</v>
      </c>
      <c r="H4" s="49">
        <f>PLANTILLA!AA11</f>
        <v>3.95</v>
      </c>
      <c r="I4" s="49">
        <f>PLANTILLA!AB11</f>
        <v>8.9499999999999993</v>
      </c>
      <c r="J4" s="49">
        <f>PLANTILLA!AC11</f>
        <v>0.95</v>
      </c>
      <c r="K4" s="49">
        <f>PLANTILLA!AD11</f>
        <v>17.3</v>
      </c>
      <c r="L4" s="121">
        <f>1/13</f>
        <v>7.6923076923076927E-2</v>
      </c>
      <c r="M4" s="121"/>
      <c r="N4" s="121">
        <f t="shared" ref="N4:N23" si="0">L4/6</f>
        <v>1.2820512820512822E-2</v>
      </c>
      <c r="O4" s="48">
        <f t="shared" ref="O4:O23" si="1">L4*(0.245*0.425+0.34*0.276)/(0.245+0.34)</f>
        <v>2.6030900723208419E-2</v>
      </c>
      <c r="P4" s="48">
        <f t="shared" ref="P4:P23" si="2">L4*(0.245*1+0.34*0.516+0.34*0.258)/(0.245+0.34)</f>
        <v>6.6819197896120994E-2</v>
      </c>
      <c r="Q4" s="48">
        <f t="shared" ref="Q4:Q23" si="3">L4*(0.245*0.725+0.34*0.378+0.34*0.189)/(0.245+0.34)</f>
        <v>4.8705456936226174E-2</v>
      </c>
      <c r="R4" s="48">
        <f t="shared" ref="R4:R23" si="4">L4*(0.245*0.708+0.34*0.754)/(0.245+0.34)</f>
        <v>5.6518080210387907E-2</v>
      </c>
      <c r="S4" s="48">
        <f t="shared" ref="S4:S23" si="5">L4*(0.245*0.414+0.34*0.919)/(0.245+0.34)</f>
        <v>5.4423405654174889E-2</v>
      </c>
      <c r="T4" s="48">
        <f t="shared" ref="T4:T10" si="6">L4*(0.245*0.4+0.34*0.189+0.34*0.095)</f>
        <v>1.4966153846153848E-2</v>
      </c>
      <c r="U4" s="48">
        <f t="shared" ref="U4:U10" si="7">L4*(0.245*0.348+0.34*0.291)</f>
        <v>1.4169230769230767E-2</v>
      </c>
      <c r="V4" s="48">
        <f t="shared" ref="V4:V10" si="8">L4*(0.245*0.201+0.34*0.349)</f>
        <v>1.2915769230769231E-2</v>
      </c>
      <c r="W4" s="48">
        <v>0</v>
      </c>
      <c r="X4" s="48">
        <v>0</v>
      </c>
      <c r="Y4" s="153">
        <f>P4</f>
        <v>6.6819197896120994E-2</v>
      </c>
      <c r="Z4" s="153">
        <f>P4</f>
        <v>6.6819197896120994E-2</v>
      </c>
      <c r="AA4" s="153">
        <f t="shared" ref="AA4:AA23" si="9">MAX(Z4,Y4)</f>
        <v>6.6819197896120994E-2</v>
      </c>
      <c r="AD4" t="s">
        <v>360</v>
      </c>
      <c r="AE4" s="296" t="s">
        <v>390</v>
      </c>
      <c r="AG4" t="s">
        <v>360</v>
      </c>
      <c r="AH4" s="296" t="str">
        <f>AE4</f>
        <v>B. Pinczehelyi</v>
      </c>
    </row>
    <row r="5" spans="1:34" x14ac:dyDescent="0.25">
      <c r="A5" s="86" t="str">
        <f>PLANTILLA!A7</f>
        <v>#24</v>
      </c>
      <c r="B5" s="52" t="str">
        <f>PLANTILLA!D7</f>
        <v>B. Bartolache</v>
      </c>
      <c r="C5" s="3">
        <f>PLANTILLA!E7</f>
        <v>35</v>
      </c>
      <c r="D5" s="3">
        <f ca="1">PLANTILLA!F7</f>
        <v>111</v>
      </c>
      <c r="E5" s="49">
        <f>PLANTILLA!X7</f>
        <v>0</v>
      </c>
      <c r="F5" s="49">
        <f>PLANTILLA!Y7</f>
        <v>11.95</v>
      </c>
      <c r="G5" s="49">
        <f>PLANTILLA!Z7</f>
        <v>5.95</v>
      </c>
      <c r="H5" s="49">
        <f>PLANTILLA!AA7</f>
        <v>6.95</v>
      </c>
      <c r="I5" s="49">
        <f>PLANTILLA!AB7</f>
        <v>7.95</v>
      </c>
      <c r="J5" s="49">
        <f>PLANTILLA!AC7</f>
        <v>2.95</v>
      </c>
      <c r="K5" s="49">
        <f>PLANTILLA!AD7</f>
        <v>16</v>
      </c>
      <c r="L5" s="121">
        <f>1/15</f>
        <v>6.6666666666666666E-2</v>
      </c>
      <c r="M5" s="121"/>
      <c r="N5" s="121">
        <f t="shared" si="0"/>
        <v>1.1111111111111112E-2</v>
      </c>
      <c r="O5" s="48">
        <f t="shared" si="1"/>
        <v>2.256011396011396E-2</v>
      </c>
      <c r="P5" s="48">
        <f t="shared" si="2"/>
        <v>5.7909971509971521E-2</v>
      </c>
      <c r="Q5" s="48">
        <f t="shared" si="3"/>
        <v>4.2211396011396014E-2</v>
      </c>
      <c r="R5" s="48">
        <f t="shared" si="4"/>
        <v>4.8982336182336182E-2</v>
      </c>
      <c r="S5" s="48">
        <f t="shared" si="5"/>
        <v>4.7166951566951568E-2</v>
      </c>
      <c r="T5" s="48">
        <f t="shared" si="6"/>
        <v>1.2970666666666667E-2</v>
      </c>
      <c r="U5" s="48">
        <f t="shared" si="7"/>
        <v>1.2279999999999998E-2</v>
      </c>
      <c r="V5" s="48">
        <f t="shared" si="8"/>
        <v>1.1193666666666666E-2</v>
      </c>
      <c r="W5" s="48">
        <v>0</v>
      </c>
      <c r="X5" s="48">
        <v>0</v>
      </c>
      <c r="Y5" s="153"/>
      <c r="Z5" s="153">
        <f>R5</f>
        <v>4.8982336182336182E-2</v>
      </c>
      <c r="AA5" s="153">
        <f t="shared" si="9"/>
        <v>4.8982336182336182E-2</v>
      </c>
      <c r="AD5" t="s">
        <v>361</v>
      </c>
      <c r="AE5" t="s">
        <v>97</v>
      </c>
      <c r="AG5" t="s">
        <v>372</v>
      </c>
      <c r="AH5" t="s">
        <v>98</v>
      </c>
    </row>
    <row r="6" spans="1:34" x14ac:dyDescent="0.25">
      <c r="A6" s="86" t="e">
        <f>PLANTILLA!#REF!</f>
        <v>#REF!</v>
      </c>
      <c r="B6" s="52" t="e">
        <f>PLANTILLA!#REF!</f>
        <v>#REF!</v>
      </c>
      <c r="C6" s="3" t="e">
        <f>PLANTILLA!#REF!</f>
        <v>#REF!</v>
      </c>
      <c r="D6" s="3" t="e">
        <f>PLANTILLA!#REF!</f>
        <v>#REF!</v>
      </c>
      <c r="E6" s="49" t="e">
        <f>PLANTILLA!#REF!</f>
        <v>#REF!</v>
      </c>
      <c r="F6" s="49" t="e">
        <f>PLANTILLA!#REF!</f>
        <v>#REF!</v>
      </c>
      <c r="G6" s="49" t="e">
        <f>PLANTILLA!#REF!</f>
        <v>#REF!</v>
      </c>
      <c r="H6" s="49" t="e">
        <f>PLANTILLA!#REF!</f>
        <v>#REF!</v>
      </c>
      <c r="I6" s="49" t="e">
        <f>PLANTILLA!#REF!</f>
        <v>#REF!</v>
      </c>
      <c r="J6" s="49" t="e">
        <f>PLANTILLA!#REF!</f>
        <v>#REF!</v>
      </c>
      <c r="K6" s="49" t="e">
        <f>PLANTILLA!#REF!</f>
        <v>#REF!</v>
      </c>
      <c r="L6" s="121">
        <f>1/15</f>
        <v>6.6666666666666666E-2</v>
      </c>
      <c r="M6" s="121"/>
      <c r="N6" s="121">
        <f t="shared" si="0"/>
        <v>1.1111111111111112E-2</v>
      </c>
      <c r="O6" s="48">
        <f t="shared" si="1"/>
        <v>2.256011396011396E-2</v>
      </c>
      <c r="P6" s="48">
        <f t="shared" si="2"/>
        <v>5.7909971509971521E-2</v>
      </c>
      <c r="Q6" s="48">
        <f t="shared" si="3"/>
        <v>4.2211396011396014E-2</v>
      </c>
      <c r="R6" s="48">
        <f t="shared" si="4"/>
        <v>4.8982336182336182E-2</v>
      </c>
      <c r="S6" s="48">
        <f t="shared" si="5"/>
        <v>4.7166951566951568E-2</v>
      </c>
      <c r="T6" s="48">
        <f t="shared" si="6"/>
        <v>1.2970666666666667E-2</v>
      </c>
      <c r="U6" s="48">
        <f t="shared" si="7"/>
        <v>1.2279999999999998E-2</v>
      </c>
      <c r="V6" s="48">
        <f t="shared" si="8"/>
        <v>1.1193666666666666E-2</v>
      </c>
      <c r="W6" s="48">
        <v>0</v>
      </c>
      <c r="X6" s="48">
        <v>0</v>
      </c>
      <c r="Y6" s="153"/>
      <c r="Z6" s="153">
        <f>R6</f>
        <v>4.8982336182336182E-2</v>
      </c>
      <c r="AA6" s="153">
        <f t="shared" si="9"/>
        <v>4.8982336182336182E-2</v>
      </c>
      <c r="AD6" t="s">
        <v>360</v>
      </c>
      <c r="AE6" t="s">
        <v>95</v>
      </c>
      <c r="AG6" t="s">
        <v>371</v>
      </c>
      <c r="AH6" t="s">
        <v>95</v>
      </c>
    </row>
    <row r="7" spans="1:34" x14ac:dyDescent="0.25">
      <c r="A7" s="86" t="str">
        <f>PLANTILLA!A6</f>
        <v>#2</v>
      </c>
      <c r="B7" s="52" t="str">
        <f>PLANTILLA!D6</f>
        <v>E. Toney</v>
      </c>
      <c r="C7" s="3">
        <f>PLANTILLA!E6</f>
        <v>36</v>
      </c>
      <c r="D7" s="3">
        <f ca="1">PLANTILLA!F6</f>
        <v>14</v>
      </c>
      <c r="E7" s="49">
        <f>PLANTILLA!X6</f>
        <v>0</v>
      </c>
      <c r="F7" s="49">
        <f>PLANTILLA!Y6</f>
        <v>11.95</v>
      </c>
      <c r="G7" s="49">
        <f>PLANTILLA!Z6</f>
        <v>12.95</v>
      </c>
      <c r="H7" s="49">
        <f>PLANTILLA!AA6</f>
        <v>8.9499999999999993</v>
      </c>
      <c r="I7" s="49">
        <f>PLANTILLA!AB6</f>
        <v>8.9499999999999993</v>
      </c>
      <c r="J7" s="49">
        <f>PLANTILLA!AC6</f>
        <v>1.95</v>
      </c>
      <c r="K7" s="49">
        <f>PLANTILLA!AD6</f>
        <v>17.177777777777774</v>
      </c>
      <c r="L7" s="121">
        <f>1/18</f>
        <v>5.5555555555555552E-2</v>
      </c>
      <c r="M7" s="121"/>
      <c r="N7" s="121">
        <f t="shared" si="0"/>
        <v>9.2592592592592587E-3</v>
      </c>
      <c r="O7" s="48">
        <f t="shared" si="1"/>
        <v>1.8800094966761632E-2</v>
      </c>
      <c r="P7" s="48">
        <f t="shared" si="2"/>
        <v>4.8258309591642928E-2</v>
      </c>
      <c r="Q7" s="48">
        <f t="shared" si="3"/>
        <v>3.5176163342830011E-2</v>
      </c>
      <c r="R7" s="48">
        <f t="shared" si="4"/>
        <v>4.0818613485280153E-2</v>
      </c>
      <c r="S7" s="48">
        <f t="shared" si="5"/>
        <v>3.930579297245964E-2</v>
      </c>
      <c r="T7" s="48">
        <f t="shared" si="6"/>
        <v>1.0808888888888889E-2</v>
      </c>
      <c r="U7" s="48">
        <f t="shared" si="7"/>
        <v>1.0233333333333332E-2</v>
      </c>
      <c r="V7" s="48">
        <f t="shared" si="8"/>
        <v>9.3280555555555547E-3</v>
      </c>
      <c r="W7" s="48">
        <v>0</v>
      </c>
      <c r="X7" s="48">
        <v>0</v>
      </c>
      <c r="Y7" s="153">
        <f>S7</f>
        <v>3.930579297245964E-2</v>
      </c>
      <c r="Z7" s="153">
        <f>R7</f>
        <v>4.0818613485280153E-2</v>
      </c>
      <c r="AA7" s="153">
        <f t="shared" si="9"/>
        <v>4.0818613485280153E-2</v>
      </c>
      <c r="AD7" t="s">
        <v>221</v>
      </c>
      <c r="AE7" t="s">
        <v>291</v>
      </c>
      <c r="AG7" t="s">
        <v>372</v>
      </c>
      <c r="AH7" t="s">
        <v>99</v>
      </c>
    </row>
    <row r="8" spans="1:34" x14ac:dyDescent="0.25">
      <c r="A8" s="86" t="str">
        <f>PLANTILLA!A9</f>
        <v>#7</v>
      </c>
      <c r="B8" s="52" t="str">
        <f>PLANTILLA!D9</f>
        <v>E. Romweber</v>
      </c>
      <c r="C8" s="3">
        <f>PLANTILLA!E9</f>
        <v>35</v>
      </c>
      <c r="D8" s="3">
        <f ca="1">PLANTILLA!F9</f>
        <v>88</v>
      </c>
      <c r="E8" s="49">
        <f>PLANTILLA!X9</f>
        <v>0</v>
      </c>
      <c r="F8" s="49">
        <f>PLANTILLA!Y9</f>
        <v>11.95</v>
      </c>
      <c r="G8" s="49">
        <f>PLANTILLA!Z9</f>
        <v>12.614111111111114</v>
      </c>
      <c r="H8" s="49">
        <f>PLANTILLA!AA9</f>
        <v>12.95</v>
      </c>
      <c r="I8" s="49">
        <f>PLANTILLA!AB9</f>
        <v>10.95</v>
      </c>
      <c r="J8" s="49">
        <f>PLANTILLA!AC9</f>
        <v>5.95</v>
      </c>
      <c r="K8" s="49">
        <f>PLANTILLA!AD9</f>
        <v>17.529999999999998</v>
      </c>
      <c r="L8" s="121">
        <f>1/18</f>
        <v>5.5555555555555552E-2</v>
      </c>
      <c r="M8" s="121"/>
      <c r="N8" s="121">
        <f t="shared" si="0"/>
        <v>9.2592592592592587E-3</v>
      </c>
      <c r="O8" s="48">
        <f t="shared" si="1"/>
        <v>1.8800094966761632E-2</v>
      </c>
      <c r="P8" s="48">
        <f t="shared" si="2"/>
        <v>4.8258309591642928E-2</v>
      </c>
      <c r="Q8" s="48">
        <f t="shared" si="3"/>
        <v>3.5176163342830011E-2</v>
      </c>
      <c r="R8" s="48">
        <f t="shared" si="4"/>
        <v>4.0818613485280153E-2</v>
      </c>
      <c r="S8" s="48">
        <f t="shared" si="5"/>
        <v>3.930579297245964E-2</v>
      </c>
      <c r="T8" s="48">
        <f t="shared" si="6"/>
        <v>1.0808888888888889E-2</v>
      </c>
      <c r="U8" s="48">
        <f t="shared" si="7"/>
        <v>1.0233333333333332E-2</v>
      </c>
      <c r="V8" s="48">
        <f t="shared" si="8"/>
        <v>9.3280555555555547E-3</v>
      </c>
      <c r="W8" s="48">
        <v>0</v>
      </c>
      <c r="X8" s="48">
        <v>0</v>
      </c>
      <c r="Y8" s="153">
        <f>V8</f>
        <v>9.3280555555555547E-3</v>
      </c>
      <c r="Z8" s="153">
        <f>S8</f>
        <v>3.930579297245964E-2</v>
      </c>
      <c r="AA8" s="153">
        <f t="shared" si="9"/>
        <v>3.930579297245964E-2</v>
      </c>
      <c r="AD8" t="s">
        <v>362</v>
      </c>
      <c r="AE8" t="s">
        <v>169</v>
      </c>
      <c r="AG8" t="s">
        <v>360</v>
      </c>
      <c r="AH8" t="s">
        <v>373</v>
      </c>
    </row>
    <row r="9" spans="1:34" x14ac:dyDescent="0.25">
      <c r="A9" s="86" t="e">
        <f>PLANTILLA!#REF!</f>
        <v>#REF!</v>
      </c>
      <c r="B9" s="52" t="e">
        <f>PLANTILLA!#REF!</f>
        <v>#REF!</v>
      </c>
      <c r="C9" s="3" t="e">
        <f>PLANTILLA!#REF!</f>
        <v>#REF!</v>
      </c>
      <c r="D9" s="3" t="e">
        <f>PLANTILLA!#REF!</f>
        <v>#REF!</v>
      </c>
      <c r="E9" s="49" t="e">
        <f>PLANTILLA!#REF!</f>
        <v>#REF!</v>
      </c>
      <c r="F9" s="49" t="e">
        <f>PLANTILLA!#REF!</f>
        <v>#REF!</v>
      </c>
      <c r="G9" s="49" t="e">
        <f>PLANTILLA!#REF!</f>
        <v>#REF!</v>
      </c>
      <c r="H9" s="49" t="e">
        <f>PLANTILLA!#REF!</f>
        <v>#REF!</v>
      </c>
      <c r="I9" s="49" t="e">
        <f>PLANTILLA!#REF!</f>
        <v>#REF!</v>
      </c>
      <c r="J9" s="49" t="e">
        <f>PLANTILLA!#REF!</f>
        <v>#REF!</v>
      </c>
      <c r="K9" s="49" t="e">
        <f>PLANTILLA!#REF!</f>
        <v>#REF!</v>
      </c>
      <c r="L9" s="121">
        <f>1/5</f>
        <v>0.2</v>
      </c>
      <c r="M9" s="121"/>
      <c r="N9" s="121">
        <f t="shared" si="0"/>
        <v>3.3333333333333333E-2</v>
      </c>
      <c r="O9" s="48">
        <f t="shared" si="1"/>
        <v>6.7680341880341888E-2</v>
      </c>
      <c r="P9" s="48">
        <f t="shared" si="2"/>
        <v>0.17372991452991457</v>
      </c>
      <c r="Q9" s="48">
        <f t="shared" si="3"/>
        <v>0.12663418803418802</v>
      </c>
      <c r="R9" s="48">
        <f t="shared" si="4"/>
        <v>0.14694700854700857</v>
      </c>
      <c r="S9" s="48">
        <f t="shared" si="5"/>
        <v>0.14150085470085472</v>
      </c>
      <c r="T9" s="48">
        <f t="shared" si="6"/>
        <v>3.8912000000000002E-2</v>
      </c>
      <c r="U9" s="48">
        <f t="shared" si="7"/>
        <v>3.6839999999999998E-2</v>
      </c>
      <c r="V9" s="48">
        <f t="shared" si="8"/>
        <v>3.3581E-2</v>
      </c>
      <c r="W9" s="48">
        <v>0</v>
      </c>
      <c r="X9" s="48">
        <v>0</v>
      </c>
      <c r="Y9" s="153">
        <f>U9</f>
        <v>3.6839999999999998E-2</v>
      </c>
      <c r="Z9" s="153">
        <f>U9</f>
        <v>3.6839999999999998E-2</v>
      </c>
      <c r="AA9" s="153">
        <f t="shared" si="9"/>
        <v>3.6839999999999998E-2</v>
      </c>
      <c r="AD9" t="s">
        <v>221</v>
      </c>
      <c r="AE9" t="s">
        <v>101</v>
      </c>
      <c r="AG9" t="s">
        <v>221</v>
      </c>
      <c r="AH9" t="s">
        <v>101</v>
      </c>
    </row>
    <row r="10" spans="1:34" x14ac:dyDescent="0.25">
      <c r="A10" s="86" t="e">
        <f>PLANTILLA!#REF!</f>
        <v>#REF!</v>
      </c>
      <c r="B10" s="52" t="e">
        <f>PLANTILLA!#REF!</f>
        <v>#REF!</v>
      </c>
      <c r="C10" s="3" t="e">
        <f>PLANTILLA!#REF!</f>
        <v>#REF!</v>
      </c>
      <c r="D10" s="3" t="e">
        <f>PLANTILLA!#REF!</f>
        <v>#REF!</v>
      </c>
      <c r="E10" s="49" t="e">
        <f>PLANTILLA!#REF!</f>
        <v>#REF!</v>
      </c>
      <c r="F10" s="49" t="e">
        <f>PLANTILLA!#REF!</f>
        <v>#REF!</v>
      </c>
      <c r="G10" s="49" t="e">
        <f>PLANTILLA!#REF!</f>
        <v>#REF!</v>
      </c>
      <c r="H10" s="49" t="e">
        <f>PLANTILLA!#REF!</f>
        <v>#REF!</v>
      </c>
      <c r="I10" s="49" t="e">
        <f>PLANTILLA!#REF!</f>
        <v>#REF!</v>
      </c>
      <c r="J10" s="49" t="e">
        <f>PLANTILLA!#REF!</f>
        <v>#REF!</v>
      </c>
      <c r="K10" s="49" t="e">
        <f>PLANTILLA!#REF!</f>
        <v>#REF!</v>
      </c>
      <c r="L10" s="121">
        <f>1/25</f>
        <v>0.04</v>
      </c>
      <c r="M10" s="121"/>
      <c r="N10" s="121">
        <f t="shared" si="0"/>
        <v>6.6666666666666671E-3</v>
      </c>
      <c r="O10" s="48">
        <f t="shared" si="1"/>
        <v>1.3536068376068376E-2</v>
      </c>
      <c r="P10" s="48">
        <f t="shared" si="2"/>
        <v>3.4745982905982908E-2</v>
      </c>
      <c r="Q10" s="48">
        <f t="shared" si="3"/>
        <v>2.5326837606837609E-2</v>
      </c>
      <c r="R10" s="48">
        <f t="shared" si="4"/>
        <v>2.9389401709401713E-2</v>
      </c>
      <c r="S10" s="48">
        <f t="shared" si="5"/>
        <v>2.8300170940170941E-2</v>
      </c>
      <c r="T10" s="48">
        <f t="shared" si="6"/>
        <v>7.7824000000000009E-3</v>
      </c>
      <c r="U10" s="48">
        <f t="shared" si="7"/>
        <v>7.3679999999999995E-3</v>
      </c>
      <c r="V10" s="48">
        <f t="shared" si="8"/>
        <v>6.7162000000000003E-3</v>
      </c>
      <c r="W10" s="48">
        <v>0</v>
      </c>
      <c r="X10" s="48">
        <v>0</v>
      </c>
      <c r="Y10" s="153">
        <f>S10</f>
        <v>2.8300170940170941E-2</v>
      </c>
      <c r="Z10" s="153">
        <f>S10</f>
        <v>2.8300170940170941E-2</v>
      </c>
      <c r="AA10" s="153">
        <f t="shared" si="9"/>
        <v>2.8300170940170941E-2</v>
      </c>
      <c r="AD10" t="s">
        <v>363</v>
      </c>
      <c r="AE10" t="s">
        <v>373</v>
      </c>
      <c r="AG10" t="s">
        <v>221</v>
      </c>
      <c r="AH10" t="s">
        <v>291</v>
      </c>
    </row>
    <row r="11" spans="1:34" x14ac:dyDescent="0.25">
      <c r="A11" s="86" t="str">
        <f>PLANTILLA!A4</f>
        <v>#1</v>
      </c>
      <c r="B11" s="52" t="str">
        <f>PLANTILLA!D4</f>
        <v>D. Gehmacher</v>
      </c>
      <c r="C11" s="3">
        <f>PLANTILLA!E4</f>
        <v>35</v>
      </c>
      <c r="D11" s="3">
        <f ca="1">PLANTILLA!F4</f>
        <v>3</v>
      </c>
      <c r="E11" s="49">
        <f>PLANTILLA!X4</f>
        <v>16.666666666666668</v>
      </c>
      <c r="F11" s="49">
        <f>PLANTILLA!Y4</f>
        <v>11.95</v>
      </c>
      <c r="G11" s="49">
        <f>PLANTILLA!Z4</f>
        <v>2.0699999999999985</v>
      </c>
      <c r="H11" s="49">
        <f>PLANTILLA!AA4</f>
        <v>2.149999999999999</v>
      </c>
      <c r="I11" s="49">
        <f>PLANTILLA!AB4</f>
        <v>0.95</v>
      </c>
      <c r="J11" s="49">
        <f>PLANTILLA!AC4</f>
        <v>0</v>
      </c>
      <c r="K11" s="49">
        <f>PLANTILLA!AD4</f>
        <v>18.2</v>
      </c>
      <c r="L11" s="121">
        <f>1/12</f>
        <v>8.3333333333333329E-2</v>
      </c>
      <c r="M11" s="121"/>
      <c r="N11" s="121">
        <f t="shared" si="0"/>
        <v>1.3888888888888888E-2</v>
      </c>
      <c r="O11" s="48">
        <f t="shared" si="1"/>
        <v>2.8200142450142449E-2</v>
      </c>
      <c r="P11" s="48">
        <f t="shared" si="2"/>
        <v>7.2387464387464406E-2</v>
      </c>
      <c r="Q11" s="48">
        <f t="shared" si="3"/>
        <v>5.2764245014245009E-2</v>
      </c>
      <c r="R11" s="48">
        <f t="shared" si="4"/>
        <v>6.1227920227920223E-2</v>
      </c>
      <c r="S11" s="48">
        <f t="shared" si="5"/>
        <v>5.8958689458689456E-2</v>
      </c>
      <c r="T11" s="48">
        <f>L11*(0.245*0.4+0.34*0.189+0.34*0.095)/(0.34+0.245)</f>
        <v>2.7715099715099716E-2</v>
      </c>
      <c r="U11" s="48">
        <f>L11*(0.245*0.348+0.34*0.291)/(0.34+0.245)</f>
        <v>2.6239316239316236E-2</v>
      </c>
      <c r="V11" s="48">
        <f>L11*(0.245*0.201+0.34*0.349)/(0.34+0.245)</f>
        <v>2.3918091168091168E-2</v>
      </c>
      <c r="W11" s="48">
        <v>0</v>
      </c>
      <c r="X11" s="48">
        <v>0</v>
      </c>
      <c r="Y11" s="153">
        <f>O11</f>
        <v>2.8200142450142449E-2</v>
      </c>
      <c r="Z11" s="153">
        <f>O11</f>
        <v>2.8200142450142449E-2</v>
      </c>
      <c r="AA11" s="153">
        <f t="shared" si="9"/>
        <v>2.8200142450142449E-2</v>
      </c>
      <c r="AD11" t="s">
        <v>363</v>
      </c>
      <c r="AE11" t="s">
        <v>107</v>
      </c>
      <c r="AG11" t="s">
        <v>363</v>
      </c>
      <c r="AH11" t="s">
        <v>107</v>
      </c>
    </row>
    <row r="12" spans="1:34" x14ac:dyDescent="0.25">
      <c r="A12" s="86" t="str">
        <f>PLANTILLA!A25</f>
        <v>#5</v>
      </c>
      <c r="B12" s="52" t="str">
        <f>PLANTILLA!D25</f>
        <v>L. Bauman</v>
      </c>
      <c r="C12" s="3">
        <f>PLANTILLA!E25</f>
        <v>35</v>
      </c>
      <c r="D12" s="3">
        <f ca="1">PLANTILLA!F25</f>
        <v>50</v>
      </c>
      <c r="E12" s="49">
        <f>PLANTILLA!X25</f>
        <v>0</v>
      </c>
      <c r="F12" s="49">
        <f>PLANTILLA!Y25</f>
        <v>5.95</v>
      </c>
      <c r="G12" s="49">
        <f>PLANTILLA!Z25</f>
        <v>14.1</v>
      </c>
      <c r="H12" s="49">
        <f>PLANTILLA!AA25</f>
        <v>2.95</v>
      </c>
      <c r="I12" s="49">
        <f>PLANTILLA!AB25</f>
        <v>8.9499999999999993</v>
      </c>
      <c r="J12" s="49">
        <f>PLANTILLA!AC25</f>
        <v>5.95</v>
      </c>
      <c r="K12" s="49">
        <f>PLANTILLA!AD25</f>
        <v>16.95</v>
      </c>
      <c r="L12" s="121">
        <f>1/7</f>
        <v>0.14285714285714285</v>
      </c>
      <c r="M12" s="121"/>
      <c r="N12" s="121">
        <f t="shared" si="0"/>
        <v>2.3809523809523808E-2</v>
      </c>
      <c r="O12" s="48">
        <f t="shared" si="1"/>
        <v>4.8343101343101345E-2</v>
      </c>
      <c r="P12" s="48">
        <f t="shared" si="2"/>
        <v>0.12409279609279611</v>
      </c>
      <c r="Q12" s="48">
        <f t="shared" si="3"/>
        <v>9.0452991452991446E-2</v>
      </c>
      <c r="R12" s="48">
        <f t="shared" si="4"/>
        <v>0.10496214896214895</v>
      </c>
      <c r="S12" s="48">
        <f t="shared" si="5"/>
        <v>0.10107203907203907</v>
      </c>
      <c r="T12" s="48">
        <f t="shared" ref="T12:T23" si="10">L12*(0.245*0.4+0.34*0.189+0.34*0.095)</f>
        <v>2.7794285714285716E-2</v>
      </c>
      <c r="U12" s="48">
        <f t="shared" ref="U12:U23" si="11">L12*(0.245*0.348+0.34*0.291)</f>
        <v>2.631428571428571E-2</v>
      </c>
      <c r="V12" s="48">
        <f t="shared" ref="V12:V23" si="12">L12*(0.245*0.201+0.34*0.349)</f>
        <v>2.3986428571428568E-2</v>
      </c>
      <c r="W12" s="48">
        <v>0</v>
      </c>
      <c r="X12" s="48">
        <v>0</v>
      </c>
      <c r="Y12" s="153">
        <f>T12</f>
        <v>2.7794285714285716E-2</v>
      </c>
      <c r="Z12" s="153">
        <f>W12</f>
        <v>0</v>
      </c>
      <c r="AA12" s="153">
        <f t="shared" si="9"/>
        <v>2.7794285714285716E-2</v>
      </c>
      <c r="AD12" t="s">
        <v>64</v>
      </c>
      <c r="AE12" t="s">
        <v>102</v>
      </c>
      <c r="AG12" t="s">
        <v>363</v>
      </c>
      <c r="AH12" t="s">
        <v>225</v>
      </c>
    </row>
    <row r="13" spans="1:34" x14ac:dyDescent="0.25">
      <c r="A13" s="86" t="str">
        <f>PLANTILLA!A23</f>
        <v>#11</v>
      </c>
      <c r="B13" s="52" t="str">
        <f>PLANTILLA!D23</f>
        <v>K. Helms</v>
      </c>
      <c r="C13" s="3">
        <f>PLANTILLA!E23</f>
        <v>35</v>
      </c>
      <c r="D13" s="3">
        <f ca="1">PLANTILLA!F23</f>
        <v>35</v>
      </c>
      <c r="E13" s="49">
        <f>PLANTILLA!X23</f>
        <v>0</v>
      </c>
      <c r="F13" s="49">
        <f>PLANTILLA!Y23</f>
        <v>7.2503030303030309</v>
      </c>
      <c r="G13" s="49">
        <f>PLANTILLA!Z23</f>
        <v>10.600000000000005</v>
      </c>
      <c r="H13" s="49">
        <f>PLANTILLA!AA23</f>
        <v>12.95</v>
      </c>
      <c r="I13" s="49">
        <f>PLANTILLA!AB23</f>
        <v>9.9499999999999993</v>
      </c>
      <c r="J13" s="49">
        <f>PLANTILLA!AC23</f>
        <v>3.95</v>
      </c>
      <c r="K13" s="49">
        <f>PLANTILLA!AD23</f>
        <v>18</v>
      </c>
      <c r="L13" s="121">
        <f>1/8</f>
        <v>0.125</v>
      </c>
      <c r="M13" s="121"/>
      <c r="N13" s="121">
        <f t="shared" si="0"/>
        <v>2.0833333333333332E-2</v>
      </c>
      <c r="O13" s="48">
        <f t="shared" si="1"/>
        <v>4.230021367521368E-2</v>
      </c>
      <c r="P13" s="48">
        <f t="shared" si="2"/>
        <v>0.1085811965811966</v>
      </c>
      <c r="Q13" s="48">
        <f t="shared" si="3"/>
        <v>7.9146367521367528E-2</v>
      </c>
      <c r="R13" s="48">
        <f t="shared" si="4"/>
        <v>9.1841880341880344E-2</v>
      </c>
      <c r="S13" s="48">
        <f t="shared" si="5"/>
        <v>8.8438034188034184E-2</v>
      </c>
      <c r="T13" s="48">
        <f t="shared" si="10"/>
        <v>2.4320000000000001E-2</v>
      </c>
      <c r="U13" s="48">
        <f t="shared" si="11"/>
        <v>2.3024999999999997E-2</v>
      </c>
      <c r="V13" s="48">
        <f t="shared" si="12"/>
        <v>2.0988125E-2</v>
      </c>
      <c r="W13" s="48">
        <v>0</v>
      </c>
      <c r="X13" s="48">
        <v>0</v>
      </c>
      <c r="Y13" s="153">
        <f>V13</f>
        <v>2.0988125E-2</v>
      </c>
      <c r="Z13" s="153">
        <f>V13</f>
        <v>2.0988125E-2</v>
      </c>
      <c r="AA13" s="153">
        <f t="shared" si="9"/>
        <v>2.0988125E-2</v>
      </c>
      <c r="AD13" t="s">
        <v>64</v>
      </c>
      <c r="AE13" t="s">
        <v>225</v>
      </c>
      <c r="AG13" t="s">
        <v>64</v>
      </c>
      <c r="AH13" t="s">
        <v>102</v>
      </c>
    </row>
    <row r="14" spans="1:34" x14ac:dyDescent="0.25">
      <c r="A14" s="86" t="str">
        <f>PLANTILLA!A24</f>
        <v>#10</v>
      </c>
      <c r="B14" s="62" t="str">
        <f>PLANTILLA!D24</f>
        <v>S. Zobbe</v>
      </c>
      <c r="C14" s="3">
        <f>PLANTILLA!E24</f>
        <v>32</v>
      </c>
      <c r="D14" s="3">
        <f ca="1">PLANTILLA!F24</f>
        <v>50</v>
      </c>
      <c r="E14" s="49">
        <f>PLANTILLA!X24</f>
        <v>0</v>
      </c>
      <c r="F14" s="49">
        <f>PLANTILLA!Y24</f>
        <v>8.3599999999999977</v>
      </c>
      <c r="G14" s="49">
        <f>PLANTILLA!Z24</f>
        <v>12.253412698412699</v>
      </c>
      <c r="H14" s="49">
        <f>PLANTILLA!AA24</f>
        <v>12.95</v>
      </c>
      <c r="I14" s="49">
        <f>PLANTILLA!AB24</f>
        <v>10.24</v>
      </c>
      <c r="J14" s="49">
        <f>PLANTILLA!AC24</f>
        <v>6.95</v>
      </c>
      <c r="K14" s="49">
        <f>PLANTILLA!AD24</f>
        <v>16</v>
      </c>
      <c r="L14" s="121">
        <f>1/9</f>
        <v>0.1111111111111111</v>
      </c>
      <c r="M14" s="121"/>
      <c r="N14" s="121">
        <f t="shared" si="0"/>
        <v>1.8518518518518517E-2</v>
      </c>
      <c r="O14" s="48">
        <f t="shared" si="1"/>
        <v>3.7600189933523265E-2</v>
      </c>
      <c r="P14" s="48">
        <f t="shared" si="2"/>
        <v>9.6516619183285857E-2</v>
      </c>
      <c r="Q14" s="48">
        <f t="shared" si="3"/>
        <v>7.0352326685660022E-2</v>
      </c>
      <c r="R14" s="48">
        <f t="shared" si="4"/>
        <v>8.1637226970560306E-2</v>
      </c>
      <c r="S14" s="48">
        <f t="shared" si="5"/>
        <v>7.8611585944919279E-2</v>
      </c>
      <c r="T14" s="48">
        <f t="shared" si="10"/>
        <v>2.1617777777777777E-2</v>
      </c>
      <c r="U14" s="48">
        <f t="shared" si="11"/>
        <v>2.0466666666666664E-2</v>
      </c>
      <c r="V14" s="48">
        <f t="shared" si="12"/>
        <v>1.8656111111111109E-2</v>
      </c>
      <c r="W14" s="48">
        <v>0</v>
      </c>
      <c r="X14" s="48">
        <v>0</v>
      </c>
      <c r="Y14" s="153">
        <f>V14</f>
        <v>1.8656111111111109E-2</v>
      </c>
      <c r="Z14" s="153">
        <f>V14</f>
        <v>1.8656111111111109E-2</v>
      </c>
      <c r="AA14" s="153">
        <f t="shared" si="9"/>
        <v>1.8656111111111109E-2</v>
      </c>
    </row>
    <row r="15" spans="1:34" x14ac:dyDescent="0.25">
      <c r="A15" s="86" t="str">
        <f>PLANTILLA!A10</f>
        <v>#6</v>
      </c>
      <c r="B15" s="62" t="str">
        <f>PLANTILLA!D10</f>
        <v>S. Buschelman</v>
      </c>
      <c r="C15" s="3">
        <f>PLANTILLA!E10</f>
        <v>34</v>
      </c>
      <c r="D15" s="3">
        <f ca="1">PLANTILLA!F10</f>
        <v>47</v>
      </c>
      <c r="E15" s="49">
        <f>PLANTILLA!X10</f>
        <v>0</v>
      </c>
      <c r="F15" s="49">
        <f>PLANTILLA!Y10</f>
        <v>9.3036666666666648</v>
      </c>
      <c r="G15" s="49">
        <f>PLANTILLA!Z10</f>
        <v>14</v>
      </c>
      <c r="H15" s="49">
        <f>PLANTILLA!AA10</f>
        <v>12.945</v>
      </c>
      <c r="I15" s="49">
        <f>PLANTILLA!AB10</f>
        <v>9.9499999999999993</v>
      </c>
      <c r="J15" s="49">
        <f>PLANTILLA!AC10</f>
        <v>3.95</v>
      </c>
      <c r="K15" s="49">
        <f>PLANTILLA!AD10</f>
        <v>16</v>
      </c>
      <c r="L15" s="121">
        <f>1/10</f>
        <v>0.1</v>
      </c>
      <c r="M15" s="121"/>
      <c r="N15" s="121">
        <f t="shared" si="0"/>
        <v>1.6666666666666666E-2</v>
      </c>
      <c r="O15" s="48">
        <f t="shared" si="1"/>
        <v>3.3840170940170944E-2</v>
      </c>
      <c r="P15" s="48">
        <f t="shared" si="2"/>
        <v>8.6864957264957285E-2</v>
      </c>
      <c r="Q15" s="48">
        <f t="shared" si="3"/>
        <v>6.3317094017094011E-2</v>
      </c>
      <c r="R15" s="48">
        <f t="shared" si="4"/>
        <v>7.3473504273504284E-2</v>
      </c>
      <c r="S15" s="48">
        <f t="shared" si="5"/>
        <v>7.0750427350427358E-2</v>
      </c>
      <c r="T15" s="48">
        <f t="shared" si="10"/>
        <v>1.9456000000000001E-2</v>
      </c>
      <c r="U15" s="48">
        <f t="shared" si="11"/>
        <v>1.8419999999999999E-2</v>
      </c>
      <c r="V15" s="48">
        <f t="shared" si="12"/>
        <v>1.67905E-2</v>
      </c>
      <c r="W15" s="48">
        <v>0</v>
      </c>
      <c r="X15" s="48">
        <v>0</v>
      </c>
      <c r="Y15" s="153">
        <f>U15</f>
        <v>1.8419999999999999E-2</v>
      </c>
      <c r="Z15" s="153">
        <f>U15</f>
        <v>1.8419999999999999E-2</v>
      </c>
      <c r="AA15" s="153">
        <f t="shared" si="9"/>
        <v>1.8419999999999999E-2</v>
      </c>
    </row>
    <row r="16" spans="1:34" x14ac:dyDescent="0.25">
      <c r="A16" s="86" t="e">
        <f>PLANTILLA!#REF!</f>
        <v>#REF!</v>
      </c>
      <c r="B16" s="62" t="e">
        <f>PLANTILLA!#REF!</f>
        <v>#REF!</v>
      </c>
      <c r="C16" s="3" t="e">
        <f>PLANTILLA!#REF!</f>
        <v>#REF!</v>
      </c>
      <c r="D16" s="3" t="e">
        <f>PLANTILLA!#REF!</f>
        <v>#REF!</v>
      </c>
      <c r="E16" s="49" t="e">
        <f>PLANTILLA!#REF!</f>
        <v>#REF!</v>
      </c>
      <c r="F16" s="49" t="e">
        <f>PLANTILLA!#REF!</f>
        <v>#REF!</v>
      </c>
      <c r="G16" s="49" t="e">
        <f>PLANTILLA!#REF!</f>
        <v>#REF!</v>
      </c>
      <c r="H16" s="49" t="e">
        <f>PLANTILLA!#REF!</f>
        <v>#REF!</v>
      </c>
      <c r="I16" s="49" t="e">
        <f>PLANTILLA!#REF!</f>
        <v>#REF!</v>
      </c>
      <c r="J16" s="49" t="e">
        <f>PLANTILLA!#REF!</f>
        <v>#REF!</v>
      </c>
      <c r="K16" s="49" t="e">
        <f>PLANTILLA!#REF!</f>
        <v>#REF!</v>
      </c>
      <c r="L16" s="121">
        <f>1/11</f>
        <v>9.0909090909090912E-2</v>
      </c>
      <c r="M16" s="121"/>
      <c r="N16" s="121">
        <f t="shared" si="0"/>
        <v>1.5151515151515152E-2</v>
      </c>
      <c r="O16" s="48">
        <f t="shared" si="1"/>
        <v>3.0763791763791768E-2</v>
      </c>
      <c r="P16" s="48">
        <f t="shared" si="2"/>
        <v>7.8968142968142974E-2</v>
      </c>
      <c r="Q16" s="48">
        <f t="shared" si="3"/>
        <v>5.7560994560994561E-2</v>
      </c>
      <c r="R16" s="48">
        <f t="shared" si="4"/>
        <v>6.6794094794094788E-2</v>
      </c>
      <c r="S16" s="48">
        <f t="shared" si="5"/>
        <v>6.4318570318570328E-2</v>
      </c>
      <c r="T16" s="48">
        <f t="shared" si="10"/>
        <v>1.7687272727272729E-2</v>
      </c>
      <c r="U16" s="48">
        <f t="shared" si="11"/>
        <v>1.6745454545454543E-2</v>
      </c>
      <c r="V16" s="48">
        <f t="shared" si="12"/>
        <v>1.5264090909090909E-2</v>
      </c>
      <c r="W16" s="48">
        <v>0</v>
      </c>
      <c r="X16" s="48">
        <v>0</v>
      </c>
      <c r="Y16" s="153">
        <f>U16</f>
        <v>1.6745454545454543E-2</v>
      </c>
      <c r="Z16" s="153">
        <f>U16</f>
        <v>1.6745454545454543E-2</v>
      </c>
      <c r="AA16" s="153">
        <f t="shared" si="9"/>
        <v>1.6745454545454543E-2</v>
      </c>
    </row>
    <row r="17" spans="1:27" x14ac:dyDescent="0.25">
      <c r="A17" s="86" t="str">
        <f>PLANTILLA!A26</f>
        <v>#9</v>
      </c>
      <c r="B17" s="86" t="str">
        <f>PLANTILLA!D26</f>
        <v>J. Limon</v>
      </c>
      <c r="C17" s="3">
        <f>PLANTILLA!E26</f>
        <v>34</v>
      </c>
      <c r="D17" s="3">
        <f ca="1">PLANTILLA!F26</f>
        <v>87</v>
      </c>
      <c r="E17" s="49">
        <f>PLANTILLA!X26</f>
        <v>0</v>
      </c>
      <c r="F17" s="49">
        <f>PLANTILLA!Y26</f>
        <v>6.8376190476190493</v>
      </c>
      <c r="G17" s="49">
        <f>PLANTILLA!Z26</f>
        <v>8.9499999999999993</v>
      </c>
      <c r="H17" s="49">
        <f>PLANTILLA!AA26</f>
        <v>8.7399999999999967</v>
      </c>
      <c r="I17" s="49">
        <f>PLANTILLA!AB26</f>
        <v>9.9499999999999993</v>
      </c>
      <c r="J17" s="49">
        <f>PLANTILLA!AC26</f>
        <v>6.95</v>
      </c>
      <c r="K17" s="49">
        <f>PLANTILLA!AD26</f>
        <v>18.999999999999993</v>
      </c>
      <c r="L17" s="121">
        <f>1/8</f>
        <v>0.125</v>
      </c>
      <c r="M17" s="121"/>
      <c r="N17" s="121">
        <f t="shared" si="0"/>
        <v>2.0833333333333332E-2</v>
      </c>
      <c r="O17" s="48">
        <f t="shared" si="1"/>
        <v>4.230021367521368E-2</v>
      </c>
      <c r="P17" s="48">
        <f t="shared" si="2"/>
        <v>0.1085811965811966</v>
      </c>
      <c r="Q17" s="48">
        <f t="shared" si="3"/>
        <v>7.9146367521367528E-2</v>
      </c>
      <c r="R17" s="48">
        <f t="shared" si="4"/>
        <v>9.1841880341880344E-2</v>
      </c>
      <c r="S17" s="48">
        <f t="shared" si="5"/>
        <v>8.8438034188034184E-2</v>
      </c>
      <c r="T17" s="48">
        <f t="shared" si="10"/>
        <v>2.4320000000000001E-2</v>
      </c>
      <c r="U17" s="48">
        <f t="shared" si="11"/>
        <v>2.3024999999999997E-2</v>
      </c>
      <c r="V17" s="48">
        <f t="shared" si="12"/>
        <v>2.0988125E-2</v>
      </c>
      <c r="W17" s="48">
        <v>0</v>
      </c>
      <c r="X17" s="48">
        <v>0</v>
      </c>
      <c r="Y17" s="153">
        <v>0</v>
      </c>
      <c r="Z17" s="153">
        <v>0</v>
      </c>
      <c r="AA17" s="153">
        <f t="shared" si="9"/>
        <v>0</v>
      </c>
    </row>
    <row r="18" spans="1:27" x14ac:dyDescent="0.25">
      <c r="A18" s="86" t="str">
        <f>PLANTILLA!A27</f>
        <v>#15</v>
      </c>
      <c r="B18" s="86" t="str">
        <f>PLANTILLA!D27</f>
        <v>P .Trivadi</v>
      </c>
      <c r="C18" s="3">
        <f>PLANTILLA!E27</f>
        <v>32</v>
      </c>
      <c r="D18" s="3">
        <f ca="1">PLANTILLA!F27</f>
        <v>6</v>
      </c>
      <c r="E18" s="49">
        <f>PLANTILLA!X27</f>
        <v>0</v>
      </c>
      <c r="F18" s="49">
        <f>PLANTILLA!Y27</f>
        <v>4.0199999999999996</v>
      </c>
      <c r="G18" s="49">
        <f>PLANTILLA!Z27</f>
        <v>5.95</v>
      </c>
      <c r="H18" s="49">
        <f>PLANTILLA!AA27</f>
        <v>5.5099999999999989</v>
      </c>
      <c r="I18" s="49">
        <f>PLANTILLA!AB27</f>
        <v>10.95</v>
      </c>
      <c r="J18" s="49">
        <f>PLANTILLA!AC27</f>
        <v>7.95</v>
      </c>
      <c r="K18" s="49">
        <f>PLANTILLA!AD27</f>
        <v>14</v>
      </c>
      <c r="L18" s="121">
        <f>1/6</f>
        <v>0.16666666666666666</v>
      </c>
      <c r="M18" s="121"/>
      <c r="N18" s="121">
        <f t="shared" si="0"/>
        <v>2.7777777777777776E-2</v>
      </c>
      <c r="O18" s="48">
        <f t="shared" si="1"/>
        <v>5.6400284900284897E-2</v>
      </c>
      <c r="P18" s="48">
        <f t="shared" si="2"/>
        <v>0.14477492877492881</v>
      </c>
      <c r="Q18" s="48">
        <f t="shared" si="3"/>
        <v>0.10552849002849002</v>
      </c>
      <c r="R18" s="48">
        <f t="shared" si="4"/>
        <v>0.12245584045584045</v>
      </c>
      <c r="S18" s="48">
        <f t="shared" si="5"/>
        <v>0.11791737891737891</v>
      </c>
      <c r="T18" s="48">
        <f t="shared" si="10"/>
        <v>3.2426666666666666E-2</v>
      </c>
      <c r="U18" s="48">
        <f t="shared" si="11"/>
        <v>3.0699999999999995E-2</v>
      </c>
      <c r="V18" s="48">
        <f t="shared" si="12"/>
        <v>2.7984166666666664E-2</v>
      </c>
      <c r="W18" s="48">
        <v>0</v>
      </c>
      <c r="X18" s="48">
        <v>0</v>
      </c>
      <c r="Y18" s="153">
        <v>0</v>
      </c>
      <c r="Z18" s="153">
        <v>0</v>
      </c>
      <c r="AA18" s="153">
        <f t="shared" si="9"/>
        <v>0</v>
      </c>
    </row>
    <row r="19" spans="1:27" x14ac:dyDescent="0.25">
      <c r="A19" s="86" t="e">
        <f>PLANTILLA!#REF!</f>
        <v>#REF!</v>
      </c>
      <c r="B19" s="86" t="e">
        <f>PLANTILLA!#REF!</f>
        <v>#REF!</v>
      </c>
      <c r="C19" s="3" t="e">
        <f>PLANTILLA!#REF!</f>
        <v>#REF!</v>
      </c>
      <c r="D19" s="3" t="e">
        <f>PLANTILLA!#REF!</f>
        <v>#REF!</v>
      </c>
      <c r="E19" s="49" t="e">
        <f>PLANTILLA!#REF!</f>
        <v>#REF!</v>
      </c>
      <c r="F19" s="49" t="e">
        <f>PLANTILLA!#REF!</f>
        <v>#REF!</v>
      </c>
      <c r="G19" s="49" t="e">
        <f>PLANTILLA!#REF!</f>
        <v>#REF!</v>
      </c>
      <c r="H19" s="49" t="e">
        <f>PLANTILLA!#REF!</f>
        <v>#REF!</v>
      </c>
      <c r="I19" s="49" t="e">
        <f>PLANTILLA!#REF!</f>
        <v>#REF!</v>
      </c>
      <c r="J19" s="49" t="e">
        <f>PLANTILLA!#REF!</f>
        <v>#REF!</v>
      </c>
      <c r="K19" s="49" t="e">
        <f>PLANTILLA!#REF!</f>
        <v>#REF!</v>
      </c>
      <c r="L19" s="121">
        <f>1/5</f>
        <v>0.2</v>
      </c>
      <c r="M19" s="121"/>
      <c r="N19" s="121">
        <f t="shared" si="0"/>
        <v>3.3333333333333333E-2</v>
      </c>
      <c r="O19" s="48">
        <f t="shared" si="1"/>
        <v>6.7680341880341888E-2</v>
      </c>
      <c r="P19" s="48">
        <f t="shared" si="2"/>
        <v>0.17372991452991457</v>
      </c>
      <c r="Q19" s="48">
        <f t="shared" si="3"/>
        <v>0.12663418803418802</v>
      </c>
      <c r="R19" s="48">
        <f t="shared" si="4"/>
        <v>0.14694700854700857</v>
      </c>
      <c r="S19" s="48">
        <f t="shared" si="5"/>
        <v>0.14150085470085472</v>
      </c>
      <c r="T19" s="48">
        <f t="shared" si="10"/>
        <v>3.8912000000000002E-2</v>
      </c>
      <c r="U19" s="48">
        <f t="shared" si="11"/>
        <v>3.6839999999999998E-2</v>
      </c>
      <c r="V19" s="48">
        <f t="shared" si="12"/>
        <v>3.3581E-2</v>
      </c>
      <c r="W19" s="48">
        <v>0</v>
      </c>
      <c r="X19" s="48">
        <v>0</v>
      </c>
      <c r="Y19" s="153">
        <v>0</v>
      </c>
      <c r="Z19" s="153">
        <v>0</v>
      </c>
      <c r="AA19" s="153">
        <f t="shared" si="9"/>
        <v>0</v>
      </c>
    </row>
    <row r="20" spans="1:27" x14ac:dyDescent="0.25">
      <c r="A20" s="86" t="str">
        <f>PLANTILLA!A8</f>
        <v>#13</v>
      </c>
      <c r="B20" s="86" t="str">
        <f>PLANTILLA!D8</f>
        <v>F. Lasprilla</v>
      </c>
      <c r="C20" s="3">
        <f>PLANTILLA!E8</f>
        <v>32</v>
      </c>
      <c r="D20" s="3">
        <f ca="1">PLANTILLA!F8</f>
        <v>22</v>
      </c>
      <c r="E20" s="49">
        <f>PLANTILLA!X8</f>
        <v>0</v>
      </c>
      <c r="F20" s="49">
        <f>PLANTILLA!Y8</f>
        <v>9.6046666666666667</v>
      </c>
      <c r="G20" s="49">
        <f>PLANTILLA!Z8</f>
        <v>7.7607222222222223</v>
      </c>
      <c r="H20" s="49">
        <f>PLANTILLA!AA8</f>
        <v>6.1599999999999984</v>
      </c>
      <c r="I20" s="49">
        <f>PLANTILLA!AB8</f>
        <v>8.8633333333333315</v>
      </c>
      <c r="J20" s="49">
        <f>PLANTILLA!AC8</f>
        <v>2.95</v>
      </c>
      <c r="K20" s="49">
        <f>PLANTILLA!AD8</f>
        <v>13.33611111111111</v>
      </c>
      <c r="L20" s="121"/>
      <c r="M20" s="121"/>
      <c r="N20" s="121">
        <f t="shared" si="0"/>
        <v>0</v>
      </c>
      <c r="O20" s="48">
        <f t="shared" si="1"/>
        <v>0</v>
      </c>
      <c r="P20" s="48">
        <f t="shared" si="2"/>
        <v>0</v>
      </c>
      <c r="Q20" s="48">
        <f t="shared" si="3"/>
        <v>0</v>
      </c>
      <c r="R20" s="48">
        <f t="shared" si="4"/>
        <v>0</v>
      </c>
      <c r="S20" s="48">
        <f t="shared" si="5"/>
        <v>0</v>
      </c>
      <c r="T20" s="48">
        <f t="shared" si="10"/>
        <v>0</v>
      </c>
      <c r="U20" s="48">
        <f t="shared" si="11"/>
        <v>0</v>
      </c>
      <c r="V20" s="48">
        <f t="shared" si="12"/>
        <v>0</v>
      </c>
      <c r="W20" s="48">
        <v>0</v>
      </c>
      <c r="X20" s="48">
        <v>0</v>
      </c>
      <c r="Y20" s="153"/>
      <c r="Z20" s="153"/>
      <c r="AA20" s="153">
        <f t="shared" si="9"/>
        <v>0</v>
      </c>
    </row>
    <row r="21" spans="1:27" x14ac:dyDescent="0.25">
      <c r="A21" s="86" t="str">
        <f>PLANTILLA!A12</f>
        <v>#23</v>
      </c>
      <c r="B21" s="86" t="str">
        <f>PLANTILLA!D12</f>
        <v>W. Gelifini</v>
      </c>
      <c r="C21" s="3">
        <f>PLANTILLA!E12</f>
        <v>34</v>
      </c>
      <c r="D21" s="3">
        <f ca="1">PLANTILLA!F12</f>
        <v>0</v>
      </c>
      <c r="E21" s="49">
        <f>PLANTILLA!X12</f>
        <v>0</v>
      </c>
      <c r="F21" s="49">
        <f>PLANTILLA!Y12</f>
        <v>5.6515555555555519</v>
      </c>
      <c r="G21" s="49">
        <f>PLANTILLA!Z12</f>
        <v>8.9499999999999993</v>
      </c>
      <c r="H21" s="49">
        <f>PLANTILLA!AA12</f>
        <v>6.95</v>
      </c>
      <c r="I21" s="49">
        <f>PLANTILLA!AB12</f>
        <v>9.2666666666666639</v>
      </c>
      <c r="J21" s="49">
        <f>PLANTILLA!AC12</f>
        <v>2.95</v>
      </c>
      <c r="K21" s="49">
        <f>PLANTILLA!AD12</f>
        <v>12.847222222222223</v>
      </c>
      <c r="L21" s="121"/>
      <c r="M21" s="121"/>
      <c r="N21" s="121">
        <f t="shared" si="0"/>
        <v>0</v>
      </c>
      <c r="O21" s="48">
        <f t="shared" si="1"/>
        <v>0</v>
      </c>
      <c r="P21" s="48">
        <f t="shared" si="2"/>
        <v>0</v>
      </c>
      <c r="Q21" s="48">
        <f t="shared" si="3"/>
        <v>0</v>
      </c>
      <c r="R21" s="48">
        <f t="shared" si="4"/>
        <v>0</v>
      </c>
      <c r="S21" s="48">
        <f t="shared" si="5"/>
        <v>0</v>
      </c>
      <c r="T21" s="48">
        <f t="shared" si="10"/>
        <v>0</v>
      </c>
      <c r="U21" s="48">
        <f t="shared" si="11"/>
        <v>0</v>
      </c>
      <c r="V21" s="48">
        <f t="shared" si="12"/>
        <v>0</v>
      </c>
      <c r="W21" s="48">
        <v>0</v>
      </c>
      <c r="X21" s="48">
        <v>0</v>
      </c>
      <c r="Y21" s="153"/>
      <c r="Z21" s="153"/>
      <c r="AA21" s="153">
        <f t="shared" si="9"/>
        <v>0</v>
      </c>
    </row>
    <row r="22" spans="1:27" x14ac:dyDescent="0.25">
      <c r="A22" s="86" t="str">
        <f>PLANTILLA!A5</f>
        <v>#25</v>
      </c>
      <c r="B22" s="86" t="str">
        <f>PLANTILLA!D5</f>
        <v>T. Hammond</v>
      </c>
      <c r="C22" s="3">
        <f>PLANTILLA!E5</f>
        <v>39</v>
      </c>
      <c r="D22" s="3">
        <f ca="1">PLANTILLA!F5</f>
        <v>12</v>
      </c>
      <c r="E22" s="49">
        <f>PLANTILLA!X5</f>
        <v>7.95</v>
      </c>
      <c r="F22" s="49">
        <f>PLANTILLA!Y5</f>
        <v>7.95</v>
      </c>
      <c r="G22" s="49">
        <f>PLANTILLA!Z5</f>
        <v>0.95</v>
      </c>
      <c r="H22" s="49">
        <f>PLANTILLA!AA5</f>
        <v>0.95</v>
      </c>
      <c r="I22" s="49">
        <f>PLANTILLA!AB5</f>
        <v>1.95</v>
      </c>
      <c r="J22" s="49">
        <f>PLANTILLA!AC5</f>
        <v>0</v>
      </c>
      <c r="K22" s="49">
        <f>PLANTILLA!AD5</f>
        <v>14.95</v>
      </c>
      <c r="L22" s="121"/>
      <c r="M22" s="121"/>
      <c r="N22" s="121">
        <f t="shared" si="0"/>
        <v>0</v>
      </c>
      <c r="O22" s="48">
        <f t="shared" si="1"/>
        <v>0</v>
      </c>
      <c r="P22" s="48">
        <f t="shared" si="2"/>
        <v>0</v>
      </c>
      <c r="Q22" s="48">
        <f t="shared" si="3"/>
        <v>0</v>
      </c>
      <c r="R22" s="48">
        <f t="shared" si="4"/>
        <v>0</v>
      </c>
      <c r="S22" s="48">
        <f t="shared" si="5"/>
        <v>0</v>
      </c>
      <c r="T22" s="48">
        <f t="shared" si="10"/>
        <v>0</v>
      </c>
      <c r="U22" s="48">
        <f t="shared" si="11"/>
        <v>0</v>
      </c>
      <c r="V22" s="48">
        <f t="shared" si="12"/>
        <v>0</v>
      </c>
      <c r="W22" s="48">
        <v>0</v>
      </c>
      <c r="X22" s="48">
        <v>0</v>
      </c>
      <c r="Y22" s="153"/>
      <c r="Z22" s="153"/>
      <c r="AA22" s="153">
        <f t="shared" si="9"/>
        <v>0</v>
      </c>
    </row>
    <row r="23" spans="1:27" x14ac:dyDescent="0.25">
      <c r="A23" s="86" t="e">
        <f>PLANTILLA!#REF!</f>
        <v>#REF!</v>
      </c>
      <c r="B23" s="86" t="e">
        <f>PLANTILLA!#REF!</f>
        <v>#REF!</v>
      </c>
      <c r="C23" s="3" t="e">
        <f>PLANTILLA!#REF!</f>
        <v>#REF!</v>
      </c>
      <c r="D23" s="3" t="e">
        <f>PLANTILLA!#REF!</f>
        <v>#REF!</v>
      </c>
      <c r="E23" s="49" t="e">
        <f>PLANTILLA!#REF!</f>
        <v>#REF!</v>
      </c>
      <c r="F23" s="49" t="e">
        <f>PLANTILLA!#REF!</f>
        <v>#REF!</v>
      </c>
      <c r="G23" s="49" t="e">
        <f>PLANTILLA!#REF!</f>
        <v>#REF!</v>
      </c>
      <c r="H23" s="49" t="e">
        <f>PLANTILLA!#REF!</f>
        <v>#REF!</v>
      </c>
      <c r="I23" s="49" t="e">
        <f>PLANTILLA!#REF!</f>
        <v>#REF!</v>
      </c>
      <c r="J23" s="49" t="e">
        <f>PLANTILLA!#REF!</f>
        <v>#REF!</v>
      </c>
      <c r="K23" s="49" t="e">
        <f>PLANTILLA!#REF!</f>
        <v>#REF!</v>
      </c>
      <c r="L23" s="121"/>
      <c r="M23" s="121"/>
      <c r="N23" s="121">
        <f t="shared" si="0"/>
        <v>0</v>
      </c>
      <c r="O23" s="48">
        <f t="shared" si="1"/>
        <v>0</v>
      </c>
      <c r="P23" s="48">
        <f t="shared" si="2"/>
        <v>0</v>
      </c>
      <c r="Q23" s="48">
        <f t="shared" si="3"/>
        <v>0</v>
      </c>
      <c r="R23" s="48">
        <f t="shared" si="4"/>
        <v>0</v>
      </c>
      <c r="S23" s="48">
        <f t="shared" si="5"/>
        <v>0</v>
      </c>
      <c r="T23" s="48">
        <f t="shared" si="10"/>
        <v>0</v>
      </c>
      <c r="U23" s="48">
        <f t="shared" si="11"/>
        <v>0</v>
      </c>
      <c r="V23" s="48">
        <f t="shared" si="12"/>
        <v>0</v>
      </c>
      <c r="W23" s="48">
        <v>0</v>
      </c>
      <c r="X23" s="48">
        <v>0</v>
      </c>
      <c r="Y23" s="153"/>
      <c r="Z23" s="153"/>
      <c r="AA23" s="153">
        <f t="shared" si="9"/>
        <v>0</v>
      </c>
    </row>
    <row r="26" spans="1:27" x14ac:dyDescent="0.25">
      <c r="B26" s="87"/>
    </row>
  </sheetData>
  <sortState ref="A4:AA23">
    <sortCondition descending="1" ref="AA4:AA23"/>
    <sortCondition descending="1" ref="Y4:Y23"/>
  </sortState>
  <conditionalFormatting sqref="E4:K23">
    <cfRule type="colorScale" priority="2953">
      <colorScale>
        <cfvo type="min"/>
        <cfvo type="max"/>
        <color rgb="FFFCFCFF"/>
        <color rgb="FFF8696B"/>
      </colorScale>
    </cfRule>
  </conditionalFormatting>
  <conditionalFormatting sqref="L4:X23">
    <cfRule type="colorScale" priority="2955">
      <colorScale>
        <cfvo type="min"/>
        <cfvo type="max"/>
        <color rgb="FFFFEF9C"/>
        <color rgb="FF63BE7B"/>
      </colorScale>
    </cfRule>
  </conditionalFormatting>
  <conditionalFormatting sqref="Y4:AA23">
    <cfRule type="dataBar" priority="29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{C1395A6A-CF46-4568-9C70-66A36F9BBE01}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395A6A-CF46-4568-9C70-66A36F9BBE0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Y4:AA23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39997558519241921"/>
  </sheetPr>
  <dimension ref="A1:AH26"/>
  <sheetViews>
    <sheetView zoomScaleNormal="100" workbookViewId="0">
      <selection activeCell="P12" sqref="P12"/>
    </sheetView>
  </sheetViews>
  <sheetFormatPr baseColWidth="10" defaultColWidth="11.42578125" defaultRowHeight="15" x14ac:dyDescent="0.25"/>
  <cols>
    <col min="1" max="1" width="4" bestFit="1" customWidth="1"/>
    <col min="2" max="2" width="13.7109375" bestFit="1" customWidth="1"/>
    <col min="3" max="3" width="5.5703125" bestFit="1" customWidth="1"/>
    <col min="4" max="4" width="5" bestFit="1" customWidth="1"/>
    <col min="5" max="9" width="6" bestFit="1" customWidth="1"/>
    <col min="10" max="10" width="5.5703125" bestFit="1" customWidth="1"/>
    <col min="11" max="11" width="6" bestFit="1" customWidth="1"/>
    <col min="12" max="13" width="6.5703125" style="277" bestFit="1" customWidth="1"/>
    <col min="14" max="14" width="8.28515625" style="277" bestFit="1" customWidth="1"/>
    <col min="15" max="15" width="4.5703125" style="283" bestFit="1" customWidth="1"/>
    <col min="16" max="16" width="6" bestFit="1" customWidth="1"/>
    <col min="17" max="17" width="5.42578125" bestFit="1" customWidth="1"/>
    <col min="18" max="18" width="5.42578125" customWidth="1"/>
    <col min="19" max="19" width="5.140625" bestFit="1" customWidth="1"/>
    <col min="20" max="20" width="4.5703125" bestFit="1" customWidth="1"/>
    <col min="21" max="21" width="4.5703125" customWidth="1"/>
    <col min="22" max="22" width="4.85546875" bestFit="1" customWidth="1"/>
    <col min="23" max="23" width="4.5703125" bestFit="1" customWidth="1"/>
    <col min="24" max="24" width="4.7109375" bestFit="1" customWidth="1"/>
    <col min="25" max="26" width="6.42578125" bestFit="1" customWidth="1"/>
    <col min="27" max="27" width="11.85546875" customWidth="1"/>
    <col min="30" max="30" width="6" bestFit="1" customWidth="1"/>
    <col min="31" max="31" width="13.7109375" bestFit="1" customWidth="1"/>
    <col min="33" max="33" width="5.7109375" bestFit="1" customWidth="1"/>
    <col min="34" max="34" width="13.7109375" bestFit="1" customWidth="1"/>
  </cols>
  <sheetData>
    <row r="1" spans="1:34" x14ac:dyDescent="0.25">
      <c r="B1" t="s">
        <v>381</v>
      </c>
      <c r="AD1" t="s">
        <v>382</v>
      </c>
      <c r="AG1" t="s">
        <v>383</v>
      </c>
    </row>
    <row r="2" spans="1:34" x14ac:dyDescent="0.25">
      <c r="B2" s="87">
        <v>42584</v>
      </c>
      <c r="Y2" s="285">
        <f>SUM(Y4:Y22)</f>
        <v>0.38669362836502424</v>
      </c>
      <c r="Z2" s="285">
        <f>SUM(Z4:Z22)</f>
        <v>0.36442744206594319</v>
      </c>
      <c r="AA2" s="285"/>
      <c r="AD2" s="205" t="s">
        <v>100</v>
      </c>
      <c r="AE2" s="205" t="s">
        <v>71</v>
      </c>
      <c r="AG2" s="205" t="s">
        <v>100</v>
      </c>
      <c r="AH2" s="205" t="s">
        <v>71</v>
      </c>
    </row>
    <row r="3" spans="1:34" x14ac:dyDescent="0.25">
      <c r="A3" s="94" t="s">
        <v>401</v>
      </c>
      <c r="B3" s="94" t="str">
        <f>PLANTILLA!D3</f>
        <v>Jugador</v>
      </c>
      <c r="C3" s="94" t="str">
        <f>PLANTILLA!E3</f>
        <v>Anys</v>
      </c>
      <c r="D3" s="94" t="str">
        <f>PLANTILLA!F3</f>
        <v>Dias</v>
      </c>
      <c r="E3" s="94" t="str">
        <f>PLANTILLA!X3</f>
        <v>Po</v>
      </c>
      <c r="F3" s="94" t="str">
        <f>PLANTILLA!Y3</f>
        <v>De</v>
      </c>
      <c r="G3" s="94" t="str">
        <f>PLANTILLA!Z3</f>
        <v>Cr</v>
      </c>
      <c r="H3" s="94" t="str">
        <f>PLANTILLA!AA3</f>
        <v>Ex</v>
      </c>
      <c r="I3" s="94" t="str">
        <f>PLANTILLA!AB3</f>
        <v>Ps</v>
      </c>
      <c r="J3" s="94" t="str">
        <f>PLANTILLA!AC3</f>
        <v>An</v>
      </c>
      <c r="K3" s="94" t="str">
        <f>PLANTILLA!AD3</f>
        <v>PA</v>
      </c>
      <c r="L3" s="278">
        <v>1</v>
      </c>
      <c r="M3" s="278">
        <v>0.5</v>
      </c>
      <c r="N3" s="94" t="s">
        <v>378</v>
      </c>
      <c r="O3" s="280" t="s">
        <v>1</v>
      </c>
      <c r="P3" s="280" t="s">
        <v>361</v>
      </c>
      <c r="Q3" s="279" t="s">
        <v>379</v>
      </c>
      <c r="R3" s="279" t="s">
        <v>385</v>
      </c>
      <c r="S3" s="279" t="s">
        <v>380</v>
      </c>
      <c r="T3" s="279" t="s">
        <v>362</v>
      </c>
      <c r="U3" s="279" t="s">
        <v>221</v>
      </c>
      <c r="V3" s="279" t="s">
        <v>384</v>
      </c>
      <c r="W3" s="280" t="s">
        <v>277</v>
      </c>
      <c r="X3" s="284" t="s">
        <v>64</v>
      </c>
      <c r="Y3" s="282" t="s">
        <v>382</v>
      </c>
      <c r="Z3" s="282" t="s">
        <v>383</v>
      </c>
      <c r="AA3" s="282" t="s">
        <v>387</v>
      </c>
      <c r="AD3" t="s">
        <v>1</v>
      </c>
      <c r="AE3" t="s">
        <v>353</v>
      </c>
      <c r="AG3" t="s">
        <v>1</v>
      </c>
      <c r="AH3" t="s">
        <v>353</v>
      </c>
    </row>
    <row r="4" spans="1:34" x14ac:dyDescent="0.25">
      <c r="A4" s="86" t="str">
        <f>PLANTILLA!A10</f>
        <v>#6</v>
      </c>
      <c r="B4" s="52" t="str">
        <f>PLANTILLA!D10</f>
        <v>S. Buschelman</v>
      </c>
      <c r="C4" s="86">
        <f>PLANTILLA!E10</f>
        <v>34</v>
      </c>
      <c r="D4" s="86">
        <f ca="1">PLANTILLA!F10</f>
        <v>47</v>
      </c>
      <c r="E4" s="49">
        <f>PLANTILLA!X10</f>
        <v>0</v>
      </c>
      <c r="F4" s="49">
        <f>PLANTILLA!Y10</f>
        <v>9.3036666666666648</v>
      </c>
      <c r="G4" s="49">
        <f>PLANTILLA!Z10</f>
        <v>14</v>
      </c>
      <c r="H4" s="49">
        <f>PLANTILLA!AA10</f>
        <v>12.945</v>
      </c>
      <c r="I4" s="49">
        <f>PLANTILLA!AB10</f>
        <v>9.9499999999999993</v>
      </c>
      <c r="J4" s="49">
        <f>PLANTILLA!AC10</f>
        <v>3.95</v>
      </c>
      <c r="K4" s="49">
        <f>PLANTILLA!AD10</f>
        <v>16</v>
      </c>
      <c r="L4" s="281">
        <f>1/16</f>
        <v>6.25E-2</v>
      </c>
      <c r="M4" s="121">
        <f t="shared" ref="M4:M23" si="0">L4*0.5</f>
        <v>3.125E-2</v>
      </c>
      <c r="N4" s="121">
        <f t="shared" ref="N4:N23" si="1">L4*0.125</f>
        <v>7.8125E-3</v>
      </c>
      <c r="O4" s="48">
        <v>0</v>
      </c>
      <c r="P4" s="48">
        <f t="shared" ref="P4:P23" si="2">L4*0.236</f>
        <v>1.4749999999999999E-2</v>
      </c>
      <c r="Q4" s="48">
        <f t="shared" ref="Q4:Q23" si="3">L4*0.363</f>
        <v>2.2687499999999999E-2</v>
      </c>
      <c r="R4" s="48">
        <f t="shared" ref="R4:R23" si="4">L4*0.165</f>
        <v>1.03125E-2</v>
      </c>
      <c r="S4" s="48">
        <f t="shared" ref="S4:S23" si="5">L4*0.167</f>
        <v>1.0437500000000001E-2</v>
      </c>
      <c r="T4" s="48">
        <f t="shared" ref="T4:T23" si="6">L4*1</f>
        <v>6.25E-2</v>
      </c>
      <c r="U4" s="48">
        <f t="shared" ref="U4:U23" si="7">L4*0.881</f>
        <v>5.50625E-2</v>
      </c>
      <c r="V4" s="48">
        <f t="shared" ref="V4:V23" si="8">L4*0.455</f>
        <v>2.8437500000000001E-2</v>
      </c>
      <c r="W4" s="48">
        <f t="shared" ref="W4:W23" si="9">L4*0.406</f>
        <v>2.5375000000000002E-2</v>
      </c>
      <c r="X4" s="48">
        <f t="shared" ref="X4:X23" si="10">L4*0.25</f>
        <v>1.5625E-2</v>
      </c>
      <c r="Y4" s="153">
        <f>U4</f>
        <v>5.50625E-2</v>
      </c>
      <c r="Z4" s="153">
        <f>U4</f>
        <v>5.50625E-2</v>
      </c>
      <c r="AA4" s="153">
        <f t="shared" ref="AA4:AA23" si="11">MAX(Z4,Y4)</f>
        <v>5.50625E-2</v>
      </c>
      <c r="AD4" t="s">
        <v>360</v>
      </c>
      <c r="AE4" s="296" t="s">
        <v>390</v>
      </c>
      <c r="AG4" t="s">
        <v>360</v>
      </c>
      <c r="AH4" s="296" t="str">
        <f>AE4</f>
        <v>B. Pinczehelyi</v>
      </c>
    </row>
    <row r="5" spans="1:34" x14ac:dyDescent="0.25">
      <c r="A5" s="86" t="str">
        <f>PLANTILLA!A25</f>
        <v>#5</v>
      </c>
      <c r="B5" s="52" t="str">
        <f>PLANTILLA!D25</f>
        <v>L. Bauman</v>
      </c>
      <c r="C5" s="86">
        <f>PLANTILLA!E25</f>
        <v>35</v>
      </c>
      <c r="D5" s="86">
        <f ca="1">PLANTILLA!F25</f>
        <v>50</v>
      </c>
      <c r="E5" s="49">
        <f>PLANTILLA!X25</f>
        <v>0</v>
      </c>
      <c r="F5" s="49">
        <f>PLANTILLA!Y25</f>
        <v>5.95</v>
      </c>
      <c r="G5" s="49">
        <f>PLANTILLA!Z25</f>
        <v>14.1</v>
      </c>
      <c r="H5" s="49">
        <f>PLANTILLA!AA25</f>
        <v>2.95</v>
      </c>
      <c r="I5" s="49">
        <f>PLANTILLA!AB25</f>
        <v>8.9499999999999993</v>
      </c>
      <c r="J5" s="49">
        <f>PLANTILLA!AC25</f>
        <v>5.95</v>
      </c>
      <c r="K5" s="49">
        <f>PLANTILLA!AD25</f>
        <v>16.95</v>
      </c>
      <c r="L5" s="281">
        <f>1/21</f>
        <v>4.7619047619047616E-2</v>
      </c>
      <c r="M5" s="121">
        <f t="shared" si="0"/>
        <v>2.3809523809523808E-2</v>
      </c>
      <c r="N5" s="121">
        <f t="shared" si="1"/>
        <v>5.9523809523809521E-3</v>
      </c>
      <c r="O5" s="48">
        <v>0</v>
      </c>
      <c r="P5" s="48">
        <f t="shared" si="2"/>
        <v>1.1238095238095236E-2</v>
      </c>
      <c r="Q5" s="48">
        <f t="shared" si="3"/>
        <v>1.7285714285714283E-2</v>
      </c>
      <c r="R5" s="48">
        <f t="shared" si="4"/>
        <v>7.8571428571428577E-3</v>
      </c>
      <c r="S5" s="48">
        <f t="shared" si="5"/>
        <v>7.9523809523809521E-3</v>
      </c>
      <c r="T5" s="48">
        <f t="shared" si="6"/>
        <v>4.7619047619047616E-2</v>
      </c>
      <c r="U5" s="48">
        <f t="shared" si="7"/>
        <v>4.1952380952380949E-2</v>
      </c>
      <c r="V5" s="48">
        <f t="shared" si="8"/>
        <v>2.1666666666666667E-2</v>
      </c>
      <c r="W5" s="48">
        <f t="shared" si="9"/>
        <v>1.9333333333333334E-2</v>
      </c>
      <c r="X5" s="48">
        <f t="shared" si="10"/>
        <v>1.1904761904761904E-2</v>
      </c>
      <c r="Y5" s="153">
        <f>T5</f>
        <v>4.7619047619047616E-2</v>
      </c>
      <c r="Z5" s="153">
        <f>W5</f>
        <v>1.9333333333333334E-2</v>
      </c>
      <c r="AA5" s="153">
        <f t="shared" si="11"/>
        <v>4.7619047619047616E-2</v>
      </c>
      <c r="AD5" t="s">
        <v>361</v>
      </c>
      <c r="AE5" t="s">
        <v>97</v>
      </c>
      <c r="AG5" t="s">
        <v>372</v>
      </c>
      <c r="AH5" t="s">
        <v>98</v>
      </c>
    </row>
    <row r="6" spans="1:34" x14ac:dyDescent="0.25">
      <c r="A6" s="86" t="str">
        <f>PLANTILLA!A26</f>
        <v>#9</v>
      </c>
      <c r="B6" s="52" t="str">
        <f>PLANTILLA!D26</f>
        <v>J. Limon</v>
      </c>
      <c r="C6" s="86">
        <f>PLANTILLA!E26</f>
        <v>34</v>
      </c>
      <c r="D6" s="86">
        <f ca="1">PLANTILLA!F26</f>
        <v>87</v>
      </c>
      <c r="E6" s="49">
        <f>PLANTILLA!X26</f>
        <v>0</v>
      </c>
      <c r="F6" s="49">
        <f>PLANTILLA!Y26</f>
        <v>6.8376190476190493</v>
      </c>
      <c r="G6" s="49">
        <f>PLANTILLA!Z26</f>
        <v>8.9499999999999993</v>
      </c>
      <c r="H6" s="49">
        <f>PLANTILLA!AA26</f>
        <v>8.7399999999999967</v>
      </c>
      <c r="I6" s="49">
        <f>PLANTILLA!AB26</f>
        <v>9.9499999999999993</v>
      </c>
      <c r="J6" s="49">
        <f>PLANTILLA!AC26</f>
        <v>6.95</v>
      </c>
      <c r="K6" s="49">
        <f>PLANTILLA!AD26</f>
        <v>18.999999999999993</v>
      </c>
      <c r="L6" s="121">
        <f>1/9</f>
        <v>0.1111111111111111</v>
      </c>
      <c r="M6" s="121">
        <f t="shared" si="0"/>
        <v>5.5555555555555552E-2</v>
      </c>
      <c r="N6" s="121">
        <f t="shared" si="1"/>
        <v>1.3888888888888888E-2</v>
      </c>
      <c r="O6" s="48">
        <v>0</v>
      </c>
      <c r="P6" s="48">
        <f t="shared" si="2"/>
        <v>2.622222222222222E-2</v>
      </c>
      <c r="Q6" s="48">
        <f t="shared" si="3"/>
        <v>4.0333333333333332E-2</v>
      </c>
      <c r="R6" s="48">
        <f t="shared" si="4"/>
        <v>1.8333333333333333E-2</v>
      </c>
      <c r="S6" s="48">
        <f t="shared" si="5"/>
        <v>1.8555555555555554E-2</v>
      </c>
      <c r="T6" s="48">
        <f t="shared" si="6"/>
        <v>0.1111111111111111</v>
      </c>
      <c r="U6" s="48">
        <f t="shared" si="7"/>
        <v>9.7888888888888886E-2</v>
      </c>
      <c r="V6" s="48">
        <f t="shared" si="8"/>
        <v>5.0555555555555555E-2</v>
      </c>
      <c r="W6" s="48">
        <f t="shared" si="9"/>
        <v>4.5111111111111109E-2</v>
      </c>
      <c r="X6" s="48">
        <f t="shared" si="10"/>
        <v>2.7777777777777776E-2</v>
      </c>
      <c r="Y6" s="153">
        <f>W6</f>
        <v>4.5111111111111109E-2</v>
      </c>
      <c r="Z6" s="153"/>
      <c r="AA6" s="153">
        <f t="shared" si="11"/>
        <v>4.5111111111111109E-2</v>
      </c>
      <c r="AD6" t="s">
        <v>360</v>
      </c>
      <c r="AE6" t="s">
        <v>95</v>
      </c>
      <c r="AG6" t="s">
        <v>371</v>
      </c>
      <c r="AH6" t="s">
        <v>95</v>
      </c>
    </row>
    <row r="7" spans="1:34" x14ac:dyDescent="0.25">
      <c r="A7" s="86" t="e">
        <f>PLANTILLA!#REF!</f>
        <v>#REF!</v>
      </c>
      <c r="B7" s="52" t="e">
        <f>PLANTILLA!#REF!</f>
        <v>#REF!</v>
      </c>
      <c r="C7" s="86" t="e">
        <f>PLANTILLA!#REF!</f>
        <v>#REF!</v>
      </c>
      <c r="D7" s="86" t="e">
        <f>PLANTILLA!#REF!</f>
        <v>#REF!</v>
      </c>
      <c r="E7" s="49" t="e">
        <f>PLANTILLA!#REF!</f>
        <v>#REF!</v>
      </c>
      <c r="F7" s="49" t="e">
        <f>PLANTILLA!#REF!</f>
        <v>#REF!</v>
      </c>
      <c r="G7" s="49" t="e">
        <f>PLANTILLA!#REF!</f>
        <v>#REF!</v>
      </c>
      <c r="H7" s="49" t="e">
        <f>PLANTILLA!#REF!</f>
        <v>#REF!</v>
      </c>
      <c r="I7" s="49" t="e">
        <f>PLANTILLA!#REF!</f>
        <v>#REF!</v>
      </c>
      <c r="J7" s="49" t="e">
        <f>PLANTILLA!#REF!</f>
        <v>#REF!</v>
      </c>
      <c r="K7" s="49" t="e">
        <f>PLANTILLA!#REF!</f>
        <v>#REF!</v>
      </c>
      <c r="L7">
        <f>1/20</f>
        <v>0.05</v>
      </c>
      <c r="M7" s="121">
        <f t="shared" si="0"/>
        <v>2.5000000000000001E-2</v>
      </c>
      <c r="N7" s="121">
        <f t="shared" si="1"/>
        <v>6.2500000000000003E-3</v>
      </c>
      <c r="O7" s="48">
        <v>0</v>
      </c>
      <c r="P7" s="48">
        <f t="shared" si="2"/>
        <v>1.18E-2</v>
      </c>
      <c r="Q7" s="48">
        <f t="shared" si="3"/>
        <v>1.8149999999999999E-2</v>
      </c>
      <c r="R7" s="48">
        <f t="shared" si="4"/>
        <v>8.2500000000000004E-3</v>
      </c>
      <c r="S7" s="48">
        <f t="shared" si="5"/>
        <v>8.3500000000000015E-3</v>
      </c>
      <c r="T7" s="48">
        <f t="shared" si="6"/>
        <v>0.05</v>
      </c>
      <c r="U7" s="48">
        <f t="shared" si="7"/>
        <v>4.4050000000000006E-2</v>
      </c>
      <c r="V7" s="48">
        <f t="shared" si="8"/>
        <v>2.2750000000000003E-2</v>
      </c>
      <c r="W7" s="48">
        <f t="shared" si="9"/>
        <v>2.0300000000000002E-2</v>
      </c>
      <c r="X7" s="48">
        <f t="shared" si="10"/>
        <v>1.2500000000000001E-2</v>
      </c>
      <c r="Y7" s="153">
        <f>U7</f>
        <v>4.4050000000000006E-2</v>
      </c>
      <c r="Z7" s="153">
        <f>U7</f>
        <v>4.4050000000000006E-2</v>
      </c>
      <c r="AA7" s="153">
        <f t="shared" si="11"/>
        <v>4.4050000000000006E-2</v>
      </c>
      <c r="AD7" t="s">
        <v>221</v>
      </c>
      <c r="AE7" t="s">
        <v>291</v>
      </c>
      <c r="AG7" t="s">
        <v>372</v>
      </c>
      <c r="AH7" t="s">
        <v>99</v>
      </c>
    </row>
    <row r="8" spans="1:34" x14ac:dyDescent="0.25">
      <c r="A8" s="86" t="str">
        <f>PLANTILLA!A23</f>
        <v>#11</v>
      </c>
      <c r="B8" s="52" t="str">
        <f>PLANTILLA!D23</f>
        <v>K. Helms</v>
      </c>
      <c r="C8" s="86">
        <f>PLANTILLA!E23</f>
        <v>35</v>
      </c>
      <c r="D8" s="86">
        <f ca="1">PLANTILLA!F23</f>
        <v>35</v>
      </c>
      <c r="E8" s="49">
        <f>PLANTILLA!X23</f>
        <v>0</v>
      </c>
      <c r="F8" s="49">
        <f>PLANTILLA!Y23</f>
        <v>7.2503030303030309</v>
      </c>
      <c r="G8" s="49">
        <f>PLANTILLA!Z23</f>
        <v>10.600000000000005</v>
      </c>
      <c r="H8" s="49">
        <f>PLANTILLA!AA23</f>
        <v>12.95</v>
      </c>
      <c r="I8" s="49">
        <f>PLANTILLA!AB23</f>
        <v>9.9499999999999993</v>
      </c>
      <c r="J8" s="49">
        <f>PLANTILLA!AC23</f>
        <v>3.95</v>
      </c>
      <c r="K8" s="49">
        <f>PLANTILLA!AD23</f>
        <v>18</v>
      </c>
      <c r="L8" s="281">
        <f>1/12</f>
        <v>8.3333333333333329E-2</v>
      </c>
      <c r="M8" s="121">
        <f t="shared" si="0"/>
        <v>4.1666666666666664E-2</v>
      </c>
      <c r="N8" s="121">
        <f t="shared" si="1"/>
        <v>1.0416666666666666E-2</v>
      </c>
      <c r="O8" s="48">
        <v>0</v>
      </c>
      <c r="P8" s="48">
        <f t="shared" si="2"/>
        <v>1.9666666666666666E-2</v>
      </c>
      <c r="Q8" s="48">
        <f t="shared" si="3"/>
        <v>3.0249999999999999E-2</v>
      </c>
      <c r="R8" s="48">
        <f t="shared" si="4"/>
        <v>1.375E-2</v>
      </c>
      <c r="S8" s="48">
        <f t="shared" si="5"/>
        <v>1.3916666666666667E-2</v>
      </c>
      <c r="T8" s="48">
        <f t="shared" si="6"/>
        <v>8.3333333333333329E-2</v>
      </c>
      <c r="U8" s="48">
        <f t="shared" si="7"/>
        <v>7.3416666666666658E-2</v>
      </c>
      <c r="V8" s="48">
        <f t="shared" si="8"/>
        <v>3.7916666666666668E-2</v>
      </c>
      <c r="W8" s="48">
        <f t="shared" si="9"/>
        <v>3.3833333333333333E-2</v>
      </c>
      <c r="X8" s="48">
        <f t="shared" si="10"/>
        <v>2.0833333333333332E-2</v>
      </c>
      <c r="Y8" s="153">
        <f>V8</f>
        <v>3.7916666666666668E-2</v>
      </c>
      <c r="Z8" s="153">
        <f>V8</f>
        <v>3.7916666666666668E-2</v>
      </c>
      <c r="AA8" s="153">
        <f t="shared" si="11"/>
        <v>3.7916666666666668E-2</v>
      </c>
      <c r="AD8" t="s">
        <v>362</v>
      </c>
      <c r="AE8" t="s">
        <v>169</v>
      </c>
      <c r="AG8" t="s">
        <v>360</v>
      </c>
      <c r="AH8" t="s">
        <v>373</v>
      </c>
    </row>
    <row r="9" spans="1:34" x14ac:dyDescent="0.25">
      <c r="A9" s="86" t="e">
        <f>PLANTILLA!#REF!</f>
        <v>#REF!</v>
      </c>
      <c r="B9" s="52" t="e">
        <f>PLANTILLA!#REF!</f>
        <v>#REF!</v>
      </c>
      <c r="C9" s="86" t="e">
        <f>PLANTILLA!#REF!</f>
        <v>#REF!</v>
      </c>
      <c r="D9" s="86" t="e">
        <f>PLANTILLA!#REF!</f>
        <v>#REF!</v>
      </c>
      <c r="E9" s="49" t="e">
        <f>PLANTILLA!#REF!</f>
        <v>#REF!</v>
      </c>
      <c r="F9" s="49" t="e">
        <f>PLANTILLA!#REF!</f>
        <v>#REF!</v>
      </c>
      <c r="G9" s="49" t="e">
        <f>PLANTILLA!#REF!</f>
        <v>#REF!</v>
      </c>
      <c r="H9" s="49" t="e">
        <f>PLANTILLA!#REF!</f>
        <v>#REF!</v>
      </c>
      <c r="I9" s="49" t="e">
        <f>PLANTILLA!#REF!</f>
        <v>#REF!</v>
      </c>
      <c r="J9" s="49" t="e">
        <f>PLANTILLA!#REF!</f>
        <v>#REF!</v>
      </c>
      <c r="K9" s="49" t="e">
        <f>PLANTILLA!#REF!</f>
        <v>#REF!</v>
      </c>
      <c r="L9" s="281">
        <f>1/26</f>
        <v>3.8461538461538464E-2</v>
      </c>
      <c r="M9" s="121">
        <f t="shared" si="0"/>
        <v>1.9230769230769232E-2</v>
      </c>
      <c r="N9" s="121">
        <f t="shared" si="1"/>
        <v>4.807692307692308E-3</v>
      </c>
      <c r="O9" s="48">
        <v>0</v>
      </c>
      <c r="P9" s="48">
        <f t="shared" si="2"/>
        <v>9.0769230769230762E-3</v>
      </c>
      <c r="Q9" s="48">
        <f t="shared" si="3"/>
        <v>1.3961538461538463E-2</v>
      </c>
      <c r="R9" s="48">
        <f t="shared" si="4"/>
        <v>6.3461538461538469E-3</v>
      </c>
      <c r="S9" s="48">
        <f t="shared" si="5"/>
        <v>6.4230769230769237E-3</v>
      </c>
      <c r="T9" s="48">
        <f t="shared" si="6"/>
        <v>3.8461538461538464E-2</v>
      </c>
      <c r="U9" s="48">
        <f t="shared" si="7"/>
        <v>3.3884615384615388E-2</v>
      </c>
      <c r="V9" s="48">
        <f t="shared" si="8"/>
        <v>1.7500000000000002E-2</v>
      </c>
      <c r="W9" s="48">
        <f t="shared" si="9"/>
        <v>1.5615384615384618E-2</v>
      </c>
      <c r="X9" s="48">
        <f t="shared" si="10"/>
        <v>9.6153846153846159E-3</v>
      </c>
      <c r="Y9" s="153">
        <f>U9</f>
        <v>3.3884615384615388E-2</v>
      </c>
      <c r="Z9" s="153">
        <f>U9</f>
        <v>3.3884615384615388E-2</v>
      </c>
      <c r="AA9" s="153">
        <f t="shared" si="11"/>
        <v>3.3884615384615388E-2</v>
      </c>
      <c r="AD9" t="s">
        <v>221</v>
      </c>
      <c r="AE9" t="s">
        <v>101</v>
      </c>
      <c r="AG9" t="s">
        <v>221</v>
      </c>
      <c r="AH9" t="s">
        <v>101</v>
      </c>
    </row>
    <row r="10" spans="1:34" x14ac:dyDescent="0.25">
      <c r="A10" s="86" t="str">
        <f>PLANTILLA!A24</f>
        <v>#10</v>
      </c>
      <c r="B10" s="329" t="str">
        <f>PLANTILLA!D24</f>
        <v>S. Zobbe</v>
      </c>
      <c r="C10" s="86">
        <f>PLANTILLA!E24</f>
        <v>32</v>
      </c>
      <c r="D10" s="86">
        <f ca="1">PLANTILLA!F24</f>
        <v>50</v>
      </c>
      <c r="E10" s="49">
        <f>PLANTILLA!X24</f>
        <v>0</v>
      </c>
      <c r="F10" s="49">
        <f>PLANTILLA!Y24</f>
        <v>8.3599999999999977</v>
      </c>
      <c r="G10" s="49">
        <f>PLANTILLA!Z24</f>
        <v>12.253412698412699</v>
      </c>
      <c r="H10" s="49">
        <f>PLANTILLA!AA24</f>
        <v>12.95</v>
      </c>
      <c r="I10" s="49">
        <f>PLANTILLA!AB24</f>
        <v>10.24</v>
      </c>
      <c r="J10" s="49">
        <f>PLANTILLA!AC24</f>
        <v>6.95</v>
      </c>
      <c r="K10" s="49">
        <f>PLANTILLA!AD24</f>
        <v>16</v>
      </c>
      <c r="L10" s="281">
        <f>1/14</f>
        <v>7.1428571428571425E-2</v>
      </c>
      <c r="M10" s="121">
        <f t="shared" si="0"/>
        <v>3.5714285714285712E-2</v>
      </c>
      <c r="N10" s="121">
        <f t="shared" si="1"/>
        <v>8.9285714285714281E-3</v>
      </c>
      <c r="O10" s="48">
        <v>0</v>
      </c>
      <c r="P10" s="48">
        <f t="shared" si="2"/>
        <v>1.6857142857142855E-2</v>
      </c>
      <c r="Q10" s="48">
        <f t="shared" si="3"/>
        <v>2.5928571428571426E-2</v>
      </c>
      <c r="R10" s="48">
        <f t="shared" si="4"/>
        <v>1.1785714285714285E-2</v>
      </c>
      <c r="S10" s="48">
        <f t="shared" si="5"/>
        <v>1.1928571428571429E-2</v>
      </c>
      <c r="T10" s="48">
        <f t="shared" si="6"/>
        <v>7.1428571428571425E-2</v>
      </c>
      <c r="U10" s="48">
        <f t="shared" si="7"/>
        <v>6.2928571428571431E-2</v>
      </c>
      <c r="V10" s="48">
        <f t="shared" si="8"/>
        <v>3.2500000000000001E-2</v>
      </c>
      <c r="W10" s="48">
        <f t="shared" si="9"/>
        <v>2.9000000000000001E-2</v>
      </c>
      <c r="X10" s="48">
        <f t="shared" si="10"/>
        <v>1.7857142857142856E-2</v>
      </c>
      <c r="Y10" s="153">
        <f>V10</f>
        <v>3.2500000000000001E-2</v>
      </c>
      <c r="Z10" s="153">
        <f>V10</f>
        <v>3.2500000000000001E-2</v>
      </c>
      <c r="AA10" s="153">
        <f t="shared" si="11"/>
        <v>3.2500000000000001E-2</v>
      </c>
      <c r="AD10" t="s">
        <v>363</v>
      </c>
      <c r="AE10" t="s">
        <v>373</v>
      </c>
      <c r="AG10" t="s">
        <v>221</v>
      </c>
      <c r="AH10" t="s">
        <v>291</v>
      </c>
    </row>
    <row r="11" spans="1:34" x14ac:dyDescent="0.25">
      <c r="A11" s="86" t="str">
        <f>PLANTILLA!A9</f>
        <v>#7</v>
      </c>
      <c r="B11" s="329" t="str">
        <f>PLANTILLA!D9</f>
        <v>E. Romweber</v>
      </c>
      <c r="C11" s="86">
        <f>PLANTILLA!E9</f>
        <v>35</v>
      </c>
      <c r="D11" s="86">
        <f ca="1">PLANTILLA!F9</f>
        <v>88</v>
      </c>
      <c r="E11" s="49">
        <f>PLANTILLA!X9</f>
        <v>0</v>
      </c>
      <c r="F11" s="49">
        <f>PLANTILLA!Y9</f>
        <v>11.95</v>
      </c>
      <c r="G11" s="49">
        <f>PLANTILLA!Z9</f>
        <v>12.614111111111114</v>
      </c>
      <c r="H11" s="49">
        <f>PLANTILLA!AA9</f>
        <v>12.95</v>
      </c>
      <c r="I11" s="49">
        <f>PLANTILLA!AB9</f>
        <v>10.95</v>
      </c>
      <c r="J11" s="49">
        <f>PLANTILLA!AC9</f>
        <v>5.95</v>
      </c>
      <c r="K11" s="49">
        <f>PLANTILLA!AD9</f>
        <v>17.529999999999998</v>
      </c>
      <c r="L11" s="281">
        <f>1/16</f>
        <v>6.25E-2</v>
      </c>
      <c r="M11" s="121">
        <f t="shared" si="0"/>
        <v>3.125E-2</v>
      </c>
      <c r="N11" s="121">
        <f t="shared" si="1"/>
        <v>7.8125E-3</v>
      </c>
      <c r="O11" s="48">
        <v>0</v>
      </c>
      <c r="P11" s="48">
        <f t="shared" si="2"/>
        <v>1.4749999999999999E-2</v>
      </c>
      <c r="Q11" s="48">
        <f t="shared" si="3"/>
        <v>2.2687499999999999E-2</v>
      </c>
      <c r="R11" s="48">
        <f t="shared" si="4"/>
        <v>1.03125E-2</v>
      </c>
      <c r="S11" s="48">
        <f t="shared" si="5"/>
        <v>1.0437500000000001E-2</v>
      </c>
      <c r="T11" s="48">
        <f t="shared" si="6"/>
        <v>6.25E-2</v>
      </c>
      <c r="U11" s="48">
        <f t="shared" si="7"/>
        <v>5.50625E-2</v>
      </c>
      <c r="V11" s="48">
        <f t="shared" si="8"/>
        <v>2.8437500000000001E-2</v>
      </c>
      <c r="W11" s="48">
        <f t="shared" si="9"/>
        <v>2.5375000000000002E-2</v>
      </c>
      <c r="X11" s="48">
        <f t="shared" si="10"/>
        <v>1.5625E-2</v>
      </c>
      <c r="Y11" s="153">
        <f>V11</f>
        <v>2.8437500000000001E-2</v>
      </c>
      <c r="Z11" s="153">
        <f>V11</f>
        <v>2.8437500000000001E-2</v>
      </c>
      <c r="AA11" s="153">
        <f t="shared" si="11"/>
        <v>2.8437500000000001E-2</v>
      </c>
      <c r="AD11" t="s">
        <v>363</v>
      </c>
      <c r="AE11" t="s">
        <v>107</v>
      </c>
      <c r="AG11" t="s">
        <v>363</v>
      </c>
      <c r="AH11" t="s">
        <v>107</v>
      </c>
    </row>
    <row r="12" spans="1:34" x14ac:dyDescent="0.25">
      <c r="A12" s="86" t="e">
        <f>PLANTILLA!#REF!</f>
        <v>#REF!</v>
      </c>
      <c r="B12" s="62" t="e">
        <f>PLANTILLA!#REF!</f>
        <v>#REF!</v>
      </c>
      <c r="C12" s="86" t="e">
        <f>PLANTILLA!#REF!</f>
        <v>#REF!</v>
      </c>
      <c r="D12" s="86" t="e">
        <f>PLANTILLA!#REF!</f>
        <v>#REF!</v>
      </c>
      <c r="E12" s="49" t="e">
        <f>PLANTILLA!#REF!</f>
        <v>#REF!</v>
      </c>
      <c r="F12" s="49" t="e">
        <f>PLANTILLA!#REF!</f>
        <v>#REF!</v>
      </c>
      <c r="G12" s="49" t="e">
        <f>PLANTILLA!#REF!</f>
        <v>#REF!</v>
      </c>
      <c r="H12" s="49" t="e">
        <f>PLANTILLA!#REF!</f>
        <v>#REF!</v>
      </c>
      <c r="I12" s="49" t="e">
        <f>PLANTILLA!#REF!</f>
        <v>#REF!</v>
      </c>
      <c r="J12" s="49" t="e">
        <f>PLANTILLA!#REF!</f>
        <v>#REF!</v>
      </c>
      <c r="K12" s="49" t="e">
        <f>PLANTILLA!#REF!</f>
        <v>#REF!</v>
      </c>
      <c r="L12" s="281">
        <f>1/7</f>
        <v>0.14285714285714285</v>
      </c>
      <c r="M12" s="121">
        <f t="shared" si="0"/>
        <v>7.1428571428571425E-2</v>
      </c>
      <c r="N12" s="121">
        <f t="shared" si="1"/>
        <v>1.7857142857142856E-2</v>
      </c>
      <c r="O12" s="48">
        <v>0</v>
      </c>
      <c r="P12" s="48">
        <f t="shared" si="2"/>
        <v>3.3714285714285711E-2</v>
      </c>
      <c r="Q12" s="48">
        <f t="shared" si="3"/>
        <v>5.1857142857142852E-2</v>
      </c>
      <c r="R12" s="48">
        <f t="shared" si="4"/>
        <v>2.357142857142857E-2</v>
      </c>
      <c r="S12" s="48">
        <f t="shared" si="5"/>
        <v>2.3857142857142858E-2</v>
      </c>
      <c r="T12" s="48">
        <f t="shared" si="6"/>
        <v>0.14285714285714285</v>
      </c>
      <c r="U12" s="48">
        <f t="shared" si="7"/>
        <v>0.12585714285714286</v>
      </c>
      <c r="V12" s="48">
        <f t="shared" si="8"/>
        <v>6.5000000000000002E-2</v>
      </c>
      <c r="W12" s="48">
        <f t="shared" si="9"/>
        <v>5.8000000000000003E-2</v>
      </c>
      <c r="X12" s="48">
        <f t="shared" si="10"/>
        <v>3.5714285714285712E-2</v>
      </c>
      <c r="Y12" s="153"/>
      <c r="Z12" s="153">
        <f>R12</f>
        <v>2.357142857142857E-2</v>
      </c>
      <c r="AA12" s="153">
        <f t="shared" si="11"/>
        <v>2.357142857142857E-2</v>
      </c>
      <c r="AD12" t="s">
        <v>64</v>
      </c>
      <c r="AE12" t="s">
        <v>102</v>
      </c>
      <c r="AG12" t="s">
        <v>363</v>
      </c>
      <c r="AH12" t="s">
        <v>225</v>
      </c>
    </row>
    <row r="13" spans="1:34" x14ac:dyDescent="0.25">
      <c r="A13" s="86" t="str">
        <f>PLANTILLA!A7</f>
        <v>#24</v>
      </c>
      <c r="B13" s="62" t="str">
        <f>PLANTILLA!D7</f>
        <v>B. Bartolache</v>
      </c>
      <c r="C13" s="86">
        <f>PLANTILLA!E7</f>
        <v>35</v>
      </c>
      <c r="D13" s="86">
        <f ca="1">PLANTILLA!F7</f>
        <v>111</v>
      </c>
      <c r="E13" s="49">
        <f>PLANTILLA!X7</f>
        <v>0</v>
      </c>
      <c r="F13" s="49">
        <f>PLANTILLA!Y7</f>
        <v>11.95</v>
      </c>
      <c r="G13" s="49">
        <f>PLANTILLA!Z7</f>
        <v>5.95</v>
      </c>
      <c r="H13" s="49">
        <f>PLANTILLA!AA7</f>
        <v>6.95</v>
      </c>
      <c r="I13" s="49">
        <f>PLANTILLA!AB7</f>
        <v>7.95</v>
      </c>
      <c r="J13" s="49">
        <f>PLANTILLA!AC7</f>
        <v>2.95</v>
      </c>
      <c r="K13" s="49">
        <f>PLANTILLA!AD7</f>
        <v>16</v>
      </c>
      <c r="L13" s="281">
        <f>1/8</f>
        <v>0.125</v>
      </c>
      <c r="M13" s="121">
        <f t="shared" si="0"/>
        <v>6.25E-2</v>
      </c>
      <c r="N13" s="121">
        <f t="shared" si="1"/>
        <v>1.5625E-2</v>
      </c>
      <c r="O13" s="48">
        <v>0</v>
      </c>
      <c r="P13" s="48">
        <f t="shared" si="2"/>
        <v>2.9499999999999998E-2</v>
      </c>
      <c r="Q13" s="48">
        <f t="shared" si="3"/>
        <v>4.5374999999999999E-2</v>
      </c>
      <c r="R13" s="48">
        <f t="shared" si="4"/>
        <v>2.0625000000000001E-2</v>
      </c>
      <c r="S13" s="48">
        <f t="shared" si="5"/>
        <v>2.0875000000000001E-2</v>
      </c>
      <c r="T13" s="48">
        <f t="shared" si="6"/>
        <v>0.125</v>
      </c>
      <c r="U13" s="48">
        <f t="shared" si="7"/>
        <v>0.110125</v>
      </c>
      <c r="V13" s="48">
        <f t="shared" si="8"/>
        <v>5.6875000000000002E-2</v>
      </c>
      <c r="W13" s="48">
        <f t="shared" si="9"/>
        <v>5.0750000000000003E-2</v>
      </c>
      <c r="X13" s="48">
        <f t="shared" si="10"/>
        <v>3.125E-2</v>
      </c>
      <c r="Y13" s="153"/>
      <c r="Z13" s="153">
        <f>S13</f>
        <v>2.0875000000000001E-2</v>
      </c>
      <c r="AA13" s="153">
        <f t="shared" si="11"/>
        <v>2.0875000000000001E-2</v>
      </c>
      <c r="AD13" t="s">
        <v>64</v>
      </c>
      <c r="AE13" t="s">
        <v>225</v>
      </c>
      <c r="AG13" t="s">
        <v>64</v>
      </c>
      <c r="AH13" t="s">
        <v>102</v>
      </c>
    </row>
    <row r="14" spans="1:34" x14ac:dyDescent="0.25">
      <c r="A14" s="86" t="str">
        <f>PLANTILLA!A6</f>
        <v>#2</v>
      </c>
      <c r="B14" s="329" t="str">
        <f>PLANTILLA!D6</f>
        <v>E. Toney</v>
      </c>
      <c r="C14" s="86">
        <f>PLANTILLA!E6</f>
        <v>36</v>
      </c>
      <c r="D14" s="86">
        <f ca="1">PLANTILLA!F6</f>
        <v>14</v>
      </c>
      <c r="E14" s="49">
        <f>PLANTILLA!X6</f>
        <v>0</v>
      </c>
      <c r="F14" s="49">
        <f>PLANTILLA!Y6</f>
        <v>11.95</v>
      </c>
      <c r="G14" s="49">
        <f>PLANTILLA!Z6</f>
        <v>12.95</v>
      </c>
      <c r="H14" s="49">
        <f>PLANTILLA!AA6</f>
        <v>8.9499999999999993</v>
      </c>
      <c r="I14" s="49">
        <f>PLANTILLA!AB6</f>
        <v>8.9499999999999993</v>
      </c>
      <c r="J14" s="49">
        <f>PLANTILLA!AC6</f>
        <v>1.95</v>
      </c>
      <c r="K14" s="49">
        <f>PLANTILLA!AD6</f>
        <v>17.177777777777774</v>
      </c>
      <c r="L14" s="281">
        <f>1/19</f>
        <v>5.2631578947368418E-2</v>
      </c>
      <c r="M14" s="121">
        <f t="shared" si="0"/>
        <v>2.6315789473684209E-2</v>
      </c>
      <c r="N14" s="121">
        <f t="shared" si="1"/>
        <v>6.5789473684210523E-3</v>
      </c>
      <c r="O14" s="48">
        <v>0</v>
      </c>
      <c r="P14" s="48">
        <f t="shared" si="2"/>
        <v>1.2421052631578946E-2</v>
      </c>
      <c r="Q14" s="48">
        <f t="shared" si="3"/>
        <v>1.9105263157894736E-2</v>
      </c>
      <c r="R14" s="48">
        <f t="shared" si="4"/>
        <v>8.6842105263157891E-3</v>
      </c>
      <c r="S14" s="48">
        <f t="shared" si="5"/>
        <v>8.7894736842105258E-3</v>
      </c>
      <c r="T14" s="48">
        <f t="shared" si="6"/>
        <v>5.2631578947368418E-2</v>
      </c>
      <c r="U14" s="48">
        <f t="shared" si="7"/>
        <v>4.636842105263158E-2</v>
      </c>
      <c r="V14" s="48">
        <f t="shared" si="8"/>
        <v>2.394736842105263E-2</v>
      </c>
      <c r="W14" s="48">
        <f t="shared" si="9"/>
        <v>2.1368421052631578E-2</v>
      </c>
      <c r="X14" s="48">
        <f t="shared" si="10"/>
        <v>1.3157894736842105E-2</v>
      </c>
      <c r="Y14" s="153">
        <f>P14</f>
        <v>1.2421052631578946E-2</v>
      </c>
      <c r="Z14" s="153">
        <f>Q14</f>
        <v>1.9105263157894736E-2</v>
      </c>
      <c r="AA14" s="153">
        <f t="shared" si="11"/>
        <v>1.9105263157894736E-2</v>
      </c>
    </row>
    <row r="15" spans="1:34" x14ac:dyDescent="0.25">
      <c r="A15" s="86" t="e">
        <f>PLANTILLA!#REF!</f>
        <v>#REF!</v>
      </c>
      <c r="B15" s="329" t="e">
        <f>PLANTILLA!#REF!</f>
        <v>#REF!</v>
      </c>
      <c r="C15" s="86" t="e">
        <f>PLANTILLA!#REF!</f>
        <v>#REF!</v>
      </c>
      <c r="D15" s="86" t="e">
        <f>PLANTILLA!#REF!</f>
        <v>#REF!</v>
      </c>
      <c r="E15" s="49" t="e">
        <f>PLANTILLA!#REF!</f>
        <v>#REF!</v>
      </c>
      <c r="F15" s="49" t="e">
        <f>PLANTILLA!#REF!</f>
        <v>#REF!</v>
      </c>
      <c r="G15" s="49" t="e">
        <f>PLANTILLA!#REF!</f>
        <v>#REF!</v>
      </c>
      <c r="H15" s="49" t="e">
        <f>PLANTILLA!#REF!</f>
        <v>#REF!</v>
      </c>
      <c r="I15" s="49" t="e">
        <f>PLANTILLA!#REF!</f>
        <v>#REF!</v>
      </c>
      <c r="J15" s="49" t="e">
        <f>PLANTILLA!#REF!</f>
        <v>#REF!</v>
      </c>
      <c r="K15" s="49" t="e">
        <f>PLANTILLA!#REF!</f>
        <v>#REF!</v>
      </c>
      <c r="L15" s="281">
        <f>1/23</f>
        <v>4.3478260869565216E-2</v>
      </c>
      <c r="M15" s="121">
        <f t="shared" si="0"/>
        <v>2.1739130434782608E-2</v>
      </c>
      <c r="N15" s="121">
        <f t="shared" si="1"/>
        <v>5.434782608695652E-3</v>
      </c>
      <c r="O15" s="48">
        <v>0</v>
      </c>
      <c r="P15" s="48">
        <f t="shared" si="2"/>
        <v>1.0260869565217391E-2</v>
      </c>
      <c r="Q15" s="48">
        <f t="shared" si="3"/>
        <v>1.5782608695652171E-2</v>
      </c>
      <c r="R15" s="48">
        <f t="shared" si="4"/>
        <v>7.1739130434782614E-3</v>
      </c>
      <c r="S15" s="48">
        <f t="shared" si="5"/>
        <v>7.2608695652173916E-3</v>
      </c>
      <c r="T15" s="48">
        <f t="shared" si="6"/>
        <v>4.3478260869565216E-2</v>
      </c>
      <c r="U15" s="48">
        <f t="shared" si="7"/>
        <v>3.8304347826086958E-2</v>
      </c>
      <c r="V15" s="48">
        <f t="shared" si="8"/>
        <v>1.9782608695652175E-2</v>
      </c>
      <c r="W15" s="48">
        <f t="shared" si="9"/>
        <v>1.7652173913043478E-2</v>
      </c>
      <c r="X15" s="48">
        <f t="shared" si="10"/>
        <v>1.0869565217391304E-2</v>
      </c>
      <c r="Y15" s="153">
        <f>W15</f>
        <v>1.7652173913043478E-2</v>
      </c>
      <c r="Z15" s="153">
        <f>W15</f>
        <v>1.7652173913043478E-2</v>
      </c>
      <c r="AA15" s="153">
        <f t="shared" si="11"/>
        <v>1.7652173913043478E-2</v>
      </c>
    </row>
    <row r="16" spans="1:34" x14ac:dyDescent="0.25">
      <c r="A16" s="86" t="str">
        <f>PLANTILLA!A11</f>
        <v>#12</v>
      </c>
      <c r="B16" s="62" t="str">
        <f>PLANTILLA!D11</f>
        <v>E. Gross</v>
      </c>
      <c r="C16" s="86">
        <f>PLANTILLA!E11</f>
        <v>35</v>
      </c>
      <c r="D16" s="86">
        <f ca="1">PLANTILLA!F11</f>
        <v>75</v>
      </c>
      <c r="E16" s="49">
        <f>PLANTILLA!X11</f>
        <v>0</v>
      </c>
      <c r="F16" s="49">
        <f>PLANTILLA!Y11</f>
        <v>10.549999999999995</v>
      </c>
      <c r="G16" s="49">
        <f>PLANTILLA!Z11</f>
        <v>12.95</v>
      </c>
      <c r="H16" s="49">
        <f>PLANTILLA!AA11</f>
        <v>3.95</v>
      </c>
      <c r="I16" s="49">
        <f>PLANTILLA!AB11</f>
        <v>8.9499999999999993</v>
      </c>
      <c r="J16" s="49">
        <f>PLANTILLA!AC11</f>
        <v>0.95</v>
      </c>
      <c r="K16" s="49">
        <f>PLANTILLA!AD11</f>
        <v>17.3</v>
      </c>
      <c r="L16" s="281">
        <f>1/14</f>
        <v>7.1428571428571425E-2</v>
      </c>
      <c r="M16" s="121">
        <f t="shared" si="0"/>
        <v>3.5714285714285712E-2</v>
      </c>
      <c r="N16" s="121">
        <f t="shared" si="1"/>
        <v>8.9285714285714281E-3</v>
      </c>
      <c r="O16" s="48">
        <v>0</v>
      </c>
      <c r="P16" s="48">
        <f t="shared" si="2"/>
        <v>1.6857142857142855E-2</v>
      </c>
      <c r="Q16" s="48">
        <f t="shared" si="3"/>
        <v>2.5928571428571426E-2</v>
      </c>
      <c r="R16" s="48">
        <f t="shared" si="4"/>
        <v>1.1785714285714285E-2</v>
      </c>
      <c r="S16" s="48">
        <f t="shared" si="5"/>
        <v>1.1928571428571429E-2</v>
      </c>
      <c r="T16" s="48">
        <f t="shared" si="6"/>
        <v>7.1428571428571425E-2</v>
      </c>
      <c r="U16" s="48">
        <f t="shared" si="7"/>
        <v>6.2928571428571431E-2</v>
      </c>
      <c r="V16" s="48">
        <f t="shared" si="8"/>
        <v>3.2500000000000001E-2</v>
      </c>
      <c r="W16" s="48">
        <f t="shared" si="9"/>
        <v>2.9000000000000001E-2</v>
      </c>
      <c r="X16" s="48">
        <f t="shared" si="10"/>
        <v>1.7857142857142856E-2</v>
      </c>
      <c r="Y16" s="153">
        <f>P16</f>
        <v>1.6857142857142855E-2</v>
      </c>
      <c r="Z16" s="153">
        <f>P16</f>
        <v>1.6857142857142855E-2</v>
      </c>
      <c r="AA16" s="153">
        <f t="shared" si="11"/>
        <v>1.6857142857142855E-2</v>
      </c>
    </row>
    <row r="17" spans="1:27" x14ac:dyDescent="0.25">
      <c r="A17" s="86" t="e">
        <f>PLANTILLA!#REF!</f>
        <v>#REF!</v>
      </c>
      <c r="B17" s="62" t="e">
        <f>PLANTILLA!#REF!</f>
        <v>#REF!</v>
      </c>
      <c r="C17" s="86" t="e">
        <f>PLANTILLA!#REF!</f>
        <v>#REF!</v>
      </c>
      <c r="D17" s="86" t="e">
        <f>PLANTILLA!#REF!</f>
        <v>#REF!</v>
      </c>
      <c r="E17" s="49" t="e">
        <f>PLANTILLA!#REF!</f>
        <v>#REF!</v>
      </c>
      <c r="F17" s="49" t="e">
        <f>PLANTILLA!#REF!</f>
        <v>#REF!</v>
      </c>
      <c r="G17" s="49" t="e">
        <f>PLANTILLA!#REF!</f>
        <v>#REF!</v>
      </c>
      <c r="H17" s="49" t="e">
        <f>PLANTILLA!#REF!</f>
        <v>#REF!</v>
      </c>
      <c r="I17" s="49" t="e">
        <f>PLANTILLA!#REF!</f>
        <v>#REF!</v>
      </c>
      <c r="J17" s="49" t="e">
        <f>PLANTILLA!#REF!</f>
        <v>#REF!</v>
      </c>
      <c r="K17" s="49" t="e">
        <f>PLANTILLA!#REF!</f>
        <v>#REF!</v>
      </c>
      <c r="L17" s="281">
        <f>1/11</f>
        <v>9.0909090909090912E-2</v>
      </c>
      <c r="M17" s="121">
        <f t="shared" si="0"/>
        <v>4.5454545454545456E-2</v>
      </c>
      <c r="N17" s="121">
        <f t="shared" si="1"/>
        <v>1.1363636363636364E-2</v>
      </c>
      <c r="O17" s="48">
        <v>0</v>
      </c>
      <c r="P17" s="48">
        <f t="shared" si="2"/>
        <v>2.1454545454545455E-2</v>
      </c>
      <c r="Q17" s="48">
        <f t="shared" si="3"/>
        <v>3.3000000000000002E-2</v>
      </c>
      <c r="R17" s="48">
        <f t="shared" si="4"/>
        <v>1.5000000000000001E-2</v>
      </c>
      <c r="S17" s="48">
        <f t="shared" si="5"/>
        <v>1.5181818181818183E-2</v>
      </c>
      <c r="T17" s="48">
        <f t="shared" si="6"/>
        <v>9.0909090909090912E-2</v>
      </c>
      <c r="U17" s="48">
        <f t="shared" si="7"/>
        <v>8.0090909090909088E-2</v>
      </c>
      <c r="V17" s="48">
        <f t="shared" si="8"/>
        <v>4.1363636363636366E-2</v>
      </c>
      <c r="W17" s="48">
        <f t="shared" si="9"/>
        <v>3.6909090909090912E-2</v>
      </c>
      <c r="X17" s="48">
        <f t="shared" si="10"/>
        <v>2.2727272727272728E-2</v>
      </c>
      <c r="Y17" s="153">
        <f>S17</f>
        <v>1.5181818181818183E-2</v>
      </c>
      <c r="Z17" s="153">
        <f>S17</f>
        <v>1.5181818181818183E-2</v>
      </c>
      <c r="AA17" s="153">
        <f t="shared" si="11"/>
        <v>1.5181818181818183E-2</v>
      </c>
    </row>
    <row r="18" spans="1:27" x14ac:dyDescent="0.25">
      <c r="A18" s="86" t="str">
        <f>PLANTILLA!A27</f>
        <v>#15</v>
      </c>
      <c r="B18" s="86" t="str">
        <f>PLANTILLA!D27</f>
        <v>P .Trivadi</v>
      </c>
      <c r="C18" s="86">
        <f>PLANTILLA!E27</f>
        <v>32</v>
      </c>
      <c r="D18" s="86">
        <f ca="1">PLANTILLA!F27</f>
        <v>6</v>
      </c>
      <c r="E18" s="49">
        <f>PLANTILLA!X27</f>
        <v>0</v>
      </c>
      <c r="F18" s="49">
        <f>PLANTILLA!Y27</f>
        <v>4.0199999999999996</v>
      </c>
      <c r="G18" s="49">
        <f>PLANTILLA!Z27</f>
        <v>5.95</v>
      </c>
      <c r="H18" s="49">
        <f>PLANTILLA!AA27</f>
        <v>5.5099999999999989</v>
      </c>
      <c r="I18" s="49">
        <f>PLANTILLA!AB27</f>
        <v>10.95</v>
      </c>
      <c r="J18" s="49">
        <f>PLANTILLA!AC27</f>
        <v>7.95</v>
      </c>
      <c r="K18" s="49">
        <f>PLANTILLA!AD27</f>
        <v>14</v>
      </c>
      <c r="L18" s="281">
        <f>1/6</f>
        <v>0.16666666666666666</v>
      </c>
      <c r="M18" s="121">
        <f t="shared" si="0"/>
        <v>8.3333333333333329E-2</v>
      </c>
      <c r="N18" s="121">
        <f t="shared" si="1"/>
        <v>2.0833333333333332E-2</v>
      </c>
      <c r="O18" s="48">
        <v>0</v>
      </c>
      <c r="P18" s="48">
        <f t="shared" si="2"/>
        <v>3.9333333333333331E-2</v>
      </c>
      <c r="Q18" s="48">
        <f t="shared" si="3"/>
        <v>6.0499999999999998E-2</v>
      </c>
      <c r="R18" s="48">
        <f t="shared" si="4"/>
        <v>2.75E-2</v>
      </c>
      <c r="S18" s="48">
        <f t="shared" si="5"/>
        <v>2.7833333333333335E-2</v>
      </c>
      <c r="T18" s="48">
        <f t="shared" si="6"/>
        <v>0.16666666666666666</v>
      </c>
      <c r="U18" s="48">
        <f t="shared" si="7"/>
        <v>0.14683333333333332</v>
      </c>
      <c r="V18" s="48">
        <f t="shared" si="8"/>
        <v>7.5833333333333336E-2</v>
      </c>
      <c r="W18" s="48">
        <f t="shared" si="9"/>
        <v>6.7666666666666667E-2</v>
      </c>
      <c r="X18" s="48">
        <f t="shared" si="10"/>
        <v>4.1666666666666664E-2</v>
      </c>
      <c r="Y18" s="153">
        <v>0</v>
      </c>
      <c r="Z18" s="153">
        <v>0</v>
      </c>
      <c r="AA18" s="153">
        <f t="shared" si="11"/>
        <v>0</v>
      </c>
    </row>
    <row r="19" spans="1:27" x14ac:dyDescent="0.25">
      <c r="A19" s="86" t="str">
        <f>PLANTILLA!A4</f>
        <v>#1</v>
      </c>
      <c r="B19" s="86" t="str">
        <f>PLANTILLA!D4</f>
        <v>D. Gehmacher</v>
      </c>
      <c r="C19" s="86">
        <f>PLANTILLA!E4</f>
        <v>35</v>
      </c>
      <c r="D19" s="86">
        <f ca="1">PLANTILLA!F4</f>
        <v>3</v>
      </c>
      <c r="E19" s="49">
        <f>PLANTILLA!X4</f>
        <v>16.666666666666668</v>
      </c>
      <c r="F19" s="49">
        <f>PLANTILLA!Y4</f>
        <v>11.95</v>
      </c>
      <c r="G19" s="49">
        <f>PLANTILLA!Z4</f>
        <v>2.0699999999999985</v>
      </c>
      <c r="H19" s="49">
        <f>PLANTILLA!AA4</f>
        <v>2.149999999999999</v>
      </c>
      <c r="I19" s="49">
        <f>PLANTILLA!AB4</f>
        <v>0.95</v>
      </c>
      <c r="J19" s="49">
        <f>PLANTILLA!AC4</f>
        <v>0</v>
      </c>
      <c r="K19" s="49">
        <f>PLANTILLA!AD4</f>
        <v>18.2</v>
      </c>
      <c r="L19" s="281">
        <v>0</v>
      </c>
      <c r="M19" s="121">
        <f t="shared" si="0"/>
        <v>0</v>
      </c>
      <c r="N19" s="121">
        <f t="shared" si="1"/>
        <v>0</v>
      </c>
      <c r="O19" s="48">
        <v>0</v>
      </c>
      <c r="P19" s="48">
        <f t="shared" si="2"/>
        <v>0</v>
      </c>
      <c r="Q19" s="48">
        <f t="shared" si="3"/>
        <v>0</v>
      </c>
      <c r="R19" s="48">
        <f t="shared" si="4"/>
        <v>0</v>
      </c>
      <c r="S19" s="48">
        <f t="shared" si="5"/>
        <v>0</v>
      </c>
      <c r="T19" s="48">
        <f t="shared" si="6"/>
        <v>0</v>
      </c>
      <c r="U19" s="48">
        <f t="shared" si="7"/>
        <v>0</v>
      </c>
      <c r="V19" s="48">
        <f t="shared" si="8"/>
        <v>0</v>
      </c>
      <c r="W19" s="48">
        <f t="shared" si="9"/>
        <v>0</v>
      </c>
      <c r="X19" s="48">
        <f t="shared" si="10"/>
        <v>0</v>
      </c>
      <c r="Y19" s="153">
        <f>O19</f>
        <v>0</v>
      </c>
      <c r="Z19" s="153">
        <f>O19</f>
        <v>0</v>
      </c>
      <c r="AA19" s="153">
        <f t="shared" si="11"/>
        <v>0</v>
      </c>
    </row>
    <row r="20" spans="1:27" x14ac:dyDescent="0.25">
      <c r="A20" s="86" t="str">
        <f>PLANTILLA!A5</f>
        <v>#25</v>
      </c>
      <c r="B20" s="86" t="str">
        <f>PLANTILLA!D5</f>
        <v>T. Hammond</v>
      </c>
      <c r="C20" s="86">
        <f>PLANTILLA!E5</f>
        <v>39</v>
      </c>
      <c r="D20" s="86">
        <f ca="1">PLANTILLA!F5</f>
        <v>12</v>
      </c>
      <c r="E20" s="49">
        <f>PLANTILLA!X5</f>
        <v>7.95</v>
      </c>
      <c r="F20" s="49">
        <f>PLANTILLA!Y5</f>
        <v>7.95</v>
      </c>
      <c r="G20" s="49">
        <f>PLANTILLA!Z5</f>
        <v>0.95</v>
      </c>
      <c r="H20" s="49">
        <f>PLANTILLA!AA5</f>
        <v>0.95</v>
      </c>
      <c r="I20" s="49">
        <f>PLANTILLA!AB5</f>
        <v>1.95</v>
      </c>
      <c r="J20" s="49">
        <f>PLANTILLA!AC5</f>
        <v>0</v>
      </c>
      <c r="K20" s="49">
        <f>PLANTILLA!AD5</f>
        <v>14.95</v>
      </c>
      <c r="L20" s="281"/>
      <c r="M20" s="121">
        <f t="shared" si="0"/>
        <v>0</v>
      </c>
      <c r="N20" s="121">
        <f t="shared" si="1"/>
        <v>0</v>
      </c>
      <c r="O20" s="48">
        <v>0</v>
      </c>
      <c r="P20" s="48">
        <f t="shared" si="2"/>
        <v>0</v>
      </c>
      <c r="Q20" s="48">
        <f t="shared" si="3"/>
        <v>0</v>
      </c>
      <c r="R20" s="48">
        <f t="shared" si="4"/>
        <v>0</v>
      </c>
      <c r="S20" s="48">
        <f t="shared" si="5"/>
        <v>0</v>
      </c>
      <c r="T20" s="48">
        <f t="shared" si="6"/>
        <v>0</v>
      </c>
      <c r="U20" s="48">
        <f t="shared" si="7"/>
        <v>0</v>
      </c>
      <c r="V20" s="48">
        <f t="shared" si="8"/>
        <v>0</v>
      </c>
      <c r="W20" s="48">
        <f t="shared" si="9"/>
        <v>0</v>
      </c>
      <c r="X20" s="48">
        <f t="shared" si="10"/>
        <v>0</v>
      </c>
      <c r="Y20" s="153"/>
      <c r="Z20" s="153"/>
      <c r="AA20" s="153">
        <f t="shared" si="11"/>
        <v>0</v>
      </c>
    </row>
    <row r="21" spans="1:27" x14ac:dyDescent="0.25">
      <c r="A21" s="86" t="str">
        <f>PLANTILLA!A8</f>
        <v>#13</v>
      </c>
      <c r="B21" s="86" t="str">
        <f>PLANTILLA!D8</f>
        <v>F. Lasprilla</v>
      </c>
      <c r="C21" s="86">
        <f>PLANTILLA!E8</f>
        <v>32</v>
      </c>
      <c r="D21" s="86">
        <f ca="1">PLANTILLA!F8</f>
        <v>22</v>
      </c>
      <c r="E21" s="49">
        <f>PLANTILLA!X8</f>
        <v>0</v>
      </c>
      <c r="F21" s="49">
        <f>PLANTILLA!Y8</f>
        <v>9.6046666666666667</v>
      </c>
      <c r="G21" s="49">
        <f>PLANTILLA!Z8</f>
        <v>7.7607222222222223</v>
      </c>
      <c r="H21" s="49">
        <f>PLANTILLA!AA8</f>
        <v>6.1599999999999984</v>
      </c>
      <c r="I21" s="49">
        <f>PLANTILLA!AB8</f>
        <v>8.8633333333333315</v>
      </c>
      <c r="J21" s="49">
        <f>PLANTILLA!AC8</f>
        <v>2.95</v>
      </c>
      <c r="K21" s="49">
        <f>PLANTILLA!AD8</f>
        <v>13.33611111111111</v>
      </c>
      <c r="L21" s="281"/>
      <c r="M21" s="121">
        <f t="shared" si="0"/>
        <v>0</v>
      </c>
      <c r="N21" s="121">
        <f t="shared" si="1"/>
        <v>0</v>
      </c>
      <c r="O21" s="48">
        <v>0</v>
      </c>
      <c r="P21" s="48">
        <f t="shared" si="2"/>
        <v>0</v>
      </c>
      <c r="Q21" s="48">
        <f t="shared" si="3"/>
        <v>0</v>
      </c>
      <c r="R21" s="48">
        <f t="shared" si="4"/>
        <v>0</v>
      </c>
      <c r="S21" s="48">
        <f t="shared" si="5"/>
        <v>0</v>
      </c>
      <c r="T21" s="48">
        <f t="shared" si="6"/>
        <v>0</v>
      </c>
      <c r="U21" s="48">
        <f t="shared" si="7"/>
        <v>0</v>
      </c>
      <c r="V21" s="48">
        <f t="shared" si="8"/>
        <v>0</v>
      </c>
      <c r="W21" s="48">
        <f t="shared" si="9"/>
        <v>0</v>
      </c>
      <c r="X21" s="48">
        <f t="shared" si="10"/>
        <v>0</v>
      </c>
      <c r="Y21" s="153"/>
      <c r="Z21" s="153"/>
      <c r="AA21" s="153">
        <f t="shared" si="11"/>
        <v>0</v>
      </c>
    </row>
    <row r="22" spans="1:27" x14ac:dyDescent="0.25">
      <c r="A22" s="86" t="str">
        <f>PLANTILLA!A12</f>
        <v>#23</v>
      </c>
      <c r="B22" s="86" t="str">
        <f>PLANTILLA!D12</f>
        <v>W. Gelifini</v>
      </c>
      <c r="C22" s="86">
        <f>PLANTILLA!E12</f>
        <v>34</v>
      </c>
      <c r="D22" s="86">
        <f ca="1">PLANTILLA!F12</f>
        <v>0</v>
      </c>
      <c r="E22" s="49">
        <f>PLANTILLA!X12</f>
        <v>0</v>
      </c>
      <c r="F22" s="49">
        <f>PLANTILLA!Y12</f>
        <v>5.6515555555555519</v>
      </c>
      <c r="G22" s="49">
        <f>PLANTILLA!Z12</f>
        <v>8.9499999999999993</v>
      </c>
      <c r="H22" s="49">
        <f>PLANTILLA!AA12</f>
        <v>6.95</v>
      </c>
      <c r="I22" s="49">
        <f>PLANTILLA!AB12</f>
        <v>9.2666666666666639</v>
      </c>
      <c r="J22" s="49">
        <f>PLANTILLA!AC12</f>
        <v>2.95</v>
      </c>
      <c r="K22" s="49">
        <f>PLANTILLA!AD12</f>
        <v>12.847222222222223</v>
      </c>
      <c r="L22" s="281"/>
      <c r="M22" s="121">
        <f t="shared" si="0"/>
        <v>0</v>
      </c>
      <c r="N22" s="121">
        <f t="shared" si="1"/>
        <v>0</v>
      </c>
      <c r="O22" s="48">
        <v>0</v>
      </c>
      <c r="P22" s="48">
        <f t="shared" si="2"/>
        <v>0</v>
      </c>
      <c r="Q22" s="48">
        <f t="shared" si="3"/>
        <v>0</v>
      </c>
      <c r="R22" s="48">
        <f t="shared" si="4"/>
        <v>0</v>
      </c>
      <c r="S22" s="48">
        <f t="shared" si="5"/>
        <v>0</v>
      </c>
      <c r="T22" s="48">
        <f t="shared" si="6"/>
        <v>0</v>
      </c>
      <c r="U22" s="48">
        <f t="shared" si="7"/>
        <v>0</v>
      </c>
      <c r="V22" s="48">
        <f t="shared" si="8"/>
        <v>0</v>
      </c>
      <c r="W22" s="48">
        <f t="shared" si="9"/>
        <v>0</v>
      </c>
      <c r="X22" s="48">
        <f t="shared" si="10"/>
        <v>0</v>
      </c>
      <c r="Y22" s="153"/>
      <c r="Z22" s="153"/>
      <c r="AA22" s="153">
        <f t="shared" si="11"/>
        <v>0</v>
      </c>
    </row>
    <row r="23" spans="1:27" x14ac:dyDescent="0.25">
      <c r="A23" s="86" t="e">
        <f>PLANTILLA!#REF!</f>
        <v>#REF!</v>
      </c>
      <c r="B23" s="86" t="e">
        <f>PLANTILLA!#REF!</f>
        <v>#REF!</v>
      </c>
      <c r="C23" s="86" t="e">
        <f>PLANTILLA!#REF!</f>
        <v>#REF!</v>
      </c>
      <c r="D23" s="86" t="e">
        <f>PLANTILLA!#REF!</f>
        <v>#REF!</v>
      </c>
      <c r="E23" s="49" t="e">
        <f>PLANTILLA!#REF!</f>
        <v>#REF!</v>
      </c>
      <c r="F23" s="49" t="e">
        <f>PLANTILLA!#REF!</f>
        <v>#REF!</v>
      </c>
      <c r="G23" s="49" t="e">
        <f>PLANTILLA!#REF!</f>
        <v>#REF!</v>
      </c>
      <c r="H23" s="49" t="e">
        <f>PLANTILLA!#REF!</f>
        <v>#REF!</v>
      </c>
      <c r="I23" s="49" t="e">
        <f>PLANTILLA!#REF!</f>
        <v>#REF!</v>
      </c>
      <c r="J23" s="49" t="e">
        <f>PLANTILLA!#REF!</f>
        <v>#REF!</v>
      </c>
      <c r="K23" s="49" t="e">
        <f>PLANTILLA!#REF!</f>
        <v>#REF!</v>
      </c>
      <c r="L23"/>
      <c r="M23" s="121">
        <f t="shared" si="0"/>
        <v>0</v>
      </c>
      <c r="N23" s="121">
        <f t="shared" si="1"/>
        <v>0</v>
      </c>
      <c r="O23" s="48">
        <v>0</v>
      </c>
      <c r="P23" s="48">
        <f t="shared" si="2"/>
        <v>0</v>
      </c>
      <c r="Q23" s="48">
        <f t="shared" si="3"/>
        <v>0</v>
      </c>
      <c r="R23" s="48">
        <f t="shared" si="4"/>
        <v>0</v>
      </c>
      <c r="S23" s="48">
        <f t="shared" si="5"/>
        <v>0</v>
      </c>
      <c r="T23" s="48">
        <f t="shared" si="6"/>
        <v>0</v>
      </c>
      <c r="U23" s="48">
        <f t="shared" si="7"/>
        <v>0</v>
      </c>
      <c r="V23" s="48">
        <f t="shared" si="8"/>
        <v>0</v>
      </c>
      <c r="W23" s="48">
        <f t="shared" si="9"/>
        <v>0</v>
      </c>
      <c r="X23" s="48">
        <f t="shared" si="10"/>
        <v>0</v>
      </c>
      <c r="Y23" s="153"/>
      <c r="Z23" s="153"/>
      <c r="AA23" s="153">
        <f t="shared" si="11"/>
        <v>0</v>
      </c>
    </row>
    <row r="26" spans="1:27" x14ac:dyDescent="0.25">
      <c r="B26" s="87"/>
    </row>
  </sheetData>
  <sortState ref="A4:AA23">
    <sortCondition descending="1" ref="AA4:AA23"/>
    <sortCondition descending="1" ref="Y4:Y23"/>
    <sortCondition descending="1" ref="Z4:Z23"/>
  </sortState>
  <conditionalFormatting sqref="E4:K23">
    <cfRule type="colorScale" priority="2958">
      <colorScale>
        <cfvo type="min"/>
        <cfvo type="max"/>
        <color rgb="FFFCFCFF"/>
        <color rgb="FFF8696B"/>
      </colorScale>
    </cfRule>
  </conditionalFormatting>
  <conditionalFormatting sqref="L4:X23">
    <cfRule type="colorScale" priority="2960">
      <colorScale>
        <cfvo type="min"/>
        <cfvo type="max"/>
        <color rgb="FFFFEF9C"/>
        <color rgb="FF63BE7B"/>
      </colorScale>
    </cfRule>
  </conditionalFormatting>
  <conditionalFormatting sqref="Y4:Y23">
    <cfRule type="dataBar" priority="29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{AF3F29F3-5112-4F46-8047-24FA2A710116}</x14:id>
        </ext>
      </extLst>
    </cfRule>
  </conditionalFormatting>
  <conditionalFormatting sqref="Z4:AA23">
    <cfRule type="dataBar" priority="296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{7373C42C-1B38-4BAF-933F-0F5F4BFDDA20}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3F29F3-5112-4F46-8047-24FA2A71011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Y4:Y23</xm:sqref>
        </x14:conditionalFormatting>
        <x14:conditionalFormatting xmlns:xm="http://schemas.microsoft.com/office/excel/2006/main">
          <x14:cfRule type="dataBar" id="{7373C42C-1B38-4BAF-933F-0F5F4BFDDA2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Z4:AA23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39997558519241921"/>
  </sheetPr>
  <dimension ref="A1:AH26"/>
  <sheetViews>
    <sheetView workbookViewId="0">
      <selection activeCell="Y20" sqref="Y20"/>
    </sheetView>
  </sheetViews>
  <sheetFormatPr baseColWidth="10" defaultColWidth="11.42578125" defaultRowHeight="15" x14ac:dyDescent="0.25"/>
  <cols>
    <col min="1" max="1" width="4" bestFit="1" customWidth="1"/>
    <col min="2" max="2" width="13.7109375" bestFit="1" customWidth="1"/>
    <col min="3" max="3" width="5.5703125" bestFit="1" customWidth="1"/>
    <col min="4" max="4" width="5" bestFit="1" customWidth="1"/>
    <col min="5" max="11" width="5.5703125" bestFit="1" customWidth="1"/>
    <col min="12" max="12" width="6.5703125" style="283" bestFit="1" customWidth="1"/>
    <col min="13" max="13" width="6.5703125" style="283" customWidth="1"/>
    <col min="14" max="14" width="8.28515625" style="283" bestFit="1" customWidth="1"/>
    <col min="15" max="15" width="4.5703125" style="283" bestFit="1" customWidth="1"/>
    <col min="16" max="16" width="6" bestFit="1" customWidth="1"/>
    <col min="17" max="17" width="5.42578125" bestFit="1" customWidth="1"/>
    <col min="18" max="18" width="5.42578125" customWidth="1"/>
    <col min="19" max="19" width="5.140625" bestFit="1" customWidth="1"/>
    <col min="20" max="20" width="4.5703125" bestFit="1" customWidth="1"/>
    <col min="21" max="21" width="4.5703125" customWidth="1"/>
    <col min="22" max="22" width="4.85546875" bestFit="1" customWidth="1"/>
    <col min="23" max="23" width="4.5703125" bestFit="1" customWidth="1"/>
    <col min="24" max="24" width="4.5703125" customWidth="1"/>
    <col min="25" max="26" width="9.7109375" customWidth="1"/>
    <col min="27" max="27" width="14.140625" customWidth="1"/>
    <col min="30" max="30" width="6" bestFit="1" customWidth="1"/>
    <col min="31" max="31" width="13.7109375" bestFit="1" customWidth="1"/>
    <col min="33" max="33" width="5.7109375" bestFit="1" customWidth="1"/>
    <col min="34" max="34" width="13.7109375" bestFit="1" customWidth="1"/>
  </cols>
  <sheetData>
    <row r="1" spans="1:34" x14ac:dyDescent="0.25">
      <c r="B1" t="s">
        <v>381</v>
      </c>
      <c r="AD1" t="s">
        <v>382</v>
      </c>
      <c r="AG1" t="s">
        <v>383</v>
      </c>
    </row>
    <row r="2" spans="1:34" x14ac:dyDescent="0.25">
      <c r="B2" s="87">
        <v>42585</v>
      </c>
      <c r="Y2" s="285">
        <f>SUM(Y4:Y22)</f>
        <v>0.24062111707736711</v>
      </c>
      <c r="Z2" s="285">
        <f>SUM(Z4:Z22)</f>
        <v>0.19504062465312466</v>
      </c>
      <c r="AA2" s="285"/>
      <c r="AD2" s="205" t="s">
        <v>100</v>
      </c>
      <c r="AE2" s="205" t="s">
        <v>71</v>
      </c>
      <c r="AG2" s="205" t="s">
        <v>100</v>
      </c>
      <c r="AH2" s="205" t="s">
        <v>71</v>
      </c>
    </row>
    <row r="3" spans="1:34" x14ac:dyDescent="0.25">
      <c r="A3" s="94" t="s">
        <v>401</v>
      </c>
      <c r="B3" s="94" t="str">
        <f>PLANTILLA!D3</f>
        <v>Jugador</v>
      </c>
      <c r="C3" s="94" t="str">
        <f>PLANTILLA!E3</f>
        <v>Anys</v>
      </c>
      <c r="D3" s="94" t="str">
        <f>PLANTILLA!F3</f>
        <v>Dias</v>
      </c>
      <c r="E3" s="94" t="str">
        <f>PLANTILLA!X3</f>
        <v>Po</v>
      </c>
      <c r="F3" s="94" t="str">
        <f>PLANTILLA!Y3</f>
        <v>De</v>
      </c>
      <c r="G3" s="94" t="str">
        <f>PLANTILLA!Z3</f>
        <v>Cr</v>
      </c>
      <c r="H3" s="94" t="str">
        <f>PLANTILLA!AA3</f>
        <v>Ex</v>
      </c>
      <c r="I3" s="94" t="str">
        <f>PLANTILLA!AB3</f>
        <v>Ps</v>
      </c>
      <c r="J3" s="94" t="str">
        <f>PLANTILLA!AC3</f>
        <v>An</v>
      </c>
      <c r="K3" s="94" t="str">
        <f>PLANTILLA!AD3</f>
        <v>PA</v>
      </c>
      <c r="L3" s="278">
        <v>1</v>
      </c>
      <c r="M3" s="278">
        <v>0.5</v>
      </c>
      <c r="N3" s="94" t="s">
        <v>386</v>
      </c>
      <c r="O3" s="280" t="s">
        <v>1</v>
      </c>
      <c r="P3" s="280" t="s">
        <v>361</v>
      </c>
      <c r="Q3" s="279" t="s">
        <v>379</v>
      </c>
      <c r="R3" s="279" t="s">
        <v>385</v>
      </c>
      <c r="S3" s="279" t="s">
        <v>380</v>
      </c>
      <c r="T3" s="279" t="s">
        <v>362</v>
      </c>
      <c r="U3" s="279" t="s">
        <v>221</v>
      </c>
      <c r="V3" s="279" t="s">
        <v>384</v>
      </c>
      <c r="W3" s="280" t="s">
        <v>277</v>
      </c>
      <c r="X3" s="280" t="s">
        <v>64</v>
      </c>
      <c r="Y3" s="282" t="s">
        <v>382</v>
      </c>
      <c r="Z3" s="282" t="s">
        <v>383</v>
      </c>
      <c r="AA3" s="282" t="s">
        <v>387</v>
      </c>
      <c r="AD3" t="s">
        <v>1</v>
      </c>
      <c r="AE3" t="s">
        <v>353</v>
      </c>
      <c r="AG3" t="s">
        <v>1</v>
      </c>
      <c r="AH3" t="s">
        <v>353</v>
      </c>
    </row>
    <row r="4" spans="1:34" x14ac:dyDescent="0.25">
      <c r="A4" s="86" t="str">
        <f>PLANTILLA!A26</f>
        <v>#9</v>
      </c>
      <c r="B4" s="328" t="str">
        <f>PLANTILLA!D26</f>
        <v>J. Limon</v>
      </c>
      <c r="C4" s="86">
        <f>PLANTILLA!E26</f>
        <v>34</v>
      </c>
      <c r="D4" s="86">
        <f ca="1">PLANTILLA!F26</f>
        <v>87</v>
      </c>
      <c r="E4" s="49">
        <f>PLANTILLA!X26</f>
        <v>0</v>
      </c>
      <c r="F4" s="49">
        <f>PLANTILLA!Y26</f>
        <v>6.8376190476190493</v>
      </c>
      <c r="G4" s="49">
        <f>PLANTILLA!Z26</f>
        <v>8.9499999999999993</v>
      </c>
      <c r="H4" s="49">
        <f>PLANTILLA!AA26</f>
        <v>8.7399999999999967</v>
      </c>
      <c r="I4" s="49">
        <f>PLANTILLA!AB26</f>
        <v>9.9499999999999993</v>
      </c>
      <c r="J4" s="49">
        <f>PLANTILLA!AC26</f>
        <v>6.95</v>
      </c>
      <c r="K4" s="49">
        <f>PLANTILLA!AD26</f>
        <v>18.999999999999993</v>
      </c>
      <c r="L4" s="121">
        <f>1/8</f>
        <v>0.125</v>
      </c>
      <c r="M4" s="121"/>
      <c r="N4" s="121">
        <f t="shared" ref="N4:N23" si="0">L4/6</f>
        <v>2.0833333333333332E-2</v>
      </c>
      <c r="O4" s="49">
        <v>0</v>
      </c>
      <c r="P4" s="48">
        <v>0</v>
      </c>
      <c r="Q4" s="48">
        <v>0</v>
      </c>
      <c r="R4" s="48">
        <v>0</v>
      </c>
      <c r="S4" s="48">
        <v>0</v>
      </c>
      <c r="T4" s="48">
        <f t="shared" ref="T4:T23" si="1">L4*(0.19*0.341+0.25*0.253+0.25*0.127)/(0.19+0.25)</f>
        <v>4.5394886363636359E-2</v>
      </c>
      <c r="U4" s="48">
        <f t="shared" ref="U4:U23" si="2">L4*(0.19*0.241+0.25*0.315)/(0.19+0.25)</f>
        <v>3.5380681818181818E-2</v>
      </c>
      <c r="V4" s="48">
        <f t="shared" ref="V4:V23" si="3">L4*(0.19*0.121+0.25*0.244)/(0.19+0.25)</f>
        <v>2.3860795454545454E-2</v>
      </c>
      <c r="W4" s="48">
        <f t="shared" ref="W4:W15" si="4">L4*(0.19*0.543+0.25*0.25)/(0.19+0.25)</f>
        <v>4.7065340909090911E-2</v>
      </c>
      <c r="X4" s="48">
        <f t="shared" ref="X4:X23" si="5">L4*(0.19*0.369+0.25*0.142)/(0.19+0.25)</f>
        <v>3.0002840909090913E-2</v>
      </c>
      <c r="Y4" s="153">
        <f>W4</f>
        <v>4.7065340909090911E-2</v>
      </c>
      <c r="Z4" s="153"/>
      <c r="AA4" s="153">
        <f t="shared" ref="AA4:AA23" si="6">MAX(Z4,Y4)</f>
        <v>4.7065340909090911E-2</v>
      </c>
      <c r="AD4" t="s">
        <v>360</v>
      </c>
      <c r="AE4" s="296" t="s">
        <v>390</v>
      </c>
      <c r="AG4" t="s">
        <v>360</v>
      </c>
      <c r="AH4" s="296" t="str">
        <f>AE4</f>
        <v>B. Pinczehelyi</v>
      </c>
    </row>
    <row r="5" spans="1:34" x14ac:dyDescent="0.25">
      <c r="A5" s="86" t="str">
        <f>PLANTILLA!A25</f>
        <v>#5</v>
      </c>
      <c r="B5" s="328" t="str">
        <f>PLANTILLA!D25</f>
        <v>L. Bauman</v>
      </c>
      <c r="C5" s="86">
        <f>PLANTILLA!E25</f>
        <v>35</v>
      </c>
      <c r="D5" s="86">
        <f ca="1">PLANTILLA!F25</f>
        <v>50</v>
      </c>
      <c r="E5" s="49">
        <f>PLANTILLA!X25</f>
        <v>0</v>
      </c>
      <c r="F5" s="49">
        <f>PLANTILLA!Y25</f>
        <v>5.95</v>
      </c>
      <c r="G5" s="49">
        <f>PLANTILLA!Z25</f>
        <v>14.1</v>
      </c>
      <c r="H5" s="49">
        <f>PLANTILLA!AA25</f>
        <v>2.95</v>
      </c>
      <c r="I5" s="49">
        <f>PLANTILLA!AB25</f>
        <v>8.9499999999999993</v>
      </c>
      <c r="J5" s="49">
        <f>PLANTILLA!AC25</f>
        <v>5.95</v>
      </c>
      <c r="K5" s="49">
        <f>PLANTILLA!AD25</f>
        <v>16.95</v>
      </c>
      <c r="L5" s="121">
        <f>1/9</f>
        <v>0.1111111111111111</v>
      </c>
      <c r="M5" s="121"/>
      <c r="N5" s="121">
        <f t="shared" si="0"/>
        <v>1.8518518518518517E-2</v>
      </c>
      <c r="O5" s="49">
        <v>0</v>
      </c>
      <c r="P5" s="48">
        <v>0</v>
      </c>
      <c r="Q5" s="48">
        <v>0</v>
      </c>
      <c r="R5" s="48">
        <v>0</v>
      </c>
      <c r="S5" s="48">
        <v>0</v>
      </c>
      <c r="T5" s="48">
        <f t="shared" si="1"/>
        <v>4.0351010101010096E-2</v>
      </c>
      <c r="U5" s="48">
        <f t="shared" si="2"/>
        <v>3.1449494949494949E-2</v>
      </c>
      <c r="V5" s="48">
        <f t="shared" si="3"/>
        <v>2.1209595959595956E-2</v>
      </c>
      <c r="W5" s="48">
        <f t="shared" si="4"/>
        <v>4.183585858585858E-2</v>
      </c>
      <c r="X5" s="48">
        <f t="shared" si="5"/>
        <v>2.6669191919191919E-2</v>
      </c>
      <c r="Y5" s="153">
        <f>T5</f>
        <v>4.0351010101010096E-2</v>
      </c>
      <c r="Z5" s="153">
        <f>W5</f>
        <v>4.183585858585858E-2</v>
      </c>
      <c r="AA5" s="153">
        <f t="shared" si="6"/>
        <v>4.183585858585858E-2</v>
      </c>
      <c r="AD5" t="s">
        <v>361</v>
      </c>
      <c r="AE5" t="s">
        <v>97</v>
      </c>
      <c r="AG5" t="s">
        <v>372</v>
      </c>
      <c r="AH5" t="s">
        <v>98</v>
      </c>
    </row>
    <row r="6" spans="1:34" x14ac:dyDescent="0.25">
      <c r="A6" s="86" t="str">
        <f>PLANTILLA!A10</f>
        <v>#6</v>
      </c>
      <c r="B6" s="328" t="str">
        <f>PLANTILLA!D10</f>
        <v>S. Buschelman</v>
      </c>
      <c r="C6" s="86">
        <f>PLANTILLA!E10</f>
        <v>34</v>
      </c>
      <c r="D6" s="86">
        <f ca="1">PLANTILLA!F10</f>
        <v>47</v>
      </c>
      <c r="E6" s="49">
        <f>PLANTILLA!X10</f>
        <v>0</v>
      </c>
      <c r="F6" s="49">
        <f>PLANTILLA!Y10</f>
        <v>9.3036666666666648</v>
      </c>
      <c r="G6" s="49">
        <f>PLANTILLA!Z10</f>
        <v>14</v>
      </c>
      <c r="H6" s="49">
        <f>PLANTILLA!AA10</f>
        <v>12.945</v>
      </c>
      <c r="I6" s="49">
        <f>PLANTILLA!AB10</f>
        <v>9.9499999999999993</v>
      </c>
      <c r="J6" s="49">
        <f>PLANTILLA!AC10</f>
        <v>3.95</v>
      </c>
      <c r="K6" s="49">
        <f>PLANTILLA!AD10</f>
        <v>16</v>
      </c>
      <c r="L6" s="121">
        <f>1/8</f>
        <v>0.125</v>
      </c>
      <c r="M6" s="121"/>
      <c r="N6" s="121">
        <f t="shared" si="0"/>
        <v>2.0833333333333332E-2</v>
      </c>
      <c r="O6" s="49">
        <v>0</v>
      </c>
      <c r="P6" s="48">
        <v>0</v>
      </c>
      <c r="Q6" s="48">
        <v>0</v>
      </c>
      <c r="R6" s="48">
        <v>0</v>
      </c>
      <c r="S6" s="48">
        <v>0</v>
      </c>
      <c r="T6" s="48">
        <f t="shared" si="1"/>
        <v>4.5394886363636359E-2</v>
      </c>
      <c r="U6" s="48">
        <f t="shared" si="2"/>
        <v>3.5380681818181818E-2</v>
      </c>
      <c r="V6" s="48">
        <f t="shared" si="3"/>
        <v>2.3860795454545454E-2</v>
      </c>
      <c r="W6" s="48">
        <f t="shared" si="4"/>
        <v>4.7065340909090911E-2</v>
      </c>
      <c r="X6" s="48">
        <f t="shared" si="5"/>
        <v>3.0002840909090913E-2</v>
      </c>
      <c r="Y6" s="153">
        <f>U6</f>
        <v>3.5380681818181818E-2</v>
      </c>
      <c r="Z6" s="153">
        <f>U6</f>
        <v>3.5380681818181818E-2</v>
      </c>
      <c r="AA6" s="153">
        <f t="shared" si="6"/>
        <v>3.5380681818181818E-2</v>
      </c>
      <c r="AD6" t="s">
        <v>360</v>
      </c>
      <c r="AE6" t="s">
        <v>95</v>
      </c>
      <c r="AG6" t="s">
        <v>371</v>
      </c>
      <c r="AH6" t="s">
        <v>95</v>
      </c>
    </row>
    <row r="7" spans="1:34" x14ac:dyDescent="0.25">
      <c r="A7" s="86" t="e">
        <f>PLANTILLA!#REF!</f>
        <v>#REF!</v>
      </c>
      <c r="B7" s="328" t="e">
        <f>PLANTILLA!#REF!</f>
        <v>#REF!</v>
      </c>
      <c r="C7" s="86" t="e">
        <f>PLANTILLA!#REF!</f>
        <v>#REF!</v>
      </c>
      <c r="D7" s="86" t="e">
        <f>PLANTILLA!#REF!</f>
        <v>#REF!</v>
      </c>
      <c r="E7" s="49" t="e">
        <f>PLANTILLA!#REF!</f>
        <v>#REF!</v>
      </c>
      <c r="F7" s="49" t="e">
        <f>PLANTILLA!#REF!</f>
        <v>#REF!</v>
      </c>
      <c r="G7" s="49" t="e">
        <f>PLANTILLA!#REF!</f>
        <v>#REF!</v>
      </c>
      <c r="H7" s="49" t="e">
        <f>PLANTILLA!#REF!</f>
        <v>#REF!</v>
      </c>
      <c r="I7" s="49" t="e">
        <f>PLANTILLA!#REF!</f>
        <v>#REF!</v>
      </c>
      <c r="J7" s="49" t="e">
        <f>PLANTILLA!#REF!</f>
        <v>#REF!</v>
      </c>
      <c r="K7" s="49" t="e">
        <f>PLANTILLA!#REF!</f>
        <v>#REF!</v>
      </c>
      <c r="L7" s="121">
        <f>1/14</f>
        <v>7.1428571428571425E-2</v>
      </c>
      <c r="M7" s="121"/>
      <c r="N7" s="121">
        <f t="shared" si="0"/>
        <v>1.1904761904761904E-2</v>
      </c>
      <c r="O7" s="49">
        <v>0</v>
      </c>
      <c r="P7" s="48">
        <v>0</v>
      </c>
      <c r="Q7" s="48">
        <v>0</v>
      </c>
      <c r="R7" s="48">
        <v>0</v>
      </c>
      <c r="S7" s="48">
        <v>0</v>
      </c>
      <c r="T7" s="48">
        <f t="shared" si="1"/>
        <v>2.5939935064935062E-2</v>
      </c>
      <c r="U7" s="48">
        <f t="shared" si="2"/>
        <v>2.0217532467532464E-2</v>
      </c>
      <c r="V7" s="48">
        <f t="shared" si="3"/>
        <v>1.3634740259740258E-2</v>
      </c>
      <c r="W7" s="48">
        <f t="shared" si="4"/>
        <v>2.6894480519480523E-2</v>
      </c>
      <c r="X7" s="48">
        <f t="shared" si="5"/>
        <v>1.7144480519480521E-2</v>
      </c>
      <c r="Y7" s="153">
        <f>W7</f>
        <v>2.6894480519480523E-2</v>
      </c>
      <c r="Z7" s="153">
        <f>W7</f>
        <v>2.6894480519480523E-2</v>
      </c>
      <c r="AA7" s="153">
        <f t="shared" si="6"/>
        <v>2.6894480519480523E-2</v>
      </c>
      <c r="AD7" t="s">
        <v>221</v>
      </c>
      <c r="AE7" t="s">
        <v>291</v>
      </c>
      <c r="AG7" t="s">
        <v>372</v>
      </c>
      <c r="AH7" t="s">
        <v>99</v>
      </c>
    </row>
    <row r="8" spans="1:34" x14ac:dyDescent="0.25">
      <c r="A8" s="86" t="e">
        <f>PLANTILLA!#REF!</f>
        <v>#REF!</v>
      </c>
      <c r="B8" s="328" t="e">
        <f>PLANTILLA!#REF!</f>
        <v>#REF!</v>
      </c>
      <c r="C8" s="86" t="e">
        <f>PLANTILLA!#REF!</f>
        <v>#REF!</v>
      </c>
      <c r="D8" s="86" t="e">
        <f>PLANTILLA!#REF!</f>
        <v>#REF!</v>
      </c>
      <c r="E8" s="49" t="e">
        <f>PLANTILLA!#REF!</f>
        <v>#REF!</v>
      </c>
      <c r="F8" s="49" t="e">
        <f>PLANTILLA!#REF!</f>
        <v>#REF!</v>
      </c>
      <c r="G8" s="49" t="e">
        <f>PLANTILLA!#REF!</f>
        <v>#REF!</v>
      </c>
      <c r="H8" s="49" t="e">
        <f>PLANTILLA!#REF!</f>
        <v>#REF!</v>
      </c>
      <c r="I8" s="49" t="e">
        <f>PLANTILLA!#REF!</f>
        <v>#REF!</v>
      </c>
      <c r="J8" s="49" t="e">
        <f>PLANTILLA!#REF!</f>
        <v>#REF!</v>
      </c>
      <c r="K8" s="49" t="e">
        <f>PLANTILLA!#REF!</f>
        <v>#REF!</v>
      </c>
      <c r="L8" s="121">
        <f>1/12</f>
        <v>8.3333333333333329E-2</v>
      </c>
      <c r="M8" s="121"/>
      <c r="N8" s="121">
        <f t="shared" si="0"/>
        <v>1.3888888888888888E-2</v>
      </c>
      <c r="O8" s="49">
        <v>0</v>
      </c>
      <c r="P8" s="48">
        <v>0</v>
      </c>
      <c r="Q8" s="48">
        <v>0</v>
      </c>
      <c r="R8" s="48">
        <v>0</v>
      </c>
      <c r="S8" s="48">
        <v>0</v>
      </c>
      <c r="T8" s="48">
        <f t="shared" si="1"/>
        <v>3.0263257575757572E-2</v>
      </c>
      <c r="U8" s="48">
        <f t="shared" si="2"/>
        <v>2.3587121212121212E-2</v>
      </c>
      <c r="V8" s="48">
        <f t="shared" si="3"/>
        <v>1.5907196969696967E-2</v>
      </c>
      <c r="W8" s="48">
        <f t="shared" si="4"/>
        <v>3.1376893939393941E-2</v>
      </c>
      <c r="X8" s="48">
        <f t="shared" si="5"/>
        <v>2.0001893939393941E-2</v>
      </c>
      <c r="Y8" s="153">
        <f>U8</f>
        <v>2.3587121212121212E-2</v>
      </c>
      <c r="Z8" s="153">
        <f>U8</f>
        <v>2.3587121212121212E-2</v>
      </c>
      <c r="AA8" s="153">
        <f t="shared" si="6"/>
        <v>2.3587121212121212E-2</v>
      </c>
      <c r="AD8" t="s">
        <v>362</v>
      </c>
      <c r="AE8" t="s">
        <v>169</v>
      </c>
      <c r="AG8" t="s">
        <v>360</v>
      </c>
      <c r="AH8" t="s">
        <v>373</v>
      </c>
    </row>
    <row r="9" spans="1:34" x14ac:dyDescent="0.25">
      <c r="A9" s="86" t="str">
        <f>PLANTILLA!A23</f>
        <v>#11</v>
      </c>
      <c r="B9" s="328" t="str">
        <f>PLANTILLA!D23</f>
        <v>K. Helms</v>
      </c>
      <c r="C9" s="86">
        <f>PLANTILLA!E23</f>
        <v>35</v>
      </c>
      <c r="D9" s="86">
        <f ca="1">PLANTILLA!F23</f>
        <v>35</v>
      </c>
      <c r="E9" s="49">
        <f>PLANTILLA!X23</f>
        <v>0</v>
      </c>
      <c r="F9" s="49">
        <f>PLANTILLA!Y23</f>
        <v>7.2503030303030309</v>
      </c>
      <c r="G9" s="49">
        <f>PLANTILLA!Z23</f>
        <v>10.600000000000005</v>
      </c>
      <c r="H9" s="49">
        <f>PLANTILLA!AA23</f>
        <v>12.95</v>
      </c>
      <c r="I9" s="49">
        <f>PLANTILLA!AB23</f>
        <v>9.9499999999999993</v>
      </c>
      <c r="J9" s="49">
        <f>PLANTILLA!AC23</f>
        <v>3.95</v>
      </c>
      <c r="K9" s="49">
        <f>PLANTILLA!AD23</f>
        <v>18</v>
      </c>
      <c r="L9" s="121">
        <f>1/10</f>
        <v>0.1</v>
      </c>
      <c r="M9" s="121"/>
      <c r="N9" s="121">
        <f t="shared" si="0"/>
        <v>1.6666666666666666E-2</v>
      </c>
      <c r="O9" s="49">
        <v>0</v>
      </c>
      <c r="P9" s="48">
        <v>0</v>
      </c>
      <c r="Q9" s="48">
        <v>0</v>
      </c>
      <c r="R9" s="48">
        <v>0</v>
      </c>
      <c r="S9" s="48">
        <v>0</v>
      </c>
      <c r="T9" s="48">
        <f t="shared" si="1"/>
        <v>3.6315909090909093E-2</v>
      </c>
      <c r="U9" s="48">
        <f t="shared" si="2"/>
        <v>2.8304545454545454E-2</v>
      </c>
      <c r="V9" s="48">
        <f t="shared" si="3"/>
        <v>1.9088636363636363E-2</v>
      </c>
      <c r="W9" s="48">
        <f t="shared" si="4"/>
        <v>3.7652272727272729E-2</v>
      </c>
      <c r="X9" s="48">
        <f t="shared" si="5"/>
        <v>2.400227272727273E-2</v>
      </c>
      <c r="Y9" s="153">
        <f>V9</f>
        <v>1.9088636363636363E-2</v>
      </c>
      <c r="Z9" s="153">
        <f>V9</f>
        <v>1.9088636363636363E-2</v>
      </c>
      <c r="AA9" s="153">
        <f t="shared" si="6"/>
        <v>1.9088636363636363E-2</v>
      </c>
      <c r="AD9" t="s">
        <v>221</v>
      </c>
      <c r="AE9" t="s">
        <v>101</v>
      </c>
      <c r="AG9" t="s">
        <v>221</v>
      </c>
      <c r="AH9" t="s">
        <v>101</v>
      </c>
    </row>
    <row r="10" spans="1:34" x14ac:dyDescent="0.25">
      <c r="A10" s="86" t="str">
        <f>PLANTILLA!A24</f>
        <v>#10</v>
      </c>
      <c r="B10" s="328" t="str">
        <f>PLANTILLA!D24</f>
        <v>S. Zobbe</v>
      </c>
      <c r="C10" s="86">
        <f>PLANTILLA!E24</f>
        <v>32</v>
      </c>
      <c r="D10" s="86">
        <f ca="1">PLANTILLA!F24</f>
        <v>50</v>
      </c>
      <c r="E10" s="49">
        <f>PLANTILLA!X24</f>
        <v>0</v>
      </c>
      <c r="F10" s="49">
        <f>PLANTILLA!Y24</f>
        <v>8.3599999999999977</v>
      </c>
      <c r="G10" s="49">
        <f>PLANTILLA!Z24</f>
        <v>12.253412698412699</v>
      </c>
      <c r="H10" s="49">
        <f>PLANTILLA!AA24</f>
        <v>12.95</v>
      </c>
      <c r="I10" s="49">
        <f>PLANTILLA!AB24</f>
        <v>10.24</v>
      </c>
      <c r="J10" s="49">
        <f>PLANTILLA!AC24</f>
        <v>6.95</v>
      </c>
      <c r="K10" s="49">
        <f>PLANTILLA!AD24</f>
        <v>16</v>
      </c>
      <c r="L10" s="121">
        <f>1/10</f>
        <v>0.1</v>
      </c>
      <c r="M10" s="121"/>
      <c r="N10" s="121">
        <f t="shared" si="0"/>
        <v>1.6666666666666666E-2</v>
      </c>
      <c r="O10" s="49">
        <v>0</v>
      </c>
      <c r="P10" s="48">
        <v>0</v>
      </c>
      <c r="Q10" s="48">
        <v>0</v>
      </c>
      <c r="R10" s="48">
        <v>0</v>
      </c>
      <c r="S10" s="48">
        <v>0</v>
      </c>
      <c r="T10" s="48">
        <f t="shared" si="1"/>
        <v>3.6315909090909093E-2</v>
      </c>
      <c r="U10" s="48">
        <f t="shared" si="2"/>
        <v>2.8304545454545454E-2</v>
      </c>
      <c r="V10" s="48">
        <f t="shared" si="3"/>
        <v>1.9088636363636363E-2</v>
      </c>
      <c r="W10" s="48">
        <f t="shared" si="4"/>
        <v>3.7652272727272729E-2</v>
      </c>
      <c r="X10" s="48">
        <f t="shared" si="5"/>
        <v>2.400227272727273E-2</v>
      </c>
      <c r="Y10" s="153">
        <f>V10</f>
        <v>1.9088636363636363E-2</v>
      </c>
      <c r="Z10" s="153">
        <f>V10</f>
        <v>1.9088636363636363E-2</v>
      </c>
      <c r="AA10" s="153">
        <f t="shared" si="6"/>
        <v>1.9088636363636363E-2</v>
      </c>
      <c r="AD10" t="s">
        <v>363</v>
      </c>
      <c r="AE10" t="s">
        <v>373</v>
      </c>
      <c r="AG10" t="s">
        <v>221</v>
      </c>
      <c r="AH10" t="s">
        <v>291</v>
      </c>
    </row>
    <row r="11" spans="1:34" x14ac:dyDescent="0.25">
      <c r="A11" s="86" t="str">
        <f>PLANTILLA!A9</f>
        <v>#7</v>
      </c>
      <c r="B11" s="328" t="str">
        <f>PLANTILLA!D9</f>
        <v>E. Romweber</v>
      </c>
      <c r="C11" s="86">
        <f>PLANTILLA!E9</f>
        <v>35</v>
      </c>
      <c r="D11" s="86">
        <f ca="1">PLANTILLA!F9</f>
        <v>88</v>
      </c>
      <c r="E11" s="49">
        <f>PLANTILLA!X9</f>
        <v>0</v>
      </c>
      <c r="F11" s="49">
        <f>PLANTILLA!Y9</f>
        <v>11.95</v>
      </c>
      <c r="G11" s="49">
        <f>PLANTILLA!Z9</f>
        <v>12.614111111111114</v>
      </c>
      <c r="H11" s="49">
        <f>PLANTILLA!AA9</f>
        <v>12.95</v>
      </c>
      <c r="I11" s="49">
        <f>PLANTILLA!AB9</f>
        <v>10.95</v>
      </c>
      <c r="J11" s="49">
        <f>PLANTILLA!AC9</f>
        <v>5.95</v>
      </c>
      <c r="K11" s="49">
        <f>PLANTILLA!AD9</f>
        <v>17.529999999999998</v>
      </c>
      <c r="L11" s="121">
        <f>1/13</f>
        <v>7.6923076923076927E-2</v>
      </c>
      <c r="M11" s="121"/>
      <c r="N11" s="121">
        <f t="shared" si="0"/>
        <v>1.2820512820512822E-2</v>
      </c>
      <c r="O11" s="49">
        <v>0</v>
      </c>
      <c r="P11" s="48">
        <v>0</v>
      </c>
      <c r="Q11" s="48">
        <v>0</v>
      </c>
      <c r="R11" s="48">
        <v>0</v>
      </c>
      <c r="S11" s="48">
        <v>0</v>
      </c>
      <c r="T11" s="48">
        <f t="shared" si="1"/>
        <v>2.7935314685314686E-2</v>
      </c>
      <c r="U11" s="48">
        <f t="shared" si="2"/>
        <v>2.1772727272727273E-2</v>
      </c>
      <c r="V11" s="48">
        <f t="shared" si="3"/>
        <v>1.4683566433566433E-2</v>
      </c>
      <c r="W11" s="48">
        <f t="shared" si="4"/>
        <v>2.8963286713286719E-2</v>
      </c>
      <c r="X11" s="48">
        <f t="shared" si="5"/>
        <v>1.8463286713286717E-2</v>
      </c>
      <c r="Y11" s="153">
        <f>V11</f>
        <v>1.4683566433566433E-2</v>
      </c>
      <c r="Z11" s="153">
        <f>V11</f>
        <v>1.4683566433566433E-2</v>
      </c>
      <c r="AA11" s="153">
        <f t="shared" si="6"/>
        <v>1.4683566433566433E-2</v>
      </c>
      <c r="AD11" t="s">
        <v>363</v>
      </c>
      <c r="AE11" t="s">
        <v>107</v>
      </c>
      <c r="AG11" t="s">
        <v>363</v>
      </c>
      <c r="AH11" t="s">
        <v>107</v>
      </c>
    </row>
    <row r="12" spans="1:34" x14ac:dyDescent="0.25">
      <c r="A12" s="86" t="e">
        <f>PLANTILLA!#REF!</f>
        <v>#REF!</v>
      </c>
      <c r="B12" s="328" t="e">
        <f>PLANTILLA!#REF!</f>
        <v>#REF!</v>
      </c>
      <c r="C12" s="86" t="e">
        <f>PLANTILLA!#REF!</f>
        <v>#REF!</v>
      </c>
      <c r="D12" s="86" t="e">
        <f>PLANTILLA!#REF!</f>
        <v>#REF!</v>
      </c>
      <c r="E12" s="49" t="e">
        <f>PLANTILLA!#REF!</f>
        <v>#REF!</v>
      </c>
      <c r="F12" s="49" t="e">
        <f>PLANTILLA!#REF!</f>
        <v>#REF!</v>
      </c>
      <c r="G12" s="49" t="e">
        <f>PLANTILLA!#REF!</f>
        <v>#REF!</v>
      </c>
      <c r="H12" s="49" t="e">
        <f>PLANTILLA!#REF!</f>
        <v>#REF!</v>
      </c>
      <c r="I12" s="49" t="e">
        <f>PLANTILLA!#REF!</f>
        <v>#REF!</v>
      </c>
      <c r="J12" s="49" t="e">
        <f>PLANTILLA!#REF!</f>
        <v>#REF!</v>
      </c>
      <c r="K12" s="49" t="e">
        <f>PLANTILLA!#REF!</f>
        <v>#REF!</v>
      </c>
      <c r="L12" s="121">
        <f>1/26</f>
        <v>3.8461538461538464E-2</v>
      </c>
      <c r="M12" s="121"/>
      <c r="N12" s="121">
        <f t="shared" si="0"/>
        <v>6.4102564102564109E-3</v>
      </c>
      <c r="O12" s="49">
        <v>0</v>
      </c>
      <c r="P12" s="48">
        <v>0</v>
      </c>
      <c r="Q12" s="48">
        <v>0</v>
      </c>
      <c r="R12" s="48">
        <v>0</v>
      </c>
      <c r="S12" s="48">
        <v>0</v>
      </c>
      <c r="T12" s="48">
        <f t="shared" si="1"/>
        <v>1.3967657342657343E-2</v>
      </c>
      <c r="U12" s="48">
        <f t="shared" si="2"/>
        <v>1.0886363636363637E-2</v>
      </c>
      <c r="V12" s="48">
        <f t="shared" si="3"/>
        <v>7.3417832167832165E-3</v>
      </c>
      <c r="W12" s="48">
        <f t="shared" si="4"/>
        <v>1.448164335664336E-2</v>
      </c>
      <c r="X12" s="48">
        <f t="shared" si="5"/>
        <v>9.2316433566433584E-3</v>
      </c>
      <c r="Y12" s="153">
        <f>W12</f>
        <v>1.448164335664336E-2</v>
      </c>
      <c r="Z12" s="153">
        <f>W12</f>
        <v>1.448164335664336E-2</v>
      </c>
      <c r="AA12" s="153">
        <f t="shared" si="6"/>
        <v>1.448164335664336E-2</v>
      </c>
      <c r="AD12" t="s">
        <v>64</v>
      </c>
      <c r="AE12" t="s">
        <v>102</v>
      </c>
      <c r="AG12" t="s">
        <v>363</v>
      </c>
      <c r="AH12" t="s">
        <v>225</v>
      </c>
    </row>
    <row r="13" spans="1:34" x14ac:dyDescent="0.25">
      <c r="A13" s="86" t="str">
        <f>PLANTILLA!A27</f>
        <v>#15</v>
      </c>
      <c r="B13" s="328" t="str">
        <f>PLANTILLA!D27</f>
        <v>P .Trivadi</v>
      </c>
      <c r="C13" s="86">
        <f>PLANTILLA!E27</f>
        <v>32</v>
      </c>
      <c r="D13" s="86">
        <f ca="1">PLANTILLA!F27</f>
        <v>6</v>
      </c>
      <c r="E13" s="49">
        <f>PLANTILLA!X27</f>
        <v>0</v>
      </c>
      <c r="F13" s="49">
        <f>PLANTILLA!Y27</f>
        <v>4.0199999999999996</v>
      </c>
      <c r="G13" s="49">
        <f>PLANTILLA!Z27</f>
        <v>5.95</v>
      </c>
      <c r="H13" s="49">
        <f>PLANTILLA!AA27</f>
        <v>5.5099999999999989</v>
      </c>
      <c r="I13" s="49">
        <f>PLANTILLA!AB27</f>
        <v>10.95</v>
      </c>
      <c r="J13" s="49">
        <f>PLANTILLA!AC27</f>
        <v>7.95</v>
      </c>
      <c r="K13" s="49">
        <f>PLANTILLA!AD27</f>
        <v>14</v>
      </c>
      <c r="L13" s="121">
        <f>1/9</f>
        <v>0.1111111111111111</v>
      </c>
      <c r="M13" s="121"/>
      <c r="N13" s="121">
        <f t="shared" si="0"/>
        <v>1.8518518518518517E-2</v>
      </c>
      <c r="O13" s="49">
        <v>0</v>
      </c>
      <c r="P13" s="48">
        <v>0</v>
      </c>
      <c r="Q13" s="48">
        <v>0</v>
      </c>
      <c r="R13" s="48">
        <v>0</v>
      </c>
      <c r="S13" s="48">
        <v>0</v>
      </c>
      <c r="T13" s="48">
        <f t="shared" si="1"/>
        <v>4.0351010101010096E-2</v>
      </c>
      <c r="U13" s="48">
        <f t="shared" si="2"/>
        <v>3.1449494949494949E-2</v>
      </c>
      <c r="V13" s="48">
        <f t="shared" si="3"/>
        <v>2.1209595959595956E-2</v>
      </c>
      <c r="W13" s="48">
        <f t="shared" si="4"/>
        <v>4.183585858585858E-2</v>
      </c>
      <c r="X13" s="48">
        <f t="shared" si="5"/>
        <v>2.6669191919191919E-2</v>
      </c>
      <c r="Y13" s="153">
        <v>0</v>
      </c>
      <c r="Z13" s="153">
        <v>0</v>
      </c>
      <c r="AA13" s="153">
        <f t="shared" si="6"/>
        <v>0</v>
      </c>
      <c r="AD13" t="s">
        <v>64</v>
      </c>
      <c r="AE13" t="s">
        <v>225</v>
      </c>
      <c r="AG13" t="s">
        <v>64</v>
      </c>
      <c r="AH13" t="s">
        <v>102</v>
      </c>
    </row>
    <row r="14" spans="1:34" x14ac:dyDescent="0.25">
      <c r="A14" s="86" t="str">
        <f>PLANTILLA!A4</f>
        <v>#1</v>
      </c>
      <c r="B14" s="86" t="str">
        <f>PLANTILLA!D4</f>
        <v>D. Gehmacher</v>
      </c>
      <c r="C14" s="86">
        <f>PLANTILLA!E4</f>
        <v>35</v>
      </c>
      <c r="D14" s="86">
        <f ca="1">PLANTILLA!F4</f>
        <v>3</v>
      </c>
      <c r="E14" s="49">
        <f>PLANTILLA!X4</f>
        <v>16.666666666666668</v>
      </c>
      <c r="F14" s="49">
        <f>PLANTILLA!Y4</f>
        <v>11.95</v>
      </c>
      <c r="G14" s="49">
        <f>PLANTILLA!Z4</f>
        <v>2.0699999999999985</v>
      </c>
      <c r="H14" s="49">
        <f>PLANTILLA!AA4</f>
        <v>2.149999999999999</v>
      </c>
      <c r="I14" s="49">
        <f>PLANTILLA!AB4</f>
        <v>0.95</v>
      </c>
      <c r="J14" s="49">
        <f>PLANTILLA!AC4</f>
        <v>0</v>
      </c>
      <c r="K14" s="49">
        <f>PLANTILLA!AD4</f>
        <v>18.2</v>
      </c>
      <c r="L14" s="121">
        <v>0</v>
      </c>
      <c r="M14" s="121"/>
      <c r="N14" s="121">
        <f t="shared" si="0"/>
        <v>0</v>
      </c>
      <c r="O14" s="49">
        <v>0</v>
      </c>
      <c r="P14" s="48">
        <v>0</v>
      </c>
      <c r="Q14" s="48">
        <v>0</v>
      </c>
      <c r="R14" s="48">
        <v>0</v>
      </c>
      <c r="S14" s="48">
        <v>0</v>
      </c>
      <c r="T14" s="48">
        <f t="shared" si="1"/>
        <v>0</v>
      </c>
      <c r="U14" s="48">
        <f t="shared" si="2"/>
        <v>0</v>
      </c>
      <c r="V14" s="48">
        <f t="shared" si="3"/>
        <v>0</v>
      </c>
      <c r="W14" s="48">
        <f t="shared" si="4"/>
        <v>0</v>
      </c>
      <c r="X14" s="48">
        <f t="shared" si="5"/>
        <v>0</v>
      </c>
      <c r="Y14" s="153">
        <f>L14</f>
        <v>0</v>
      </c>
      <c r="Z14" s="153">
        <f>L14</f>
        <v>0</v>
      </c>
      <c r="AA14" s="153">
        <f t="shared" si="6"/>
        <v>0</v>
      </c>
    </row>
    <row r="15" spans="1:34" x14ac:dyDescent="0.25">
      <c r="A15" s="86" t="e">
        <f>PLANTILLA!#REF!</f>
        <v>#REF!</v>
      </c>
      <c r="B15" s="328" t="e">
        <f>PLANTILLA!#REF!</f>
        <v>#REF!</v>
      </c>
      <c r="C15" s="86" t="e">
        <f>PLANTILLA!#REF!</f>
        <v>#REF!</v>
      </c>
      <c r="D15" s="86" t="e">
        <f>PLANTILLA!#REF!</f>
        <v>#REF!</v>
      </c>
      <c r="E15" s="49" t="e">
        <f>PLANTILLA!#REF!</f>
        <v>#REF!</v>
      </c>
      <c r="F15" s="49" t="e">
        <f>PLANTILLA!#REF!</f>
        <v>#REF!</v>
      </c>
      <c r="G15" s="49" t="e">
        <f>PLANTILLA!#REF!</f>
        <v>#REF!</v>
      </c>
      <c r="H15" s="49" t="e">
        <f>PLANTILLA!#REF!</f>
        <v>#REF!</v>
      </c>
      <c r="I15" s="49" t="e">
        <f>PLANTILLA!#REF!</f>
        <v>#REF!</v>
      </c>
      <c r="J15" s="49" t="e">
        <f>PLANTILLA!#REF!</f>
        <v>#REF!</v>
      </c>
      <c r="K15" s="49" t="e">
        <f>PLANTILLA!#REF!</f>
        <v>#REF!</v>
      </c>
      <c r="L15" s="121">
        <f>1/10</f>
        <v>0.1</v>
      </c>
      <c r="M15" s="121"/>
      <c r="N15" s="121">
        <f t="shared" si="0"/>
        <v>1.6666666666666666E-2</v>
      </c>
      <c r="O15" s="49">
        <v>0</v>
      </c>
      <c r="P15" s="48">
        <v>0</v>
      </c>
      <c r="Q15" s="48">
        <v>0</v>
      </c>
      <c r="R15" s="48">
        <v>0</v>
      </c>
      <c r="S15" s="48">
        <v>0</v>
      </c>
      <c r="T15" s="48">
        <f t="shared" si="1"/>
        <v>3.6315909090909093E-2</v>
      </c>
      <c r="U15" s="48">
        <f t="shared" si="2"/>
        <v>2.8304545454545454E-2</v>
      </c>
      <c r="V15" s="48">
        <f t="shared" si="3"/>
        <v>1.9088636363636363E-2</v>
      </c>
      <c r="W15" s="48">
        <f t="shared" si="4"/>
        <v>3.7652272727272729E-2</v>
      </c>
      <c r="X15" s="48">
        <f t="shared" si="5"/>
        <v>2.400227272727273E-2</v>
      </c>
      <c r="Y15" s="153">
        <v>0</v>
      </c>
      <c r="Z15" s="153">
        <v>0</v>
      </c>
      <c r="AA15" s="153">
        <f t="shared" si="6"/>
        <v>0</v>
      </c>
    </row>
    <row r="16" spans="1:34" x14ac:dyDescent="0.25">
      <c r="A16" s="86" t="e">
        <f>PLANTILLA!#REF!</f>
        <v>#REF!</v>
      </c>
      <c r="B16" s="328" t="e">
        <f>PLANTILLA!#REF!</f>
        <v>#REF!</v>
      </c>
      <c r="C16" s="86" t="e">
        <f>PLANTILLA!#REF!</f>
        <v>#REF!</v>
      </c>
      <c r="D16" s="86" t="e">
        <f>PLANTILLA!#REF!</f>
        <v>#REF!</v>
      </c>
      <c r="E16" s="49" t="e">
        <f>PLANTILLA!#REF!</f>
        <v>#REF!</v>
      </c>
      <c r="F16" s="49" t="e">
        <f>PLANTILLA!#REF!</f>
        <v>#REF!</v>
      </c>
      <c r="G16" s="49" t="e">
        <f>PLANTILLA!#REF!</f>
        <v>#REF!</v>
      </c>
      <c r="H16" s="49" t="e">
        <f>PLANTILLA!#REF!</f>
        <v>#REF!</v>
      </c>
      <c r="I16" s="49" t="e">
        <f>PLANTILLA!#REF!</f>
        <v>#REF!</v>
      </c>
      <c r="J16" s="49" t="e">
        <f>PLANTILLA!#REF!</f>
        <v>#REF!</v>
      </c>
      <c r="K16" s="49" t="e">
        <f>PLANTILLA!#REF!</f>
        <v>#REF!</v>
      </c>
      <c r="L16" s="121">
        <f>1/8</f>
        <v>0.125</v>
      </c>
      <c r="M16" s="121"/>
      <c r="N16" s="121">
        <f t="shared" si="0"/>
        <v>2.0833333333333332E-2</v>
      </c>
      <c r="O16" s="49">
        <v>0</v>
      </c>
      <c r="P16" s="48">
        <v>0</v>
      </c>
      <c r="Q16" s="48">
        <v>0</v>
      </c>
      <c r="R16" s="48">
        <v>0</v>
      </c>
      <c r="S16" s="48">
        <v>0</v>
      </c>
      <c r="T16" s="48">
        <f t="shared" si="1"/>
        <v>4.5394886363636359E-2</v>
      </c>
      <c r="U16" s="48">
        <f t="shared" si="2"/>
        <v>3.5380681818181818E-2</v>
      </c>
      <c r="V16" s="48">
        <f t="shared" si="3"/>
        <v>2.3860795454545454E-2</v>
      </c>
      <c r="W16" s="48">
        <f>L16*(0.19*0.543+0.25*0.324)/(0.19+0.25)</f>
        <v>5.232102272727273E-2</v>
      </c>
      <c r="X16" s="48">
        <f t="shared" si="5"/>
        <v>3.0002840909090913E-2</v>
      </c>
      <c r="Y16" s="153">
        <v>0</v>
      </c>
      <c r="Z16" s="153">
        <v>0</v>
      </c>
      <c r="AA16" s="153">
        <f t="shared" si="6"/>
        <v>0</v>
      </c>
    </row>
    <row r="17" spans="1:27" x14ac:dyDescent="0.25">
      <c r="A17" s="86" t="str">
        <f>PLANTILLA!A6</f>
        <v>#2</v>
      </c>
      <c r="B17" s="328" t="str">
        <f>PLANTILLA!D6</f>
        <v>E. Toney</v>
      </c>
      <c r="C17" s="86">
        <f>PLANTILLA!E6</f>
        <v>36</v>
      </c>
      <c r="D17" s="86">
        <f ca="1">PLANTILLA!F6</f>
        <v>14</v>
      </c>
      <c r="E17" s="49">
        <f>PLANTILLA!X6</f>
        <v>0</v>
      </c>
      <c r="F17" s="49">
        <f>PLANTILLA!Y6</f>
        <v>11.95</v>
      </c>
      <c r="G17" s="49">
        <f>PLANTILLA!Z6</f>
        <v>12.95</v>
      </c>
      <c r="H17" s="49">
        <f>PLANTILLA!AA6</f>
        <v>8.9499999999999993</v>
      </c>
      <c r="I17" s="49">
        <f>PLANTILLA!AB6</f>
        <v>8.9499999999999993</v>
      </c>
      <c r="J17" s="49">
        <f>PLANTILLA!AC6</f>
        <v>1.95</v>
      </c>
      <c r="K17" s="49">
        <f>PLANTILLA!AD6</f>
        <v>17.177777777777774</v>
      </c>
      <c r="L17" s="121">
        <f>1/11</f>
        <v>9.0909090909090912E-2</v>
      </c>
      <c r="M17" s="121"/>
      <c r="N17" s="121">
        <f t="shared" si="0"/>
        <v>1.5151515151515152E-2</v>
      </c>
      <c r="O17" s="49">
        <v>0</v>
      </c>
      <c r="P17" s="48">
        <v>0</v>
      </c>
      <c r="Q17" s="48">
        <v>0</v>
      </c>
      <c r="R17" s="48">
        <v>0</v>
      </c>
      <c r="S17" s="48">
        <v>0</v>
      </c>
      <c r="T17" s="48">
        <f t="shared" si="1"/>
        <v>3.3014462809917357E-2</v>
      </c>
      <c r="U17" s="48">
        <f t="shared" si="2"/>
        <v>2.5731404958677685E-2</v>
      </c>
      <c r="V17" s="48">
        <f t="shared" si="3"/>
        <v>1.7353305785123965E-2</v>
      </c>
      <c r="W17" s="48">
        <f>L17*(0.19*0.543+0.25*0.324)/(0.19+0.25)</f>
        <v>3.8051652892561988E-2</v>
      </c>
      <c r="X17" s="48">
        <f t="shared" si="5"/>
        <v>2.1820247933884301E-2</v>
      </c>
      <c r="Y17" s="153">
        <f>S17</f>
        <v>0</v>
      </c>
      <c r="Z17" s="153">
        <f>S17</f>
        <v>0</v>
      </c>
      <c r="AA17" s="153">
        <f t="shared" si="6"/>
        <v>0</v>
      </c>
    </row>
    <row r="18" spans="1:27" x14ac:dyDescent="0.25">
      <c r="A18" s="86" t="str">
        <f>PLANTILLA!A11</f>
        <v>#12</v>
      </c>
      <c r="B18" s="328" t="str">
        <f>PLANTILLA!D11</f>
        <v>E. Gross</v>
      </c>
      <c r="C18" s="86">
        <f>PLANTILLA!E11</f>
        <v>35</v>
      </c>
      <c r="D18" s="86">
        <f ca="1">PLANTILLA!F11</f>
        <v>75</v>
      </c>
      <c r="E18" s="49">
        <f>PLANTILLA!X11</f>
        <v>0</v>
      </c>
      <c r="F18" s="49">
        <f>PLANTILLA!Y11</f>
        <v>10.549999999999995</v>
      </c>
      <c r="G18" s="49">
        <f>PLANTILLA!Z11</f>
        <v>12.95</v>
      </c>
      <c r="H18" s="49">
        <f>PLANTILLA!AA11</f>
        <v>3.95</v>
      </c>
      <c r="I18" s="49">
        <f>PLANTILLA!AB11</f>
        <v>8.9499999999999993</v>
      </c>
      <c r="J18" s="49">
        <f>PLANTILLA!AC11</f>
        <v>0.95</v>
      </c>
      <c r="K18" s="49">
        <f>PLANTILLA!AD11</f>
        <v>17.3</v>
      </c>
      <c r="L18" s="121">
        <f>1/10</f>
        <v>0.1</v>
      </c>
      <c r="M18" s="121"/>
      <c r="N18" s="121">
        <f t="shared" si="0"/>
        <v>1.6666666666666666E-2</v>
      </c>
      <c r="O18" s="49">
        <v>0</v>
      </c>
      <c r="P18" s="48">
        <v>0</v>
      </c>
      <c r="Q18" s="48">
        <v>0</v>
      </c>
      <c r="R18" s="48">
        <v>0</v>
      </c>
      <c r="S18" s="48">
        <v>0</v>
      </c>
      <c r="T18" s="48">
        <f t="shared" si="1"/>
        <v>3.6315909090909093E-2</v>
      </c>
      <c r="U18" s="48">
        <f t="shared" si="2"/>
        <v>2.8304545454545454E-2</v>
      </c>
      <c r="V18" s="48">
        <f t="shared" si="3"/>
        <v>1.9088636363636363E-2</v>
      </c>
      <c r="W18" s="48">
        <f>L18*(0.19*0.543+0.25*0.25)/(0.19+0.25)</f>
        <v>3.7652272727272729E-2</v>
      </c>
      <c r="X18" s="48">
        <f t="shared" si="5"/>
        <v>2.400227272727273E-2</v>
      </c>
      <c r="Y18" s="153">
        <v>0</v>
      </c>
      <c r="Z18" s="153">
        <v>0</v>
      </c>
      <c r="AA18" s="153">
        <f t="shared" si="6"/>
        <v>0</v>
      </c>
    </row>
    <row r="19" spans="1:27" x14ac:dyDescent="0.25">
      <c r="A19" s="86" t="str">
        <f>PLANTILLA!A7</f>
        <v>#24</v>
      </c>
      <c r="B19" s="328" t="str">
        <f>PLANTILLA!D7</f>
        <v>B. Bartolache</v>
      </c>
      <c r="C19" s="86">
        <f>PLANTILLA!E7</f>
        <v>35</v>
      </c>
      <c r="D19" s="86">
        <f ca="1">PLANTILLA!F7</f>
        <v>111</v>
      </c>
      <c r="E19" s="49">
        <f>PLANTILLA!X7</f>
        <v>0</v>
      </c>
      <c r="F19" s="49">
        <f>PLANTILLA!Y7</f>
        <v>11.95</v>
      </c>
      <c r="G19" s="49">
        <f>PLANTILLA!Z7</f>
        <v>5.95</v>
      </c>
      <c r="H19" s="49">
        <f>PLANTILLA!AA7</f>
        <v>6.95</v>
      </c>
      <c r="I19" s="49">
        <f>PLANTILLA!AB7</f>
        <v>7.95</v>
      </c>
      <c r="J19" s="49">
        <f>PLANTILLA!AC7</f>
        <v>2.95</v>
      </c>
      <c r="K19" s="49">
        <f>PLANTILLA!AD7</f>
        <v>16</v>
      </c>
      <c r="L19" s="121">
        <f>1/10</f>
        <v>0.1</v>
      </c>
      <c r="M19" s="121"/>
      <c r="N19" s="121">
        <f t="shared" si="0"/>
        <v>1.6666666666666666E-2</v>
      </c>
      <c r="O19" s="49">
        <v>0</v>
      </c>
      <c r="P19" s="48">
        <v>0</v>
      </c>
      <c r="Q19" s="48">
        <v>0</v>
      </c>
      <c r="R19" s="48">
        <v>0</v>
      </c>
      <c r="S19" s="48">
        <v>0</v>
      </c>
      <c r="T19" s="48">
        <f t="shared" si="1"/>
        <v>3.6315909090909093E-2</v>
      </c>
      <c r="U19" s="48">
        <f t="shared" si="2"/>
        <v>2.8304545454545454E-2</v>
      </c>
      <c r="V19" s="48">
        <f t="shared" si="3"/>
        <v>1.9088636363636363E-2</v>
      </c>
      <c r="W19" s="48">
        <f>L19*(0.19*0.543+0.25*0.324)/(0.19+0.25)</f>
        <v>4.1856818181818183E-2</v>
      </c>
      <c r="X19" s="48">
        <f t="shared" si="5"/>
        <v>2.400227272727273E-2</v>
      </c>
      <c r="Y19" s="153">
        <v>0</v>
      </c>
      <c r="Z19" s="153">
        <f>S19</f>
        <v>0</v>
      </c>
      <c r="AA19" s="153">
        <f t="shared" si="6"/>
        <v>0</v>
      </c>
    </row>
    <row r="20" spans="1:27" x14ac:dyDescent="0.25">
      <c r="A20" s="86" t="str">
        <f>PLANTILLA!A5</f>
        <v>#25</v>
      </c>
      <c r="B20" s="86" t="str">
        <f>PLANTILLA!D5</f>
        <v>T. Hammond</v>
      </c>
      <c r="C20" s="86">
        <f>PLANTILLA!E5</f>
        <v>39</v>
      </c>
      <c r="D20" s="86">
        <f ca="1">PLANTILLA!F5</f>
        <v>12</v>
      </c>
      <c r="E20" s="49">
        <f>PLANTILLA!X5</f>
        <v>7.95</v>
      </c>
      <c r="F20" s="49">
        <f>PLANTILLA!Y5</f>
        <v>7.95</v>
      </c>
      <c r="G20" s="49">
        <f>PLANTILLA!Z5</f>
        <v>0.95</v>
      </c>
      <c r="H20" s="49">
        <f>PLANTILLA!AA5</f>
        <v>0.95</v>
      </c>
      <c r="I20" s="49">
        <f>PLANTILLA!AB5</f>
        <v>1.95</v>
      </c>
      <c r="J20" s="49">
        <f>PLANTILLA!AC5</f>
        <v>0</v>
      </c>
      <c r="K20" s="49">
        <f>PLANTILLA!AD5</f>
        <v>14.95</v>
      </c>
      <c r="L20" s="121"/>
      <c r="M20" s="121"/>
      <c r="N20" s="121">
        <f t="shared" si="0"/>
        <v>0</v>
      </c>
      <c r="O20" s="49">
        <v>0</v>
      </c>
      <c r="P20" s="48">
        <v>0</v>
      </c>
      <c r="Q20" s="48">
        <v>0</v>
      </c>
      <c r="R20" s="48">
        <v>0</v>
      </c>
      <c r="S20" s="48">
        <v>0</v>
      </c>
      <c r="T20" s="48">
        <f t="shared" si="1"/>
        <v>0</v>
      </c>
      <c r="U20" s="48">
        <f t="shared" si="2"/>
        <v>0</v>
      </c>
      <c r="V20" s="48">
        <f t="shared" si="3"/>
        <v>0</v>
      </c>
      <c r="W20" s="48">
        <f>L20*(0.19*0.543+0.25*0.25)/(0.19+0.25)</f>
        <v>0</v>
      </c>
      <c r="X20" s="48">
        <f t="shared" si="5"/>
        <v>0</v>
      </c>
      <c r="Y20" s="153"/>
      <c r="Z20" s="153"/>
      <c r="AA20" s="153">
        <f t="shared" si="6"/>
        <v>0</v>
      </c>
    </row>
    <row r="21" spans="1:27" x14ac:dyDescent="0.25">
      <c r="A21" s="86" t="str">
        <f>PLANTILLA!A8</f>
        <v>#13</v>
      </c>
      <c r="B21" s="86" t="str">
        <f>PLANTILLA!D8</f>
        <v>F. Lasprilla</v>
      </c>
      <c r="C21" s="86">
        <f>PLANTILLA!E8</f>
        <v>32</v>
      </c>
      <c r="D21" s="86">
        <f ca="1">PLANTILLA!F8</f>
        <v>22</v>
      </c>
      <c r="E21" s="49">
        <f>PLANTILLA!X8</f>
        <v>0</v>
      </c>
      <c r="F21" s="49">
        <f>PLANTILLA!Y8</f>
        <v>9.6046666666666667</v>
      </c>
      <c r="G21" s="49">
        <f>PLANTILLA!Z8</f>
        <v>7.7607222222222223</v>
      </c>
      <c r="H21" s="49">
        <f>PLANTILLA!AA8</f>
        <v>6.1599999999999984</v>
      </c>
      <c r="I21" s="49">
        <f>PLANTILLA!AB8</f>
        <v>8.8633333333333315</v>
      </c>
      <c r="J21" s="49">
        <f>PLANTILLA!AC8</f>
        <v>2.95</v>
      </c>
      <c r="K21" s="49">
        <f>PLANTILLA!AD8</f>
        <v>13.33611111111111</v>
      </c>
      <c r="L21" s="121"/>
      <c r="M21" s="121"/>
      <c r="N21" s="121">
        <f t="shared" si="0"/>
        <v>0</v>
      </c>
      <c r="O21" s="49">
        <v>0</v>
      </c>
      <c r="P21" s="48">
        <v>0</v>
      </c>
      <c r="Q21" s="48">
        <v>0</v>
      </c>
      <c r="R21" s="48">
        <v>0</v>
      </c>
      <c r="S21" s="48">
        <v>0</v>
      </c>
      <c r="T21" s="48">
        <f t="shared" si="1"/>
        <v>0</v>
      </c>
      <c r="U21" s="48">
        <f t="shared" si="2"/>
        <v>0</v>
      </c>
      <c r="V21" s="48">
        <f t="shared" si="3"/>
        <v>0</v>
      </c>
      <c r="W21" s="48">
        <f>L21*(0.19*0.543+0.25*0.25)/(0.19+0.25)</f>
        <v>0</v>
      </c>
      <c r="X21" s="48">
        <f t="shared" si="5"/>
        <v>0</v>
      </c>
      <c r="Y21" s="153"/>
      <c r="Z21" s="153"/>
      <c r="AA21" s="153">
        <f t="shared" si="6"/>
        <v>0</v>
      </c>
    </row>
    <row r="22" spans="1:27" x14ac:dyDescent="0.25">
      <c r="A22" s="86" t="str">
        <f>PLANTILLA!A12</f>
        <v>#23</v>
      </c>
      <c r="B22" s="86" t="str">
        <f>PLANTILLA!D12</f>
        <v>W. Gelifini</v>
      </c>
      <c r="C22" s="86">
        <f>PLANTILLA!E12</f>
        <v>34</v>
      </c>
      <c r="D22" s="86">
        <f ca="1">PLANTILLA!F12</f>
        <v>0</v>
      </c>
      <c r="E22" s="49">
        <f>PLANTILLA!X12</f>
        <v>0</v>
      </c>
      <c r="F22" s="49">
        <f>PLANTILLA!Y12</f>
        <v>5.6515555555555519</v>
      </c>
      <c r="G22" s="49">
        <f>PLANTILLA!Z12</f>
        <v>8.9499999999999993</v>
      </c>
      <c r="H22" s="49">
        <f>PLANTILLA!AA12</f>
        <v>6.95</v>
      </c>
      <c r="I22" s="49">
        <f>PLANTILLA!AB12</f>
        <v>9.2666666666666639</v>
      </c>
      <c r="J22" s="49">
        <f>PLANTILLA!AC12</f>
        <v>2.95</v>
      </c>
      <c r="K22" s="49">
        <f>PLANTILLA!AD12</f>
        <v>12.847222222222223</v>
      </c>
      <c r="L22" s="121"/>
      <c r="M22" s="121"/>
      <c r="N22" s="121">
        <f t="shared" si="0"/>
        <v>0</v>
      </c>
      <c r="O22" s="49">
        <v>0</v>
      </c>
      <c r="P22" s="48">
        <v>0</v>
      </c>
      <c r="Q22" s="48">
        <v>0</v>
      </c>
      <c r="R22" s="48">
        <v>0</v>
      </c>
      <c r="S22" s="48">
        <v>0</v>
      </c>
      <c r="T22" s="48">
        <f t="shared" si="1"/>
        <v>0</v>
      </c>
      <c r="U22" s="48">
        <f t="shared" si="2"/>
        <v>0</v>
      </c>
      <c r="V22" s="48">
        <f t="shared" si="3"/>
        <v>0</v>
      </c>
      <c r="W22" s="48">
        <f>L22*(0.19*0.543+0.25*0.25)/(0.19+0.25)</f>
        <v>0</v>
      </c>
      <c r="X22" s="48">
        <f t="shared" si="5"/>
        <v>0</v>
      </c>
      <c r="Y22" s="153"/>
      <c r="Z22" s="153"/>
      <c r="AA22" s="153">
        <f t="shared" si="6"/>
        <v>0</v>
      </c>
    </row>
    <row r="23" spans="1:27" x14ac:dyDescent="0.25">
      <c r="A23" s="86" t="e">
        <f>PLANTILLA!#REF!</f>
        <v>#REF!</v>
      </c>
      <c r="B23" s="86" t="e">
        <f>PLANTILLA!#REF!</f>
        <v>#REF!</v>
      </c>
      <c r="C23" s="86" t="e">
        <f>PLANTILLA!#REF!</f>
        <v>#REF!</v>
      </c>
      <c r="D23" s="86" t="e">
        <f>PLANTILLA!#REF!</f>
        <v>#REF!</v>
      </c>
      <c r="E23" s="49" t="e">
        <f>PLANTILLA!#REF!</f>
        <v>#REF!</v>
      </c>
      <c r="F23" s="49" t="e">
        <f>PLANTILLA!#REF!</f>
        <v>#REF!</v>
      </c>
      <c r="G23" s="49" t="e">
        <f>PLANTILLA!#REF!</f>
        <v>#REF!</v>
      </c>
      <c r="H23" s="49" t="e">
        <f>PLANTILLA!#REF!</f>
        <v>#REF!</v>
      </c>
      <c r="I23" s="49" t="e">
        <f>PLANTILLA!#REF!</f>
        <v>#REF!</v>
      </c>
      <c r="J23" s="49" t="e">
        <f>PLANTILLA!#REF!</f>
        <v>#REF!</v>
      </c>
      <c r="K23" s="49" t="e">
        <f>PLANTILLA!#REF!</f>
        <v>#REF!</v>
      </c>
      <c r="L23" s="121"/>
      <c r="M23" s="121"/>
      <c r="N23" s="121">
        <f t="shared" si="0"/>
        <v>0</v>
      </c>
      <c r="O23" s="49">
        <v>0</v>
      </c>
      <c r="P23" s="48">
        <v>0</v>
      </c>
      <c r="Q23" s="48">
        <v>0</v>
      </c>
      <c r="R23" s="48">
        <v>0</v>
      </c>
      <c r="S23" s="48">
        <v>0</v>
      </c>
      <c r="T23" s="48">
        <f t="shared" si="1"/>
        <v>0</v>
      </c>
      <c r="U23" s="48">
        <f t="shared" si="2"/>
        <v>0</v>
      </c>
      <c r="V23" s="48">
        <f t="shared" si="3"/>
        <v>0</v>
      </c>
      <c r="W23" s="48">
        <f>L23*(0.19*0.543+0.25*0.25)/(0.19+0.25)</f>
        <v>0</v>
      </c>
      <c r="X23" s="48">
        <f t="shared" si="5"/>
        <v>0</v>
      </c>
      <c r="Y23" s="153"/>
      <c r="Z23" s="153"/>
      <c r="AA23" s="153">
        <f t="shared" si="6"/>
        <v>0</v>
      </c>
    </row>
    <row r="26" spans="1:27" x14ac:dyDescent="0.25">
      <c r="B26" s="87"/>
    </row>
  </sheetData>
  <sortState ref="A4:AA23">
    <sortCondition descending="1" ref="AA4:AA23"/>
    <sortCondition descending="1" ref="Y4:Y23"/>
    <sortCondition descending="1" ref="Z4:Z23"/>
  </sortState>
  <conditionalFormatting sqref="L4:X23">
    <cfRule type="colorScale" priority="2965">
      <colorScale>
        <cfvo type="min"/>
        <cfvo type="max"/>
        <color rgb="FFFFEF9C"/>
        <color rgb="FF63BE7B"/>
      </colorScale>
    </cfRule>
  </conditionalFormatting>
  <conditionalFormatting sqref="Y4:Y23">
    <cfRule type="dataBar" priority="29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{9426DB89-85FD-4792-83EF-D61D488930F2}</x14:id>
        </ext>
      </extLst>
    </cfRule>
  </conditionalFormatting>
  <conditionalFormatting sqref="Z4:AA23">
    <cfRule type="dataBar" priority="296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{C23476FD-F522-405C-9B9C-54EF35DAB9BC}</x14:id>
        </ext>
      </extLst>
    </cfRule>
  </conditionalFormatting>
  <conditionalFormatting sqref="E4:K23">
    <cfRule type="colorScale" priority="296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26DB89-85FD-4792-83EF-D61D488930F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Y4:Y23</xm:sqref>
        </x14:conditionalFormatting>
        <x14:conditionalFormatting xmlns:xm="http://schemas.microsoft.com/office/excel/2006/main">
          <x14:cfRule type="dataBar" id="{C23476FD-F522-405C-9B9C-54EF35DAB9B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Z4:AA23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39997558519241921"/>
  </sheetPr>
  <dimension ref="A1:AH25"/>
  <sheetViews>
    <sheetView workbookViewId="0">
      <selection activeCell="L3" sqref="L3:AA3"/>
    </sheetView>
  </sheetViews>
  <sheetFormatPr baseColWidth="10" defaultColWidth="11.42578125" defaultRowHeight="15" x14ac:dyDescent="0.25"/>
  <cols>
    <col min="1" max="1" width="4" bestFit="1" customWidth="1"/>
    <col min="2" max="2" width="13.7109375" bestFit="1" customWidth="1"/>
    <col min="3" max="3" width="5.5703125" bestFit="1" customWidth="1"/>
    <col min="4" max="4" width="5" bestFit="1" customWidth="1"/>
    <col min="5" max="11" width="5.5703125" bestFit="1" customWidth="1"/>
    <col min="12" max="12" width="6.5703125" style="283" bestFit="1" customWidth="1"/>
    <col min="13" max="13" width="6.5703125" style="283" customWidth="1"/>
    <col min="14" max="14" width="8.28515625" style="283" bestFit="1" customWidth="1"/>
    <col min="15" max="15" width="4.5703125" style="283" bestFit="1" customWidth="1"/>
    <col min="16" max="16" width="6" bestFit="1" customWidth="1"/>
    <col min="17" max="17" width="5.42578125" bestFit="1" customWidth="1"/>
    <col min="18" max="18" width="5.42578125" customWidth="1"/>
    <col min="19" max="19" width="5.140625" bestFit="1" customWidth="1"/>
    <col min="20" max="20" width="4.5703125" bestFit="1" customWidth="1"/>
    <col min="21" max="21" width="4.5703125" customWidth="1"/>
    <col min="22" max="22" width="4.85546875" bestFit="1" customWidth="1"/>
    <col min="23" max="23" width="4.5703125" bestFit="1" customWidth="1"/>
    <col min="24" max="24" width="4.5703125" customWidth="1"/>
    <col min="25" max="26" width="6.42578125" bestFit="1" customWidth="1"/>
    <col min="27" max="27" width="7.7109375" bestFit="1" customWidth="1"/>
    <col min="30" max="30" width="6" bestFit="1" customWidth="1"/>
    <col min="31" max="31" width="13.7109375" bestFit="1" customWidth="1"/>
    <col min="33" max="33" width="5.7109375" bestFit="1" customWidth="1"/>
    <col min="34" max="34" width="13.7109375" bestFit="1" customWidth="1"/>
  </cols>
  <sheetData>
    <row r="1" spans="1:34" x14ac:dyDescent="0.25">
      <c r="B1" t="s">
        <v>381</v>
      </c>
      <c r="AD1" t="s">
        <v>382</v>
      </c>
      <c r="AG1" t="s">
        <v>383</v>
      </c>
    </row>
    <row r="2" spans="1:34" x14ac:dyDescent="0.25">
      <c r="B2" s="87">
        <v>43060</v>
      </c>
      <c r="Y2" s="285">
        <f>SUM(Y4:Y22)</f>
        <v>0.35961805555555554</v>
      </c>
      <c r="Z2" s="285">
        <f>SUM(Z4:Z22)</f>
        <v>0.49770896464646464</v>
      </c>
      <c r="AA2" s="285"/>
      <c r="AD2" s="205" t="s">
        <v>100</v>
      </c>
      <c r="AE2" s="205" t="s">
        <v>71</v>
      </c>
      <c r="AG2" s="205" t="s">
        <v>100</v>
      </c>
      <c r="AH2" s="205" t="s">
        <v>71</v>
      </c>
    </row>
    <row r="3" spans="1:34" x14ac:dyDescent="0.25">
      <c r="A3" s="94" t="s">
        <v>401</v>
      </c>
      <c r="B3" s="94" t="str">
        <f>PLANTILLA!D3</f>
        <v>Jugador</v>
      </c>
      <c r="C3" s="94" t="str">
        <f>PLANTILLA!E3</f>
        <v>Anys</v>
      </c>
      <c r="D3" s="94" t="str">
        <f>PLANTILLA!F3</f>
        <v>Dias</v>
      </c>
      <c r="E3" s="94" t="str">
        <f>PLANTILLA!X3</f>
        <v>Po</v>
      </c>
      <c r="F3" s="94" t="str">
        <f>PLANTILLA!Y3</f>
        <v>De</v>
      </c>
      <c r="G3" s="94" t="str">
        <f>PLANTILLA!Z3</f>
        <v>Cr</v>
      </c>
      <c r="H3" s="94" t="str">
        <f>PLANTILLA!AA3</f>
        <v>Ex</v>
      </c>
      <c r="I3" s="94" t="str">
        <f>PLANTILLA!AB3</f>
        <v>Ps</v>
      </c>
      <c r="J3" s="94" t="str">
        <f>PLANTILLA!AC3</f>
        <v>An</v>
      </c>
      <c r="K3" s="94" t="str">
        <f>PLANTILLA!AD3</f>
        <v>PA</v>
      </c>
      <c r="L3" s="278">
        <v>1</v>
      </c>
      <c r="M3" s="278">
        <v>0.5</v>
      </c>
      <c r="N3" s="94" t="s">
        <v>386</v>
      </c>
      <c r="O3" s="280" t="s">
        <v>1</v>
      </c>
      <c r="P3" s="280" t="s">
        <v>361</v>
      </c>
      <c r="Q3" s="279" t="s">
        <v>379</v>
      </c>
      <c r="R3" s="279" t="s">
        <v>385</v>
      </c>
      <c r="S3" s="279" t="s">
        <v>380</v>
      </c>
      <c r="T3" s="279" t="s">
        <v>362</v>
      </c>
      <c r="U3" s="279" t="s">
        <v>221</v>
      </c>
      <c r="V3" s="279" t="s">
        <v>384</v>
      </c>
      <c r="W3" s="280" t="s">
        <v>277</v>
      </c>
      <c r="X3" s="280" t="s">
        <v>64</v>
      </c>
      <c r="Y3" s="282" t="s">
        <v>382</v>
      </c>
      <c r="Z3" s="282" t="s">
        <v>383</v>
      </c>
      <c r="AA3" s="282" t="s">
        <v>387</v>
      </c>
      <c r="AD3" t="s">
        <v>1</v>
      </c>
      <c r="AE3" t="s">
        <v>353</v>
      </c>
      <c r="AG3" t="s">
        <v>1</v>
      </c>
      <c r="AH3" t="s">
        <v>353</v>
      </c>
    </row>
    <row r="4" spans="1:34" x14ac:dyDescent="0.25">
      <c r="A4" s="86" t="e">
        <f>PLANTILLA!#REF!</f>
        <v>#REF!</v>
      </c>
      <c r="B4" s="328" t="e">
        <f>PLANTILLA!#REF!</f>
        <v>#REF!</v>
      </c>
      <c r="C4" s="86" t="e">
        <f>PLANTILLA!#REF!</f>
        <v>#REF!</v>
      </c>
      <c r="D4" s="86" t="e">
        <f>PLANTILLA!#REF!</f>
        <v>#REF!</v>
      </c>
      <c r="E4" s="49" t="e">
        <f>PLANTILLA!#REF!</f>
        <v>#REF!</v>
      </c>
      <c r="F4" s="49" t="e">
        <f>PLANTILLA!#REF!</f>
        <v>#REF!</v>
      </c>
      <c r="G4" s="49" t="e">
        <f>PLANTILLA!#REF!</f>
        <v>#REF!</v>
      </c>
      <c r="H4" s="49" t="e">
        <f>PLANTILLA!#REF!</f>
        <v>#REF!</v>
      </c>
      <c r="I4" s="49" t="e">
        <f>PLANTILLA!#REF!</f>
        <v>#REF!</v>
      </c>
      <c r="J4" s="49" t="e">
        <f>PLANTILLA!#REF!</f>
        <v>#REF!</v>
      </c>
      <c r="K4" s="49" t="e">
        <f>PLANTILLA!#REF!</f>
        <v>#REF!</v>
      </c>
      <c r="L4" s="121">
        <f>1/4</f>
        <v>0.25</v>
      </c>
      <c r="M4" s="121">
        <f t="shared" ref="M4:M23" si="0">L4/2</f>
        <v>0.125</v>
      </c>
      <c r="N4" s="121">
        <f t="shared" ref="N4:N23" si="1">L4/8</f>
        <v>3.125E-2</v>
      </c>
      <c r="O4" s="49">
        <v>0</v>
      </c>
      <c r="P4" s="48">
        <v>0</v>
      </c>
      <c r="Q4" s="48">
        <v>0</v>
      </c>
      <c r="R4" s="48">
        <f t="shared" ref="R4:R23" si="2">L4*0.286</f>
        <v>7.1499999999999994E-2</v>
      </c>
      <c r="S4" s="48">
        <f t="shared" ref="S4:S23" si="3">L4*(0.588*0.25+0.19*0)/(0.25+0.19)</f>
        <v>8.3522727272727262E-2</v>
      </c>
      <c r="T4" s="48">
        <v>0</v>
      </c>
      <c r="U4" s="48">
        <f t="shared" ref="U4:U23" si="4">L4*(0.574*0.25+0.19*0)/(0.25+0.19)</f>
        <v>8.1534090909090903E-2</v>
      </c>
      <c r="V4" s="48">
        <f t="shared" ref="V4:V23" si="5">L4*(0.864*0.25+0.19*0)/(0.25+0.19)</f>
        <v>0.12272727272727273</v>
      </c>
      <c r="W4" s="48">
        <f t="shared" ref="W4:W23" si="6">L4*(0.144*0.25+0.19*0)/(0.25+0.19)</f>
        <v>2.0454545454545454E-2</v>
      </c>
      <c r="X4" s="48">
        <f t="shared" ref="X4:X23" si="7">L4*(0.221*0.25+0.19*0)/(0.25+0.19)</f>
        <v>3.1392045454545457E-2</v>
      </c>
      <c r="Y4" s="153"/>
      <c r="Z4" s="153">
        <f>R4</f>
        <v>7.1499999999999994E-2</v>
      </c>
      <c r="AA4" s="153">
        <f t="shared" ref="AA4:AA23" si="8">MAX(Z4,Y4)</f>
        <v>7.1499999999999994E-2</v>
      </c>
      <c r="AD4" t="s">
        <v>360</v>
      </c>
      <c r="AE4" s="296" t="s">
        <v>390</v>
      </c>
      <c r="AG4" t="s">
        <v>360</v>
      </c>
      <c r="AH4" s="296" t="str">
        <f>AE4</f>
        <v>B. Pinczehelyi</v>
      </c>
    </row>
    <row r="5" spans="1:34" x14ac:dyDescent="0.25">
      <c r="A5" s="86" t="str">
        <f>PLANTILLA!A7</f>
        <v>#24</v>
      </c>
      <c r="B5" s="328" t="str">
        <f>PLANTILLA!D7</f>
        <v>B. Bartolache</v>
      </c>
      <c r="C5" s="86">
        <f>PLANTILLA!E7</f>
        <v>35</v>
      </c>
      <c r="D5" s="86">
        <f ca="1">PLANTILLA!F7</f>
        <v>111</v>
      </c>
      <c r="E5" s="49">
        <f>PLANTILLA!X7</f>
        <v>0</v>
      </c>
      <c r="F5" s="49">
        <f>PLANTILLA!Y7</f>
        <v>11.95</v>
      </c>
      <c r="G5" s="49">
        <f>PLANTILLA!Z7</f>
        <v>5.95</v>
      </c>
      <c r="H5" s="49">
        <f>PLANTILLA!AA7</f>
        <v>6.95</v>
      </c>
      <c r="I5" s="49">
        <f>PLANTILLA!AB7</f>
        <v>7.95</v>
      </c>
      <c r="J5" s="49">
        <f>PLANTILLA!AC7</f>
        <v>2.95</v>
      </c>
      <c r="K5" s="49">
        <f>PLANTILLA!AD7</f>
        <v>16</v>
      </c>
      <c r="L5" s="121">
        <f>1/6</f>
        <v>0.16666666666666666</v>
      </c>
      <c r="M5" s="121">
        <f t="shared" si="0"/>
        <v>8.3333333333333329E-2</v>
      </c>
      <c r="N5" s="121">
        <f t="shared" si="1"/>
        <v>2.0833333333333332E-2</v>
      </c>
      <c r="O5" s="49">
        <v>0</v>
      </c>
      <c r="P5" s="48">
        <v>0</v>
      </c>
      <c r="Q5" s="48">
        <v>0</v>
      </c>
      <c r="R5" s="48">
        <f t="shared" si="2"/>
        <v>4.7666666666666663E-2</v>
      </c>
      <c r="S5" s="48">
        <f t="shared" si="3"/>
        <v>5.5681818181818173E-2</v>
      </c>
      <c r="T5" s="48">
        <v>0</v>
      </c>
      <c r="U5" s="48">
        <f t="shared" si="4"/>
        <v>5.4356060606060595E-2</v>
      </c>
      <c r="V5" s="48">
        <f t="shared" si="5"/>
        <v>8.1818181818181818E-2</v>
      </c>
      <c r="W5" s="48">
        <f t="shared" si="6"/>
        <v>1.3636363636363634E-2</v>
      </c>
      <c r="X5" s="48">
        <f t="shared" si="7"/>
        <v>2.0928030303030299E-2</v>
      </c>
      <c r="Y5" s="153"/>
      <c r="Z5" s="153">
        <f>S5</f>
        <v>5.5681818181818173E-2</v>
      </c>
      <c r="AA5" s="153">
        <f t="shared" si="8"/>
        <v>5.5681818181818173E-2</v>
      </c>
      <c r="AD5" t="s">
        <v>361</v>
      </c>
      <c r="AE5" t="s">
        <v>97</v>
      </c>
      <c r="AG5" t="s">
        <v>372</v>
      </c>
      <c r="AH5" t="s">
        <v>98</v>
      </c>
    </row>
    <row r="6" spans="1:34" x14ac:dyDescent="0.25">
      <c r="A6" s="86" t="str">
        <f>PLANTILLA!A24</f>
        <v>#10</v>
      </c>
      <c r="B6" s="328" t="str">
        <f>PLANTILLA!D24</f>
        <v>S. Zobbe</v>
      </c>
      <c r="C6" s="86">
        <f>PLANTILLA!E24</f>
        <v>32</v>
      </c>
      <c r="D6" s="86">
        <f ca="1">PLANTILLA!F24</f>
        <v>50</v>
      </c>
      <c r="E6" s="49">
        <f>PLANTILLA!X24</f>
        <v>0</v>
      </c>
      <c r="F6" s="49">
        <f>PLANTILLA!Y24</f>
        <v>8.3599999999999977</v>
      </c>
      <c r="G6" s="49">
        <f>PLANTILLA!Z24</f>
        <v>12.253412698412699</v>
      </c>
      <c r="H6" s="49">
        <f>PLANTILLA!AA24</f>
        <v>12.95</v>
      </c>
      <c r="I6" s="49">
        <f>PLANTILLA!AB24</f>
        <v>10.24</v>
      </c>
      <c r="J6" s="49">
        <f>PLANTILLA!AC24</f>
        <v>6.95</v>
      </c>
      <c r="K6" s="49">
        <f>PLANTILLA!AD24</f>
        <v>16</v>
      </c>
      <c r="L6" s="121">
        <f>1/9</f>
        <v>0.1111111111111111</v>
      </c>
      <c r="M6" s="121">
        <f t="shared" si="0"/>
        <v>5.5555555555555552E-2</v>
      </c>
      <c r="N6" s="121">
        <f t="shared" si="1"/>
        <v>1.3888888888888888E-2</v>
      </c>
      <c r="O6" s="49">
        <v>0</v>
      </c>
      <c r="P6" s="48">
        <v>0</v>
      </c>
      <c r="Q6" s="48">
        <v>0</v>
      </c>
      <c r="R6" s="48">
        <f t="shared" si="2"/>
        <v>3.1777777777777773E-2</v>
      </c>
      <c r="S6" s="48">
        <f t="shared" si="3"/>
        <v>3.7121212121212117E-2</v>
      </c>
      <c r="T6" s="48">
        <v>0</v>
      </c>
      <c r="U6" s="48">
        <f t="shared" si="4"/>
        <v>3.6237373737373728E-2</v>
      </c>
      <c r="V6" s="48">
        <f t="shared" si="5"/>
        <v>5.4545454545454536E-2</v>
      </c>
      <c r="W6" s="48">
        <f t="shared" si="6"/>
        <v>9.0909090909090887E-3</v>
      </c>
      <c r="X6" s="48">
        <f t="shared" si="7"/>
        <v>1.39520202020202E-2</v>
      </c>
      <c r="Y6" s="153">
        <f>V6</f>
        <v>5.4545454545454536E-2</v>
      </c>
      <c r="Z6" s="153">
        <f>V6</f>
        <v>5.4545454545454536E-2</v>
      </c>
      <c r="AA6" s="153">
        <f t="shared" si="8"/>
        <v>5.4545454545454536E-2</v>
      </c>
      <c r="AD6" t="s">
        <v>360</v>
      </c>
      <c r="AE6" t="s">
        <v>95</v>
      </c>
      <c r="AG6" t="s">
        <v>371</v>
      </c>
      <c r="AH6" t="s">
        <v>95</v>
      </c>
    </row>
    <row r="7" spans="1:34" x14ac:dyDescent="0.25">
      <c r="A7" s="86" t="str">
        <f>PLANTILLA!A6</f>
        <v>#2</v>
      </c>
      <c r="B7" s="328" t="str">
        <f>PLANTILLA!D6</f>
        <v>E. Toney</v>
      </c>
      <c r="C7" s="86">
        <f>PLANTILLA!E6</f>
        <v>36</v>
      </c>
      <c r="D7" s="86">
        <f ca="1">PLANTILLA!F6</f>
        <v>14</v>
      </c>
      <c r="E7" s="49">
        <f>PLANTILLA!X6</f>
        <v>0</v>
      </c>
      <c r="F7" s="49">
        <f>PLANTILLA!Y6</f>
        <v>11.95</v>
      </c>
      <c r="G7" s="49">
        <f>PLANTILLA!Z6</f>
        <v>12.95</v>
      </c>
      <c r="H7" s="49">
        <f>PLANTILLA!AA6</f>
        <v>8.9499999999999993</v>
      </c>
      <c r="I7" s="49">
        <f>PLANTILLA!AB6</f>
        <v>8.9499999999999993</v>
      </c>
      <c r="J7" s="49">
        <f>PLANTILLA!AC6</f>
        <v>1.95</v>
      </c>
      <c r="K7" s="49">
        <f>PLANTILLA!AD6</f>
        <v>17.177777777777774</v>
      </c>
      <c r="L7" s="121">
        <f>1/7</f>
        <v>0.14285714285714285</v>
      </c>
      <c r="M7" s="121">
        <f t="shared" si="0"/>
        <v>7.1428571428571425E-2</v>
      </c>
      <c r="N7" s="121">
        <f t="shared" si="1"/>
        <v>1.7857142857142856E-2</v>
      </c>
      <c r="O7" s="49">
        <v>0</v>
      </c>
      <c r="P7" s="48">
        <v>0</v>
      </c>
      <c r="Q7" s="48">
        <v>0</v>
      </c>
      <c r="R7" s="48">
        <f t="shared" si="2"/>
        <v>4.0857142857142849E-2</v>
      </c>
      <c r="S7" s="48">
        <f t="shared" si="3"/>
        <v>4.7727272727272722E-2</v>
      </c>
      <c r="T7" s="48">
        <v>0</v>
      </c>
      <c r="U7" s="48">
        <f t="shared" si="4"/>
        <v>4.6590909090909086E-2</v>
      </c>
      <c r="V7" s="48">
        <f t="shared" si="5"/>
        <v>7.0129870129870125E-2</v>
      </c>
      <c r="W7" s="48">
        <f t="shared" si="6"/>
        <v>1.1688311688311687E-2</v>
      </c>
      <c r="X7" s="48">
        <f t="shared" si="7"/>
        <v>1.7938311688311687E-2</v>
      </c>
      <c r="Y7" s="153">
        <f>S7</f>
        <v>4.7727272727272722E-2</v>
      </c>
      <c r="Z7" s="153">
        <f>S7</f>
        <v>4.7727272727272722E-2</v>
      </c>
      <c r="AA7" s="153">
        <f t="shared" si="8"/>
        <v>4.7727272727272722E-2</v>
      </c>
      <c r="AD7" t="s">
        <v>221</v>
      </c>
      <c r="AE7" t="s">
        <v>291</v>
      </c>
      <c r="AG7" t="s">
        <v>372</v>
      </c>
      <c r="AH7" t="s">
        <v>99</v>
      </c>
    </row>
    <row r="8" spans="1:34" x14ac:dyDescent="0.25">
      <c r="A8" s="86" t="str">
        <f>PLANTILLA!A9</f>
        <v>#7</v>
      </c>
      <c r="B8" s="329" t="str">
        <f>PLANTILLA!D9</f>
        <v>E. Romweber</v>
      </c>
      <c r="C8" s="86">
        <f>PLANTILLA!E9</f>
        <v>35</v>
      </c>
      <c r="D8" s="86">
        <f ca="1">PLANTILLA!F9</f>
        <v>88</v>
      </c>
      <c r="E8" s="49">
        <f>PLANTILLA!X9</f>
        <v>0</v>
      </c>
      <c r="F8" s="49">
        <f>PLANTILLA!Y9</f>
        <v>11.95</v>
      </c>
      <c r="G8" s="49">
        <f>PLANTILLA!Z9</f>
        <v>12.614111111111114</v>
      </c>
      <c r="H8" s="49">
        <f>PLANTILLA!AA9</f>
        <v>12.95</v>
      </c>
      <c r="I8" s="49">
        <f>PLANTILLA!AB9</f>
        <v>10.95</v>
      </c>
      <c r="J8" s="49">
        <f>PLANTILLA!AC9</f>
        <v>5.95</v>
      </c>
      <c r="K8" s="49">
        <f>PLANTILLA!AD9</f>
        <v>17.529999999999998</v>
      </c>
      <c r="L8" s="121">
        <f>1/12</f>
        <v>8.3333333333333329E-2</v>
      </c>
      <c r="M8" s="121">
        <f t="shared" si="0"/>
        <v>4.1666666666666664E-2</v>
      </c>
      <c r="N8" s="121">
        <f t="shared" si="1"/>
        <v>1.0416666666666666E-2</v>
      </c>
      <c r="O8" s="49">
        <v>0</v>
      </c>
      <c r="P8" s="48">
        <v>0</v>
      </c>
      <c r="Q8" s="48">
        <v>0</v>
      </c>
      <c r="R8" s="48">
        <f t="shared" si="2"/>
        <v>2.3833333333333331E-2</v>
      </c>
      <c r="S8" s="48">
        <f t="shared" si="3"/>
        <v>2.7840909090909086E-2</v>
      </c>
      <c r="T8" s="48">
        <v>0</v>
      </c>
      <c r="U8" s="48">
        <f t="shared" si="4"/>
        <v>2.7178030303030298E-2</v>
      </c>
      <c r="V8" s="48">
        <f t="shared" si="5"/>
        <v>4.0909090909090909E-2</v>
      </c>
      <c r="W8" s="48">
        <f t="shared" si="6"/>
        <v>6.818181818181817E-3</v>
      </c>
      <c r="X8" s="48">
        <f t="shared" si="7"/>
        <v>1.046401515151515E-2</v>
      </c>
      <c r="Y8" s="153">
        <f>V8</f>
        <v>4.0909090909090909E-2</v>
      </c>
      <c r="Z8" s="153">
        <f>V8</f>
        <v>4.0909090909090909E-2</v>
      </c>
      <c r="AA8" s="153">
        <f t="shared" si="8"/>
        <v>4.0909090909090909E-2</v>
      </c>
      <c r="AD8" t="s">
        <v>362</v>
      </c>
      <c r="AE8" t="s">
        <v>169</v>
      </c>
      <c r="AG8" t="s">
        <v>360</v>
      </c>
      <c r="AH8" t="s">
        <v>373</v>
      </c>
    </row>
    <row r="9" spans="1:34" x14ac:dyDescent="0.25">
      <c r="A9" s="86" t="str">
        <f>PLANTILLA!A23</f>
        <v>#11</v>
      </c>
      <c r="B9" s="329" t="str">
        <f>PLANTILLA!D23</f>
        <v>K. Helms</v>
      </c>
      <c r="C9" s="86">
        <f>PLANTILLA!E23</f>
        <v>35</v>
      </c>
      <c r="D9" s="86">
        <f ca="1">PLANTILLA!F23</f>
        <v>35</v>
      </c>
      <c r="E9" s="49">
        <f>PLANTILLA!X23</f>
        <v>0</v>
      </c>
      <c r="F9" s="49">
        <f>PLANTILLA!Y23</f>
        <v>7.2503030303030309</v>
      </c>
      <c r="G9" s="49">
        <f>PLANTILLA!Z23</f>
        <v>10.600000000000005</v>
      </c>
      <c r="H9" s="49">
        <f>PLANTILLA!AA23</f>
        <v>12.95</v>
      </c>
      <c r="I9" s="49">
        <f>PLANTILLA!AB23</f>
        <v>9.9499999999999993</v>
      </c>
      <c r="J9" s="49">
        <f>PLANTILLA!AC23</f>
        <v>3.95</v>
      </c>
      <c r="K9" s="49">
        <f>PLANTILLA!AD23</f>
        <v>18</v>
      </c>
      <c r="L9" s="121">
        <f>1/12</f>
        <v>8.3333333333333329E-2</v>
      </c>
      <c r="M9" s="121">
        <f t="shared" si="0"/>
        <v>4.1666666666666664E-2</v>
      </c>
      <c r="N9" s="121">
        <f t="shared" si="1"/>
        <v>1.0416666666666666E-2</v>
      </c>
      <c r="O9" s="49">
        <v>0</v>
      </c>
      <c r="P9" s="48">
        <v>0</v>
      </c>
      <c r="Q9" s="48">
        <v>0</v>
      </c>
      <c r="R9" s="48">
        <f t="shared" si="2"/>
        <v>2.3833333333333331E-2</v>
      </c>
      <c r="S9" s="48">
        <f t="shared" si="3"/>
        <v>2.7840909090909086E-2</v>
      </c>
      <c r="T9" s="48">
        <v>0</v>
      </c>
      <c r="U9" s="48">
        <f t="shared" si="4"/>
        <v>2.7178030303030298E-2</v>
      </c>
      <c r="V9" s="48">
        <f t="shared" si="5"/>
        <v>4.0909090909090909E-2</v>
      </c>
      <c r="W9" s="48">
        <f t="shared" si="6"/>
        <v>6.818181818181817E-3</v>
      </c>
      <c r="X9" s="48">
        <f t="shared" si="7"/>
        <v>1.046401515151515E-2</v>
      </c>
      <c r="Y9" s="153">
        <f>V9</f>
        <v>4.0909090909090909E-2</v>
      </c>
      <c r="Z9" s="153">
        <f>V9</f>
        <v>4.0909090909090909E-2</v>
      </c>
      <c r="AA9" s="153">
        <f t="shared" si="8"/>
        <v>4.0909090909090909E-2</v>
      </c>
      <c r="AD9" t="s">
        <v>221</v>
      </c>
      <c r="AE9" t="s">
        <v>101</v>
      </c>
      <c r="AG9" t="s">
        <v>221</v>
      </c>
      <c r="AH9" t="s">
        <v>101</v>
      </c>
    </row>
    <row r="10" spans="1:34" x14ac:dyDescent="0.25">
      <c r="A10" s="86" t="e">
        <f>PLANTILLA!#REF!</f>
        <v>#REF!</v>
      </c>
      <c r="B10" s="329" t="e">
        <f>PLANTILLA!#REF!</f>
        <v>#REF!</v>
      </c>
      <c r="C10" s="86" t="e">
        <f>PLANTILLA!#REF!</f>
        <v>#REF!</v>
      </c>
      <c r="D10" s="86" t="e">
        <f>PLANTILLA!#REF!</f>
        <v>#REF!</v>
      </c>
      <c r="E10" s="49" t="e">
        <f>PLANTILLA!#REF!</f>
        <v>#REF!</v>
      </c>
      <c r="F10" s="49" t="e">
        <f>PLANTILLA!#REF!</f>
        <v>#REF!</v>
      </c>
      <c r="G10" s="49" t="e">
        <f>PLANTILLA!#REF!</f>
        <v>#REF!</v>
      </c>
      <c r="H10" s="49" t="e">
        <f>PLANTILLA!#REF!</f>
        <v>#REF!</v>
      </c>
      <c r="I10" s="49" t="e">
        <f>PLANTILLA!#REF!</f>
        <v>#REF!</v>
      </c>
      <c r="J10" s="49" t="e">
        <f>PLANTILLA!#REF!</f>
        <v>#REF!</v>
      </c>
      <c r="K10" s="49" t="e">
        <f>PLANTILLA!#REF!</f>
        <v>#REF!</v>
      </c>
      <c r="L10" s="121">
        <f>1/8</f>
        <v>0.125</v>
      </c>
      <c r="M10" s="121">
        <f t="shared" si="0"/>
        <v>6.25E-2</v>
      </c>
      <c r="N10" s="121">
        <f t="shared" si="1"/>
        <v>1.5625E-2</v>
      </c>
      <c r="O10" s="49">
        <v>0</v>
      </c>
      <c r="P10" s="48">
        <v>0</v>
      </c>
      <c r="Q10" s="48">
        <v>0</v>
      </c>
      <c r="R10" s="48">
        <f t="shared" si="2"/>
        <v>3.5749999999999997E-2</v>
      </c>
      <c r="S10" s="48">
        <f t="shared" si="3"/>
        <v>4.1761363636363631E-2</v>
      </c>
      <c r="T10" s="48">
        <v>0</v>
      </c>
      <c r="U10" s="48">
        <f t="shared" si="4"/>
        <v>4.0767045454545452E-2</v>
      </c>
      <c r="V10" s="48">
        <f t="shared" si="5"/>
        <v>6.1363636363636363E-2</v>
      </c>
      <c r="W10" s="48">
        <f t="shared" si="6"/>
        <v>1.0227272727272727E-2</v>
      </c>
      <c r="X10" s="48">
        <f t="shared" si="7"/>
        <v>1.5696022727272729E-2</v>
      </c>
      <c r="Y10" s="153">
        <f>U10</f>
        <v>4.0767045454545452E-2</v>
      </c>
      <c r="Z10" s="153">
        <f>U10</f>
        <v>4.0767045454545452E-2</v>
      </c>
      <c r="AA10" s="153">
        <f t="shared" si="8"/>
        <v>4.0767045454545452E-2</v>
      </c>
      <c r="AD10" t="s">
        <v>363</v>
      </c>
      <c r="AE10" t="s">
        <v>373</v>
      </c>
      <c r="AG10" t="s">
        <v>221</v>
      </c>
      <c r="AH10" t="s">
        <v>291</v>
      </c>
    </row>
    <row r="11" spans="1:34" x14ac:dyDescent="0.25">
      <c r="A11" s="86" t="str">
        <f>PLANTILLA!A10</f>
        <v>#6</v>
      </c>
      <c r="B11" s="329" t="str">
        <f>PLANTILLA!D10</f>
        <v>S. Buschelman</v>
      </c>
      <c r="C11" s="86">
        <f>PLANTILLA!E10</f>
        <v>34</v>
      </c>
      <c r="D11" s="86">
        <f ca="1">PLANTILLA!F10</f>
        <v>47</v>
      </c>
      <c r="E11" s="49">
        <f>PLANTILLA!X10</f>
        <v>0</v>
      </c>
      <c r="F11" s="49">
        <f>PLANTILLA!Y10</f>
        <v>9.3036666666666648</v>
      </c>
      <c r="G11" s="49">
        <f>PLANTILLA!Z10</f>
        <v>14</v>
      </c>
      <c r="H11" s="49">
        <f>PLANTILLA!AA10</f>
        <v>12.945</v>
      </c>
      <c r="I11" s="49">
        <f>PLANTILLA!AB10</f>
        <v>9.9499999999999993</v>
      </c>
      <c r="J11" s="49">
        <f>PLANTILLA!AC10</f>
        <v>3.95</v>
      </c>
      <c r="K11" s="49">
        <f>PLANTILLA!AD10</f>
        <v>16</v>
      </c>
      <c r="L11" s="121">
        <f>1/9</f>
        <v>0.1111111111111111</v>
      </c>
      <c r="M11" s="121">
        <f t="shared" si="0"/>
        <v>5.5555555555555552E-2</v>
      </c>
      <c r="N11" s="121">
        <f t="shared" si="1"/>
        <v>1.3888888888888888E-2</v>
      </c>
      <c r="O11" s="49">
        <v>0</v>
      </c>
      <c r="P11" s="48">
        <v>0</v>
      </c>
      <c r="Q11" s="48">
        <v>0</v>
      </c>
      <c r="R11" s="48">
        <f t="shared" si="2"/>
        <v>3.1777777777777773E-2</v>
      </c>
      <c r="S11" s="48">
        <f t="shared" si="3"/>
        <v>3.7121212121212117E-2</v>
      </c>
      <c r="T11" s="48">
        <v>0</v>
      </c>
      <c r="U11" s="48">
        <f t="shared" si="4"/>
        <v>3.6237373737373728E-2</v>
      </c>
      <c r="V11" s="48">
        <f t="shared" si="5"/>
        <v>5.4545454545454536E-2</v>
      </c>
      <c r="W11" s="48">
        <f t="shared" si="6"/>
        <v>9.0909090909090887E-3</v>
      </c>
      <c r="X11" s="48">
        <f t="shared" si="7"/>
        <v>1.39520202020202E-2</v>
      </c>
      <c r="Y11" s="153">
        <f>U11</f>
        <v>3.6237373737373728E-2</v>
      </c>
      <c r="Z11" s="153">
        <f>U11</f>
        <v>3.6237373737373728E-2</v>
      </c>
      <c r="AA11" s="153">
        <f t="shared" si="8"/>
        <v>3.6237373737373728E-2</v>
      </c>
      <c r="AD11" t="s">
        <v>363</v>
      </c>
      <c r="AE11" t="s">
        <v>107</v>
      </c>
      <c r="AG11" t="s">
        <v>363</v>
      </c>
      <c r="AH11" t="s">
        <v>107</v>
      </c>
    </row>
    <row r="12" spans="1:34" x14ac:dyDescent="0.25">
      <c r="A12" s="86" t="e">
        <f>PLANTILLA!#REF!</f>
        <v>#REF!</v>
      </c>
      <c r="B12" s="62" t="e">
        <f>PLANTILLA!#REF!</f>
        <v>#REF!</v>
      </c>
      <c r="C12" s="86" t="e">
        <f>PLANTILLA!#REF!</f>
        <v>#REF!</v>
      </c>
      <c r="D12" s="86" t="e">
        <f>PLANTILLA!#REF!</f>
        <v>#REF!</v>
      </c>
      <c r="E12" s="49" t="e">
        <f>PLANTILLA!#REF!</f>
        <v>#REF!</v>
      </c>
      <c r="F12" s="49" t="e">
        <f>PLANTILLA!#REF!</f>
        <v>#REF!</v>
      </c>
      <c r="G12" s="49" t="e">
        <f>PLANTILLA!#REF!</f>
        <v>#REF!</v>
      </c>
      <c r="H12" s="49" t="e">
        <f>PLANTILLA!#REF!</f>
        <v>#REF!</v>
      </c>
      <c r="I12" s="49" t="e">
        <f>PLANTILLA!#REF!</f>
        <v>#REF!</v>
      </c>
      <c r="J12" s="49" t="e">
        <f>PLANTILLA!#REF!</f>
        <v>#REF!</v>
      </c>
      <c r="K12" s="49" t="e">
        <f>PLANTILLA!#REF!</f>
        <v>#REF!</v>
      </c>
      <c r="L12" s="121">
        <f>1/10</f>
        <v>0.1</v>
      </c>
      <c r="M12" s="121">
        <f t="shared" si="0"/>
        <v>0.05</v>
      </c>
      <c r="N12" s="121">
        <f t="shared" si="1"/>
        <v>1.2500000000000001E-2</v>
      </c>
      <c r="O12" s="49">
        <v>0</v>
      </c>
      <c r="P12" s="48">
        <v>0</v>
      </c>
      <c r="Q12" s="48">
        <v>0</v>
      </c>
      <c r="R12" s="48">
        <f t="shared" si="2"/>
        <v>2.86E-2</v>
      </c>
      <c r="S12" s="48">
        <f t="shared" si="3"/>
        <v>3.3409090909090909E-2</v>
      </c>
      <c r="T12" s="48">
        <v>0</v>
      </c>
      <c r="U12" s="48">
        <f t="shared" si="4"/>
        <v>3.2613636363636365E-2</v>
      </c>
      <c r="V12" s="48">
        <f t="shared" si="5"/>
        <v>4.9090909090909095E-2</v>
      </c>
      <c r="W12" s="48">
        <f t="shared" si="6"/>
        <v>8.1818181818181807E-3</v>
      </c>
      <c r="X12" s="48">
        <f t="shared" si="7"/>
        <v>1.2556818181818183E-2</v>
      </c>
      <c r="Y12" s="153">
        <f>U12</f>
        <v>3.2613636363636365E-2</v>
      </c>
      <c r="Z12" s="153">
        <f>U12</f>
        <v>3.2613636363636365E-2</v>
      </c>
      <c r="AA12" s="153">
        <f t="shared" si="8"/>
        <v>3.2613636363636365E-2</v>
      </c>
      <c r="AD12" t="s">
        <v>64</v>
      </c>
      <c r="AE12" t="s">
        <v>102</v>
      </c>
      <c r="AG12" t="s">
        <v>363</v>
      </c>
      <c r="AH12" t="s">
        <v>225</v>
      </c>
    </row>
    <row r="13" spans="1:34" x14ac:dyDescent="0.25">
      <c r="A13" s="86" t="e">
        <f>PLANTILLA!#REF!</f>
        <v>#REF!</v>
      </c>
      <c r="B13" s="62" t="e">
        <f>PLANTILLA!#REF!</f>
        <v>#REF!</v>
      </c>
      <c r="C13" s="86" t="e">
        <f>PLANTILLA!#REF!</f>
        <v>#REF!</v>
      </c>
      <c r="D13" s="86" t="e">
        <f>PLANTILLA!#REF!</f>
        <v>#REF!</v>
      </c>
      <c r="E13" s="49" t="e">
        <f>PLANTILLA!#REF!</f>
        <v>#REF!</v>
      </c>
      <c r="F13" s="49" t="e">
        <f>PLANTILLA!#REF!</f>
        <v>#REF!</v>
      </c>
      <c r="G13" s="49" t="e">
        <f>PLANTILLA!#REF!</f>
        <v>#REF!</v>
      </c>
      <c r="H13" s="49" t="e">
        <f>PLANTILLA!#REF!</f>
        <v>#REF!</v>
      </c>
      <c r="I13" s="49" t="e">
        <f>PLANTILLA!#REF!</f>
        <v>#REF!</v>
      </c>
      <c r="J13" s="49" t="e">
        <f>PLANTILLA!#REF!</f>
        <v>#REF!</v>
      </c>
      <c r="K13" s="49" t="e">
        <f>PLANTILLA!#REF!</f>
        <v>#REF!</v>
      </c>
      <c r="L13" s="121">
        <f>1/3</f>
        <v>0.33333333333333331</v>
      </c>
      <c r="M13" s="121">
        <f t="shared" si="0"/>
        <v>0.16666666666666666</v>
      </c>
      <c r="N13" s="121">
        <f t="shared" si="1"/>
        <v>4.1666666666666664E-2</v>
      </c>
      <c r="O13" s="49">
        <v>0</v>
      </c>
      <c r="P13" s="48">
        <v>0</v>
      </c>
      <c r="Q13" s="48">
        <v>0</v>
      </c>
      <c r="R13" s="48">
        <f t="shared" si="2"/>
        <v>9.5333333333333325E-2</v>
      </c>
      <c r="S13" s="48">
        <f t="shared" si="3"/>
        <v>0.11136363636363635</v>
      </c>
      <c r="T13" s="48">
        <v>0</v>
      </c>
      <c r="U13" s="48">
        <f t="shared" si="4"/>
        <v>0.10871212121212119</v>
      </c>
      <c r="V13" s="48">
        <f t="shared" si="5"/>
        <v>0.16363636363636364</v>
      </c>
      <c r="W13" s="48">
        <f t="shared" si="6"/>
        <v>2.7272727272727268E-2</v>
      </c>
      <c r="X13" s="48">
        <f t="shared" si="7"/>
        <v>4.1856060606060598E-2</v>
      </c>
      <c r="Y13" s="153">
        <f>W13</f>
        <v>2.7272727272727268E-2</v>
      </c>
      <c r="Z13" s="153">
        <f>W13</f>
        <v>2.7272727272727268E-2</v>
      </c>
      <c r="AA13" s="153">
        <f t="shared" si="8"/>
        <v>2.7272727272727268E-2</v>
      </c>
      <c r="AD13" t="s">
        <v>64</v>
      </c>
      <c r="AE13" t="s">
        <v>225</v>
      </c>
      <c r="AG13" t="s">
        <v>64</v>
      </c>
      <c r="AH13" t="s">
        <v>102</v>
      </c>
    </row>
    <row r="14" spans="1:34" x14ac:dyDescent="0.25">
      <c r="A14" s="86" t="str">
        <f>PLANTILLA!A25</f>
        <v>#5</v>
      </c>
      <c r="B14" s="62" t="str">
        <f>PLANTILLA!D25</f>
        <v>L. Bauman</v>
      </c>
      <c r="C14" s="86">
        <f>PLANTILLA!E25</f>
        <v>35</v>
      </c>
      <c r="D14" s="86">
        <f ca="1">PLANTILLA!F25</f>
        <v>50</v>
      </c>
      <c r="E14" s="49">
        <f>PLANTILLA!X25</f>
        <v>0</v>
      </c>
      <c r="F14" s="49">
        <f>PLANTILLA!Y25</f>
        <v>5.95</v>
      </c>
      <c r="G14" s="49">
        <f>PLANTILLA!Z25</f>
        <v>14.1</v>
      </c>
      <c r="H14" s="49">
        <f>PLANTILLA!AA25</f>
        <v>2.95</v>
      </c>
      <c r="I14" s="49">
        <f>PLANTILLA!AB25</f>
        <v>8.9499999999999993</v>
      </c>
      <c r="J14" s="49">
        <f>PLANTILLA!AC25</f>
        <v>5.95</v>
      </c>
      <c r="K14" s="49">
        <f>PLANTILLA!AD25</f>
        <v>16.95</v>
      </c>
      <c r="L14" s="121">
        <f>1/3</f>
        <v>0.33333333333333331</v>
      </c>
      <c r="M14" s="121">
        <f t="shared" si="0"/>
        <v>0.16666666666666666</v>
      </c>
      <c r="N14" s="121">
        <f t="shared" si="1"/>
        <v>4.1666666666666664E-2</v>
      </c>
      <c r="O14" s="49">
        <v>0</v>
      </c>
      <c r="P14" s="48">
        <v>0</v>
      </c>
      <c r="Q14" s="48">
        <v>0</v>
      </c>
      <c r="R14" s="48">
        <f t="shared" si="2"/>
        <v>9.5333333333333325E-2</v>
      </c>
      <c r="S14" s="48">
        <f t="shared" si="3"/>
        <v>0.11136363636363635</v>
      </c>
      <c r="T14" s="48">
        <v>0</v>
      </c>
      <c r="U14" s="48">
        <f t="shared" si="4"/>
        <v>0.10871212121212119</v>
      </c>
      <c r="V14" s="48">
        <f t="shared" si="5"/>
        <v>0.16363636363636364</v>
      </c>
      <c r="W14" s="48">
        <f t="shared" si="6"/>
        <v>2.7272727272727268E-2</v>
      </c>
      <c r="X14" s="48">
        <f t="shared" si="7"/>
        <v>4.1856060606060598E-2</v>
      </c>
      <c r="Y14" s="153">
        <f>T14</f>
        <v>0</v>
      </c>
      <c r="Z14" s="153">
        <f>W14</f>
        <v>2.7272727272727268E-2</v>
      </c>
      <c r="AA14" s="153">
        <f t="shared" si="8"/>
        <v>2.7272727272727268E-2</v>
      </c>
    </row>
    <row r="15" spans="1:34" x14ac:dyDescent="0.25">
      <c r="A15" s="86" t="e">
        <f>PLANTILLA!#REF!</f>
        <v>#REF!</v>
      </c>
      <c r="B15" s="62" t="e">
        <f>PLANTILLA!#REF!</f>
        <v>#REF!</v>
      </c>
      <c r="C15" s="86" t="e">
        <f>PLANTILLA!#REF!</f>
        <v>#REF!</v>
      </c>
      <c r="D15" s="86" t="e">
        <f>PLANTILLA!#REF!</f>
        <v>#REF!</v>
      </c>
      <c r="E15" s="49" t="e">
        <f>PLANTILLA!#REF!</f>
        <v>#REF!</v>
      </c>
      <c r="F15" s="49" t="e">
        <f>PLANTILLA!#REF!</f>
        <v>#REF!</v>
      </c>
      <c r="G15" s="49" t="e">
        <f>PLANTILLA!#REF!</f>
        <v>#REF!</v>
      </c>
      <c r="H15" s="49" t="e">
        <f>PLANTILLA!#REF!</f>
        <v>#REF!</v>
      </c>
      <c r="I15" s="49" t="e">
        <f>PLANTILLA!#REF!</f>
        <v>#REF!</v>
      </c>
      <c r="J15" s="49" t="e">
        <f>PLANTILLA!#REF!</f>
        <v>#REF!</v>
      </c>
      <c r="K15" s="49" t="e">
        <f>PLANTILLA!#REF!</f>
        <v>#REF!</v>
      </c>
      <c r="L15" s="121">
        <f>1/15</f>
        <v>6.6666666666666666E-2</v>
      </c>
      <c r="M15" s="121">
        <f t="shared" si="0"/>
        <v>3.3333333333333333E-2</v>
      </c>
      <c r="N15" s="121">
        <f t="shared" si="1"/>
        <v>8.3333333333333332E-3</v>
      </c>
      <c r="O15" s="49">
        <v>0</v>
      </c>
      <c r="P15" s="48">
        <v>0</v>
      </c>
      <c r="Q15" s="48">
        <v>0</v>
      </c>
      <c r="R15" s="48">
        <f t="shared" si="2"/>
        <v>1.9066666666666666E-2</v>
      </c>
      <c r="S15" s="48">
        <f t="shared" si="3"/>
        <v>2.227272727272727E-2</v>
      </c>
      <c r="T15" s="48">
        <v>0</v>
      </c>
      <c r="U15" s="48">
        <f t="shared" si="4"/>
        <v>2.174242424242424E-2</v>
      </c>
      <c r="V15" s="48">
        <f t="shared" si="5"/>
        <v>3.2727272727272723E-2</v>
      </c>
      <c r="W15" s="48">
        <f t="shared" si="6"/>
        <v>5.4545454545454541E-3</v>
      </c>
      <c r="X15" s="48">
        <f t="shared" si="7"/>
        <v>8.3712121212121213E-3</v>
      </c>
      <c r="Y15" s="153">
        <f>S15</f>
        <v>2.227272727272727E-2</v>
      </c>
      <c r="Z15" s="153">
        <f>S15</f>
        <v>2.227272727272727E-2</v>
      </c>
      <c r="AA15" s="153">
        <f t="shared" si="8"/>
        <v>2.227272727272727E-2</v>
      </c>
    </row>
    <row r="16" spans="1:34" x14ac:dyDescent="0.25">
      <c r="A16" s="86" t="str">
        <f>PLANTILLA!A26</f>
        <v>#9</v>
      </c>
      <c r="B16" s="62" t="str">
        <f>PLANTILLA!D26</f>
        <v>J. Limon</v>
      </c>
      <c r="C16" s="86">
        <f>PLANTILLA!E26</f>
        <v>34</v>
      </c>
      <c r="D16" s="86">
        <f ca="1">PLANTILLA!F26</f>
        <v>87</v>
      </c>
      <c r="E16" s="49">
        <f>PLANTILLA!X26</f>
        <v>0</v>
      </c>
      <c r="F16" s="49">
        <f>PLANTILLA!Y26</f>
        <v>6.8376190476190493</v>
      </c>
      <c r="G16" s="49">
        <f>PLANTILLA!Z26</f>
        <v>8.9499999999999993</v>
      </c>
      <c r="H16" s="49">
        <f>PLANTILLA!AA26</f>
        <v>8.7399999999999967</v>
      </c>
      <c r="I16" s="49">
        <f>PLANTILLA!AB26</f>
        <v>9.9499999999999993</v>
      </c>
      <c r="J16" s="49">
        <f>PLANTILLA!AC26</f>
        <v>6.95</v>
      </c>
      <c r="K16" s="49">
        <f>PLANTILLA!AD26</f>
        <v>18.999999999999993</v>
      </c>
      <c r="L16" s="121">
        <f>1/5</f>
        <v>0.2</v>
      </c>
      <c r="M16" s="121">
        <f t="shared" si="0"/>
        <v>0.1</v>
      </c>
      <c r="N16" s="121">
        <f t="shared" si="1"/>
        <v>2.5000000000000001E-2</v>
      </c>
      <c r="O16" s="49">
        <v>0</v>
      </c>
      <c r="P16" s="48">
        <v>0</v>
      </c>
      <c r="Q16" s="48">
        <v>0</v>
      </c>
      <c r="R16" s="48">
        <f t="shared" si="2"/>
        <v>5.7200000000000001E-2</v>
      </c>
      <c r="S16" s="48">
        <f t="shared" si="3"/>
        <v>6.6818181818181818E-2</v>
      </c>
      <c r="T16" s="48">
        <v>0</v>
      </c>
      <c r="U16" s="48">
        <f t="shared" si="4"/>
        <v>6.5227272727272731E-2</v>
      </c>
      <c r="V16" s="48">
        <f t="shared" si="5"/>
        <v>9.818181818181819E-2</v>
      </c>
      <c r="W16" s="48">
        <f t="shared" si="6"/>
        <v>1.6363636363636361E-2</v>
      </c>
      <c r="X16" s="48">
        <f t="shared" si="7"/>
        <v>2.5113636363636366E-2</v>
      </c>
      <c r="Y16" s="153">
        <f>W16</f>
        <v>1.6363636363636361E-2</v>
      </c>
      <c r="Z16" s="153"/>
      <c r="AA16" s="153">
        <f t="shared" si="8"/>
        <v>1.6363636363636361E-2</v>
      </c>
    </row>
    <row r="17" spans="1:27" x14ac:dyDescent="0.25">
      <c r="A17" s="86" t="str">
        <f>PLANTILLA!A27</f>
        <v>#15</v>
      </c>
      <c r="B17" s="62" t="str">
        <f>PLANTILLA!D27</f>
        <v>P .Trivadi</v>
      </c>
      <c r="C17" s="86">
        <f>PLANTILLA!E27</f>
        <v>32</v>
      </c>
      <c r="D17" s="86">
        <f ca="1">PLANTILLA!F27</f>
        <v>6</v>
      </c>
      <c r="E17" s="49">
        <f>PLANTILLA!X27</f>
        <v>0</v>
      </c>
      <c r="F17" s="49">
        <f>PLANTILLA!Y27</f>
        <v>4.0199999999999996</v>
      </c>
      <c r="G17" s="49">
        <f>PLANTILLA!Z27</f>
        <v>5.95</v>
      </c>
      <c r="H17" s="49">
        <f>PLANTILLA!AA27</f>
        <v>5.5099999999999989</v>
      </c>
      <c r="I17" s="49">
        <f>PLANTILLA!AB27</f>
        <v>10.95</v>
      </c>
      <c r="J17" s="49">
        <f>PLANTILLA!AC27</f>
        <v>7.95</v>
      </c>
      <c r="K17" s="49">
        <f>PLANTILLA!AD27</f>
        <v>14</v>
      </c>
      <c r="L17" s="121">
        <f>1/5</f>
        <v>0.2</v>
      </c>
      <c r="M17" s="121">
        <f t="shared" si="0"/>
        <v>0.1</v>
      </c>
      <c r="N17" s="121">
        <f t="shared" si="1"/>
        <v>2.5000000000000001E-2</v>
      </c>
      <c r="O17" s="49">
        <v>0</v>
      </c>
      <c r="P17" s="48">
        <v>0</v>
      </c>
      <c r="Q17" s="48">
        <v>0</v>
      </c>
      <c r="R17" s="48">
        <f t="shared" si="2"/>
        <v>5.7200000000000001E-2</v>
      </c>
      <c r="S17" s="48">
        <f t="shared" si="3"/>
        <v>6.6818181818181818E-2</v>
      </c>
      <c r="T17" s="48">
        <v>0</v>
      </c>
      <c r="U17" s="48">
        <f t="shared" si="4"/>
        <v>6.5227272727272731E-2</v>
      </c>
      <c r="V17" s="48">
        <f t="shared" si="5"/>
        <v>9.818181818181819E-2</v>
      </c>
      <c r="W17" s="48">
        <f t="shared" si="6"/>
        <v>1.6363636363636361E-2</v>
      </c>
      <c r="X17" s="48">
        <f t="shared" si="7"/>
        <v>2.5113636363636366E-2</v>
      </c>
      <c r="Y17" s="153">
        <v>0</v>
      </c>
      <c r="Z17" s="153">
        <v>0</v>
      </c>
      <c r="AA17" s="153">
        <f t="shared" si="8"/>
        <v>0</v>
      </c>
    </row>
    <row r="18" spans="1:27" x14ac:dyDescent="0.25">
      <c r="A18" s="86" t="str">
        <f>PLANTILLA!A4</f>
        <v>#1</v>
      </c>
      <c r="B18" s="86" t="str">
        <f>PLANTILLA!D4</f>
        <v>D. Gehmacher</v>
      </c>
      <c r="C18" s="86">
        <f>PLANTILLA!E4</f>
        <v>35</v>
      </c>
      <c r="D18" s="86">
        <f ca="1">PLANTILLA!F4</f>
        <v>3</v>
      </c>
      <c r="E18" s="49">
        <f>PLANTILLA!X4</f>
        <v>16.666666666666668</v>
      </c>
      <c r="F18" s="49">
        <f>PLANTILLA!Y4</f>
        <v>11.95</v>
      </c>
      <c r="G18" s="49">
        <f>PLANTILLA!Z4</f>
        <v>2.0699999999999985</v>
      </c>
      <c r="H18" s="49">
        <f>PLANTILLA!AA4</f>
        <v>2.149999999999999</v>
      </c>
      <c r="I18" s="49">
        <f>PLANTILLA!AB4</f>
        <v>0.95</v>
      </c>
      <c r="J18" s="49">
        <f>PLANTILLA!AC4</f>
        <v>0</v>
      </c>
      <c r="K18" s="49">
        <f>PLANTILLA!AD4</f>
        <v>18.2</v>
      </c>
      <c r="L18" s="121">
        <f>0</f>
        <v>0</v>
      </c>
      <c r="M18" s="121">
        <f t="shared" si="0"/>
        <v>0</v>
      </c>
      <c r="N18" s="121">
        <f t="shared" si="1"/>
        <v>0</v>
      </c>
      <c r="O18" s="49">
        <v>0</v>
      </c>
      <c r="P18" s="48">
        <v>0</v>
      </c>
      <c r="Q18" s="48">
        <v>0</v>
      </c>
      <c r="R18" s="48">
        <f t="shared" si="2"/>
        <v>0</v>
      </c>
      <c r="S18" s="48">
        <f t="shared" si="3"/>
        <v>0</v>
      </c>
      <c r="T18" s="48">
        <v>0</v>
      </c>
      <c r="U18" s="48">
        <f t="shared" si="4"/>
        <v>0</v>
      </c>
      <c r="V18" s="48">
        <f t="shared" si="5"/>
        <v>0</v>
      </c>
      <c r="W18" s="48">
        <f t="shared" si="6"/>
        <v>0</v>
      </c>
      <c r="X18" s="48">
        <f t="shared" si="7"/>
        <v>0</v>
      </c>
      <c r="Y18" s="153">
        <f>L18</f>
        <v>0</v>
      </c>
      <c r="Z18" s="153">
        <f>L18</f>
        <v>0</v>
      </c>
      <c r="AA18" s="153">
        <f t="shared" si="8"/>
        <v>0</v>
      </c>
    </row>
    <row r="19" spans="1:27" x14ac:dyDescent="0.25">
      <c r="A19" s="86" t="str">
        <f>PLANTILLA!A11</f>
        <v>#12</v>
      </c>
      <c r="B19" s="86" t="str">
        <f>PLANTILLA!D11</f>
        <v>E. Gross</v>
      </c>
      <c r="C19" s="86">
        <f>PLANTILLA!E11</f>
        <v>35</v>
      </c>
      <c r="D19" s="86">
        <f ca="1">PLANTILLA!F11</f>
        <v>75</v>
      </c>
      <c r="E19" s="49">
        <f>PLANTILLA!X11</f>
        <v>0</v>
      </c>
      <c r="F19" s="49">
        <f>PLANTILLA!Y11</f>
        <v>10.549999999999995</v>
      </c>
      <c r="G19" s="49">
        <f>PLANTILLA!Z11</f>
        <v>12.95</v>
      </c>
      <c r="H19" s="49">
        <f>PLANTILLA!AA11</f>
        <v>3.95</v>
      </c>
      <c r="I19" s="49">
        <f>PLANTILLA!AB11</f>
        <v>8.9499999999999993</v>
      </c>
      <c r="J19" s="49">
        <f>PLANTILLA!AC11</f>
        <v>0.95</v>
      </c>
      <c r="K19" s="49">
        <f>PLANTILLA!AD11</f>
        <v>17.3</v>
      </c>
      <c r="L19" s="121">
        <f>1/4</f>
        <v>0.25</v>
      </c>
      <c r="M19" s="121">
        <f t="shared" si="0"/>
        <v>0.125</v>
      </c>
      <c r="N19" s="121">
        <f t="shared" si="1"/>
        <v>3.125E-2</v>
      </c>
      <c r="O19" s="49">
        <v>0</v>
      </c>
      <c r="P19" s="48">
        <v>0</v>
      </c>
      <c r="Q19" s="48">
        <v>0</v>
      </c>
      <c r="R19" s="48">
        <f t="shared" si="2"/>
        <v>7.1499999999999994E-2</v>
      </c>
      <c r="S19" s="48">
        <f t="shared" si="3"/>
        <v>8.3522727272727262E-2</v>
      </c>
      <c r="T19" s="48">
        <v>0</v>
      </c>
      <c r="U19" s="48">
        <f t="shared" si="4"/>
        <v>8.1534090909090903E-2</v>
      </c>
      <c r="V19" s="48">
        <f t="shared" si="5"/>
        <v>0.12272727272727273</v>
      </c>
      <c r="W19" s="48">
        <f t="shared" si="6"/>
        <v>2.0454545454545454E-2</v>
      </c>
      <c r="X19" s="48">
        <f t="shared" si="7"/>
        <v>3.1392045454545457E-2</v>
      </c>
      <c r="Y19" s="153">
        <v>0</v>
      </c>
      <c r="Z19" s="153">
        <v>0</v>
      </c>
      <c r="AA19" s="153">
        <f t="shared" si="8"/>
        <v>0</v>
      </c>
    </row>
    <row r="20" spans="1:27" x14ac:dyDescent="0.25">
      <c r="A20" s="86" t="str">
        <f>PLANTILLA!A5</f>
        <v>#25</v>
      </c>
      <c r="B20" s="86" t="str">
        <f>PLANTILLA!D5</f>
        <v>T. Hammond</v>
      </c>
      <c r="C20" s="86">
        <f>PLANTILLA!E5</f>
        <v>39</v>
      </c>
      <c r="D20" s="86">
        <f ca="1">PLANTILLA!F5</f>
        <v>12</v>
      </c>
      <c r="E20" s="49">
        <f>PLANTILLA!X5</f>
        <v>7.95</v>
      </c>
      <c r="F20" s="49">
        <f>PLANTILLA!Y5</f>
        <v>7.95</v>
      </c>
      <c r="G20" s="49">
        <f>PLANTILLA!Z5</f>
        <v>0.95</v>
      </c>
      <c r="H20" s="49">
        <f>PLANTILLA!AA5</f>
        <v>0.95</v>
      </c>
      <c r="I20" s="49">
        <f>PLANTILLA!AB5</f>
        <v>1.95</v>
      </c>
      <c r="J20" s="49">
        <f>PLANTILLA!AC5</f>
        <v>0</v>
      </c>
      <c r="K20" s="49">
        <f>PLANTILLA!AD5</f>
        <v>14.95</v>
      </c>
      <c r="L20" s="121"/>
      <c r="M20" s="121">
        <f t="shared" si="0"/>
        <v>0</v>
      </c>
      <c r="N20" s="121">
        <f t="shared" si="1"/>
        <v>0</v>
      </c>
      <c r="O20" s="49">
        <v>0</v>
      </c>
      <c r="P20" s="48">
        <v>0</v>
      </c>
      <c r="Q20" s="48">
        <v>0</v>
      </c>
      <c r="R20" s="48">
        <f t="shared" si="2"/>
        <v>0</v>
      </c>
      <c r="S20" s="48">
        <f t="shared" si="3"/>
        <v>0</v>
      </c>
      <c r="T20" s="48">
        <v>0</v>
      </c>
      <c r="U20" s="48">
        <f t="shared" si="4"/>
        <v>0</v>
      </c>
      <c r="V20" s="48">
        <f t="shared" si="5"/>
        <v>0</v>
      </c>
      <c r="W20" s="48">
        <f t="shared" si="6"/>
        <v>0</v>
      </c>
      <c r="X20" s="48">
        <f t="shared" si="7"/>
        <v>0</v>
      </c>
      <c r="Y20" s="153"/>
      <c r="Z20" s="153"/>
      <c r="AA20" s="153">
        <f t="shared" si="8"/>
        <v>0</v>
      </c>
    </row>
    <row r="21" spans="1:27" x14ac:dyDescent="0.25">
      <c r="A21" s="86" t="str">
        <f>PLANTILLA!A8</f>
        <v>#13</v>
      </c>
      <c r="B21" s="86" t="str">
        <f>PLANTILLA!D8</f>
        <v>F. Lasprilla</v>
      </c>
      <c r="C21" s="86">
        <f>PLANTILLA!E8</f>
        <v>32</v>
      </c>
      <c r="D21" s="86">
        <f ca="1">PLANTILLA!F8</f>
        <v>22</v>
      </c>
      <c r="E21" s="49">
        <f>PLANTILLA!X8</f>
        <v>0</v>
      </c>
      <c r="F21" s="49">
        <f>PLANTILLA!Y8</f>
        <v>9.6046666666666667</v>
      </c>
      <c r="G21" s="49">
        <f>PLANTILLA!Z8</f>
        <v>7.7607222222222223</v>
      </c>
      <c r="H21" s="49">
        <f>PLANTILLA!AA8</f>
        <v>6.1599999999999984</v>
      </c>
      <c r="I21" s="49">
        <f>PLANTILLA!AB8</f>
        <v>8.8633333333333315</v>
      </c>
      <c r="J21" s="49">
        <f>PLANTILLA!AC8</f>
        <v>2.95</v>
      </c>
      <c r="K21" s="49">
        <f>PLANTILLA!AD8</f>
        <v>13.33611111111111</v>
      </c>
      <c r="L21" s="121"/>
      <c r="M21" s="121">
        <f t="shared" si="0"/>
        <v>0</v>
      </c>
      <c r="N21" s="121">
        <f t="shared" si="1"/>
        <v>0</v>
      </c>
      <c r="O21" s="49">
        <v>0</v>
      </c>
      <c r="P21" s="48">
        <v>0</v>
      </c>
      <c r="Q21" s="48">
        <v>0</v>
      </c>
      <c r="R21" s="48">
        <f t="shared" si="2"/>
        <v>0</v>
      </c>
      <c r="S21" s="48">
        <f t="shared" si="3"/>
        <v>0</v>
      </c>
      <c r="T21" s="48">
        <v>0</v>
      </c>
      <c r="U21" s="48">
        <f t="shared" si="4"/>
        <v>0</v>
      </c>
      <c r="V21" s="48">
        <f t="shared" si="5"/>
        <v>0</v>
      </c>
      <c r="W21" s="48">
        <f t="shared" si="6"/>
        <v>0</v>
      </c>
      <c r="X21" s="48">
        <f t="shared" si="7"/>
        <v>0</v>
      </c>
      <c r="Y21" s="153"/>
      <c r="Z21" s="153"/>
      <c r="AA21" s="153">
        <f t="shared" si="8"/>
        <v>0</v>
      </c>
    </row>
    <row r="22" spans="1:27" x14ac:dyDescent="0.25">
      <c r="A22" s="86" t="str">
        <f>PLANTILLA!A12</f>
        <v>#23</v>
      </c>
      <c r="B22" s="86" t="str">
        <f>PLANTILLA!D12</f>
        <v>W. Gelifini</v>
      </c>
      <c r="C22" s="86">
        <f>PLANTILLA!E12</f>
        <v>34</v>
      </c>
      <c r="D22" s="86">
        <f ca="1">PLANTILLA!F12</f>
        <v>0</v>
      </c>
      <c r="E22" s="49">
        <f>PLANTILLA!X12</f>
        <v>0</v>
      </c>
      <c r="F22" s="49">
        <f>PLANTILLA!Y12</f>
        <v>5.6515555555555519</v>
      </c>
      <c r="G22" s="49">
        <f>PLANTILLA!Z12</f>
        <v>8.9499999999999993</v>
      </c>
      <c r="H22" s="49">
        <f>PLANTILLA!AA12</f>
        <v>6.95</v>
      </c>
      <c r="I22" s="49">
        <f>PLANTILLA!AB12</f>
        <v>9.2666666666666639</v>
      </c>
      <c r="J22" s="49">
        <f>PLANTILLA!AC12</f>
        <v>2.95</v>
      </c>
      <c r="K22" s="49">
        <f>PLANTILLA!AD12</f>
        <v>12.847222222222223</v>
      </c>
      <c r="L22" s="121"/>
      <c r="M22" s="121">
        <f t="shared" si="0"/>
        <v>0</v>
      </c>
      <c r="N22" s="121">
        <f t="shared" si="1"/>
        <v>0</v>
      </c>
      <c r="O22" s="49">
        <v>0</v>
      </c>
      <c r="P22" s="48">
        <v>0</v>
      </c>
      <c r="Q22" s="48">
        <v>0</v>
      </c>
      <c r="R22" s="48">
        <f t="shared" si="2"/>
        <v>0</v>
      </c>
      <c r="S22" s="48">
        <f t="shared" si="3"/>
        <v>0</v>
      </c>
      <c r="T22" s="48">
        <v>0</v>
      </c>
      <c r="U22" s="48">
        <f t="shared" si="4"/>
        <v>0</v>
      </c>
      <c r="V22" s="48">
        <f t="shared" si="5"/>
        <v>0</v>
      </c>
      <c r="W22" s="48">
        <f t="shared" si="6"/>
        <v>0</v>
      </c>
      <c r="X22" s="48">
        <f t="shared" si="7"/>
        <v>0</v>
      </c>
      <c r="Y22" s="153"/>
      <c r="Z22" s="153"/>
      <c r="AA22" s="153">
        <f t="shared" si="8"/>
        <v>0</v>
      </c>
    </row>
    <row r="23" spans="1:27" x14ac:dyDescent="0.25">
      <c r="A23" s="86" t="e">
        <f>PLANTILLA!#REF!</f>
        <v>#REF!</v>
      </c>
      <c r="B23" s="86" t="e">
        <f>PLANTILLA!#REF!</f>
        <v>#REF!</v>
      </c>
      <c r="C23" s="86" t="e">
        <f>PLANTILLA!#REF!</f>
        <v>#REF!</v>
      </c>
      <c r="D23" s="86" t="e">
        <f>PLANTILLA!#REF!</f>
        <v>#REF!</v>
      </c>
      <c r="E23" s="49" t="e">
        <f>PLANTILLA!#REF!</f>
        <v>#REF!</v>
      </c>
      <c r="F23" s="49" t="e">
        <f>PLANTILLA!#REF!</f>
        <v>#REF!</v>
      </c>
      <c r="G23" s="49" t="e">
        <f>PLANTILLA!#REF!</f>
        <v>#REF!</v>
      </c>
      <c r="H23" s="49" t="e">
        <f>PLANTILLA!#REF!</f>
        <v>#REF!</v>
      </c>
      <c r="I23" s="49" t="e">
        <f>PLANTILLA!#REF!</f>
        <v>#REF!</v>
      </c>
      <c r="J23" s="49" t="e">
        <f>PLANTILLA!#REF!</f>
        <v>#REF!</v>
      </c>
      <c r="K23" s="49" t="e">
        <f>PLANTILLA!#REF!</f>
        <v>#REF!</v>
      </c>
      <c r="L23" s="121"/>
      <c r="M23" s="121">
        <f t="shared" si="0"/>
        <v>0</v>
      </c>
      <c r="N23" s="121">
        <f t="shared" si="1"/>
        <v>0</v>
      </c>
      <c r="O23" s="49">
        <v>0</v>
      </c>
      <c r="P23" s="48">
        <v>0</v>
      </c>
      <c r="Q23" s="48">
        <v>0</v>
      </c>
      <c r="R23" s="48">
        <f t="shared" si="2"/>
        <v>0</v>
      </c>
      <c r="S23" s="48">
        <f t="shared" si="3"/>
        <v>0</v>
      </c>
      <c r="T23" s="48">
        <v>0</v>
      </c>
      <c r="U23" s="48">
        <f t="shared" si="4"/>
        <v>0</v>
      </c>
      <c r="V23" s="48">
        <f t="shared" si="5"/>
        <v>0</v>
      </c>
      <c r="W23" s="48">
        <f t="shared" si="6"/>
        <v>0</v>
      </c>
      <c r="X23" s="48">
        <f t="shared" si="7"/>
        <v>0</v>
      </c>
      <c r="Y23" s="153"/>
      <c r="Z23" s="153"/>
      <c r="AA23" s="153">
        <f t="shared" si="8"/>
        <v>0</v>
      </c>
    </row>
    <row r="25" spans="1:27" x14ac:dyDescent="0.25">
      <c r="B25" s="87"/>
    </row>
  </sheetData>
  <sortState ref="A4:AA23">
    <sortCondition descending="1" ref="AA4:AA23"/>
    <sortCondition descending="1" ref="Y4:Y23"/>
    <sortCondition descending="1" ref="Z4:Z23"/>
  </sortState>
  <conditionalFormatting sqref="L4:X23">
    <cfRule type="colorScale" priority="2969">
      <colorScale>
        <cfvo type="min"/>
        <cfvo type="max"/>
        <color rgb="FFFFEF9C"/>
        <color rgb="FF63BE7B"/>
      </colorScale>
    </cfRule>
  </conditionalFormatting>
  <conditionalFormatting sqref="Y4:Y23">
    <cfRule type="dataBar" priority="29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{FD1C2556-6FED-4C28-B9EB-8DE0847A7688}</x14:id>
        </ext>
      </extLst>
    </cfRule>
  </conditionalFormatting>
  <conditionalFormatting sqref="Z4:AA23">
    <cfRule type="dataBar" priority="29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{CC0AC70E-A365-4662-A596-E0B21FDF8860}</x14:id>
        </ext>
      </extLst>
    </cfRule>
  </conditionalFormatting>
  <conditionalFormatting sqref="E4:K23">
    <cfRule type="colorScale" priority="297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1C2556-6FED-4C28-B9EB-8DE0847A768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Y4:Y23</xm:sqref>
        </x14:conditionalFormatting>
        <x14:conditionalFormatting xmlns:xm="http://schemas.microsoft.com/office/excel/2006/main">
          <x14:cfRule type="dataBar" id="{CC0AC70E-A365-4662-A596-E0B21FDF886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Z4:AA23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7" tint="-0.249977111117893"/>
  </sheetPr>
  <dimension ref="A1:V39"/>
  <sheetViews>
    <sheetView zoomScale="90" zoomScaleNormal="90" workbookViewId="0">
      <selection activeCell="C6" sqref="C6"/>
    </sheetView>
  </sheetViews>
  <sheetFormatPr baseColWidth="10" defaultColWidth="11.42578125" defaultRowHeight="15" x14ac:dyDescent="0.25"/>
  <cols>
    <col min="1" max="1" width="18.42578125" bestFit="1" customWidth="1"/>
    <col min="2" max="2" width="20.42578125" bestFit="1" customWidth="1"/>
    <col min="3" max="3" width="11.5703125" bestFit="1" customWidth="1"/>
    <col min="4" max="4" width="22.28515625" bestFit="1" customWidth="1"/>
    <col min="5" max="5" width="8.85546875" customWidth="1"/>
    <col min="6" max="6" width="4.5703125" customWidth="1"/>
    <col min="7" max="7" width="4.42578125" style="110" bestFit="1" customWidth="1"/>
    <col min="8" max="8" width="20.5703125" bestFit="1" customWidth="1"/>
    <col min="9" max="9" width="5.7109375" bestFit="1" customWidth="1"/>
    <col min="10" max="10" width="5.5703125" bestFit="1" customWidth="1"/>
    <col min="11" max="11" width="3.28515625" bestFit="1" customWidth="1"/>
    <col min="12" max="12" width="5" bestFit="1" customWidth="1"/>
    <col min="13" max="13" width="20.42578125" bestFit="1" customWidth="1"/>
    <col min="14" max="14" width="5.42578125" bestFit="1" customWidth="1"/>
    <col min="15" max="15" width="6.28515625" customWidth="1"/>
    <col min="16" max="16" width="3.28515625" bestFit="1" customWidth="1"/>
    <col min="17" max="17" width="5.5703125" bestFit="1" customWidth="1"/>
    <col min="18" max="18" width="20.42578125" bestFit="1" customWidth="1"/>
    <col min="19" max="19" width="8.28515625" bestFit="1" customWidth="1"/>
    <col min="20" max="20" width="5.5703125" bestFit="1" customWidth="1"/>
    <col min="21" max="21" width="4.42578125" bestFit="1" customWidth="1"/>
  </cols>
  <sheetData>
    <row r="1" spans="1:22" x14ac:dyDescent="0.25">
      <c r="A1" s="115" t="s">
        <v>186</v>
      </c>
    </row>
    <row r="2" spans="1:22" ht="18.75" x14ac:dyDescent="0.3">
      <c r="A2" s="116">
        <v>43626</v>
      </c>
      <c r="F2" s="88"/>
      <c r="G2" s="379" t="s">
        <v>187</v>
      </c>
      <c r="H2" s="379"/>
      <c r="J2" s="88"/>
      <c r="K2" s="88"/>
      <c r="L2" s="379" t="s">
        <v>397</v>
      </c>
      <c r="M2" s="379"/>
      <c r="N2" s="379"/>
      <c r="O2" s="103"/>
      <c r="P2" s="103"/>
      <c r="Q2" s="379" t="s">
        <v>189</v>
      </c>
      <c r="R2" s="379"/>
      <c r="T2" s="2" t="s">
        <v>402</v>
      </c>
      <c r="U2" s="88"/>
      <c r="V2" s="88"/>
    </row>
    <row r="3" spans="1:22" x14ac:dyDescent="0.25">
      <c r="F3">
        <v>1</v>
      </c>
      <c r="G3" s="1">
        <v>98</v>
      </c>
      <c r="H3" t="s">
        <v>354</v>
      </c>
      <c r="I3" t="s">
        <v>1</v>
      </c>
      <c r="K3" s="286">
        <v>1</v>
      </c>
      <c r="L3" s="1">
        <v>385</v>
      </c>
      <c r="M3" t="s">
        <v>210</v>
      </c>
      <c r="N3" s="87" t="s">
        <v>183</v>
      </c>
      <c r="P3" s="286">
        <v>1</v>
      </c>
      <c r="Q3" s="1">
        <v>263</v>
      </c>
      <c r="R3" t="s">
        <v>190</v>
      </c>
      <c r="S3" t="s">
        <v>91</v>
      </c>
      <c r="T3" s="48">
        <f>Q3/L7</f>
        <v>0.87959866220735783</v>
      </c>
    </row>
    <row r="4" spans="1:22" s="88" customFormat="1" ht="18.75" x14ac:dyDescent="0.3">
      <c r="A4" s="88" t="s">
        <v>184</v>
      </c>
      <c r="F4">
        <v>2</v>
      </c>
      <c r="G4" s="1">
        <v>66</v>
      </c>
      <c r="H4" t="s">
        <v>89</v>
      </c>
      <c r="I4" s="87" t="s">
        <v>1</v>
      </c>
      <c r="J4"/>
      <c r="K4" s="286">
        <v>2</v>
      </c>
      <c r="L4" s="1">
        <v>375</v>
      </c>
      <c r="M4" t="s">
        <v>199</v>
      </c>
      <c r="N4" t="s">
        <v>198</v>
      </c>
      <c r="O4"/>
      <c r="P4" s="286">
        <v>2</v>
      </c>
      <c r="Q4" s="1">
        <v>124</v>
      </c>
      <c r="R4" t="s">
        <v>199</v>
      </c>
      <c r="S4" t="s">
        <v>198</v>
      </c>
      <c r="T4" s="48">
        <f>Q4/L4</f>
        <v>0.33066666666666666</v>
      </c>
      <c r="U4"/>
      <c r="V4"/>
    </row>
    <row r="5" spans="1:22" x14ac:dyDescent="0.25">
      <c r="A5" s="340" t="s">
        <v>185</v>
      </c>
      <c r="B5" s="341" t="s">
        <v>410</v>
      </c>
      <c r="C5" s="87">
        <v>43276</v>
      </c>
      <c r="D5" t="s">
        <v>411</v>
      </c>
      <c r="F5">
        <v>3</v>
      </c>
      <c r="G5" s="325">
        <v>46</v>
      </c>
      <c r="H5" s="323" t="s">
        <v>87</v>
      </c>
      <c r="I5" s="324" t="s">
        <v>1</v>
      </c>
      <c r="K5" s="293">
        <v>3</v>
      </c>
      <c r="L5" s="1">
        <v>319</v>
      </c>
      <c r="M5" t="s">
        <v>219</v>
      </c>
      <c r="N5" s="87" t="s">
        <v>62</v>
      </c>
      <c r="P5" s="286">
        <v>3</v>
      </c>
      <c r="Q5" s="1">
        <v>120</v>
      </c>
      <c r="R5" t="s">
        <v>253</v>
      </c>
      <c r="S5" t="s">
        <v>63</v>
      </c>
      <c r="T5" s="48">
        <f>Q5/L10</f>
        <v>0.43636363636363634</v>
      </c>
    </row>
    <row r="6" spans="1:22" ht="18.75" x14ac:dyDescent="0.3">
      <c r="A6" s="340" t="s">
        <v>395</v>
      </c>
      <c r="B6" s="204" t="s">
        <v>409</v>
      </c>
      <c r="C6" s="87">
        <v>43258</v>
      </c>
      <c r="D6" t="s">
        <v>412</v>
      </c>
      <c r="F6">
        <v>4</v>
      </c>
      <c r="G6" s="325">
        <v>2</v>
      </c>
      <c r="H6" s="323" t="s">
        <v>86</v>
      </c>
      <c r="I6" s="323" t="s">
        <v>1</v>
      </c>
      <c r="J6" s="88"/>
      <c r="K6" s="293">
        <v>4</v>
      </c>
      <c r="L6" s="114">
        <v>313</v>
      </c>
      <c r="M6" t="s">
        <v>192</v>
      </c>
      <c r="N6" s="87" t="s">
        <v>62</v>
      </c>
      <c r="O6" s="88"/>
      <c r="P6" s="342">
        <v>4</v>
      </c>
      <c r="Q6" s="1">
        <v>100</v>
      </c>
      <c r="R6" t="s">
        <v>192</v>
      </c>
      <c r="S6" t="s">
        <v>62</v>
      </c>
      <c r="T6" s="48">
        <f>Q6/L6</f>
        <v>0.31948881789137379</v>
      </c>
      <c r="V6" s="88"/>
    </row>
    <row r="7" spans="1:22" ht="18.75" x14ac:dyDescent="0.3">
      <c r="F7">
        <v>5</v>
      </c>
      <c r="G7" s="1">
        <v>1</v>
      </c>
      <c r="H7" t="s">
        <v>191</v>
      </c>
      <c r="I7" t="s">
        <v>2</v>
      </c>
      <c r="K7" s="293">
        <v>5</v>
      </c>
      <c r="L7" s="123">
        <v>299</v>
      </c>
      <c r="M7" t="s">
        <v>217</v>
      </c>
      <c r="N7" s="87" t="s">
        <v>91</v>
      </c>
      <c r="P7" s="342">
        <v>5</v>
      </c>
      <c r="Q7" s="110">
        <v>91</v>
      </c>
      <c r="R7" t="s">
        <v>219</v>
      </c>
      <c r="S7" s="87" t="s">
        <v>62</v>
      </c>
      <c r="T7" s="48">
        <f>Q7/L5</f>
        <v>0.28526645768025077</v>
      </c>
      <c r="U7" s="88"/>
    </row>
    <row r="8" spans="1:22" s="88" customFormat="1" ht="18.75" x14ac:dyDescent="0.3">
      <c r="A8" s="379" t="s">
        <v>396</v>
      </c>
      <c r="B8" s="379"/>
      <c r="F8">
        <v>5</v>
      </c>
      <c r="G8" s="325">
        <v>1</v>
      </c>
      <c r="H8" s="323" t="s">
        <v>201</v>
      </c>
      <c r="I8" s="323" t="s">
        <v>183</v>
      </c>
      <c r="J8"/>
      <c r="K8" s="293">
        <v>5</v>
      </c>
      <c r="L8" s="110">
        <v>292</v>
      </c>
      <c r="M8" t="s">
        <v>196</v>
      </c>
      <c r="N8" s="87" t="s">
        <v>62</v>
      </c>
      <c r="O8"/>
      <c r="P8" s="342">
        <v>6</v>
      </c>
      <c r="Q8" s="188">
        <v>90</v>
      </c>
      <c r="R8" s="69" t="s">
        <v>394</v>
      </c>
      <c r="S8" s="69" t="s">
        <v>64</v>
      </c>
      <c r="T8" s="48">
        <f>Q8/L18</f>
        <v>0.61643835616438358</v>
      </c>
      <c r="U8">
        <v>169</v>
      </c>
      <c r="V8"/>
    </row>
    <row r="9" spans="1:22" x14ac:dyDescent="0.25">
      <c r="A9" s="320" t="s">
        <v>408</v>
      </c>
      <c r="B9" t="s">
        <v>394</v>
      </c>
      <c r="C9" s="87" t="s">
        <v>64</v>
      </c>
      <c r="K9" s="293">
        <v>7</v>
      </c>
      <c r="L9" s="123">
        <v>277</v>
      </c>
      <c r="M9" t="s">
        <v>218</v>
      </c>
      <c r="N9" s="87" t="s">
        <v>63</v>
      </c>
      <c r="P9" s="342">
        <v>7</v>
      </c>
      <c r="Q9" s="114">
        <v>82</v>
      </c>
      <c r="R9" t="s">
        <v>210</v>
      </c>
      <c r="S9" s="87" t="s">
        <v>183</v>
      </c>
      <c r="T9" s="48">
        <f>Q9/L3</f>
        <v>0.21298701298701297</v>
      </c>
    </row>
    <row r="10" spans="1:22" ht="18.75" x14ac:dyDescent="0.3">
      <c r="A10" s="246" t="s">
        <v>399</v>
      </c>
      <c r="B10" t="s">
        <v>354</v>
      </c>
      <c r="C10" t="s">
        <v>1</v>
      </c>
      <c r="F10" s="88"/>
      <c r="G10" s="379" t="s">
        <v>188</v>
      </c>
      <c r="H10" s="379"/>
      <c r="J10" s="88"/>
      <c r="K10" s="293">
        <v>8</v>
      </c>
      <c r="L10" s="188">
        <v>275</v>
      </c>
      <c r="M10" t="s">
        <v>253</v>
      </c>
      <c r="N10" t="s">
        <v>63</v>
      </c>
      <c r="O10" s="88"/>
      <c r="P10" s="342">
        <v>8</v>
      </c>
      <c r="Q10" s="140">
        <v>81</v>
      </c>
      <c r="R10" t="s">
        <v>218</v>
      </c>
      <c r="S10" s="87" t="s">
        <v>63</v>
      </c>
      <c r="T10" s="48">
        <f>Q10/L9</f>
        <v>0.29241877256317689</v>
      </c>
      <c r="U10" s="88"/>
      <c r="V10" s="88"/>
    </row>
    <row r="11" spans="1:22" x14ac:dyDescent="0.25">
      <c r="A11" s="142" t="s">
        <v>399</v>
      </c>
      <c r="B11" t="s">
        <v>199</v>
      </c>
      <c r="C11" t="s">
        <v>198</v>
      </c>
      <c r="F11">
        <v>1</v>
      </c>
      <c r="G11" s="188">
        <v>213</v>
      </c>
      <c r="H11" t="s">
        <v>354</v>
      </c>
      <c r="I11" t="s">
        <v>1</v>
      </c>
      <c r="K11" s="293">
        <v>9</v>
      </c>
      <c r="L11" s="110">
        <v>268</v>
      </c>
      <c r="M11" t="s">
        <v>200</v>
      </c>
      <c r="N11" s="87" t="s">
        <v>183</v>
      </c>
      <c r="P11" s="342">
        <v>9</v>
      </c>
      <c r="Q11" s="137">
        <v>80</v>
      </c>
      <c r="R11" t="s">
        <v>211</v>
      </c>
      <c r="S11" s="87" t="s">
        <v>62</v>
      </c>
      <c r="T11" s="48">
        <f>Q11/L12</f>
        <v>0.30303030303030304</v>
      </c>
    </row>
    <row r="12" spans="1:22" s="88" customFormat="1" ht="18.75" x14ac:dyDescent="0.3">
      <c r="A12" s="142" t="s">
        <v>399</v>
      </c>
      <c r="B12" t="s">
        <v>219</v>
      </c>
      <c r="C12" s="87" t="s">
        <v>62</v>
      </c>
      <c r="F12">
        <v>2</v>
      </c>
      <c r="G12" s="325">
        <v>88</v>
      </c>
      <c r="H12" s="323" t="s">
        <v>87</v>
      </c>
      <c r="I12" s="324" t="s">
        <v>1</v>
      </c>
      <c r="J12"/>
      <c r="K12" s="293">
        <v>10</v>
      </c>
      <c r="L12" s="110">
        <v>264</v>
      </c>
      <c r="M12" t="s">
        <v>211</v>
      </c>
      <c r="N12" s="87" t="s">
        <v>62</v>
      </c>
      <c r="O12"/>
      <c r="P12" s="342">
        <v>10</v>
      </c>
      <c r="Q12" s="114">
        <v>67</v>
      </c>
      <c r="R12" t="s">
        <v>200</v>
      </c>
      <c r="S12" s="87" t="s">
        <v>183</v>
      </c>
      <c r="T12" s="48">
        <f>Q12/L11</f>
        <v>0.25</v>
      </c>
      <c r="U12"/>
      <c r="V12"/>
    </row>
    <row r="13" spans="1:22" x14ac:dyDescent="0.25">
      <c r="A13" s="336" t="s">
        <v>399</v>
      </c>
      <c r="B13" s="69" t="s">
        <v>405</v>
      </c>
      <c r="C13" s="69" t="s">
        <v>64</v>
      </c>
      <c r="F13">
        <v>3</v>
      </c>
      <c r="G13" s="110">
        <v>80</v>
      </c>
      <c r="H13" t="s">
        <v>210</v>
      </c>
      <c r="I13" s="87" t="s">
        <v>183</v>
      </c>
      <c r="K13" s="293">
        <v>11</v>
      </c>
      <c r="L13" s="188">
        <v>233</v>
      </c>
      <c r="M13" t="s">
        <v>354</v>
      </c>
      <c r="N13" t="s">
        <v>1</v>
      </c>
      <c r="P13" s="342">
        <v>11</v>
      </c>
      <c r="Q13" s="114">
        <v>60</v>
      </c>
      <c r="R13" t="s">
        <v>196</v>
      </c>
      <c r="S13" t="s">
        <v>62</v>
      </c>
      <c r="T13" s="48">
        <f>Q13/L8</f>
        <v>0.20547945205479451</v>
      </c>
    </row>
    <row r="14" spans="1:22" x14ac:dyDescent="0.25">
      <c r="A14" s="346" t="s">
        <v>399</v>
      </c>
      <c r="B14" t="s">
        <v>413</v>
      </c>
      <c r="C14" s="87" t="s">
        <v>183</v>
      </c>
      <c r="F14">
        <v>4</v>
      </c>
      <c r="G14" s="322">
        <v>21</v>
      </c>
      <c r="H14" s="323" t="s">
        <v>82</v>
      </c>
      <c r="I14" s="323" t="s">
        <v>63</v>
      </c>
      <c r="K14" s="293">
        <v>12</v>
      </c>
      <c r="L14" s="110">
        <v>202</v>
      </c>
      <c r="M14" t="s">
        <v>191</v>
      </c>
      <c r="N14" s="87" t="s">
        <v>183</v>
      </c>
      <c r="P14" s="342">
        <v>12</v>
      </c>
      <c r="Q14" s="141">
        <v>59</v>
      </c>
      <c r="R14" t="s">
        <v>255</v>
      </c>
      <c r="S14" s="87" t="s">
        <v>91</v>
      </c>
      <c r="T14" s="48">
        <f>Q14/L19</f>
        <v>0.47967479674796748</v>
      </c>
    </row>
    <row r="15" spans="1:22" x14ac:dyDescent="0.25">
      <c r="A15" s="317" t="s">
        <v>355</v>
      </c>
      <c r="B15" t="s">
        <v>391</v>
      </c>
      <c r="C15" t="s">
        <v>2</v>
      </c>
      <c r="F15">
        <v>5</v>
      </c>
      <c r="G15" s="188">
        <v>8</v>
      </c>
      <c r="H15" t="s">
        <v>192</v>
      </c>
      <c r="I15" s="87" t="s">
        <v>62</v>
      </c>
      <c r="K15" s="293">
        <v>13</v>
      </c>
      <c r="L15" s="114">
        <v>199</v>
      </c>
      <c r="M15" t="s">
        <v>89</v>
      </c>
      <c r="N15" s="87" t="s">
        <v>1</v>
      </c>
      <c r="P15" s="342">
        <v>13</v>
      </c>
      <c r="Q15" s="110">
        <v>53</v>
      </c>
      <c r="R15" t="s">
        <v>191</v>
      </c>
      <c r="S15" t="s">
        <v>2</v>
      </c>
      <c r="T15" s="48">
        <f>Q15/L14</f>
        <v>0.26237623762376239</v>
      </c>
    </row>
    <row r="16" spans="1:22" x14ac:dyDescent="0.25">
      <c r="A16" s="142" t="s">
        <v>355</v>
      </c>
      <c r="B16" t="s">
        <v>192</v>
      </c>
      <c r="C16" s="87" t="s">
        <v>62</v>
      </c>
      <c r="F16">
        <v>6</v>
      </c>
      <c r="G16" s="322">
        <v>6</v>
      </c>
      <c r="H16" s="323" t="s">
        <v>84</v>
      </c>
      <c r="I16" s="324" t="s">
        <v>62</v>
      </c>
      <c r="K16" s="293">
        <v>14</v>
      </c>
      <c r="L16" s="188">
        <v>172</v>
      </c>
      <c r="M16" t="s">
        <v>391</v>
      </c>
      <c r="N16" t="s">
        <v>2</v>
      </c>
      <c r="P16" s="342">
        <v>14</v>
      </c>
      <c r="Q16" s="260">
        <v>33</v>
      </c>
      <c r="R16" t="s">
        <v>391</v>
      </c>
      <c r="S16" t="s">
        <v>2</v>
      </c>
      <c r="T16" s="48">
        <f>Q16/L18</f>
        <v>0.22602739726027396</v>
      </c>
      <c r="U16">
        <v>79</v>
      </c>
    </row>
    <row r="17" spans="1:21" x14ac:dyDescent="0.25">
      <c r="A17" s="140" t="s">
        <v>355</v>
      </c>
      <c r="B17" t="s">
        <v>210</v>
      </c>
      <c r="C17" s="87" t="s">
        <v>183</v>
      </c>
      <c r="F17">
        <v>7</v>
      </c>
      <c r="G17" s="325">
        <v>5</v>
      </c>
      <c r="H17" s="323" t="s">
        <v>83</v>
      </c>
      <c r="I17" s="324" t="s">
        <v>62</v>
      </c>
      <c r="K17" s="293">
        <v>15</v>
      </c>
      <c r="L17" s="322">
        <v>146</v>
      </c>
      <c r="M17" s="323" t="s">
        <v>87</v>
      </c>
      <c r="N17" s="324" t="s">
        <v>1</v>
      </c>
      <c r="P17" s="342">
        <v>15</v>
      </c>
      <c r="Q17" s="188">
        <v>32</v>
      </c>
      <c r="R17" s="69" t="s">
        <v>405</v>
      </c>
      <c r="S17" s="69" t="s">
        <v>64</v>
      </c>
      <c r="T17" s="48">
        <f>Q17/L21</f>
        <v>0.33333333333333331</v>
      </c>
      <c r="U17" s="69">
        <v>89</v>
      </c>
    </row>
    <row r="18" spans="1:21" x14ac:dyDescent="0.25">
      <c r="A18" s="140" t="s">
        <v>407</v>
      </c>
      <c r="B18" t="s">
        <v>253</v>
      </c>
      <c r="C18" s="87" t="s">
        <v>63</v>
      </c>
      <c r="F18">
        <v>8</v>
      </c>
      <c r="G18" s="322">
        <v>4</v>
      </c>
      <c r="H18" s="323" t="s">
        <v>167</v>
      </c>
      <c r="I18" s="324" t="s">
        <v>91</v>
      </c>
      <c r="K18" s="293">
        <v>15</v>
      </c>
      <c r="L18" s="188">
        <v>146</v>
      </c>
      <c r="M18" t="s">
        <v>394</v>
      </c>
      <c r="N18" t="s">
        <v>64</v>
      </c>
      <c r="P18" s="342">
        <v>16</v>
      </c>
      <c r="Q18" s="110">
        <v>27</v>
      </c>
      <c r="R18" t="s">
        <v>230</v>
      </c>
      <c r="S18" t="s">
        <v>62</v>
      </c>
      <c r="T18" s="48">
        <f>Q18/L20</f>
        <v>0.24770642201834864</v>
      </c>
    </row>
    <row r="19" spans="1:21" x14ac:dyDescent="0.25">
      <c r="A19" s="142" t="s">
        <v>407</v>
      </c>
      <c r="B19" t="s">
        <v>218</v>
      </c>
      <c r="C19" s="87" t="s">
        <v>63</v>
      </c>
      <c r="F19">
        <v>9</v>
      </c>
      <c r="G19" s="271">
        <v>2</v>
      </c>
      <c r="H19" t="s">
        <v>89</v>
      </c>
      <c r="I19" s="87" t="s">
        <v>1</v>
      </c>
      <c r="K19" s="293">
        <v>17</v>
      </c>
      <c r="L19" s="188">
        <v>123</v>
      </c>
      <c r="M19" s="69" t="s">
        <v>294</v>
      </c>
      <c r="N19" s="193" t="s">
        <v>91</v>
      </c>
      <c r="P19" s="342">
        <v>17</v>
      </c>
      <c r="Q19" s="110">
        <v>23</v>
      </c>
      <c r="R19" t="s">
        <v>295</v>
      </c>
      <c r="S19" t="s">
        <v>2</v>
      </c>
      <c r="T19" s="48">
        <f>Q19/L23</f>
        <v>0.26436781609195403</v>
      </c>
    </row>
    <row r="20" spans="1:21" x14ac:dyDescent="0.25">
      <c r="A20" s="142" t="s">
        <v>374</v>
      </c>
      <c r="B20" t="s">
        <v>211</v>
      </c>
      <c r="C20" s="87" t="s">
        <v>62</v>
      </c>
      <c r="F20">
        <v>10</v>
      </c>
      <c r="G20" s="325">
        <v>1</v>
      </c>
      <c r="H20" s="323" t="s">
        <v>88</v>
      </c>
      <c r="I20" s="324" t="s">
        <v>91</v>
      </c>
      <c r="K20" s="293">
        <v>18</v>
      </c>
      <c r="L20" s="188">
        <v>109</v>
      </c>
      <c r="M20" t="s">
        <v>230</v>
      </c>
      <c r="N20" t="s">
        <v>62</v>
      </c>
      <c r="P20" s="342">
        <v>18</v>
      </c>
      <c r="Q20" s="322">
        <v>19</v>
      </c>
      <c r="R20" s="323" t="s">
        <v>88</v>
      </c>
      <c r="S20" s="324" t="s">
        <v>193</v>
      </c>
      <c r="T20" s="48"/>
    </row>
    <row r="21" spans="1:21" x14ac:dyDescent="0.25">
      <c r="A21" s="142" t="s">
        <v>374</v>
      </c>
      <c r="B21" t="s">
        <v>196</v>
      </c>
      <c r="C21" s="87" t="s">
        <v>62</v>
      </c>
      <c r="F21">
        <v>10</v>
      </c>
      <c r="G21" s="1">
        <v>1</v>
      </c>
      <c r="H21" t="s">
        <v>191</v>
      </c>
      <c r="I21" t="s">
        <v>2</v>
      </c>
      <c r="K21" s="293">
        <v>19</v>
      </c>
      <c r="L21" s="331">
        <v>96</v>
      </c>
      <c r="M21" s="69" t="s">
        <v>405</v>
      </c>
      <c r="N21" s="69" t="s">
        <v>64</v>
      </c>
      <c r="P21" s="342">
        <v>19</v>
      </c>
      <c r="Q21" s="322">
        <v>15</v>
      </c>
      <c r="R21" s="323" t="s">
        <v>83</v>
      </c>
      <c r="S21" s="324" t="s">
        <v>62</v>
      </c>
      <c r="T21" s="48"/>
    </row>
    <row r="22" spans="1:21" x14ac:dyDescent="0.25">
      <c r="A22" s="140" t="s">
        <v>374</v>
      </c>
      <c r="B22" t="s">
        <v>217</v>
      </c>
      <c r="C22" s="87" t="s">
        <v>91</v>
      </c>
      <c r="F22">
        <v>10</v>
      </c>
      <c r="G22" s="1">
        <v>1</v>
      </c>
      <c r="H22" t="s">
        <v>413</v>
      </c>
      <c r="I22" s="324" t="s">
        <v>2</v>
      </c>
      <c r="K22" s="293">
        <v>20</v>
      </c>
      <c r="L22" s="322">
        <v>89</v>
      </c>
      <c r="M22" s="323" t="s">
        <v>201</v>
      </c>
      <c r="N22" s="324" t="s">
        <v>183</v>
      </c>
      <c r="P22" s="342">
        <v>20</v>
      </c>
      <c r="Q22" s="322">
        <v>12</v>
      </c>
      <c r="R22" s="323" t="s">
        <v>248</v>
      </c>
      <c r="S22" s="324" t="s">
        <v>91</v>
      </c>
      <c r="T22" s="48"/>
    </row>
    <row r="23" spans="1:21" x14ac:dyDescent="0.25">
      <c r="A23" s="142" t="s">
        <v>335</v>
      </c>
      <c r="B23" t="s">
        <v>255</v>
      </c>
      <c r="C23" s="87" t="s">
        <v>91</v>
      </c>
      <c r="G23" s="326">
        <f>SUM(G11:G22)</f>
        <v>430</v>
      </c>
      <c r="K23" s="293">
        <v>21</v>
      </c>
      <c r="L23" s="271">
        <v>87</v>
      </c>
      <c r="M23" t="s">
        <v>295</v>
      </c>
      <c r="N23" t="s">
        <v>183</v>
      </c>
      <c r="P23" s="342">
        <v>21</v>
      </c>
      <c r="Q23" s="114">
        <v>11</v>
      </c>
      <c r="R23" t="s">
        <v>89</v>
      </c>
      <c r="S23" s="87" t="s">
        <v>1</v>
      </c>
      <c r="T23" s="48">
        <f>Q23/L15</f>
        <v>5.5276381909547742E-2</v>
      </c>
    </row>
    <row r="24" spans="1:21" x14ac:dyDescent="0.25">
      <c r="A24" s="118" t="s">
        <v>400</v>
      </c>
      <c r="B24" t="s">
        <v>200</v>
      </c>
      <c r="C24" s="87" t="s">
        <v>183</v>
      </c>
      <c r="K24" s="293">
        <v>22</v>
      </c>
      <c r="L24" s="322">
        <v>55</v>
      </c>
      <c r="M24" s="323" t="s">
        <v>88</v>
      </c>
      <c r="N24" s="324" t="s">
        <v>91</v>
      </c>
      <c r="P24" s="342">
        <v>22</v>
      </c>
      <c r="Q24" s="322">
        <v>10</v>
      </c>
      <c r="R24" s="323" t="s">
        <v>201</v>
      </c>
      <c r="S24" s="324" t="s">
        <v>183</v>
      </c>
      <c r="T24" s="48"/>
    </row>
    <row r="25" spans="1:21" x14ac:dyDescent="0.25">
      <c r="A25" s="142" t="s">
        <v>261</v>
      </c>
      <c r="B25" t="s">
        <v>89</v>
      </c>
      <c r="C25" s="87" t="s">
        <v>1</v>
      </c>
      <c r="P25" s="342">
        <v>22</v>
      </c>
      <c r="Q25" s="322">
        <v>10</v>
      </c>
      <c r="R25" s="323" t="s">
        <v>254</v>
      </c>
      <c r="S25" s="324" t="s">
        <v>91</v>
      </c>
      <c r="T25" s="214"/>
    </row>
    <row r="26" spans="1:21" x14ac:dyDescent="0.25">
      <c r="A26" s="322" t="s">
        <v>261</v>
      </c>
      <c r="B26" s="323" t="s">
        <v>87</v>
      </c>
      <c r="C26" s="324" t="s">
        <v>1</v>
      </c>
      <c r="P26" s="342">
        <v>24</v>
      </c>
      <c r="Q26" s="322">
        <v>9</v>
      </c>
      <c r="R26" s="323" t="s">
        <v>203</v>
      </c>
      <c r="S26" s="323" t="s">
        <v>91</v>
      </c>
      <c r="T26" s="48"/>
    </row>
    <row r="27" spans="1:21" x14ac:dyDescent="0.25">
      <c r="A27" s="140" t="s">
        <v>261</v>
      </c>
      <c r="B27" t="s">
        <v>230</v>
      </c>
      <c r="C27" t="s">
        <v>62</v>
      </c>
      <c r="P27" s="342">
        <v>24</v>
      </c>
      <c r="Q27" s="322">
        <v>9</v>
      </c>
      <c r="R27" s="323" t="s">
        <v>202</v>
      </c>
      <c r="S27" s="323" t="s">
        <v>91</v>
      </c>
      <c r="T27" s="48"/>
    </row>
    <row r="28" spans="1:21" x14ac:dyDescent="0.25">
      <c r="A28" s="322" t="s">
        <v>197</v>
      </c>
      <c r="B28" s="323" t="s">
        <v>167</v>
      </c>
      <c r="C28" s="324" t="s">
        <v>91</v>
      </c>
      <c r="P28" s="342">
        <v>26</v>
      </c>
      <c r="Q28" s="322">
        <v>8</v>
      </c>
      <c r="R28" s="323" t="s">
        <v>85</v>
      </c>
      <c r="S28" s="323" t="s">
        <v>183</v>
      </c>
      <c r="T28" s="48"/>
    </row>
    <row r="29" spans="1:21" x14ac:dyDescent="0.25">
      <c r="A29" s="140" t="s">
        <v>197</v>
      </c>
      <c r="B29" t="s">
        <v>191</v>
      </c>
      <c r="C29" s="87" t="s">
        <v>2</v>
      </c>
      <c r="P29" s="342">
        <v>27</v>
      </c>
      <c r="Q29" s="322">
        <v>6</v>
      </c>
      <c r="R29" s="323" t="s">
        <v>87</v>
      </c>
      <c r="S29" s="324" t="s">
        <v>1</v>
      </c>
      <c r="T29" s="48"/>
    </row>
    <row r="30" spans="1:21" x14ac:dyDescent="0.25">
      <c r="A30" s="194" t="s">
        <v>197</v>
      </c>
      <c r="B30" t="s">
        <v>295</v>
      </c>
      <c r="C30" t="s">
        <v>183</v>
      </c>
      <c r="P30" s="342">
        <v>28</v>
      </c>
      <c r="Q30" s="322">
        <v>3</v>
      </c>
      <c r="R30" s="323" t="s">
        <v>356</v>
      </c>
      <c r="S30" s="323" t="s">
        <v>64</v>
      </c>
      <c r="T30" s="48"/>
    </row>
    <row r="31" spans="1:21" x14ac:dyDescent="0.25">
      <c r="A31" s="322" t="s">
        <v>393</v>
      </c>
      <c r="B31" s="323" t="s">
        <v>356</v>
      </c>
      <c r="C31" s="323" t="s">
        <v>64</v>
      </c>
      <c r="P31" s="342">
        <v>28</v>
      </c>
      <c r="Q31" s="322">
        <v>3</v>
      </c>
      <c r="R31" s="323" t="s">
        <v>297</v>
      </c>
      <c r="S31" s="323" t="s">
        <v>62</v>
      </c>
      <c r="T31" s="48"/>
    </row>
    <row r="32" spans="1:21" x14ac:dyDescent="0.25">
      <c r="A32" s="322" t="s">
        <v>229</v>
      </c>
      <c r="B32" s="323" t="s">
        <v>254</v>
      </c>
      <c r="C32" s="324" t="s">
        <v>91</v>
      </c>
      <c r="P32" s="342">
        <v>28</v>
      </c>
      <c r="Q32" s="188">
        <v>3</v>
      </c>
      <c r="R32" t="s">
        <v>413</v>
      </c>
      <c r="S32" s="69" t="s">
        <v>183</v>
      </c>
      <c r="T32" s="48"/>
      <c r="U32" s="69">
        <v>49</v>
      </c>
    </row>
    <row r="33" spans="1:21" x14ac:dyDescent="0.25">
      <c r="A33" s="338" t="s">
        <v>229</v>
      </c>
      <c r="B33" s="339" t="s">
        <v>248</v>
      </c>
      <c r="C33" s="339" t="s">
        <v>91</v>
      </c>
      <c r="P33" s="346">
        <v>31</v>
      </c>
      <c r="Q33" s="188">
        <v>2</v>
      </c>
      <c r="R33" t="s">
        <v>354</v>
      </c>
      <c r="S33" s="69" t="s">
        <v>1</v>
      </c>
      <c r="T33" s="48">
        <f>Q33/L13</f>
        <v>8.5836909871244635E-3</v>
      </c>
      <c r="U33" s="69">
        <v>3</v>
      </c>
    </row>
    <row r="34" spans="1:21" x14ac:dyDescent="0.25">
      <c r="G34" s="346"/>
      <c r="Q34" s="327">
        <f>SUM(Q3:Q33)</f>
        <v>1505</v>
      </c>
    </row>
    <row r="35" spans="1:21" x14ac:dyDescent="0.25">
      <c r="A35" s="113"/>
      <c r="B35" s="111"/>
      <c r="C35" s="112"/>
    </row>
    <row r="36" spans="1:21" x14ac:dyDescent="0.25">
      <c r="A36" s="113"/>
      <c r="B36" s="111"/>
      <c r="C36" s="112"/>
    </row>
    <row r="37" spans="1:21" x14ac:dyDescent="0.25">
      <c r="A37" s="113"/>
      <c r="B37" s="111"/>
      <c r="C37" s="112"/>
    </row>
    <row r="38" spans="1:21" x14ac:dyDescent="0.25">
      <c r="A38" s="113"/>
      <c r="B38" s="111"/>
      <c r="C38" s="111"/>
    </row>
    <row r="39" spans="1:21" x14ac:dyDescent="0.25">
      <c r="A39" s="318"/>
    </row>
  </sheetData>
  <mergeCells count="5">
    <mergeCell ref="G10:H10"/>
    <mergeCell ref="G2:H2"/>
    <mergeCell ref="Q2:R2"/>
    <mergeCell ref="A8:B8"/>
    <mergeCell ref="L2:N2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47"/>
  <sheetViews>
    <sheetView zoomScale="80" zoomScaleNormal="80" workbookViewId="0">
      <selection activeCell="E21" sqref="E21"/>
    </sheetView>
  </sheetViews>
  <sheetFormatPr baseColWidth="10" defaultColWidth="11.42578125" defaultRowHeight="15" x14ac:dyDescent="0.25"/>
  <cols>
    <col min="1" max="1" width="31" bestFit="1" customWidth="1"/>
    <col min="2" max="2" width="15.5703125" bestFit="1" customWidth="1"/>
    <col min="3" max="6" width="13.85546875" bestFit="1" customWidth="1"/>
    <col min="7" max="7" width="15.140625" bestFit="1" customWidth="1"/>
    <col min="8" max="12" width="13.85546875" bestFit="1" customWidth="1"/>
    <col min="13" max="13" width="17.28515625" bestFit="1" customWidth="1"/>
    <col min="14" max="16" width="13.85546875" bestFit="1" customWidth="1"/>
    <col min="17" max="17" width="12.85546875" bestFit="1" customWidth="1"/>
    <col min="18" max="19" width="13.85546875" bestFit="1" customWidth="1"/>
    <col min="20" max="30" width="12.85546875" bestFit="1" customWidth="1"/>
  </cols>
  <sheetData>
    <row r="1" spans="1:30" ht="30.75" x14ac:dyDescent="0.25">
      <c r="M1" s="6" t="s">
        <v>3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x14ac:dyDescent="0.25">
      <c r="C2" s="8" t="s">
        <v>10</v>
      </c>
      <c r="D2" s="380" t="s">
        <v>11</v>
      </c>
      <c r="E2" s="380"/>
      <c r="F2" s="381" t="s">
        <v>12</v>
      </c>
      <c r="G2" s="381"/>
      <c r="H2" s="382" t="s">
        <v>13</v>
      </c>
      <c r="I2" s="382"/>
      <c r="K2" t="s">
        <v>14</v>
      </c>
      <c r="M2" s="9">
        <v>11</v>
      </c>
      <c r="N2" s="10">
        <v>14.98</v>
      </c>
      <c r="O2" s="10">
        <v>5.95</v>
      </c>
      <c r="P2" s="10">
        <v>5.49</v>
      </c>
      <c r="Q2" s="10">
        <v>0.68</v>
      </c>
      <c r="R2" s="11">
        <v>27.09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5.75" thickBot="1" x14ac:dyDescent="0.3">
      <c r="A3" s="12" t="s">
        <v>15</v>
      </c>
      <c r="B3" s="13">
        <f>B4+B5+B6+B7</f>
        <v>71304</v>
      </c>
      <c r="C3" s="14">
        <f>C4+C5+C6+C7</f>
        <v>71472.679999999993</v>
      </c>
      <c r="D3" s="3" t="s">
        <v>16</v>
      </c>
      <c r="E3" s="3" t="s">
        <v>17</v>
      </c>
      <c r="F3" s="3" t="s">
        <v>16</v>
      </c>
      <c r="G3" s="3" t="s">
        <v>18</v>
      </c>
      <c r="H3" s="3" t="s">
        <v>16</v>
      </c>
      <c r="I3" s="4" t="s">
        <v>19</v>
      </c>
      <c r="J3" s="15" t="s">
        <v>20</v>
      </c>
      <c r="K3" s="5">
        <v>14480</v>
      </c>
      <c r="M3" s="9">
        <v>10</v>
      </c>
      <c r="N3" s="16">
        <v>14.23</v>
      </c>
      <c r="O3" s="16">
        <v>5.59</v>
      </c>
      <c r="P3" s="16">
        <v>5.07</v>
      </c>
      <c r="Q3" s="16">
        <v>0.62</v>
      </c>
      <c r="R3" s="17">
        <v>25.52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25">
      <c r="A4" s="12" t="s">
        <v>21</v>
      </c>
      <c r="B4" s="13">
        <v>40146</v>
      </c>
      <c r="C4" s="76">
        <v>40240.67</v>
      </c>
      <c r="D4" s="18">
        <v>45</v>
      </c>
      <c r="E4" s="3">
        <f>D4*(C4-B4)</f>
        <v>4260.1499999999214</v>
      </c>
      <c r="F4" s="19">
        <v>0.5</v>
      </c>
      <c r="G4" s="3">
        <f>(C4-B4)*F4</f>
        <v>47.334999999999127</v>
      </c>
      <c r="H4" s="19">
        <v>7</v>
      </c>
      <c r="I4" s="4">
        <f>(C4-B4)*H4</f>
        <v>662.68999999998778</v>
      </c>
      <c r="J4" s="3">
        <f>H4*C4</f>
        <v>281684.69</v>
      </c>
      <c r="K4">
        <f>K3*0.59</f>
        <v>8543.1999999999989</v>
      </c>
      <c r="M4" s="9">
        <v>9</v>
      </c>
      <c r="N4" s="10">
        <v>13.49</v>
      </c>
      <c r="O4" s="10">
        <v>5.24</v>
      </c>
      <c r="P4" s="10">
        <v>4.66</v>
      </c>
      <c r="Q4" s="10">
        <v>0.56999999999999995</v>
      </c>
      <c r="R4" s="11">
        <v>23.95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25">
      <c r="A5" s="12" t="s">
        <v>22</v>
      </c>
      <c r="B5" s="13">
        <v>15594</v>
      </c>
      <c r="C5" s="22">
        <v>15630.92</v>
      </c>
      <c r="D5" s="20">
        <v>75</v>
      </c>
      <c r="E5" s="3">
        <f>D5*(C5-B5)</f>
        <v>2769.0000000000055</v>
      </c>
      <c r="F5" s="21">
        <v>0.7</v>
      </c>
      <c r="G5" s="3">
        <f>(C5-B5)*F5</f>
        <v>25.844000000000051</v>
      </c>
      <c r="H5" s="21">
        <v>10</v>
      </c>
      <c r="I5" s="4">
        <f>(C5-B5)*H5</f>
        <v>369.20000000000073</v>
      </c>
      <c r="J5" s="3">
        <f>H5*C5</f>
        <v>156309.20000000001</v>
      </c>
      <c r="K5">
        <f>K3*0.21</f>
        <v>3040.7999999999997</v>
      </c>
      <c r="M5" s="9">
        <v>8</v>
      </c>
      <c r="N5" s="16">
        <v>12.74</v>
      </c>
      <c r="O5" s="16">
        <v>4.8899999999999997</v>
      </c>
      <c r="P5" s="16">
        <v>4.25</v>
      </c>
      <c r="Q5" s="16">
        <v>0.51</v>
      </c>
      <c r="R5" s="17">
        <v>22.39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5">
      <c r="A6" s="12" t="s">
        <v>23</v>
      </c>
      <c r="B6" s="13">
        <v>13868</v>
      </c>
      <c r="C6" s="22">
        <v>13900.78</v>
      </c>
      <c r="D6" s="18">
        <v>90</v>
      </c>
      <c r="E6" s="3">
        <f>D6*(C6-B6)</f>
        <v>2950.2000000000589</v>
      </c>
      <c r="F6" s="19">
        <v>1</v>
      </c>
      <c r="G6" s="3">
        <f>(C6-B6)*F6</f>
        <v>32.780000000000655</v>
      </c>
      <c r="H6" s="19">
        <v>19</v>
      </c>
      <c r="I6" s="4">
        <f>(C6-B6)*H6</f>
        <v>622.82000000001244</v>
      </c>
      <c r="J6" s="3">
        <f>H6*C6</f>
        <v>264114.82</v>
      </c>
      <c r="K6">
        <f>K3*0.18</f>
        <v>2606.4</v>
      </c>
      <c r="M6" s="9">
        <v>7</v>
      </c>
      <c r="N6" s="10">
        <v>12</v>
      </c>
      <c r="O6" s="10">
        <v>4.53</v>
      </c>
      <c r="P6" s="10">
        <v>3.84</v>
      </c>
      <c r="Q6" s="10">
        <v>0.46</v>
      </c>
      <c r="R6" s="11">
        <v>20.83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5.75" thickBot="1" x14ac:dyDescent="0.3">
      <c r="A7" s="12" t="s">
        <v>24</v>
      </c>
      <c r="B7" s="13">
        <v>1696</v>
      </c>
      <c r="C7" s="23">
        <v>1700.31</v>
      </c>
      <c r="D7" s="20">
        <v>300</v>
      </c>
      <c r="E7" s="3">
        <f>D7*(C7-B7)</f>
        <v>1292.9999999999836</v>
      </c>
      <c r="F7" s="21">
        <v>2.5</v>
      </c>
      <c r="G7" s="3">
        <f>(C7-B7)*F7</f>
        <v>10.774999999999864</v>
      </c>
      <c r="H7" s="21">
        <v>35</v>
      </c>
      <c r="I7" s="4">
        <f>(C7-B7)*H7</f>
        <v>150.84999999999809</v>
      </c>
      <c r="J7" s="3">
        <f>H7*C7</f>
        <v>59510.85</v>
      </c>
      <c r="K7">
        <f>K3*0.02</f>
        <v>289.60000000000002</v>
      </c>
      <c r="M7" s="9">
        <v>6</v>
      </c>
      <c r="N7" s="16">
        <v>11.26</v>
      </c>
      <c r="O7" s="16">
        <v>4.17</v>
      </c>
      <c r="P7" s="16">
        <v>3.44</v>
      </c>
      <c r="Q7" s="16">
        <v>0.41</v>
      </c>
      <c r="R7" s="17">
        <v>19.27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5">
      <c r="C8" s="24">
        <f>C4/$C$3</f>
        <v>0.56302170283806352</v>
      </c>
      <c r="J8" s="25">
        <f>J7+J6+J5+J4</f>
        <v>761619.56</v>
      </c>
      <c r="M8" s="9">
        <v>5</v>
      </c>
      <c r="N8" s="10">
        <v>10.52</v>
      </c>
      <c r="O8" s="10">
        <v>3.81</v>
      </c>
      <c r="P8" s="10">
        <v>3.03</v>
      </c>
      <c r="Q8" s="10">
        <v>0.35</v>
      </c>
      <c r="R8" s="11">
        <v>17.72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5">
      <c r="C9" s="26">
        <f>C5/$C$3</f>
        <v>0.21869782971619367</v>
      </c>
      <c r="E9" s="51">
        <f>C4-B4</f>
        <v>94.669999999998254</v>
      </c>
      <c r="M9" s="9">
        <v>4</v>
      </c>
      <c r="N9" s="16">
        <v>9.8000000000000007</v>
      </c>
      <c r="O9" s="16">
        <v>3.46</v>
      </c>
      <c r="P9" s="16">
        <v>2.63</v>
      </c>
      <c r="Q9" s="16">
        <v>0.3</v>
      </c>
      <c r="R9" s="17">
        <v>16.170000000000002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5">
      <c r="B10" s="27">
        <f>B11/B13</f>
        <v>0.47009380721923127</v>
      </c>
      <c r="C10" s="26">
        <f>C6/$C$3</f>
        <v>0.19449081803005011</v>
      </c>
      <c r="E10" s="51">
        <f>C5-B5</f>
        <v>36.920000000000073</v>
      </c>
      <c r="M10" s="9">
        <v>3</v>
      </c>
      <c r="N10" s="10">
        <v>9.09</v>
      </c>
      <c r="O10" s="10">
        <v>3.1</v>
      </c>
      <c r="P10" s="10">
        <v>2.21</v>
      </c>
      <c r="Q10" s="10">
        <v>0.24</v>
      </c>
      <c r="R10" s="11">
        <v>14.63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5">
      <c r="A11" s="28" t="s">
        <v>25</v>
      </c>
      <c r="B11" s="29">
        <v>10000</v>
      </c>
      <c r="C11" s="26">
        <f>C7/$C$3</f>
        <v>2.3789649415692823E-2</v>
      </c>
      <c r="E11" s="51">
        <f>C6-B6</f>
        <v>32.780000000000655</v>
      </c>
      <c r="M11" s="9">
        <v>2</v>
      </c>
      <c r="N11" s="16">
        <v>8.42</v>
      </c>
      <c r="O11" s="16">
        <v>2.73</v>
      </c>
      <c r="P11" s="16">
        <v>1.77</v>
      </c>
      <c r="Q11" s="16">
        <v>0.18</v>
      </c>
      <c r="R11" s="17">
        <v>13.09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15.75" thickBot="1" x14ac:dyDescent="0.3">
      <c r="A12" s="28" t="s">
        <v>26</v>
      </c>
      <c r="B12" s="30">
        <f>E7+E6+E5+E4</f>
        <v>11272.349999999969</v>
      </c>
      <c r="E12" s="51">
        <f>C7-B7</f>
        <v>4.3099999999999454</v>
      </c>
      <c r="M12" s="9">
        <v>1</v>
      </c>
      <c r="N12" s="10">
        <v>7.85</v>
      </c>
      <c r="O12" s="10">
        <v>2.34</v>
      </c>
      <c r="P12" s="10">
        <v>1.23</v>
      </c>
      <c r="Q12" s="10">
        <v>0.1</v>
      </c>
      <c r="R12" s="11">
        <v>11.53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thickBot="1" x14ac:dyDescent="0.3">
      <c r="A13" s="31" t="s">
        <v>27</v>
      </c>
      <c r="B13" s="32">
        <f>B11+B12</f>
        <v>21272.349999999969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x14ac:dyDescent="0.25"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x14ac:dyDescent="0.25">
      <c r="A15" s="1"/>
      <c r="B15" s="33" t="s">
        <v>28</v>
      </c>
      <c r="C15" s="33" t="s">
        <v>29</v>
      </c>
      <c r="D15" s="33" t="s">
        <v>30</v>
      </c>
      <c r="E15" s="33" t="s">
        <v>31</v>
      </c>
      <c r="F15" s="33" t="s">
        <v>32</v>
      </c>
      <c r="G15" s="33" t="s">
        <v>33</v>
      </c>
      <c r="H15" s="33" t="s">
        <v>34</v>
      </c>
      <c r="I15" s="33" t="s">
        <v>35</v>
      </c>
      <c r="J15" s="33" t="s">
        <v>36</v>
      </c>
      <c r="K15" s="33" t="s">
        <v>37</v>
      </c>
      <c r="L15" s="33" t="s">
        <v>38</v>
      </c>
      <c r="M15" s="33" t="s">
        <v>39</v>
      </c>
      <c r="N15" s="33" t="s">
        <v>40</v>
      </c>
      <c r="O15" s="33" t="s">
        <v>41</v>
      </c>
      <c r="P15" s="33" t="s">
        <v>42</v>
      </c>
      <c r="Q15" s="33" t="s">
        <v>43</v>
      </c>
      <c r="R15" s="33" t="s">
        <v>28</v>
      </c>
      <c r="S15" s="33" t="s">
        <v>29</v>
      </c>
      <c r="T15" s="33" t="s">
        <v>30</v>
      </c>
      <c r="U15" s="33" t="s">
        <v>31</v>
      </c>
      <c r="V15" s="33" t="s">
        <v>32</v>
      </c>
      <c r="W15" s="33" t="s">
        <v>33</v>
      </c>
      <c r="X15" s="33" t="s">
        <v>34</v>
      </c>
      <c r="Y15" s="33" t="s">
        <v>35</v>
      </c>
      <c r="Z15" s="33" t="s">
        <v>36</v>
      </c>
      <c r="AA15" s="33" t="s">
        <v>37</v>
      </c>
      <c r="AB15" s="33" t="s">
        <v>38</v>
      </c>
      <c r="AC15" s="33" t="s">
        <v>39</v>
      </c>
      <c r="AD15" s="33" t="s">
        <v>40</v>
      </c>
    </row>
    <row r="16" spans="1:30" x14ac:dyDescent="0.25">
      <c r="A16" s="34" t="s">
        <v>44</v>
      </c>
      <c r="B16" s="34">
        <v>3396</v>
      </c>
      <c r="C16" s="34">
        <f>B16+1</f>
        <v>3397</v>
      </c>
      <c r="D16" s="34">
        <f t="shared" ref="D16:AD16" si="0">C16+1</f>
        <v>3398</v>
      </c>
      <c r="E16" s="34">
        <f t="shared" si="0"/>
        <v>3399</v>
      </c>
      <c r="F16" s="34">
        <f t="shared" si="0"/>
        <v>3400</v>
      </c>
      <c r="G16" s="34">
        <f t="shared" si="0"/>
        <v>3401</v>
      </c>
      <c r="H16" s="34">
        <f t="shared" si="0"/>
        <v>3402</v>
      </c>
      <c r="I16" s="34">
        <f t="shared" si="0"/>
        <v>3403</v>
      </c>
      <c r="J16" s="34">
        <f t="shared" si="0"/>
        <v>3404</v>
      </c>
      <c r="K16" s="34">
        <f t="shared" si="0"/>
        <v>3405</v>
      </c>
      <c r="L16" s="34">
        <f t="shared" si="0"/>
        <v>3406</v>
      </c>
      <c r="M16" s="34">
        <f t="shared" si="0"/>
        <v>3407</v>
      </c>
      <c r="N16" s="34">
        <f t="shared" si="0"/>
        <v>3408</v>
      </c>
      <c r="O16" s="34">
        <f t="shared" si="0"/>
        <v>3409</v>
      </c>
      <c r="P16" s="34">
        <f t="shared" si="0"/>
        <v>3410</v>
      </c>
      <c r="Q16" s="34">
        <f t="shared" si="0"/>
        <v>3411</v>
      </c>
      <c r="R16" s="34">
        <f t="shared" si="0"/>
        <v>3412</v>
      </c>
      <c r="S16" s="34">
        <f t="shared" si="0"/>
        <v>3413</v>
      </c>
      <c r="T16" s="34">
        <f t="shared" si="0"/>
        <v>3414</v>
      </c>
      <c r="U16" s="34">
        <f t="shared" si="0"/>
        <v>3415</v>
      </c>
      <c r="V16" s="34">
        <f t="shared" si="0"/>
        <v>3416</v>
      </c>
      <c r="W16" s="34">
        <f t="shared" si="0"/>
        <v>3417</v>
      </c>
      <c r="X16" s="34">
        <f t="shared" si="0"/>
        <v>3418</v>
      </c>
      <c r="Y16" s="34">
        <f t="shared" si="0"/>
        <v>3419</v>
      </c>
      <c r="Z16" s="34">
        <f t="shared" si="0"/>
        <v>3420</v>
      </c>
      <c r="AA16" s="34">
        <f t="shared" si="0"/>
        <v>3421</v>
      </c>
      <c r="AB16" s="34">
        <f t="shared" si="0"/>
        <v>3422</v>
      </c>
      <c r="AC16" s="34">
        <f t="shared" si="0"/>
        <v>3423</v>
      </c>
      <c r="AD16" s="34">
        <f t="shared" si="0"/>
        <v>3424</v>
      </c>
    </row>
    <row r="17" spans="1:30" x14ac:dyDescent="0.25">
      <c r="A17" s="34"/>
      <c r="B17" s="35">
        <f>B18+B19+B20+B21</f>
        <v>70738.680000000008</v>
      </c>
      <c r="C17" s="35">
        <f t="shared" ref="C17:AD17" si="1">C18+C19+C20+C21</f>
        <v>70759.509999999995</v>
      </c>
      <c r="D17" s="35">
        <f t="shared" si="1"/>
        <v>70780.340000000011</v>
      </c>
      <c r="E17" s="35">
        <f t="shared" si="1"/>
        <v>70801.17</v>
      </c>
      <c r="F17" s="35">
        <f t="shared" si="1"/>
        <v>70822</v>
      </c>
      <c r="G17" s="35">
        <f t="shared" si="1"/>
        <v>70842.83</v>
      </c>
      <c r="H17" s="35">
        <f t="shared" si="1"/>
        <v>70863.659999999989</v>
      </c>
      <c r="I17" s="35">
        <f t="shared" si="1"/>
        <v>70884.490000000005</v>
      </c>
      <c r="J17" s="35">
        <f t="shared" si="1"/>
        <v>70905.319999999992</v>
      </c>
      <c r="K17" s="35">
        <f t="shared" si="1"/>
        <v>70926.150000000009</v>
      </c>
      <c r="L17" s="35">
        <f t="shared" si="1"/>
        <v>70946.98</v>
      </c>
      <c r="M17" s="35">
        <f t="shared" si="1"/>
        <v>70967.81</v>
      </c>
      <c r="N17" s="35">
        <f t="shared" si="1"/>
        <v>70988.639999999999</v>
      </c>
      <c r="O17" s="35">
        <f t="shared" si="1"/>
        <v>71009.47</v>
      </c>
      <c r="P17" s="35">
        <f t="shared" si="1"/>
        <v>71030.3</v>
      </c>
      <c r="Q17" s="35">
        <f t="shared" si="1"/>
        <v>71051.13</v>
      </c>
      <c r="R17" s="35">
        <f t="shared" si="1"/>
        <v>71071.960000000006</v>
      </c>
      <c r="S17" s="35">
        <f t="shared" si="1"/>
        <v>71092.789999999994</v>
      </c>
      <c r="T17" s="35">
        <f t="shared" si="1"/>
        <v>71113.62</v>
      </c>
      <c r="U17" s="35">
        <f t="shared" si="1"/>
        <v>71134.45</v>
      </c>
      <c r="V17" s="35">
        <f t="shared" si="1"/>
        <v>71155.28</v>
      </c>
      <c r="W17" s="35">
        <f t="shared" si="1"/>
        <v>71176.110000000015</v>
      </c>
      <c r="X17" s="35">
        <f t="shared" si="1"/>
        <v>71196.94</v>
      </c>
      <c r="Y17" s="35">
        <f t="shared" si="1"/>
        <v>71217.77</v>
      </c>
      <c r="Z17" s="35">
        <f t="shared" si="1"/>
        <v>71238.599999999991</v>
      </c>
      <c r="AA17" s="35">
        <f t="shared" si="1"/>
        <v>71259.430000000008</v>
      </c>
      <c r="AB17" s="35">
        <f t="shared" si="1"/>
        <v>71280.259999999995</v>
      </c>
      <c r="AC17" s="35">
        <f t="shared" si="1"/>
        <v>71301.090000000011</v>
      </c>
      <c r="AD17" s="35">
        <f t="shared" si="1"/>
        <v>71321.919999999998</v>
      </c>
    </row>
    <row r="18" spans="1:30" x14ac:dyDescent="0.25">
      <c r="A18" s="36" t="s">
        <v>45</v>
      </c>
      <c r="B18" s="37">
        <f>B16*$N$6</f>
        <v>40752</v>
      </c>
      <c r="C18" s="37">
        <f t="shared" ref="C18:AD18" si="2">C16*$N$6</f>
        <v>40764</v>
      </c>
      <c r="D18" s="37">
        <f t="shared" si="2"/>
        <v>40776</v>
      </c>
      <c r="E18" s="37">
        <f t="shared" si="2"/>
        <v>40788</v>
      </c>
      <c r="F18" s="37">
        <f t="shared" si="2"/>
        <v>40800</v>
      </c>
      <c r="G18" s="37">
        <f t="shared" si="2"/>
        <v>40812</v>
      </c>
      <c r="H18" s="37">
        <f t="shared" si="2"/>
        <v>40824</v>
      </c>
      <c r="I18" s="37">
        <f t="shared" si="2"/>
        <v>40836</v>
      </c>
      <c r="J18" s="37">
        <f t="shared" si="2"/>
        <v>40848</v>
      </c>
      <c r="K18" s="37">
        <f t="shared" si="2"/>
        <v>40860</v>
      </c>
      <c r="L18" s="37">
        <f t="shared" si="2"/>
        <v>40872</v>
      </c>
      <c r="M18" s="37">
        <f t="shared" si="2"/>
        <v>40884</v>
      </c>
      <c r="N18" s="37">
        <f t="shared" si="2"/>
        <v>40896</v>
      </c>
      <c r="O18" s="37">
        <f t="shared" si="2"/>
        <v>40908</v>
      </c>
      <c r="P18" s="37">
        <f t="shared" si="2"/>
        <v>40920</v>
      </c>
      <c r="Q18" s="37">
        <f t="shared" si="2"/>
        <v>40932</v>
      </c>
      <c r="R18" s="37">
        <f t="shared" si="2"/>
        <v>40944</v>
      </c>
      <c r="S18" s="37">
        <f t="shared" si="2"/>
        <v>40956</v>
      </c>
      <c r="T18" s="37">
        <f t="shared" si="2"/>
        <v>40968</v>
      </c>
      <c r="U18" s="37">
        <f t="shared" si="2"/>
        <v>40980</v>
      </c>
      <c r="V18" s="37">
        <f t="shared" si="2"/>
        <v>40992</v>
      </c>
      <c r="W18" s="37">
        <f t="shared" si="2"/>
        <v>41004</v>
      </c>
      <c r="X18" s="37">
        <f t="shared" si="2"/>
        <v>41016</v>
      </c>
      <c r="Y18" s="37">
        <f t="shared" si="2"/>
        <v>41028</v>
      </c>
      <c r="Z18" s="37">
        <f t="shared" si="2"/>
        <v>41040</v>
      </c>
      <c r="AA18" s="37">
        <f t="shared" si="2"/>
        <v>41052</v>
      </c>
      <c r="AB18" s="37">
        <f t="shared" si="2"/>
        <v>41064</v>
      </c>
      <c r="AC18" s="37">
        <f t="shared" si="2"/>
        <v>41076</v>
      </c>
      <c r="AD18" s="37">
        <f t="shared" si="2"/>
        <v>41088</v>
      </c>
    </row>
    <row r="19" spans="1:30" x14ac:dyDescent="0.25">
      <c r="A19" s="36" t="s">
        <v>46</v>
      </c>
      <c r="B19" s="37">
        <f>B16*$O$6</f>
        <v>15383.880000000001</v>
      </c>
      <c r="C19" s="37">
        <f t="shared" ref="C19:AD19" si="3">C16*$O$6</f>
        <v>15388.410000000002</v>
      </c>
      <c r="D19" s="37">
        <f t="shared" si="3"/>
        <v>15392.94</v>
      </c>
      <c r="E19" s="37">
        <f t="shared" si="3"/>
        <v>15397.470000000001</v>
      </c>
      <c r="F19" s="37">
        <f t="shared" si="3"/>
        <v>15402</v>
      </c>
      <c r="G19" s="37">
        <f t="shared" si="3"/>
        <v>15406.53</v>
      </c>
      <c r="H19" s="37">
        <f t="shared" si="3"/>
        <v>15411.060000000001</v>
      </c>
      <c r="I19" s="37">
        <f t="shared" si="3"/>
        <v>15415.59</v>
      </c>
      <c r="J19" s="37">
        <f t="shared" si="3"/>
        <v>15420.12</v>
      </c>
      <c r="K19" s="37">
        <f t="shared" si="3"/>
        <v>15424.650000000001</v>
      </c>
      <c r="L19" s="37">
        <f t="shared" si="3"/>
        <v>15429.18</v>
      </c>
      <c r="M19" s="37">
        <f t="shared" si="3"/>
        <v>15433.710000000001</v>
      </c>
      <c r="N19" s="37">
        <f t="shared" si="3"/>
        <v>15438.240000000002</v>
      </c>
      <c r="O19" s="37">
        <f t="shared" si="3"/>
        <v>15442.77</v>
      </c>
      <c r="P19" s="37">
        <f t="shared" si="3"/>
        <v>15447.300000000001</v>
      </c>
      <c r="Q19" s="37">
        <f t="shared" si="3"/>
        <v>15451.830000000002</v>
      </c>
      <c r="R19" s="37">
        <f t="shared" si="3"/>
        <v>15456.36</v>
      </c>
      <c r="S19" s="37">
        <f t="shared" si="3"/>
        <v>15460.890000000001</v>
      </c>
      <c r="T19" s="37">
        <f t="shared" si="3"/>
        <v>15465.42</v>
      </c>
      <c r="U19" s="37">
        <f t="shared" si="3"/>
        <v>15469.95</v>
      </c>
      <c r="V19" s="37">
        <f t="shared" si="3"/>
        <v>15474.480000000001</v>
      </c>
      <c r="W19" s="37">
        <f t="shared" si="3"/>
        <v>15479.01</v>
      </c>
      <c r="X19" s="37">
        <f t="shared" si="3"/>
        <v>15483.54</v>
      </c>
      <c r="Y19" s="37">
        <f t="shared" si="3"/>
        <v>15488.070000000002</v>
      </c>
      <c r="Z19" s="37">
        <f t="shared" si="3"/>
        <v>15492.6</v>
      </c>
      <c r="AA19" s="37">
        <f t="shared" si="3"/>
        <v>15497.130000000001</v>
      </c>
      <c r="AB19" s="37">
        <f t="shared" si="3"/>
        <v>15501.660000000002</v>
      </c>
      <c r="AC19" s="37">
        <f t="shared" si="3"/>
        <v>15506.19</v>
      </c>
      <c r="AD19" s="37">
        <f t="shared" si="3"/>
        <v>15510.720000000001</v>
      </c>
    </row>
    <row r="20" spans="1:30" x14ac:dyDescent="0.25">
      <c r="A20" s="36" t="s">
        <v>47</v>
      </c>
      <c r="B20" s="37">
        <f>B16*$P$6</f>
        <v>13040.64</v>
      </c>
      <c r="C20" s="37">
        <f t="shared" ref="C20:AD20" si="4">C16*$P$6</f>
        <v>13044.48</v>
      </c>
      <c r="D20" s="37">
        <f t="shared" si="4"/>
        <v>13048.32</v>
      </c>
      <c r="E20" s="37">
        <f t="shared" si="4"/>
        <v>13052.16</v>
      </c>
      <c r="F20" s="37">
        <f t="shared" si="4"/>
        <v>13056</v>
      </c>
      <c r="G20" s="37">
        <f t="shared" si="4"/>
        <v>13059.84</v>
      </c>
      <c r="H20" s="37">
        <f t="shared" si="4"/>
        <v>13063.68</v>
      </c>
      <c r="I20" s="37">
        <f t="shared" si="4"/>
        <v>13067.519999999999</v>
      </c>
      <c r="J20" s="37">
        <f t="shared" si="4"/>
        <v>13071.359999999999</v>
      </c>
      <c r="K20" s="37">
        <f t="shared" si="4"/>
        <v>13075.199999999999</v>
      </c>
      <c r="L20" s="37">
        <f t="shared" si="4"/>
        <v>13079.039999999999</v>
      </c>
      <c r="M20" s="37">
        <f t="shared" si="4"/>
        <v>13082.88</v>
      </c>
      <c r="N20" s="37">
        <f t="shared" si="4"/>
        <v>13086.72</v>
      </c>
      <c r="O20" s="37">
        <f t="shared" si="4"/>
        <v>13090.56</v>
      </c>
      <c r="P20" s="37">
        <f t="shared" si="4"/>
        <v>13094.4</v>
      </c>
      <c r="Q20" s="37">
        <f t="shared" si="4"/>
        <v>13098.24</v>
      </c>
      <c r="R20" s="37">
        <f t="shared" si="4"/>
        <v>13102.08</v>
      </c>
      <c r="S20" s="37">
        <f t="shared" si="4"/>
        <v>13105.92</v>
      </c>
      <c r="T20" s="37">
        <f t="shared" si="4"/>
        <v>13109.76</v>
      </c>
      <c r="U20" s="37">
        <f t="shared" si="4"/>
        <v>13113.6</v>
      </c>
      <c r="V20" s="37">
        <f t="shared" si="4"/>
        <v>13117.439999999999</v>
      </c>
      <c r="W20" s="37">
        <f t="shared" si="4"/>
        <v>13121.279999999999</v>
      </c>
      <c r="X20" s="37">
        <f t="shared" si="4"/>
        <v>13125.119999999999</v>
      </c>
      <c r="Y20" s="37">
        <f t="shared" si="4"/>
        <v>13128.96</v>
      </c>
      <c r="Z20" s="37">
        <f t="shared" si="4"/>
        <v>13132.8</v>
      </c>
      <c r="AA20" s="37">
        <f t="shared" si="4"/>
        <v>13136.64</v>
      </c>
      <c r="AB20" s="37">
        <f t="shared" si="4"/>
        <v>13140.48</v>
      </c>
      <c r="AC20" s="37">
        <f t="shared" si="4"/>
        <v>13144.32</v>
      </c>
      <c r="AD20" s="37">
        <f t="shared" si="4"/>
        <v>13148.16</v>
      </c>
    </row>
    <row r="21" spans="1:30" x14ac:dyDescent="0.25">
      <c r="A21" s="36" t="s">
        <v>48</v>
      </c>
      <c r="B21" s="37">
        <f>B16*$Q$6</f>
        <v>1562.16</v>
      </c>
      <c r="C21" s="37">
        <f t="shared" ref="C21:AD21" si="5">C16*$Q$6</f>
        <v>1562.6200000000001</v>
      </c>
      <c r="D21" s="37">
        <f t="shared" si="5"/>
        <v>1563.0800000000002</v>
      </c>
      <c r="E21" s="37">
        <f t="shared" si="5"/>
        <v>1563.54</v>
      </c>
      <c r="F21" s="37">
        <f t="shared" si="5"/>
        <v>1564</v>
      </c>
      <c r="G21" s="37">
        <f t="shared" si="5"/>
        <v>1564.46</v>
      </c>
      <c r="H21" s="37">
        <f t="shared" si="5"/>
        <v>1564.92</v>
      </c>
      <c r="I21" s="37">
        <f t="shared" si="5"/>
        <v>1565.38</v>
      </c>
      <c r="J21" s="37">
        <f t="shared" si="5"/>
        <v>1565.8400000000001</v>
      </c>
      <c r="K21" s="37">
        <f t="shared" si="5"/>
        <v>1566.3</v>
      </c>
      <c r="L21" s="37">
        <f t="shared" si="5"/>
        <v>1566.76</v>
      </c>
      <c r="M21" s="37">
        <f t="shared" si="5"/>
        <v>1567.22</v>
      </c>
      <c r="N21" s="37">
        <f t="shared" si="5"/>
        <v>1567.68</v>
      </c>
      <c r="O21" s="37">
        <f t="shared" si="5"/>
        <v>1568.14</v>
      </c>
      <c r="P21" s="37">
        <f t="shared" si="5"/>
        <v>1568.6000000000001</v>
      </c>
      <c r="Q21" s="37">
        <f t="shared" si="5"/>
        <v>1569.0600000000002</v>
      </c>
      <c r="R21" s="37">
        <f t="shared" si="5"/>
        <v>1569.52</v>
      </c>
      <c r="S21" s="37">
        <f t="shared" si="5"/>
        <v>1569.98</v>
      </c>
      <c r="T21" s="37">
        <f t="shared" si="5"/>
        <v>1570.44</v>
      </c>
      <c r="U21" s="37">
        <f t="shared" si="5"/>
        <v>1570.9</v>
      </c>
      <c r="V21" s="37">
        <f t="shared" si="5"/>
        <v>1571.3600000000001</v>
      </c>
      <c r="W21" s="37">
        <f t="shared" si="5"/>
        <v>1571.8200000000002</v>
      </c>
      <c r="X21" s="37">
        <f t="shared" si="5"/>
        <v>1572.28</v>
      </c>
      <c r="Y21" s="37">
        <f t="shared" si="5"/>
        <v>1572.74</v>
      </c>
      <c r="Z21" s="37">
        <f t="shared" si="5"/>
        <v>1573.2</v>
      </c>
      <c r="AA21" s="37">
        <f t="shared" si="5"/>
        <v>1573.66</v>
      </c>
      <c r="AB21" s="37">
        <f t="shared" si="5"/>
        <v>1574.1200000000001</v>
      </c>
      <c r="AC21" s="37">
        <f t="shared" si="5"/>
        <v>1574.5800000000002</v>
      </c>
      <c r="AD21" s="37">
        <f t="shared" si="5"/>
        <v>1575.04</v>
      </c>
    </row>
    <row r="22" spans="1:30" x14ac:dyDescent="0.25">
      <c r="A22" s="36" t="s">
        <v>49</v>
      </c>
      <c r="B22" s="37">
        <f>MIN(B$18,$C$4)</f>
        <v>40240.67</v>
      </c>
      <c r="C22" s="37">
        <f t="shared" ref="C22:AD22" si="6">MIN(C$18,$C$4)</f>
        <v>40240.67</v>
      </c>
      <c r="D22" s="37">
        <f t="shared" si="6"/>
        <v>40240.67</v>
      </c>
      <c r="E22" s="37">
        <f t="shared" si="6"/>
        <v>40240.67</v>
      </c>
      <c r="F22" s="37">
        <f t="shared" si="6"/>
        <v>40240.67</v>
      </c>
      <c r="G22" s="37">
        <f t="shared" si="6"/>
        <v>40240.67</v>
      </c>
      <c r="H22" s="37">
        <f t="shared" si="6"/>
        <v>40240.67</v>
      </c>
      <c r="I22" s="37">
        <f t="shared" si="6"/>
        <v>40240.67</v>
      </c>
      <c r="J22" s="37">
        <f t="shared" si="6"/>
        <v>40240.67</v>
      </c>
      <c r="K22" s="37">
        <f t="shared" si="6"/>
        <v>40240.67</v>
      </c>
      <c r="L22" s="37">
        <f t="shared" si="6"/>
        <v>40240.67</v>
      </c>
      <c r="M22" s="37">
        <f t="shared" si="6"/>
        <v>40240.67</v>
      </c>
      <c r="N22" s="37">
        <f t="shared" si="6"/>
        <v>40240.67</v>
      </c>
      <c r="O22" s="37">
        <f t="shared" si="6"/>
        <v>40240.67</v>
      </c>
      <c r="P22" s="37">
        <f t="shared" si="6"/>
        <v>40240.67</v>
      </c>
      <c r="Q22" s="37">
        <f t="shared" si="6"/>
        <v>40240.67</v>
      </c>
      <c r="R22" s="37">
        <f t="shared" si="6"/>
        <v>40240.67</v>
      </c>
      <c r="S22" s="37">
        <f t="shared" si="6"/>
        <v>40240.67</v>
      </c>
      <c r="T22" s="37">
        <f t="shared" si="6"/>
        <v>40240.67</v>
      </c>
      <c r="U22" s="37">
        <f t="shared" si="6"/>
        <v>40240.67</v>
      </c>
      <c r="V22" s="37">
        <f t="shared" si="6"/>
        <v>40240.67</v>
      </c>
      <c r="W22" s="37">
        <f t="shared" si="6"/>
        <v>40240.67</v>
      </c>
      <c r="X22" s="37">
        <f t="shared" si="6"/>
        <v>40240.67</v>
      </c>
      <c r="Y22" s="37">
        <f t="shared" si="6"/>
        <v>40240.67</v>
      </c>
      <c r="Z22" s="37">
        <f t="shared" si="6"/>
        <v>40240.67</v>
      </c>
      <c r="AA22" s="37">
        <f t="shared" si="6"/>
        <v>40240.67</v>
      </c>
      <c r="AB22" s="37">
        <f t="shared" si="6"/>
        <v>40240.67</v>
      </c>
      <c r="AC22" s="37">
        <f t="shared" si="6"/>
        <v>40240.67</v>
      </c>
      <c r="AD22" s="37">
        <f t="shared" si="6"/>
        <v>40240.67</v>
      </c>
    </row>
    <row r="23" spans="1:30" x14ac:dyDescent="0.25">
      <c r="A23" s="36" t="s">
        <v>50</v>
      </c>
      <c r="B23" s="37">
        <f>MIN(B$19,$C$5)</f>
        <v>15383.880000000001</v>
      </c>
      <c r="C23" s="37">
        <f t="shared" ref="C23:AD23" si="7">MIN(C$19,$C$5)</f>
        <v>15388.410000000002</v>
      </c>
      <c r="D23" s="37">
        <f t="shared" si="7"/>
        <v>15392.94</v>
      </c>
      <c r="E23" s="37">
        <f t="shared" si="7"/>
        <v>15397.470000000001</v>
      </c>
      <c r="F23" s="37">
        <f t="shared" si="7"/>
        <v>15402</v>
      </c>
      <c r="G23" s="37">
        <f t="shared" si="7"/>
        <v>15406.53</v>
      </c>
      <c r="H23" s="37">
        <f t="shared" si="7"/>
        <v>15411.060000000001</v>
      </c>
      <c r="I23" s="37">
        <f t="shared" si="7"/>
        <v>15415.59</v>
      </c>
      <c r="J23" s="37">
        <f t="shared" si="7"/>
        <v>15420.12</v>
      </c>
      <c r="K23" s="37">
        <f t="shared" si="7"/>
        <v>15424.650000000001</v>
      </c>
      <c r="L23" s="37">
        <f t="shared" si="7"/>
        <v>15429.18</v>
      </c>
      <c r="M23" s="37">
        <f t="shared" si="7"/>
        <v>15433.710000000001</v>
      </c>
      <c r="N23" s="37">
        <f t="shared" si="7"/>
        <v>15438.240000000002</v>
      </c>
      <c r="O23" s="37">
        <f t="shared" si="7"/>
        <v>15442.77</v>
      </c>
      <c r="P23" s="37">
        <f t="shared" si="7"/>
        <v>15447.300000000001</v>
      </c>
      <c r="Q23" s="37">
        <f t="shared" si="7"/>
        <v>15451.830000000002</v>
      </c>
      <c r="R23" s="37">
        <f t="shared" si="7"/>
        <v>15456.36</v>
      </c>
      <c r="S23" s="37">
        <f t="shared" si="7"/>
        <v>15460.890000000001</v>
      </c>
      <c r="T23" s="37">
        <f t="shared" si="7"/>
        <v>15465.42</v>
      </c>
      <c r="U23" s="37">
        <f t="shared" si="7"/>
        <v>15469.95</v>
      </c>
      <c r="V23" s="37">
        <f t="shared" si="7"/>
        <v>15474.480000000001</v>
      </c>
      <c r="W23" s="37">
        <f t="shared" si="7"/>
        <v>15479.01</v>
      </c>
      <c r="X23" s="37">
        <f t="shared" si="7"/>
        <v>15483.54</v>
      </c>
      <c r="Y23" s="37">
        <f t="shared" si="7"/>
        <v>15488.070000000002</v>
      </c>
      <c r="Z23" s="37">
        <f t="shared" si="7"/>
        <v>15492.6</v>
      </c>
      <c r="AA23" s="37">
        <f t="shared" si="7"/>
        <v>15497.130000000001</v>
      </c>
      <c r="AB23" s="37">
        <f t="shared" si="7"/>
        <v>15501.660000000002</v>
      </c>
      <c r="AC23" s="37">
        <f t="shared" si="7"/>
        <v>15506.19</v>
      </c>
      <c r="AD23" s="37">
        <f t="shared" si="7"/>
        <v>15510.720000000001</v>
      </c>
    </row>
    <row r="24" spans="1:30" x14ac:dyDescent="0.25">
      <c r="A24" s="36" t="s">
        <v>51</v>
      </c>
      <c r="B24" s="37">
        <f>MIN(B$20,$C$6)</f>
        <v>13040.64</v>
      </c>
      <c r="C24" s="37">
        <f t="shared" ref="C24:AD24" si="8">MIN(C$20,$C$6)</f>
        <v>13044.48</v>
      </c>
      <c r="D24" s="37">
        <f t="shared" si="8"/>
        <v>13048.32</v>
      </c>
      <c r="E24" s="37">
        <f t="shared" si="8"/>
        <v>13052.16</v>
      </c>
      <c r="F24" s="37">
        <f t="shared" si="8"/>
        <v>13056</v>
      </c>
      <c r="G24" s="37">
        <f t="shared" si="8"/>
        <v>13059.84</v>
      </c>
      <c r="H24" s="37">
        <f t="shared" si="8"/>
        <v>13063.68</v>
      </c>
      <c r="I24" s="37">
        <f t="shared" si="8"/>
        <v>13067.519999999999</v>
      </c>
      <c r="J24" s="37">
        <f t="shared" si="8"/>
        <v>13071.359999999999</v>
      </c>
      <c r="K24" s="37">
        <f t="shared" si="8"/>
        <v>13075.199999999999</v>
      </c>
      <c r="L24" s="37">
        <f t="shared" si="8"/>
        <v>13079.039999999999</v>
      </c>
      <c r="M24" s="37">
        <f t="shared" si="8"/>
        <v>13082.88</v>
      </c>
      <c r="N24" s="37">
        <f t="shared" si="8"/>
        <v>13086.72</v>
      </c>
      <c r="O24" s="37">
        <f t="shared" si="8"/>
        <v>13090.56</v>
      </c>
      <c r="P24" s="37">
        <f t="shared" si="8"/>
        <v>13094.4</v>
      </c>
      <c r="Q24" s="37">
        <f t="shared" si="8"/>
        <v>13098.24</v>
      </c>
      <c r="R24" s="37">
        <f t="shared" si="8"/>
        <v>13102.08</v>
      </c>
      <c r="S24" s="37">
        <f t="shared" si="8"/>
        <v>13105.92</v>
      </c>
      <c r="T24" s="37">
        <f t="shared" si="8"/>
        <v>13109.76</v>
      </c>
      <c r="U24" s="37">
        <f t="shared" si="8"/>
        <v>13113.6</v>
      </c>
      <c r="V24" s="37">
        <f t="shared" si="8"/>
        <v>13117.439999999999</v>
      </c>
      <c r="W24" s="37">
        <f t="shared" si="8"/>
        <v>13121.279999999999</v>
      </c>
      <c r="X24" s="37">
        <f t="shared" si="8"/>
        <v>13125.119999999999</v>
      </c>
      <c r="Y24" s="37">
        <f t="shared" si="8"/>
        <v>13128.96</v>
      </c>
      <c r="Z24" s="37">
        <f t="shared" si="8"/>
        <v>13132.8</v>
      </c>
      <c r="AA24" s="37">
        <f t="shared" si="8"/>
        <v>13136.64</v>
      </c>
      <c r="AB24" s="37">
        <f t="shared" si="8"/>
        <v>13140.48</v>
      </c>
      <c r="AC24" s="37">
        <f t="shared" si="8"/>
        <v>13144.32</v>
      </c>
      <c r="AD24" s="37">
        <f t="shared" si="8"/>
        <v>13148.16</v>
      </c>
    </row>
    <row r="25" spans="1:30" x14ac:dyDescent="0.25">
      <c r="A25" s="36" t="s">
        <v>52</v>
      </c>
      <c r="B25" s="37">
        <f>MIN(B$21,$C$7)</f>
        <v>1562.16</v>
      </c>
      <c r="C25" s="37">
        <f t="shared" ref="C25:AD25" si="9">MIN(C$21,$C$7)</f>
        <v>1562.6200000000001</v>
      </c>
      <c r="D25" s="37">
        <f t="shared" si="9"/>
        <v>1563.0800000000002</v>
      </c>
      <c r="E25" s="37">
        <f t="shared" si="9"/>
        <v>1563.54</v>
      </c>
      <c r="F25" s="37">
        <f t="shared" si="9"/>
        <v>1564</v>
      </c>
      <c r="G25" s="37">
        <f t="shared" si="9"/>
        <v>1564.46</v>
      </c>
      <c r="H25" s="37">
        <f t="shared" si="9"/>
        <v>1564.92</v>
      </c>
      <c r="I25" s="37">
        <f t="shared" si="9"/>
        <v>1565.38</v>
      </c>
      <c r="J25" s="37">
        <f t="shared" si="9"/>
        <v>1565.8400000000001</v>
      </c>
      <c r="K25" s="37">
        <f t="shared" si="9"/>
        <v>1566.3</v>
      </c>
      <c r="L25" s="37">
        <f t="shared" si="9"/>
        <v>1566.76</v>
      </c>
      <c r="M25" s="37">
        <f t="shared" si="9"/>
        <v>1567.22</v>
      </c>
      <c r="N25" s="37">
        <f t="shared" si="9"/>
        <v>1567.68</v>
      </c>
      <c r="O25" s="37">
        <f t="shared" si="9"/>
        <v>1568.14</v>
      </c>
      <c r="P25" s="37">
        <f t="shared" si="9"/>
        <v>1568.6000000000001</v>
      </c>
      <c r="Q25" s="37">
        <f t="shared" si="9"/>
        <v>1569.0600000000002</v>
      </c>
      <c r="R25" s="37">
        <f t="shared" si="9"/>
        <v>1569.52</v>
      </c>
      <c r="S25" s="37">
        <f t="shared" si="9"/>
        <v>1569.98</v>
      </c>
      <c r="T25" s="37">
        <f t="shared" si="9"/>
        <v>1570.44</v>
      </c>
      <c r="U25" s="37">
        <f t="shared" si="9"/>
        <v>1570.9</v>
      </c>
      <c r="V25" s="37">
        <f t="shared" si="9"/>
        <v>1571.3600000000001</v>
      </c>
      <c r="W25" s="37">
        <f t="shared" si="9"/>
        <v>1571.8200000000002</v>
      </c>
      <c r="X25" s="37">
        <f t="shared" si="9"/>
        <v>1572.28</v>
      </c>
      <c r="Y25" s="37">
        <f t="shared" si="9"/>
        <v>1572.74</v>
      </c>
      <c r="Z25" s="37">
        <f t="shared" si="9"/>
        <v>1573.2</v>
      </c>
      <c r="AA25" s="37">
        <f t="shared" si="9"/>
        <v>1573.66</v>
      </c>
      <c r="AB25" s="37">
        <f t="shared" si="9"/>
        <v>1574.1200000000001</v>
      </c>
      <c r="AC25" s="37">
        <f t="shared" si="9"/>
        <v>1574.5800000000002</v>
      </c>
      <c r="AD25" s="37">
        <f t="shared" si="9"/>
        <v>1575.04</v>
      </c>
    </row>
    <row r="26" spans="1:30" x14ac:dyDescent="0.25">
      <c r="A26" s="38" t="s">
        <v>53</v>
      </c>
      <c r="B26" s="39">
        <v>0</v>
      </c>
      <c r="C26" s="39">
        <f>IF(C22&gt;$B$4,(C22-$B$4)*$H$4,0)</f>
        <v>662.68999999998778</v>
      </c>
      <c r="D26" s="39">
        <v>0</v>
      </c>
      <c r="E26" s="39">
        <f>IF(E22&gt;$B$4,(E22-$B$4)*$H$4,0)</f>
        <v>662.68999999998778</v>
      </c>
      <c r="F26" s="39">
        <v>0</v>
      </c>
      <c r="G26" s="39">
        <f>IF(G22&gt;$B$4,(G22-$B$4)*$H$4,0)</f>
        <v>662.68999999998778</v>
      </c>
      <c r="H26" s="39">
        <v>0</v>
      </c>
      <c r="I26" s="39">
        <v>0</v>
      </c>
      <c r="J26" s="39">
        <f>IF(J22&gt;$B$4,(J22-$B$4)*$H$4,0)</f>
        <v>662.68999999998778</v>
      </c>
      <c r="K26" s="39">
        <v>0</v>
      </c>
      <c r="L26" s="39">
        <f>IF(L22&gt;$B$4,(L22-$B$4)*$H$4,0)</f>
        <v>662.68999999998778</v>
      </c>
      <c r="M26" s="39">
        <v>0</v>
      </c>
      <c r="N26" s="39">
        <f>IF(N22&gt;$B$4,(N22-$B$4)*$H$4,0)</f>
        <v>662.68999999998778</v>
      </c>
      <c r="O26" s="39">
        <v>0</v>
      </c>
      <c r="P26" s="39">
        <f>IF(P22&gt;$B$4,(P22-$B$4)*$H$4,0)</f>
        <v>662.68999999998778</v>
      </c>
      <c r="Q26" s="39">
        <v>0</v>
      </c>
      <c r="R26" s="39">
        <f>IF(R22&gt;$B$4,(R22-$B$4)*$H$4,0)</f>
        <v>662.68999999998778</v>
      </c>
      <c r="S26" s="39">
        <v>0</v>
      </c>
      <c r="T26" s="39">
        <f>IF(T22&gt;$B$4,(T22-$B$4)*$H$4,0)</f>
        <v>662.68999999998778</v>
      </c>
      <c r="U26" s="39">
        <v>0</v>
      </c>
      <c r="V26" s="39">
        <f>IF(V22&gt;$B$4,(V22-$B$4)*$H$4,0)</f>
        <v>662.68999999998778</v>
      </c>
      <c r="W26" s="39">
        <v>0</v>
      </c>
      <c r="X26" s="39">
        <f>IF(X22&gt;$B$4,(X22-$B$4)*$H$4,0)</f>
        <v>662.68999999998778</v>
      </c>
      <c r="Y26" s="39">
        <v>0</v>
      </c>
      <c r="Z26" s="39">
        <f>IF(Z22&gt;$B$4,(Z22-$B$4)*$H$4,0)</f>
        <v>662.68999999998778</v>
      </c>
      <c r="AA26" s="39">
        <v>0</v>
      </c>
      <c r="AB26" s="39">
        <f>IF(AB22&gt;$B$4,(AB22-$B$4)*$H$4,0)</f>
        <v>662.68999999998778</v>
      </c>
      <c r="AC26" s="39">
        <v>0</v>
      </c>
      <c r="AD26" s="39">
        <f>IF(AD22&gt;$B$4,(AD22-$B$4)*$H$4,0)</f>
        <v>662.68999999998778</v>
      </c>
    </row>
    <row r="27" spans="1:30" x14ac:dyDescent="0.25">
      <c r="A27" s="38" t="s">
        <v>54</v>
      </c>
      <c r="B27" s="39">
        <v>0</v>
      </c>
      <c r="C27" s="39">
        <f>IF(C23&gt;$B$5,(C23-$B$5)*$H$5,0)</f>
        <v>0</v>
      </c>
      <c r="D27" s="39">
        <v>0</v>
      </c>
      <c r="E27" s="39">
        <f>IF(E23&gt;$B$5,(E23-$B$5)*$H$5,0)</f>
        <v>0</v>
      </c>
      <c r="F27" s="39">
        <v>0</v>
      </c>
      <c r="G27" s="39">
        <f>IF(G23&gt;$B$5,(G23-$B$5)*$H$5,0)</f>
        <v>0</v>
      </c>
      <c r="H27" s="39">
        <v>0</v>
      </c>
      <c r="I27" s="39">
        <v>0</v>
      </c>
      <c r="J27" s="39">
        <f>IF(J23&gt;$B$5,(J23-$B$5)*$H$5,0)</f>
        <v>0</v>
      </c>
      <c r="K27" s="39">
        <v>0</v>
      </c>
      <c r="L27" s="39">
        <f>IF(L23&gt;$B$5,(L23-$B$5)*$H$5,0)</f>
        <v>0</v>
      </c>
      <c r="M27" s="39">
        <v>0</v>
      </c>
      <c r="N27" s="39">
        <f>IF(N23&gt;$B$5,(N23-$B$5)*$H$5,0)</f>
        <v>0</v>
      </c>
      <c r="O27" s="39">
        <v>0</v>
      </c>
      <c r="P27" s="39">
        <f>IF(P23&gt;$B$5,(P23-$B$5)*$H$5,0)</f>
        <v>0</v>
      </c>
      <c r="Q27" s="39">
        <v>0</v>
      </c>
      <c r="R27" s="39">
        <f>IF(R23&gt;$B$5,(R23-$B$5)*$H$5,0)</f>
        <v>0</v>
      </c>
      <c r="S27" s="39">
        <v>0</v>
      </c>
      <c r="T27" s="39">
        <f>IF(T23&gt;$B$5,(T23-$B$5)*$H$5,0)</f>
        <v>0</v>
      </c>
      <c r="U27" s="39">
        <v>0</v>
      </c>
      <c r="V27" s="39">
        <f>IF(V23&gt;$B$5,(V23-$B$5)*$H$5,0)</f>
        <v>0</v>
      </c>
      <c r="W27" s="39">
        <v>0</v>
      </c>
      <c r="X27" s="39">
        <f>IF(X23&gt;$B$5,(X23-$B$5)*$H$5,0)</f>
        <v>0</v>
      </c>
      <c r="Y27" s="39">
        <v>0</v>
      </c>
      <c r="Z27" s="39">
        <f>IF(Z23&gt;$B$5,(Z23-$B$5)*$H$5,0)</f>
        <v>0</v>
      </c>
      <c r="AA27" s="39">
        <v>0</v>
      </c>
      <c r="AB27" s="39">
        <f>IF(AB23&gt;$B$5,(AB23-$B$5)*$H$5,0)</f>
        <v>0</v>
      </c>
      <c r="AC27" s="39">
        <v>0</v>
      </c>
      <c r="AD27" s="39">
        <f>IF(AD23&gt;$B$5,(AD23-$B$5)*$H$5,0)</f>
        <v>0</v>
      </c>
    </row>
    <row r="28" spans="1:30" x14ac:dyDescent="0.25">
      <c r="A28" s="38" t="s">
        <v>55</v>
      </c>
      <c r="B28" s="39">
        <v>0</v>
      </c>
      <c r="C28" s="39">
        <f>IF(C24&gt;$B$6,(C24-$B$6)*$H$6,0)</f>
        <v>0</v>
      </c>
      <c r="D28" s="39">
        <v>0</v>
      </c>
      <c r="E28" s="39">
        <f>IF(E24&gt;$B$6,(E24-$B$6)*$H$6,0)</f>
        <v>0</v>
      </c>
      <c r="F28" s="39">
        <v>0</v>
      </c>
      <c r="G28" s="39">
        <f>IF(G24&gt;$B$6,(G24-$B$6)*$H$6,0)</f>
        <v>0</v>
      </c>
      <c r="H28" s="39">
        <v>0</v>
      </c>
      <c r="I28" s="39">
        <v>0</v>
      </c>
      <c r="J28" s="39">
        <f>IF(J24&gt;$B$6,(J24-$B$6)*$H$6,0)</f>
        <v>0</v>
      </c>
      <c r="K28" s="39">
        <v>0</v>
      </c>
      <c r="L28" s="39">
        <f>IF(L24&gt;$B$6,(L24-$B$6)*$H$6,0)</f>
        <v>0</v>
      </c>
      <c r="M28" s="39">
        <v>0</v>
      </c>
      <c r="N28" s="39">
        <f>IF(N24&gt;$B$6,(N24-$B$6)*$H$6,0)</f>
        <v>0</v>
      </c>
      <c r="O28" s="39">
        <v>0</v>
      </c>
      <c r="P28" s="39">
        <f>IF(P24&gt;$B$6,(P24-$B$6)*$H$6,0)</f>
        <v>0</v>
      </c>
      <c r="Q28" s="39">
        <v>0</v>
      </c>
      <c r="R28" s="39">
        <f>IF(R24&gt;$B$6,(R24-$B$6)*$H$6,0)</f>
        <v>0</v>
      </c>
      <c r="S28" s="39">
        <v>0</v>
      </c>
      <c r="T28" s="39">
        <f>IF(T24&gt;$B$6,(T24-$B$6)*$H$6,0)</f>
        <v>0</v>
      </c>
      <c r="U28" s="39">
        <v>0</v>
      </c>
      <c r="V28" s="39">
        <f>IF(V24&gt;$B$6,(V24-$B$6)*$H$6,0)</f>
        <v>0</v>
      </c>
      <c r="W28" s="39">
        <v>0</v>
      </c>
      <c r="X28" s="39">
        <f>IF(X24&gt;$B$6,(X24-$B$6)*$H$6,0)</f>
        <v>0</v>
      </c>
      <c r="Y28" s="39">
        <v>0</v>
      </c>
      <c r="Z28" s="39">
        <f>IF(Z24&gt;$B$6,(Z24-$B$6)*$H$6,0)</f>
        <v>0</v>
      </c>
      <c r="AA28" s="39">
        <v>0</v>
      </c>
      <c r="AB28" s="39">
        <f>IF(AB24&gt;$B$6,(AB24-$B$6)*$H$6,0)</f>
        <v>0</v>
      </c>
      <c r="AC28" s="39">
        <v>0</v>
      </c>
      <c r="AD28" s="39">
        <f>IF(AD24&gt;$B$6,(AD24-$B$6)*$H$6,0)</f>
        <v>0</v>
      </c>
    </row>
    <row r="29" spans="1:30" x14ac:dyDescent="0.25">
      <c r="A29" s="38" t="s">
        <v>56</v>
      </c>
      <c r="B29" s="39">
        <v>0</v>
      </c>
      <c r="C29" s="39">
        <f>IF(C25&gt;$B$7,(C25-$B$7)*$H$7,0)</f>
        <v>0</v>
      </c>
      <c r="D29" s="39">
        <v>0</v>
      </c>
      <c r="E29" s="39">
        <f>IF(E25&gt;$B$7,(E25-$B$7)*$H$7,0)</f>
        <v>0</v>
      </c>
      <c r="F29" s="39">
        <v>0</v>
      </c>
      <c r="G29" s="39">
        <f>IF(G25&gt;$B$7,(G25-$B$7)*$H$7,0)</f>
        <v>0</v>
      </c>
      <c r="H29" s="39">
        <v>0</v>
      </c>
      <c r="I29" s="39">
        <v>0</v>
      </c>
      <c r="J29" s="39">
        <f>IF(J25&gt;$B$7,(J25-$B$7)*$H$7,0)</f>
        <v>0</v>
      </c>
      <c r="K29" s="39">
        <v>0</v>
      </c>
      <c r="L29" s="39">
        <f>IF(L25&gt;$B$7,(L25-$B$7)*$H$7,0)</f>
        <v>0</v>
      </c>
      <c r="M29" s="39">
        <v>0</v>
      </c>
      <c r="N29" s="39">
        <f>IF(N25&gt;$B$7,(N25-$B$7)*$H$7,0)</f>
        <v>0</v>
      </c>
      <c r="O29" s="39">
        <v>0</v>
      </c>
      <c r="P29" s="39">
        <f>IF(P25&gt;$B$7,(P25-$B$7)*$H$7,0)</f>
        <v>0</v>
      </c>
      <c r="Q29" s="39">
        <v>0</v>
      </c>
      <c r="R29" s="39">
        <f>IF(R25&gt;$B$7,(R25-$B$7)*$H$7,0)</f>
        <v>0</v>
      </c>
      <c r="S29" s="39">
        <v>0</v>
      </c>
      <c r="T29" s="39">
        <f>IF(T25&gt;$B$7,(T25-$B$7)*$H$7,0)</f>
        <v>0</v>
      </c>
      <c r="U29" s="39">
        <v>0</v>
      </c>
      <c r="V29" s="39">
        <f>IF(V25&gt;$B$7,(V25-$B$7)*$H$7,0)</f>
        <v>0</v>
      </c>
      <c r="W29" s="39">
        <v>0</v>
      </c>
      <c r="X29" s="39">
        <f>IF(X25&gt;$B$7,(X25-$B$7)*$H$7,0)</f>
        <v>0</v>
      </c>
      <c r="Y29" s="39">
        <v>0</v>
      </c>
      <c r="Z29" s="39">
        <f>IF(Z25&gt;$B$7,(Z25-$B$7)*$H$7,0)</f>
        <v>0</v>
      </c>
      <c r="AA29" s="39">
        <v>0</v>
      </c>
      <c r="AB29" s="39">
        <f>IF(AB25&gt;$B$7,(AB25-$B$7)*$H$7,0)</f>
        <v>0</v>
      </c>
      <c r="AC29" s="39">
        <v>0</v>
      </c>
      <c r="AD29" s="39">
        <f>IF(AD25&gt;$B$7,(AD25-$B$7)*$H$7,0)</f>
        <v>0</v>
      </c>
    </row>
    <row r="30" spans="1:30" x14ac:dyDescent="0.25">
      <c r="A30" s="40" t="s">
        <v>57</v>
      </c>
      <c r="B30" s="41">
        <f>G4+G5+G6+G7</f>
        <v>116.7339999999997</v>
      </c>
      <c r="C30" s="41">
        <f t="shared" ref="C30:AD30" si="10">B30</f>
        <v>116.7339999999997</v>
      </c>
      <c r="D30" s="41">
        <f t="shared" si="10"/>
        <v>116.7339999999997</v>
      </c>
      <c r="E30" s="41">
        <f t="shared" si="10"/>
        <v>116.7339999999997</v>
      </c>
      <c r="F30" s="41">
        <f t="shared" si="10"/>
        <v>116.7339999999997</v>
      </c>
      <c r="G30" s="41">
        <f t="shared" si="10"/>
        <v>116.7339999999997</v>
      </c>
      <c r="H30" s="41">
        <f t="shared" si="10"/>
        <v>116.7339999999997</v>
      </c>
      <c r="I30" s="41">
        <f t="shared" si="10"/>
        <v>116.7339999999997</v>
      </c>
      <c r="J30" s="41">
        <f t="shared" si="10"/>
        <v>116.7339999999997</v>
      </c>
      <c r="K30" s="41">
        <f t="shared" si="10"/>
        <v>116.7339999999997</v>
      </c>
      <c r="L30" s="41">
        <f t="shared" si="10"/>
        <v>116.7339999999997</v>
      </c>
      <c r="M30" s="41">
        <f t="shared" si="10"/>
        <v>116.7339999999997</v>
      </c>
      <c r="N30" s="41">
        <f t="shared" si="10"/>
        <v>116.7339999999997</v>
      </c>
      <c r="O30" s="41">
        <f t="shared" si="10"/>
        <v>116.7339999999997</v>
      </c>
      <c r="P30" s="41">
        <f t="shared" si="10"/>
        <v>116.7339999999997</v>
      </c>
      <c r="Q30" s="41">
        <f t="shared" si="10"/>
        <v>116.7339999999997</v>
      </c>
      <c r="R30" s="41">
        <f t="shared" si="10"/>
        <v>116.7339999999997</v>
      </c>
      <c r="S30" s="41">
        <f t="shared" si="10"/>
        <v>116.7339999999997</v>
      </c>
      <c r="T30" s="41">
        <f t="shared" si="10"/>
        <v>116.7339999999997</v>
      </c>
      <c r="U30" s="41">
        <f t="shared" si="10"/>
        <v>116.7339999999997</v>
      </c>
      <c r="V30" s="41">
        <f t="shared" si="10"/>
        <v>116.7339999999997</v>
      </c>
      <c r="W30" s="41">
        <f t="shared" si="10"/>
        <v>116.7339999999997</v>
      </c>
      <c r="X30" s="41">
        <f t="shared" si="10"/>
        <v>116.7339999999997</v>
      </c>
      <c r="Y30" s="41">
        <f t="shared" si="10"/>
        <v>116.7339999999997</v>
      </c>
      <c r="Z30" s="41">
        <f t="shared" si="10"/>
        <v>116.7339999999997</v>
      </c>
      <c r="AA30" s="41">
        <f t="shared" si="10"/>
        <v>116.7339999999997</v>
      </c>
      <c r="AB30" s="41">
        <f t="shared" si="10"/>
        <v>116.7339999999997</v>
      </c>
      <c r="AC30" s="41">
        <f t="shared" si="10"/>
        <v>116.7339999999997</v>
      </c>
      <c r="AD30" s="41">
        <f t="shared" si="10"/>
        <v>116.7339999999997</v>
      </c>
    </row>
    <row r="31" spans="1:30" x14ac:dyDescent="0.25">
      <c r="A31" s="42" t="s">
        <v>58</v>
      </c>
      <c r="B31" s="43">
        <f t="shared" ref="B31:AD31" si="11">B26+B27+B28+B29-B30</f>
        <v>-116.7339999999997</v>
      </c>
      <c r="C31" s="43">
        <f t="shared" si="11"/>
        <v>545.95599999998808</v>
      </c>
      <c r="D31" s="43">
        <f t="shared" si="11"/>
        <v>-116.7339999999997</v>
      </c>
      <c r="E31" s="43">
        <f t="shared" si="11"/>
        <v>545.95599999998808</v>
      </c>
      <c r="F31" s="43">
        <f t="shared" si="11"/>
        <v>-116.7339999999997</v>
      </c>
      <c r="G31" s="43">
        <f t="shared" si="11"/>
        <v>545.95599999998808</v>
      </c>
      <c r="H31" s="43">
        <f t="shared" si="11"/>
        <v>-116.7339999999997</v>
      </c>
      <c r="I31" s="43">
        <f t="shared" si="11"/>
        <v>-116.7339999999997</v>
      </c>
      <c r="J31" s="43">
        <f t="shared" si="11"/>
        <v>545.95599999998808</v>
      </c>
      <c r="K31" s="43">
        <f t="shared" si="11"/>
        <v>-116.7339999999997</v>
      </c>
      <c r="L31" s="43">
        <f t="shared" si="11"/>
        <v>545.95599999998808</v>
      </c>
      <c r="M31" s="43">
        <f t="shared" si="11"/>
        <v>-116.7339999999997</v>
      </c>
      <c r="N31" s="43">
        <f t="shared" si="11"/>
        <v>545.95599999998808</v>
      </c>
      <c r="O31" s="43">
        <f t="shared" si="11"/>
        <v>-116.7339999999997</v>
      </c>
      <c r="P31" s="43">
        <f t="shared" si="11"/>
        <v>545.95599999998808</v>
      </c>
      <c r="Q31" s="43">
        <f t="shared" si="11"/>
        <v>-116.7339999999997</v>
      </c>
      <c r="R31" s="43">
        <f t="shared" si="11"/>
        <v>545.95599999998808</v>
      </c>
      <c r="S31" s="43">
        <f t="shared" si="11"/>
        <v>-116.7339999999997</v>
      </c>
      <c r="T31" s="43">
        <f t="shared" si="11"/>
        <v>545.95599999998808</v>
      </c>
      <c r="U31" s="43">
        <f t="shared" si="11"/>
        <v>-116.7339999999997</v>
      </c>
      <c r="V31" s="43">
        <f t="shared" si="11"/>
        <v>545.95599999998808</v>
      </c>
      <c r="W31" s="43">
        <f t="shared" si="11"/>
        <v>-116.7339999999997</v>
      </c>
      <c r="X31" s="43">
        <f t="shared" si="11"/>
        <v>545.95599999998808</v>
      </c>
      <c r="Y31" s="43">
        <f t="shared" si="11"/>
        <v>-116.7339999999997</v>
      </c>
      <c r="Z31" s="43">
        <f t="shared" si="11"/>
        <v>545.95599999998808</v>
      </c>
      <c r="AA31" s="43">
        <f t="shared" si="11"/>
        <v>-116.7339999999997</v>
      </c>
      <c r="AB31" s="43">
        <f t="shared" si="11"/>
        <v>545.95599999998808</v>
      </c>
      <c r="AC31" s="43">
        <f t="shared" si="11"/>
        <v>-116.7339999999997</v>
      </c>
      <c r="AD31" s="43">
        <f t="shared" si="11"/>
        <v>545.95599999998808</v>
      </c>
    </row>
    <row r="32" spans="1:30" x14ac:dyDescent="0.25">
      <c r="A32" s="44" t="s">
        <v>59</v>
      </c>
      <c r="B32" s="43">
        <f>-B12-B11+B31</f>
        <v>-21389.08399999997</v>
      </c>
      <c r="C32" s="43">
        <f t="shared" ref="C32:AD32" si="12">B32+C31</f>
        <v>-20843.127999999982</v>
      </c>
      <c r="D32" s="43">
        <f t="shared" si="12"/>
        <v>-20959.861999999983</v>
      </c>
      <c r="E32" s="43">
        <f t="shared" si="12"/>
        <v>-20413.905999999995</v>
      </c>
      <c r="F32" s="43">
        <f t="shared" si="12"/>
        <v>-20530.639999999996</v>
      </c>
      <c r="G32" s="43">
        <f t="shared" si="12"/>
        <v>-19984.684000000008</v>
      </c>
      <c r="H32" s="43">
        <f t="shared" si="12"/>
        <v>-20101.418000000009</v>
      </c>
      <c r="I32" s="43">
        <f t="shared" si="12"/>
        <v>-20218.152000000009</v>
      </c>
      <c r="J32" s="43">
        <f t="shared" si="12"/>
        <v>-19672.196000000022</v>
      </c>
      <c r="K32" s="43">
        <f t="shared" si="12"/>
        <v>-19788.930000000022</v>
      </c>
      <c r="L32" s="43">
        <f t="shared" si="12"/>
        <v>-19242.974000000035</v>
      </c>
      <c r="M32" s="43">
        <f t="shared" si="12"/>
        <v>-19359.708000000035</v>
      </c>
      <c r="N32" s="43">
        <f t="shared" si="12"/>
        <v>-18813.752000000048</v>
      </c>
      <c r="O32" s="43">
        <f t="shared" si="12"/>
        <v>-18930.486000000048</v>
      </c>
      <c r="P32" s="43">
        <f t="shared" si="12"/>
        <v>-18384.530000000061</v>
      </c>
      <c r="Q32" s="43">
        <f t="shared" si="12"/>
        <v>-18501.264000000061</v>
      </c>
      <c r="R32" s="43">
        <f t="shared" si="12"/>
        <v>-17955.308000000074</v>
      </c>
      <c r="S32" s="43">
        <f t="shared" si="12"/>
        <v>-18072.042000000074</v>
      </c>
      <c r="T32" s="43">
        <f t="shared" si="12"/>
        <v>-17526.086000000087</v>
      </c>
      <c r="U32" s="43">
        <f t="shared" si="12"/>
        <v>-17642.820000000087</v>
      </c>
      <c r="V32" s="43">
        <f t="shared" si="12"/>
        <v>-17096.8640000001</v>
      </c>
      <c r="W32" s="43">
        <f t="shared" si="12"/>
        <v>-17213.5980000001</v>
      </c>
      <c r="X32" s="43">
        <f t="shared" si="12"/>
        <v>-16667.642000000113</v>
      </c>
      <c r="Y32" s="43">
        <f t="shared" si="12"/>
        <v>-16784.376000000113</v>
      </c>
      <c r="Z32" s="43">
        <f t="shared" si="12"/>
        <v>-16238.420000000126</v>
      </c>
      <c r="AA32" s="43">
        <f t="shared" si="12"/>
        <v>-16355.154000000126</v>
      </c>
      <c r="AB32" s="43">
        <f t="shared" si="12"/>
        <v>-15809.198000000139</v>
      </c>
      <c r="AC32" s="43">
        <f t="shared" si="12"/>
        <v>-15925.932000000139</v>
      </c>
      <c r="AD32" s="43">
        <f t="shared" si="12"/>
        <v>-15379.976000000152</v>
      </c>
    </row>
    <row r="33" spans="1:30" x14ac:dyDescent="0.25">
      <c r="B33" s="45">
        <f>B32/$B$13</f>
        <v>-1.0054875930491929</v>
      </c>
      <c r="C33" s="45">
        <f t="shared" ref="C33:AD33" si="13">C32/$B$13</f>
        <v>-0.97982253958777532</v>
      </c>
      <c r="D33" s="45">
        <f t="shared" si="13"/>
        <v>-0.98531013263696832</v>
      </c>
      <c r="E33" s="45">
        <f t="shared" si="13"/>
        <v>-0.95964507917555064</v>
      </c>
      <c r="F33" s="45">
        <f t="shared" si="13"/>
        <v>-0.96513267222474364</v>
      </c>
      <c r="G33" s="45">
        <f t="shared" si="13"/>
        <v>-0.93946761876332596</v>
      </c>
      <c r="H33" s="45">
        <f t="shared" si="13"/>
        <v>-0.94495521181251896</v>
      </c>
      <c r="I33" s="45">
        <f t="shared" si="13"/>
        <v>-0.95044280486171195</v>
      </c>
      <c r="J33" s="45">
        <f t="shared" si="13"/>
        <v>-0.92477775140029428</v>
      </c>
      <c r="K33" s="45">
        <f t="shared" si="13"/>
        <v>-0.93026534444948727</v>
      </c>
      <c r="L33" s="45">
        <f t="shared" si="13"/>
        <v>-0.9046002909880696</v>
      </c>
      <c r="M33" s="45">
        <f t="shared" si="13"/>
        <v>-0.9100878840372626</v>
      </c>
      <c r="N33" s="45">
        <f t="shared" si="13"/>
        <v>-0.88442283057584492</v>
      </c>
      <c r="O33" s="45">
        <f t="shared" si="13"/>
        <v>-0.88991042362503792</v>
      </c>
      <c r="P33" s="45">
        <f t="shared" si="13"/>
        <v>-0.86424537016362024</v>
      </c>
      <c r="Q33" s="45">
        <f t="shared" si="13"/>
        <v>-0.86973296321281324</v>
      </c>
      <c r="R33" s="45">
        <f t="shared" si="13"/>
        <v>-0.84406790975139556</v>
      </c>
      <c r="S33" s="45">
        <f t="shared" si="13"/>
        <v>-0.84955550280058856</v>
      </c>
      <c r="T33" s="45">
        <f t="shared" si="13"/>
        <v>-0.82389044933917088</v>
      </c>
      <c r="U33" s="45">
        <f t="shared" si="13"/>
        <v>-0.82937804238836388</v>
      </c>
      <c r="V33" s="45">
        <f t="shared" si="13"/>
        <v>-0.8037129889269462</v>
      </c>
      <c r="W33" s="45">
        <f t="shared" si="13"/>
        <v>-0.8092005819761392</v>
      </c>
      <c r="X33" s="45">
        <f t="shared" si="13"/>
        <v>-0.78353552851472152</v>
      </c>
      <c r="Y33" s="45">
        <f t="shared" si="13"/>
        <v>-0.78902312156391452</v>
      </c>
      <c r="Z33" s="45">
        <f t="shared" si="13"/>
        <v>-0.76335806810249685</v>
      </c>
      <c r="AA33" s="45">
        <f t="shared" si="13"/>
        <v>-0.76884566115168984</v>
      </c>
      <c r="AB33" s="45">
        <f t="shared" si="13"/>
        <v>-0.74318060769027217</v>
      </c>
      <c r="AC33" s="45">
        <f t="shared" si="13"/>
        <v>-0.74866820073946516</v>
      </c>
      <c r="AD33" s="45">
        <f t="shared" si="13"/>
        <v>-0.72300314727804749</v>
      </c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7" spans="1:30" x14ac:dyDescent="0.25">
      <c r="B37" s="151">
        <f>B18/B17</f>
        <v>0.5760921747479596</v>
      </c>
      <c r="C37" s="151">
        <f t="shared" ref="C37:P37" si="14">C18/C17</f>
        <v>0.57609217474795971</v>
      </c>
      <c r="D37" s="151">
        <f t="shared" si="14"/>
        <v>0.5760921747479596</v>
      </c>
      <c r="E37" s="151">
        <f t="shared" si="14"/>
        <v>0.57609217474795971</v>
      </c>
      <c r="F37" s="151">
        <f t="shared" si="14"/>
        <v>0.57609217474795971</v>
      </c>
      <c r="G37" s="151">
        <f t="shared" si="14"/>
        <v>0.57609217474795971</v>
      </c>
      <c r="H37" s="151">
        <f t="shared" si="14"/>
        <v>0.57609217474795982</v>
      </c>
      <c r="I37" s="151">
        <f t="shared" si="14"/>
        <v>0.5760921747479596</v>
      </c>
      <c r="J37" s="151">
        <f t="shared" si="14"/>
        <v>0.57609217474795971</v>
      </c>
      <c r="K37" s="151">
        <f t="shared" si="14"/>
        <v>0.5760921747479596</v>
      </c>
      <c r="L37" s="151">
        <f t="shared" si="14"/>
        <v>0.57609217474795971</v>
      </c>
      <c r="M37" s="151">
        <f t="shared" si="14"/>
        <v>0.57609217474795971</v>
      </c>
      <c r="N37" s="151">
        <f t="shared" si="14"/>
        <v>0.57609217474795971</v>
      </c>
      <c r="O37" s="151">
        <f t="shared" si="14"/>
        <v>0.57609217474795971</v>
      </c>
      <c r="P37" s="151">
        <f t="shared" si="14"/>
        <v>0.5760921747479596</v>
      </c>
    </row>
    <row r="38" spans="1:30" x14ac:dyDescent="0.25">
      <c r="B38" s="151">
        <f>B19/B17</f>
        <v>0.21747479596735478</v>
      </c>
      <c r="C38" s="151">
        <f t="shared" ref="C38:P38" si="15">C19/C17</f>
        <v>0.21747479596735481</v>
      </c>
      <c r="D38" s="151">
        <f t="shared" si="15"/>
        <v>0.21747479596735475</v>
      </c>
      <c r="E38" s="151">
        <f t="shared" si="15"/>
        <v>0.21747479596735481</v>
      </c>
      <c r="F38" s="151">
        <f t="shared" si="15"/>
        <v>0.21747479596735478</v>
      </c>
      <c r="G38" s="151">
        <f t="shared" si="15"/>
        <v>0.21747479596735478</v>
      </c>
      <c r="H38" s="151">
        <f t="shared" si="15"/>
        <v>0.21747479596735483</v>
      </c>
      <c r="I38" s="151">
        <f t="shared" si="15"/>
        <v>0.21747479596735475</v>
      </c>
      <c r="J38" s="151">
        <f t="shared" si="15"/>
        <v>0.21747479596735481</v>
      </c>
      <c r="K38" s="151">
        <f t="shared" si="15"/>
        <v>0.21747479596735478</v>
      </c>
      <c r="L38" s="151">
        <f t="shared" si="15"/>
        <v>0.21747479596735481</v>
      </c>
      <c r="M38" s="151">
        <f t="shared" si="15"/>
        <v>0.21747479596735481</v>
      </c>
      <c r="N38" s="151">
        <f t="shared" si="15"/>
        <v>0.21747479596735481</v>
      </c>
      <c r="O38" s="151">
        <f t="shared" si="15"/>
        <v>0.21747479596735478</v>
      </c>
      <c r="P38" s="151">
        <f t="shared" si="15"/>
        <v>0.21747479596735478</v>
      </c>
    </row>
    <row r="39" spans="1:30" x14ac:dyDescent="0.25">
      <c r="B39" s="151">
        <f>B20/B17</f>
        <v>0.18434949591934707</v>
      </c>
      <c r="C39" s="151">
        <f t="shared" ref="C39:P39" si="16">C20/C17</f>
        <v>0.1843494959193471</v>
      </c>
      <c r="D39" s="151">
        <f t="shared" si="16"/>
        <v>0.18434949591934707</v>
      </c>
      <c r="E39" s="151">
        <f t="shared" si="16"/>
        <v>0.1843494959193471</v>
      </c>
      <c r="F39" s="151">
        <f t="shared" si="16"/>
        <v>0.1843494959193471</v>
      </c>
      <c r="G39" s="151">
        <f t="shared" si="16"/>
        <v>0.1843494959193471</v>
      </c>
      <c r="H39" s="151">
        <f t="shared" si="16"/>
        <v>0.18434949591934713</v>
      </c>
      <c r="I39" s="151">
        <f t="shared" si="16"/>
        <v>0.18434949591934707</v>
      </c>
      <c r="J39" s="151">
        <f t="shared" si="16"/>
        <v>0.1843494959193471</v>
      </c>
      <c r="K39" s="151">
        <f t="shared" si="16"/>
        <v>0.18434949591934705</v>
      </c>
      <c r="L39" s="151">
        <f t="shared" si="16"/>
        <v>0.1843494959193471</v>
      </c>
      <c r="M39" s="151">
        <f t="shared" si="16"/>
        <v>0.1843494959193471</v>
      </c>
      <c r="N39" s="151">
        <f t="shared" si="16"/>
        <v>0.1843494959193471</v>
      </c>
      <c r="O39" s="151">
        <f t="shared" si="16"/>
        <v>0.18434949591934707</v>
      </c>
      <c r="P39" s="151">
        <f t="shared" si="16"/>
        <v>0.18434949591934707</v>
      </c>
    </row>
    <row r="40" spans="1:30" x14ac:dyDescent="0.25">
      <c r="B40" s="151">
        <f>B21/B17</f>
        <v>2.2083533365338453E-2</v>
      </c>
      <c r="C40" s="151">
        <f t="shared" ref="C40:P40" si="17">C21/C17</f>
        <v>2.2083533365338456E-2</v>
      </c>
      <c r="D40" s="151">
        <f t="shared" si="17"/>
        <v>2.2083533365338453E-2</v>
      </c>
      <c r="E40" s="151">
        <f t="shared" si="17"/>
        <v>2.2083533365338453E-2</v>
      </c>
      <c r="F40" s="151">
        <f t="shared" si="17"/>
        <v>2.2083533365338453E-2</v>
      </c>
      <c r="G40" s="151">
        <f t="shared" si="17"/>
        <v>2.2083533365338453E-2</v>
      </c>
      <c r="H40" s="151">
        <f t="shared" si="17"/>
        <v>2.208353336533846E-2</v>
      </c>
      <c r="I40" s="151">
        <f t="shared" si="17"/>
        <v>2.2083533365338453E-2</v>
      </c>
      <c r="J40" s="151">
        <f t="shared" si="17"/>
        <v>2.208353336533846E-2</v>
      </c>
      <c r="K40" s="151">
        <f t="shared" si="17"/>
        <v>2.2083533365338449E-2</v>
      </c>
      <c r="L40" s="151">
        <f t="shared" si="17"/>
        <v>2.2083533365338456E-2</v>
      </c>
      <c r="M40" s="151">
        <f t="shared" si="17"/>
        <v>2.2083533365338456E-2</v>
      </c>
      <c r="N40" s="151">
        <f t="shared" si="17"/>
        <v>2.2083533365338456E-2</v>
      </c>
      <c r="O40" s="151">
        <f t="shared" si="17"/>
        <v>2.2083533365338456E-2</v>
      </c>
      <c r="P40" s="151">
        <f t="shared" si="17"/>
        <v>2.2083533365338456E-2</v>
      </c>
    </row>
    <row r="41" spans="1:30" x14ac:dyDescent="0.25">
      <c r="G41" s="51">
        <f t="shared" ref="G41" si="18">G21-B7</f>
        <v>-131.53999999999996</v>
      </c>
      <c r="I41" s="51">
        <f t="shared" ref="I41" si="19">I21-B7</f>
        <v>-130.61999999999989</v>
      </c>
    </row>
    <row r="43" spans="1:30" x14ac:dyDescent="0.25">
      <c r="D43">
        <v>46500</v>
      </c>
    </row>
    <row r="44" spans="1:30" x14ac:dyDescent="0.25">
      <c r="D44">
        <f>D43*D37</f>
        <v>26788.28612578012</v>
      </c>
    </row>
    <row r="45" spans="1:30" x14ac:dyDescent="0.25">
      <c r="D45">
        <f>D38*D43</f>
        <v>10112.578012481996</v>
      </c>
    </row>
    <row r="46" spans="1:30" x14ac:dyDescent="0.25">
      <c r="D46">
        <f>D39*D43</f>
        <v>8572.2515602496387</v>
      </c>
    </row>
    <row r="47" spans="1:30" x14ac:dyDescent="0.25">
      <c r="D47">
        <f>D40*D43</f>
        <v>1026.884301488238</v>
      </c>
    </row>
  </sheetData>
  <mergeCells count="3">
    <mergeCell ref="D2:E2"/>
    <mergeCell ref="F2:G2"/>
    <mergeCell ref="H2:I2"/>
  </mergeCells>
  <conditionalFormatting sqref="B32:AD3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CA_Calculator</vt:lpstr>
      <vt:lpstr>TL_Tactica</vt:lpstr>
      <vt:lpstr>CAPITAN</vt:lpstr>
      <vt:lpstr>ENTRENADOR</vt:lpstr>
      <vt:lpstr>PLANTILLA</vt:lpstr>
      <vt:lpstr>PLANNING</vt:lpstr>
      <vt:lpstr>Evaluacion</vt:lpstr>
      <vt:lpstr>Eva_sinFORMA</vt:lpstr>
      <vt:lpstr>ENTRENAMIENTO_Rendimiento</vt:lpstr>
      <vt:lpstr>Resumen_Rend</vt:lpstr>
      <vt:lpstr>352</vt:lpstr>
      <vt:lpstr>541</vt:lpstr>
      <vt:lpstr>DEF</vt:lpstr>
      <vt:lpstr>JUG</vt:lpstr>
      <vt:lpstr>PAS</vt:lpstr>
      <vt:lpstr>LAT</vt:lpstr>
      <vt:lpstr>Hall_of_Fame</vt:lpstr>
      <vt:lpstr>Estadio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2019-06-25T10:34:49Z</dcterms:modified>
</cp:coreProperties>
</file>