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codeName="ThisWorkbook" defaultThemeVersion="124226"/>
  <xr:revisionPtr revIDLastSave="0" documentId="13_ncr:1_{090A800E-41AF-4EDC-963A-36B0CC2F5575}" xr6:coauthVersionLast="33" xr6:coauthVersionMax="33" xr10:uidLastSave="{00000000-0000-0000-0000-000000000000}"/>
  <bookViews>
    <workbookView xWindow="240" yWindow="105" windowWidth="14805" windowHeight="8010" firstSheet="1" activeTab="4" xr2:uid="{00000000-000D-0000-FFFF-FFFF00000000}"/>
  </bookViews>
  <sheets>
    <sheet name="CambioENTRENADOR" sheetId="9" r:id="rId1"/>
    <sheet name="Hall_of_Fame" sheetId="22" r:id="rId2"/>
    <sheet name="CA_Calcutator" sheetId="25" r:id="rId3"/>
    <sheet name="PLANNING" sheetId="24" r:id="rId4"/>
    <sheet name="PLANTILLA" sheetId="1" r:id="rId5"/>
    <sheet name="CAPITAN" sheetId="12" r:id="rId6"/>
    <sheet name="Evaluacion Jugadores" sheetId="3" r:id="rId7"/>
    <sheet name="LAT" sheetId="10" r:id="rId8"/>
  </sheets>
  <calcPr calcId="179017"/>
</workbook>
</file>

<file path=xl/calcChain.xml><?xml version="1.0" encoding="utf-8"?>
<calcChain xmlns="http://schemas.openxmlformats.org/spreadsheetml/2006/main">
  <c r="Y9" i="1" l="1"/>
  <c r="Y7" i="1"/>
  <c r="Y15" i="1"/>
  <c r="Y11" i="1"/>
  <c r="Y14" i="1"/>
  <c r="Y13" i="1"/>
  <c r="Y8" i="1"/>
  <c r="Y12" i="1"/>
  <c r="P4" i="24"/>
  <c r="Y6" i="1"/>
  <c r="Y4" i="1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H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H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H10" i="10"/>
  <c r="I10" i="10"/>
  <c r="J10" i="10"/>
  <c r="K10" i="10"/>
  <c r="E11" i="10"/>
  <c r="F11" i="10"/>
  <c r="G11" i="10"/>
  <c r="H11" i="10"/>
  <c r="I11" i="10"/>
  <c r="J11" i="10"/>
  <c r="K11" i="10"/>
  <c r="E12" i="10"/>
  <c r="F12" i="10"/>
  <c r="G12" i="10"/>
  <c r="H12" i="10"/>
  <c r="I12" i="10"/>
  <c r="J12" i="10"/>
  <c r="K12" i="10"/>
  <c r="E13" i="10"/>
  <c r="F13" i="10"/>
  <c r="G13" i="10"/>
  <c r="H13" i="10"/>
  <c r="I13" i="10"/>
  <c r="J13" i="10"/>
  <c r="K13" i="10"/>
  <c r="E14" i="10"/>
  <c r="F14" i="10"/>
  <c r="G14" i="10"/>
  <c r="H14" i="10"/>
  <c r="I14" i="10"/>
  <c r="J14" i="10"/>
  <c r="K14" i="10"/>
  <c r="E15" i="10"/>
  <c r="F15" i="10"/>
  <c r="G15" i="10"/>
  <c r="H15" i="10"/>
  <c r="I15" i="10"/>
  <c r="J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I18" i="10"/>
  <c r="J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AC13" i="3" l="1"/>
  <c r="AG13" i="3"/>
  <c r="AJ13" i="3"/>
  <c r="AK13" i="3"/>
  <c r="AL13" i="3"/>
  <c r="AM13" i="3"/>
  <c r="AN13" i="3"/>
  <c r="AS13" i="3"/>
  <c r="AT13" i="3"/>
  <c r="AV13" i="3" s="1"/>
  <c r="AU13" i="3"/>
  <c r="AW13" i="3"/>
  <c r="AY13" i="3" s="1"/>
  <c r="AX13" i="3"/>
  <c r="AZ13" i="3"/>
  <c r="BA13" i="3"/>
  <c r="BB13" i="3"/>
  <c r="BC13" i="3"/>
  <c r="BD13" i="3"/>
  <c r="BE13" i="3"/>
  <c r="BF13" i="3"/>
  <c r="BG13" i="3"/>
  <c r="BH13" i="3"/>
  <c r="BK13" i="3"/>
  <c r="BL13" i="3"/>
  <c r="BM13" i="3"/>
  <c r="BN13" i="3"/>
  <c r="BP13" i="3"/>
  <c r="BQ13" i="3"/>
  <c r="BR13" i="3"/>
  <c r="BT13" i="3"/>
  <c r="BU13" i="3"/>
  <c r="BV13" i="3"/>
  <c r="BW13" i="3"/>
  <c r="BX13" i="3"/>
  <c r="BY13" i="3"/>
  <c r="BZ13" i="3"/>
  <c r="CA13" i="3"/>
  <c r="CB13" i="3"/>
  <c r="CD13" i="3" s="1"/>
  <c r="CC13" i="3"/>
  <c r="CE13" i="3"/>
  <c r="R4" i="3"/>
  <c r="S4" i="3"/>
  <c r="T4" i="3"/>
  <c r="S5" i="3"/>
  <c r="S6" i="3"/>
  <c r="T6" i="3"/>
  <c r="R7" i="3"/>
  <c r="S7" i="3"/>
  <c r="R8" i="3"/>
  <c r="S8" i="3"/>
  <c r="R9" i="3"/>
  <c r="S9" i="3"/>
  <c r="T9" i="3"/>
  <c r="S10" i="3"/>
  <c r="S11" i="3"/>
  <c r="R12" i="3"/>
  <c r="S12" i="3"/>
  <c r="T12" i="3"/>
  <c r="R13" i="3"/>
  <c r="AO13" i="3" s="1"/>
  <c r="S13" i="3"/>
  <c r="R14" i="3"/>
  <c r="S14" i="3"/>
  <c r="T14" i="3"/>
  <c r="R15" i="3"/>
  <c r="S15" i="3"/>
  <c r="T15" i="3"/>
  <c r="R16" i="3"/>
  <c r="S16" i="3"/>
  <c r="T16" i="3"/>
  <c r="R17" i="3"/>
  <c r="S17" i="3"/>
  <c r="T17" i="3"/>
  <c r="R18" i="3"/>
  <c r="S18" i="3"/>
  <c r="T18" i="3"/>
  <c r="R19" i="3"/>
  <c r="T19" i="3"/>
  <c r="R20" i="3"/>
  <c r="S20" i="3"/>
  <c r="T20" i="3"/>
  <c r="J4" i="3"/>
  <c r="K4" i="3"/>
  <c r="L4" i="3"/>
  <c r="M4" i="3"/>
  <c r="N4" i="3"/>
  <c r="O4" i="3"/>
  <c r="P4" i="3"/>
  <c r="Q4" i="3"/>
  <c r="J5" i="3"/>
  <c r="K5" i="3"/>
  <c r="L5" i="3"/>
  <c r="R5" i="3" s="1"/>
  <c r="M5" i="3"/>
  <c r="N5" i="3"/>
  <c r="O5" i="3"/>
  <c r="P5" i="3"/>
  <c r="Q5" i="3"/>
  <c r="J6" i="3"/>
  <c r="K6" i="3"/>
  <c r="L6" i="3"/>
  <c r="R6" i="3" s="1"/>
  <c r="M6" i="3"/>
  <c r="N6" i="3"/>
  <c r="O6" i="3"/>
  <c r="P6" i="3"/>
  <c r="Q6" i="3"/>
  <c r="J7" i="3"/>
  <c r="K7" i="3"/>
  <c r="L7" i="3"/>
  <c r="T7" i="3" s="1"/>
  <c r="M7" i="3"/>
  <c r="N7" i="3"/>
  <c r="O7" i="3"/>
  <c r="P7" i="3"/>
  <c r="Q7" i="3"/>
  <c r="J8" i="3"/>
  <c r="K8" i="3"/>
  <c r="L8" i="3"/>
  <c r="T8" i="3" s="1"/>
  <c r="M8" i="3"/>
  <c r="N8" i="3"/>
  <c r="O8" i="3"/>
  <c r="P8" i="3"/>
  <c r="Q8" i="3"/>
  <c r="J9" i="3"/>
  <c r="K9" i="3"/>
  <c r="L9" i="3"/>
  <c r="M9" i="3"/>
  <c r="N9" i="3"/>
  <c r="O9" i="3"/>
  <c r="P9" i="3"/>
  <c r="Q9" i="3"/>
  <c r="J10" i="3"/>
  <c r="K10" i="3"/>
  <c r="L10" i="3"/>
  <c r="T10" i="3" s="1"/>
  <c r="M10" i="3"/>
  <c r="N10" i="3"/>
  <c r="O10" i="3"/>
  <c r="P10" i="3"/>
  <c r="Q10" i="3"/>
  <c r="J11" i="3"/>
  <c r="K11" i="3"/>
  <c r="L11" i="3"/>
  <c r="R11" i="3" s="1"/>
  <c r="M11" i="3"/>
  <c r="N11" i="3"/>
  <c r="O11" i="3"/>
  <c r="P11" i="3"/>
  <c r="Q11" i="3"/>
  <c r="J12" i="3"/>
  <c r="K12" i="3"/>
  <c r="L12" i="3"/>
  <c r="M12" i="3"/>
  <c r="N12" i="3"/>
  <c r="O12" i="3"/>
  <c r="P12" i="3"/>
  <c r="Q12" i="3"/>
  <c r="J13" i="3"/>
  <c r="K13" i="3"/>
  <c r="L13" i="3"/>
  <c r="W13" i="3" s="1"/>
  <c r="Y13" i="3" s="1"/>
  <c r="M13" i="3"/>
  <c r="N13" i="3"/>
  <c r="O13" i="3"/>
  <c r="P13" i="3"/>
  <c r="Q13" i="3"/>
  <c r="J14" i="3"/>
  <c r="K14" i="3"/>
  <c r="L14" i="3"/>
  <c r="M14" i="3"/>
  <c r="N14" i="3"/>
  <c r="O14" i="3"/>
  <c r="P14" i="3"/>
  <c r="Q14" i="3"/>
  <c r="J15" i="3"/>
  <c r="K15" i="3"/>
  <c r="L15" i="3"/>
  <c r="M15" i="3"/>
  <c r="N15" i="3"/>
  <c r="O15" i="3"/>
  <c r="P15" i="3"/>
  <c r="Q15" i="3"/>
  <c r="J16" i="3"/>
  <c r="K16" i="3"/>
  <c r="L16" i="3"/>
  <c r="M16" i="3"/>
  <c r="N16" i="3"/>
  <c r="O16" i="3"/>
  <c r="P16" i="3"/>
  <c r="Q16" i="3"/>
  <c r="J17" i="3"/>
  <c r="K17" i="3"/>
  <c r="L17" i="3"/>
  <c r="M17" i="3"/>
  <c r="N17" i="3"/>
  <c r="O17" i="3"/>
  <c r="P17" i="3"/>
  <c r="Q17" i="3"/>
  <c r="J18" i="3"/>
  <c r="K18" i="3"/>
  <c r="L18" i="3"/>
  <c r="M18" i="3"/>
  <c r="N18" i="3"/>
  <c r="O18" i="3"/>
  <c r="P18" i="3"/>
  <c r="Q18" i="3"/>
  <c r="J19" i="3"/>
  <c r="K19" i="3"/>
  <c r="L19" i="3"/>
  <c r="M19" i="3"/>
  <c r="N19" i="3"/>
  <c r="O19" i="3"/>
  <c r="P19" i="3"/>
  <c r="S19" i="3" s="1"/>
  <c r="Q19" i="3"/>
  <c r="J20" i="3"/>
  <c r="K20" i="3"/>
  <c r="L20" i="3"/>
  <c r="M20" i="3"/>
  <c r="N20" i="3"/>
  <c r="O20" i="3"/>
  <c r="P20" i="3"/>
  <c r="Q20" i="3"/>
  <c r="A20" i="3"/>
  <c r="B20" i="3"/>
  <c r="D20" i="3"/>
  <c r="E20" i="3"/>
  <c r="F20" i="3"/>
  <c r="G20" i="3" s="1"/>
  <c r="H20" i="3"/>
  <c r="A19" i="3"/>
  <c r="B19" i="3"/>
  <c r="D19" i="3"/>
  <c r="E19" i="3"/>
  <c r="F19" i="3"/>
  <c r="H19" i="3" s="1"/>
  <c r="G19" i="3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G9" i="3"/>
  <c r="A10" i="3"/>
  <c r="B10" i="3"/>
  <c r="D10" i="3"/>
  <c r="E10" i="3"/>
  <c r="F10" i="3"/>
  <c r="G10" i="3" s="1"/>
  <c r="H10" i="3"/>
  <c r="A11" i="3"/>
  <c r="B11" i="3"/>
  <c r="D11" i="3"/>
  <c r="E11" i="3"/>
  <c r="F11" i="3"/>
  <c r="G11" i="3" s="1"/>
  <c r="H11" i="3"/>
  <c r="A12" i="3"/>
  <c r="B12" i="3"/>
  <c r="D12" i="3"/>
  <c r="E12" i="3"/>
  <c r="F12" i="3"/>
  <c r="H12" i="3" s="1"/>
  <c r="G12" i="3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G14" i="3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H17" i="3" s="1"/>
  <c r="A18" i="3"/>
  <c r="B18" i="3"/>
  <c r="D18" i="3"/>
  <c r="E18" i="3"/>
  <c r="F18" i="3"/>
  <c r="G18" i="3"/>
  <c r="H18" i="3"/>
  <c r="D3" i="3"/>
  <c r="Q6" i="12"/>
  <c r="R6" i="12"/>
  <c r="S6" i="12"/>
  <c r="P6" i="12"/>
  <c r="O6" i="12"/>
  <c r="Q3" i="12"/>
  <c r="R3" i="12"/>
  <c r="S3" i="12"/>
  <c r="P3" i="12"/>
  <c r="O3" i="12"/>
  <c r="Q5" i="12"/>
  <c r="R5" i="12"/>
  <c r="S5" i="12"/>
  <c r="P5" i="12"/>
  <c r="O5" i="12"/>
  <c r="Q4" i="12"/>
  <c r="R4" i="12"/>
  <c r="S4" i="12"/>
  <c r="Q7" i="12"/>
  <c r="R7" i="12"/>
  <c r="S7" i="12"/>
  <c r="Q8" i="12"/>
  <c r="R8" i="12"/>
  <c r="S8" i="12"/>
  <c r="Q9" i="12"/>
  <c r="R9" i="12"/>
  <c r="S9" i="12"/>
  <c r="Q10" i="12"/>
  <c r="R10" i="12"/>
  <c r="S10" i="12"/>
  <c r="Q11" i="12"/>
  <c r="R11" i="12"/>
  <c r="S11" i="12"/>
  <c r="Q12" i="12"/>
  <c r="R12" i="12"/>
  <c r="S12" i="12"/>
  <c r="Q13" i="12"/>
  <c r="R13" i="12"/>
  <c r="S13" i="12"/>
  <c r="P13" i="12"/>
  <c r="O13" i="12"/>
  <c r="P12" i="12"/>
  <c r="O12" i="12"/>
  <c r="P11" i="12"/>
  <c r="O11" i="12"/>
  <c r="P9" i="12"/>
  <c r="O9" i="12"/>
  <c r="P8" i="12"/>
  <c r="O8" i="12"/>
  <c r="P7" i="12"/>
  <c r="O7" i="12"/>
  <c r="A4" i="12"/>
  <c r="B4" i="12"/>
  <c r="C4" i="12"/>
  <c r="G4" i="12" s="1"/>
  <c r="D4" i="12"/>
  <c r="E4" i="12"/>
  <c r="F4" i="12"/>
  <c r="A5" i="12"/>
  <c r="B5" i="12"/>
  <c r="C5" i="12"/>
  <c r="D5" i="12"/>
  <c r="E5" i="12" s="1"/>
  <c r="F5" i="12" s="1"/>
  <c r="G5" i="12"/>
  <c r="H5" i="12"/>
  <c r="A6" i="12"/>
  <c r="B6" i="12"/>
  <c r="C6" i="12"/>
  <c r="D6" i="12"/>
  <c r="E6" i="12"/>
  <c r="I6" i="12" s="1"/>
  <c r="F6" i="12"/>
  <c r="G6" i="12"/>
  <c r="H6" i="12" s="1"/>
  <c r="J6" i="12" s="1"/>
  <c r="A7" i="12"/>
  <c r="B7" i="12"/>
  <c r="C7" i="12"/>
  <c r="G7" i="12" s="1"/>
  <c r="D7" i="12"/>
  <c r="E7" i="12" s="1"/>
  <c r="F7" i="12" s="1"/>
  <c r="A8" i="12"/>
  <c r="B8" i="12"/>
  <c r="C8" i="12"/>
  <c r="G8" i="12" s="1"/>
  <c r="D8" i="12"/>
  <c r="E8" i="12"/>
  <c r="F8" i="12"/>
  <c r="A9" i="12"/>
  <c r="B9" i="12"/>
  <c r="C9" i="12"/>
  <c r="D9" i="12"/>
  <c r="E9" i="12" s="1"/>
  <c r="F9" i="12" s="1"/>
  <c r="G9" i="12"/>
  <c r="I9" i="12" s="1"/>
  <c r="H9" i="12"/>
  <c r="A10" i="12"/>
  <c r="B10" i="12"/>
  <c r="C10" i="12"/>
  <c r="D10" i="12"/>
  <c r="E10" i="12"/>
  <c r="I10" i="12" s="1"/>
  <c r="F10" i="12"/>
  <c r="G10" i="12"/>
  <c r="H10" i="12" s="1"/>
  <c r="J10" i="12" s="1"/>
  <c r="A11" i="12"/>
  <c r="B11" i="12"/>
  <c r="C11" i="12"/>
  <c r="G11" i="12" s="1"/>
  <c r="D11" i="12"/>
  <c r="E11" i="12" s="1"/>
  <c r="F11" i="12" s="1"/>
  <c r="A12" i="12"/>
  <c r="B12" i="12"/>
  <c r="C12" i="12"/>
  <c r="G12" i="12" s="1"/>
  <c r="D12" i="12"/>
  <c r="E12" i="12"/>
  <c r="F12" i="12"/>
  <c r="A13" i="12"/>
  <c r="B13" i="12"/>
  <c r="C13" i="12"/>
  <c r="D13" i="12"/>
  <c r="E13" i="12" s="1"/>
  <c r="F13" i="12" s="1"/>
  <c r="G13" i="12"/>
  <c r="I13" i="12" s="1"/>
  <c r="H13" i="12"/>
  <c r="J13" i="12" s="1"/>
  <c r="A14" i="12"/>
  <c r="B14" i="12"/>
  <c r="C14" i="12"/>
  <c r="D14" i="12"/>
  <c r="E14" i="12"/>
  <c r="I14" i="12" s="1"/>
  <c r="F14" i="12"/>
  <c r="G14" i="12"/>
  <c r="H14" i="12" s="1"/>
  <c r="J14" i="12" s="1"/>
  <c r="A15" i="12"/>
  <c r="B15" i="12"/>
  <c r="C15" i="12"/>
  <c r="G15" i="12" s="1"/>
  <c r="D15" i="12"/>
  <c r="E15" i="12" s="1"/>
  <c r="F15" i="12" s="1"/>
  <c r="A16" i="12"/>
  <c r="B16" i="12"/>
  <c r="C16" i="12"/>
  <c r="G16" i="12" s="1"/>
  <c r="D16" i="12"/>
  <c r="E16" i="12"/>
  <c r="F16" i="12"/>
  <c r="A17" i="12"/>
  <c r="B17" i="12"/>
  <c r="C17" i="12"/>
  <c r="D17" i="12"/>
  <c r="E17" i="12" s="1"/>
  <c r="F17" i="12" s="1"/>
  <c r="G17" i="12"/>
  <c r="I17" i="12" s="1"/>
  <c r="H17" i="12"/>
  <c r="J17" i="12" s="1"/>
  <c r="A18" i="12"/>
  <c r="B18" i="12"/>
  <c r="C18" i="12"/>
  <c r="D18" i="12"/>
  <c r="E18" i="12"/>
  <c r="I18" i="12" s="1"/>
  <c r="F18" i="12"/>
  <c r="G18" i="12"/>
  <c r="H18" i="12" s="1"/>
  <c r="J18" i="12" s="1"/>
  <c r="A19" i="12"/>
  <c r="B19" i="12"/>
  <c r="C19" i="12"/>
  <c r="G19" i="12" s="1"/>
  <c r="D19" i="12"/>
  <c r="E19" i="12" s="1"/>
  <c r="F19" i="12" s="1"/>
  <c r="A20" i="12"/>
  <c r="B20" i="12"/>
  <c r="C20" i="12"/>
  <c r="G20" i="12" s="1"/>
  <c r="D20" i="12"/>
  <c r="E20" i="12"/>
  <c r="F20" i="12"/>
  <c r="D3" i="12"/>
  <c r="C3" i="12"/>
  <c r="B3" i="12"/>
  <c r="A3" i="12"/>
  <c r="O14" i="25"/>
  <c r="O15" i="25"/>
  <c r="O16" i="25"/>
  <c r="O13" i="25"/>
  <c r="R12" i="25"/>
  <c r="R10" i="3" l="1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17" i="3"/>
  <c r="G4" i="3"/>
  <c r="H13" i="3"/>
  <c r="H5" i="3"/>
  <c r="H16" i="3"/>
  <c r="H8" i="3"/>
  <c r="H15" i="3"/>
  <c r="H7" i="3"/>
  <c r="H16" i="12"/>
  <c r="J16" i="12" s="1"/>
  <c r="I16" i="12"/>
  <c r="H20" i="12"/>
  <c r="J20" i="12" s="1"/>
  <c r="I20" i="12"/>
  <c r="H12" i="12"/>
  <c r="J12" i="12" s="1"/>
  <c r="I12" i="12"/>
  <c r="H15" i="12"/>
  <c r="J15" i="12" s="1"/>
  <c r="I15" i="12"/>
  <c r="J5" i="12"/>
  <c r="I8" i="12"/>
  <c r="H8" i="12"/>
  <c r="J8" i="12" s="1"/>
  <c r="H7" i="12"/>
  <c r="J7" i="12" s="1"/>
  <c r="I7" i="12"/>
  <c r="H11" i="12"/>
  <c r="J11" i="12" s="1"/>
  <c r="I11" i="12"/>
  <c r="H19" i="12"/>
  <c r="J19" i="12" s="1"/>
  <c r="I19" i="12"/>
  <c r="J9" i="12"/>
  <c r="I5" i="12"/>
  <c r="I4" i="12"/>
  <c r="H4" i="12"/>
  <c r="J4" i="12" s="1"/>
  <c r="G30" i="24"/>
  <c r="Y33" i="24"/>
  <c r="Y31" i="24"/>
  <c r="Y28" i="24"/>
  <c r="Y27" i="24"/>
  <c r="Y22" i="24"/>
  <c r="Y14" i="24"/>
  <c r="Y4" i="24"/>
  <c r="Y5" i="24"/>
  <c r="Y6" i="24"/>
  <c r="Y7" i="24"/>
  <c r="Y9" i="24"/>
  <c r="Y10" i="24"/>
  <c r="Y13" i="24"/>
  <c r="Y15" i="24"/>
  <c r="Y3" i="24"/>
  <c r="H14" i="25"/>
  <c r="H15" i="25"/>
  <c r="H16" i="25"/>
  <c r="H17" i="25"/>
  <c r="H13" i="25"/>
  <c r="H6" i="25"/>
  <c r="H5" i="25"/>
  <c r="H4" i="25"/>
  <c r="H3" i="25"/>
  <c r="A3" i="25"/>
  <c r="A4" i="25"/>
  <c r="A5" i="25"/>
  <c r="A6" i="25"/>
  <c r="H2" i="25" s="1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" i="25"/>
  <c r="K1" i="25"/>
  <c r="R1" i="25" s="1"/>
  <c r="O5" i="25" l="1"/>
  <c r="O4" i="25"/>
  <c r="O2" i="25"/>
  <c r="O3" i="25"/>
  <c r="AE19" i="1"/>
  <c r="AE21" i="1"/>
  <c r="AE20" i="1"/>
  <c r="AE18" i="1"/>
  <c r="AE16" i="1"/>
  <c r="AE5" i="1"/>
  <c r="AS8" i="24" l="1"/>
  <c r="AS26" i="24"/>
  <c r="AE10" i="1" l="1"/>
  <c r="AB22" i="24" l="1"/>
  <c r="AB23" i="24"/>
  <c r="AB24" i="24"/>
  <c r="AB25" i="24"/>
  <c r="AB26" i="24"/>
  <c r="AB27" i="24"/>
  <c r="AB28" i="24"/>
  <c r="AB29" i="24"/>
  <c r="AB30" i="24"/>
  <c r="AB31" i="24"/>
  <c r="AB32" i="24"/>
  <c r="AB33" i="24"/>
  <c r="AB21" i="24"/>
  <c r="AJ26" i="24"/>
  <c r="AJ29" i="24"/>
  <c r="AJ30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E33" i="24"/>
  <c r="AE32" i="24"/>
  <c r="AE31" i="24"/>
  <c r="AE30" i="24"/>
  <c r="AE29" i="24"/>
  <c r="AE28" i="24"/>
  <c r="AE27" i="24"/>
  <c r="AE26" i="24"/>
  <c r="AE25" i="24"/>
  <c r="AE24" i="24"/>
  <c r="AE22" i="24"/>
  <c r="AM23" i="24"/>
  <c r="AM24" i="24"/>
  <c r="AM25" i="24"/>
  <c r="AM26" i="24"/>
  <c r="AM27" i="24"/>
  <c r="AM28" i="24"/>
  <c r="AM29" i="24"/>
  <c r="AM30" i="24"/>
  <c r="AM31" i="24"/>
  <c r="AM32" i="24"/>
  <c r="AM33" i="24"/>
  <c r="AM34" i="24"/>
  <c r="AM35" i="24"/>
  <c r="AM36" i="24"/>
  <c r="AM22" i="24"/>
  <c r="AH21" i="24"/>
  <c r="N26" i="24"/>
  <c r="Y26" i="24"/>
  <c r="Z26" i="24"/>
  <c r="AO22" i="24"/>
  <c r="AO23" i="24"/>
  <c r="AO24" i="24"/>
  <c r="AO25" i="24"/>
  <c r="AO26" i="24"/>
  <c r="AO27" i="24"/>
  <c r="AO28" i="24"/>
  <c r="AO31" i="24"/>
  <c r="AO32" i="24"/>
  <c r="AO33" i="24"/>
  <c r="AO34" i="24"/>
  <c r="AO35" i="24"/>
  <c r="AO36" i="24"/>
  <c r="AO21" i="24"/>
  <c r="Y35" i="24"/>
  <c r="Z35" i="24"/>
  <c r="Y36" i="24"/>
  <c r="Z36" i="24"/>
  <c r="Y34" i="24"/>
  <c r="Z34" i="24"/>
  <c r="Y30" i="24"/>
  <c r="Z30" i="24"/>
  <c r="Y29" i="24"/>
  <c r="Z29" i="24"/>
  <c r="N35" i="24"/>
  <c r="N36" i="24"/>
  <c r="N34" i="24"/>
  <c r="P36" i="24"/>
  <c r="O36" i="24"/>
  <c r="H36" i="24"/>
  <c r="G36" i="24"/>
  <c r="P35" i="24"/>
  <c r="O35" i="24"/>
  <c r="H35" i="24"/>
  <c r="G35" i="24"/>
  <c r="N30" i="24"/>
  <c r="AH13" i="24"/>
  <c r="AH9" i="24"/>
  <c r="AH7" i="24"/>
  <c r="AH3" i="24"/>
  <c r="N29" i="24"/>
  <c r="O22" i="24" l="1"/>
  <c r="Q22" i="24"/>
  <c r="R22" i="24"/>
  <c r="S22" i="24"/>
  <c r="T22" i="24"/>
  <c r="U22" i="24"/>
  <c r="O23" i="24"/>
  <c r="Q23" i="24"/>
  <c r="R23" i="24"/>
  <c r="S23" i="24"/>
  <c r="T23" i="24"/>
  <c r="U23" i="24"/>
  <c r="O24" i="24"/>
  <c r="Q24" i="24"/>
  <c r="R24" i="24"/>
  <c r="S24" i="24"/>
  <c r="T24" i="24"/>
  <c r="U24" i="24"/>
  <c r="O25" i="24"/>
  <c r="Q25" i="24"/>
  <c r="R25" i="24"/>
  <c r="S25" i="24"/>
  <c r="T25" i="24"/>
  <c r="U25" i="24"/>
  <c r="O26" i="24"/>
  <c r="R26" i="24"/>
  <c r="T26" i="24"/>
  <c r="U26" i="24"/>
  <c r="O27" i="24"/>
  <c r="Q27" i="24"/>
  <c r="R27" i="24"/>
  <c r="S27" i="24"/>
  <c r="T27" i="24"/>
  <c r="U27" i="24"/>
  <c r="O28" i="24"/>
  <c r="Q28" i="24"/>
  <c r="R28" i="24"/>
  <c r="S28" i="24"/>
  <c r="T28" i="24"/>
  <c r="U28" i="24"/>
  <c r="O29" i="24"/>
  <c r="O30" i="24"/>
  <c r="O31" i="24"/>
  <c r="Q31" i="24"/>
  <c r="R31" i="24"/>
  <c r="S31" i="24"/>
  <c r="T31" i="24"/>
  <c r="U31" i="24"/>
  <c r="O32" i="24"/>
  <c r="Q32" i="24"/>
  <c r="R32" i="24"/>
  <c r="S32" i="24"/>
  <c r="T32" i="24"/>
  <c r="U32" i="24"/>
  <c r="O33" i="24"/>
  <c r="Q33" i="24"/>
  <c r="R33" i="24"/>
  <c r="S33" i="24"/>
  <c r="T33" i="24"/>
  <c r="U33" i="24"/>
  <c r="Q21" i="24"/>
  <c r="R21" i="24"/>
  <c r="S21" i="24"/>
  <c r="T21" i="24"/>
  <c r="U21" i="24"/>
  <c r="O21" i="24"/>
  <c r="N22" i="24"/>
  <c r="N23" i="24"/>
  <c r="N24" i="24"/>
  <c r="N25" i="24"/>
  <c r="N27" i="24"/>
  <c r="N28" i="24"/>
  <c r="N31" i="24"/>
  <c r="N32" i="24"/>
  <c r="N33" i="24"/>
  <c r="N21" i="24"/>
  <c r="H22" i="24"/>
  <c r="J22" i="24"/>
  <c r="H23" i="24"/>
  <c r="J23" i="24"/>
  <c r="H24" i="24"/>
  <c r="H25" i="24"/>
  <c r="G26" i="24"/>
  <c r="J26" i="24"/>
  <c r="L26" i="24"/>
  <c r="M26" i="24"/>
  <c r="H27" i="24"/>
  <c r="J27" i="24"/>
  <c r="H28" i="24"/>
  <c r="J28" i="24"/>
  <c r="G29" i="24"/>
  <c r="H31" i="24"/>
  <c r="J31" i="24"/>
  <c r="H32" i="24"/>
  <c r="J32" i="24"/>
  <c r="H33" i="24"/>
  <c r="J33" i="24"/>
  <c r="G34" i="24"/>
  <c r="H34" i="24"/>
  <c r="H21" i="24"/>
  <c r="AS25" i="24"/>
  <c r="D21" i="24"/>
  <c r="AH15" i="24" l="1"/>
  <c r="AH14" i="24"/>
  <c r="AH10" i="24"/>
  <c r="AH6" i="24"/>
  <c r="AH5" i="24"/>
  <c r="AH4" i="24"/>
  <c r="AB15" i="24"/>
  <c r="AB14" i="24"/>
  <c r="AB13" i="24"/>
  <c r="AB9" i="24"/>
  <c r="AB7" i="24"/>
  <c r="AB6" i="24"/>
  <c r="AB5" i="24"/>
  <c r="AB4" i="24"/>
  <c r="AB3" i="24"/>
  <c r="AJ4" i="24" l="1"/>
  <c r="P22" i="24" s="1"/>
  <c r="AJ22" i="24" s="1"/>
  <c r="AJ5" i="24"/>
  <c r="P23" i="24" s="1"/>
  <c r="AJ23" i="24" s="1"/>
  <c r="AJ6" i="24"/>
  <c r="P24" i="24" s="1"/>
  <c r="AJ24" i="24" s="1"/>
  <c r="AJ7" i="24"/>
  <c r="P25" i="24" s="1"/>
  <c r="AJ25" i="24" s="1"/>
  <c r="AJ9" i="24"/>
  <c r="P27" i="24" s="1"/>
  <c r="AJ27" i="24" s="1"/>
  <c r="AJ10" i="24"/>
  <c r="P28" i="24" s="1"/>
  <c r="AJ28" i="24" s="1"/>
  <c r="AJ13" i="24"/>
  <c r="P31" i="24" s="1"/>
  <c r="AJ31" i="24" s="1"/>
  <c r="AJ14" i="24"/>
  <c r="P32" i="24" s="1"/>
  <c r="AJ32" i="24" s="1"/>
  <c r="AJ15" i="24"/>
  <c r="P33" i="24" s="1"/>
  <c r="AJ33" i="24" s="1"/>
  <c r="AJ3" i="24"/>
  <c r="P21" i="24" s="1"/>
  <c r="AJ21" i="24" s="1"/>
  <c r="AI4" i="24"/>
  <c r="AK4" i="24"/>
  <c r="AL4" i="24"/>
  <c r="AM4" i="24"/>
  <c r="AN4" i="24"/>
  <c r="AO4" i="24"/>
  <c r="AI5" i="24"/>
  <c r="AK5" i="24"/>
  <c r="AL5" i="24"/>
  <c r="AM5" i="24"/>
  <c r="AN5" i="24"/>
  <c r="AO5" i="24"/>
  <c r="AI6" i="24"/>
  <c r="AK6" i="24"/>
  <c r="AL6" i="24"/>
  <c r="AM6" i="24"/>
  <c r="AN6" i="24"/>
  <c r="AO6" i="24"/>
  <c r="AI7" i="24"/>
  <c r="AK7" i="24"/>
  <c r="AL7" i="24"/>
  <c r="AM7" i="24"/>
  <c r="AN7" i="24"/>
  <c r="AO7" i="24"/>
  <c r="AI8" i="24"/>
  <c r="AK8" i="24"/>
  <c r="AL8" i="24"/>
  <c r="AM8" i="24"/>
  <c r="AN8" i="24"/>
  <c r="AO8" i="24"/>
  <c r="AI9" i="24"/>
  <c r="AK9" i="24"/>
  <c r="AL9" i="24"/>
  <c r="AM9" i="24"/>
  <c r="AN9" i="24"/>
  <c r="AO9" i="24"/>
  <c r="AI10" i="24"/>
  <c r="AK10" i="24"/>
  <c r="AL10" i="24"/>
  <c r="AM10" i="24"/>
  <c r="AN10" i="24"/>
  <c r="AO10" i="24"/>
  <c r="AI11" i="24"/>
  <c r="AK11" i="24"/>
  <c r="AL11" i="24"/>
  <c r="AM11" i="24"/>
  <c r="AN11" i="24"/>
  <c r="AO11" i="24"/>
  <c r="AI12" i="24"/>
  <c r="AK12" i="24"/>
  <c r="AL12" i="24"/>
  <c r="AM12" i="24"/>
  <c r="AN12" i="24"/>
  <c r="AO12" i="24"/>
  <c r="AI13" i="24"/>
  <c r="AK13" i="24"/>
  <c r="AL13" i="24"/>
  <c r="AM13" i="24"/>
  <c r="AN13" i="24"/>
  <c r="AO13" i="24"/>
  <c r="AI14" i="24"/>
  <c r="AK14" i="24"/>
  <c r="AL14" i="24"/>
  <c r="AM14" i="24"/>
  <c r="AN14" i="24"/>
  <c r="AO14" i="24"/>
  <c r="AI15" i="24"/>
  <c r="AK15" i="24"/>
  <c r="AL15" i="24"/>
  <c r="AM15" i="24"/>
  <c r="AN15" i="24"/>
  <c r="AO15" i="24"/>
  <c r="AI16" i="24"/>
  <c r="AK16" i="24"/>
  <c r="AL16" i="24"/>
  <c r="AM16" i="24"/>
  <c r="AN16" i="24"/>
  <c r="AO16" i="24"/>
  <c r="AI17" i="24"/>
  <c r="AK17" i="24"/>
  <c r="AL17" i="24"/>
  <c r="AM17" i="24"/>
  <c r="AN17" i="24"/>
  <c r="AO17" i="24"/>
  <c r="AI18" i="24"/>
  <c r="AK18" i="24"/>
  <c r="AL18" i="24"/>
  <c r="AM18" i="24"/>
  <c r="AN18" i="24"/>
  <c r="AO18" i="24"/>
  <c r="AA8" i="1" l="1"/>
  <c r="AA15" i="1"/>
  <c r="AA11" i="1"/>
  <c r="AA14" i="1"/>
  <c r="AA6" i="1" l="1"/>
  <c r="N19" i="1" l="1"/>
  <c r="I18" i="3" s="1"/>
  <c r="AJ18" i="3" l="1"/>
  <c r="AZ18" i="3"/>
  <c r="BH18" i="3"/>
  <c r="BP18" i="3"/>
  <c r="BX18" i="3"/>
  <c r="AC18" i="3"/>
  <c r="AK18" i="3"/>
  <c r="AS18" i="3"/>
  <c r="BA18" i="3"/>
  <c r="BC18" i="3" s="1"/>
  <c r="BI18" i="3"/>
  <c r="BQ18" i="3"/>
  <c r="BY18" i="3"/>
  <c r="CA18" i="3" s="1"/>
  <c r="AD18" i="3"/>
  <c r="AF18" i="3" s="1"/>
  <c r="AL18" i="3"/>
  <c r="AT18" i="3"/>
  <c r="AV18" i="3" s="1"/>
  <c r="BB18" i="3"/>
  <c r="BJ18" i="3"/>
  <c r="BR18" i="3"/>
  <c r="BZ18" i="3"/>
  <c r="W18" i="3"/>
  <c r="Y18" i="3" s="1"/>
  <c r="AE18" i="3"/>
  <c r="AM18" i="3"/>
  <c r="AU18" i="3"/>
  <c r="BK18" i="3"/>
  <c r="BS18" i="3"/>
  <c r="Z18" i="3"/>
  <c r="AB18" i="3" s="1"/>
  <c r="AH18" i="3"/>
  <c r="AP18" i="3"/>
  <c r="AR18" i="3" s="1"/>
  <c r="AX18" i="3"/>
  <c r="BF18" i="3"/>
  <c r="BN18" i="3"/>
  <c r="BV18" i="3"/>
  <c r="BO18" i="3"/>
  <c r="BU18" i="3"/>
  <c r="AG18" i="3"/>
  <c r="BW18" i="3"/>
  <c r="X18" i="3"/>
  <c r="BM18" i="3"/>
  <c r="AA18" i="3"/>
  <c r="AW18" i="3"/>
  <c r="AY18" i="3" s="1"/>
  <c r="BT18" i="3"/>
  <c r="BD18" i="3"/>
  <c r="AI18" i="3"/>
  <c r="BE18" i="3"/>
  <c r="CB18" i="3"/>
  <c r="CD18" i="3" s="1"/>
  <c r="AN18" i="3"/>
  <c r="BG18" i="3"/>
  <c r="CC18" i="3"/>
  <c r="AO18" i="3"/>
  <c r="BL18" i="3"/>
  <c r="CE18" i="3"/>
  <c r="AQ18" i="3"/>
  <c r="U18" i="3"/>
  <c r="V18" i="3"/>
  <c r="N3" i="24"/>
  <c r="H3" i="24"/>
  <c r="I3" i="24"/>
  <c r="J3" i="24"/>
  <c r="K3" i="24"/>
  <c r="L3" i="24"/>
  <c r="M3" i="24"/>
  <c r="G3" i="24"/>
  <c r="E3" i="24"/>
  <c r="E21" i="24" s="1"/>
  <c r="Y21" i="24" s="1"/>
  <c r="I2" i="1"/>
  <c r="O2" i="1"/>
  <c r="Q2" i="1"/>
  <c r="V2" i="1"/>
  <c r="T2" i="1"/>
  <c r="N4" i="1"/>
  <c r="I3" i="3" s="1"/>
  <c r="D24" i="24" l="1"/>
  <c r="D25" i="24"/>
  <c r="N7" i="24"/>
  <c r="H7" i="24"/>
  <c r="I7" i="24"/>
  <c r="J7" i="24"/>
  <c r="K7" i="24"/>
  <c r="L7" i="24"/>
  <c r="M7" i="24"/>
  <c r="G7" i="24"/>
  <c r="E7" i="24"/>
  <c r="E25" i="24" s="1"/>
  <c r="Y25" i="24" s="1"/>
  <c r="N20" i="1" l="1"/>
  <c r="I19" i="3" s="1"/>
  <c r="U19" i="3" l="1"/>
  <c r="V19" i="3" s="1"/>
  <c r="W19" i="3"/>
  <c r="Y19" i="3" s="1"/>
  <c r="AE19" i="3"/>
  <c r="AM19" i="3"/>
  <c r="AU19" i="3"/>
  <c r="BK19" i="3"/>
  <c r="BS19" i="3"/>
  <c r="X19" i="3"/>
  <c r="AN19" i="3"/>
  <c r="BD19" i="3"/>
  <c r="BL19" i="3"/>
  <c r="BT19" i="3"/>
  <c r="CB19" i="3"/>
  <c r="CD19" i="3" s="1"/>
  <c r="AG19" i="3"/>
  <c r="AO19" i="3"/>
  <c r="AW19" i="3"/>
  <c r="AY19" i="3" s="1"/>
  <c r="BE19" i="3"/>
  <c r="BM19" i="3"/>
  <c r="BU19" i="3"/>
  <c r="CC19" i="3"/>
  <c r="Z19" i="3"/>
  <c r="AB19" i="3" s="1"/>
  <c r="AH19" i="3"/>
  <c r="AP19" i="3"/>
  <c r="AR19" i="3" s="1"/>
  <c r="AX19" i="3"/>
  <c r="BF19" i="3"/>
  <c r="BN19" i="3"/>
  <c r="BV19" i="3"/>
  <c r="AC19" i="3"/>
  <c r="AK19" i="3"/>
  <c r="AS19" i="3"/>
  <c r="BA19" i="3"/>
  <c r="BC19" i="3" s="1"/>
  <c r="BI19" i="3"/>
  <c r="BQ19" i="3"/>
  <c r="BY19" i="3"/>
  <c r="CA19" i="3" s="1"/>
  <c r="BR19" i="3"/>
  <c r="AZ19" i="3"/>
  <c r="AI19" i="3"/>
  <c r="BX19" i="3"/>
  <c r="AJ19" i="3"/>
  <c r="BZ19" i="3"/>
  <c r="AT19" i="3"/>
  <c r="AV19" i="3" s="1"/>
  <c r="AD19" i="3"/>
  <c r="AF19" i="3" s="1"/>
  <c r="BW19" i="3"/>
  <c r="BB19" i="3"/>
  <c r="BG19" i="3"/>
  <c r="AL19" i="3"/>
  <c r="BH19" i="3"/>
  <c r="CE19" i="3"/>
  <c r="AQ19" i="3"/>
  <c r="BJ19" i="3"/>
  <c r="BO19" i="3"/>
  <c r="AA19" i="3"/>
  <c r="BP19" i="3"/>
  <c r="N21" i="1"/>
  <c r="I20" i="3" s="1"/>
  <c r="Z20" i="3" l="1"/>
  <c r="AB20" i="3" s="1"/>
  <c r="AH20" i="3"/>
  <c r="AP20" i="3"/>
  <c r="AR20" i="3" s="1"/>
  <c r="AX20" i="3"/>
  <c r="BF20" i="3"/>
  <c r="BN20" i="3"/>
  <c r="BV20" i="3"/>
  <c r="BY20" i="3"/>
  <c r="CA20" i="3" s="1"/>
  <c r="AA20" i="3"/>
  <c r="AI20" i="3"/>
  <c r="AQ20" i="3"/>
  <c r="BG20" i="3"/>
  <c r="BO20" i="3"/>
  <c r="BW20" i="3"/>
  <c r="CE20" i="3"/>
  <c r="BQ20" i="3"/>
  <c r="AJ20" i="3"/>
  <c r="AZ20" i="3"/>
  <c r="BH20" i="3"/>
  <c r="BP20" i="3"/>
  <c r="BX20" i="3"/>
  <c r="AC20" i="3"/>
  <c r="AK20" i="3"/>
  <c r="AS20" i="3"/>
  <c r="BA20" i="3"/>
  <c r="BC20" i="3" s="1"/>
  <c r="BI20" i="3"/>
  <c r="X20" i="3"/>
  <c r="AN20" i="3"/>
  <c r="BD20" i="3"/>
  <c r="BL20" i="3"/>
  <c r="BT20" i="3"/>
  <c r="CB20" i="3"/>
  <c r="CD20" i="3" s="1"/>
  <c r="AE20" i="3"/>
  <c r="BB20" i="3"/>
  <c r="BU20" i="3"/>
  <c r="AL20" i="3"/>
  <c r="BE20" i="3"/>
  <c r="AD20" i="3"/>
  <c r="AF20" i="3" s="1"/>
  <c r="BS20" i="3"/>
  <c r="AG20" i="3"/>
  <c r="BZ20" i="3"/>
  <c r="AM20" i="3"/>
  <c r="BJ20" i="3"/>
  <c r="CC20" i="3"/>
  <c r="AO20" i="3"/>
  <c r="BK20" i="3"/>
  <c r="W20" i="3"/>
  <c r="Y20" i="3" s="1"/>
  <c r="AT20" i="3"/>
  <c r="AV20" i="3" s="1"/>
  <c r="BM20" i="3"/>
  <c r="AU20" i="3"/>
  <c r="BR20" i="3"/>
  <c r="AW20" i="3"/>
  <c r="AY20" i="3" s="1"/>
  <c r="U20" i="3"/>
  <c r="V20" i="3"/>
  <c r="AE17" i="1"/>
  <c r="N6" i="24" l="1"/>
  <c r="H6" i="24"/>
  <c r="I6" i="24"/>
  <c r="J6" i="24"/>
  <c r="AD6" i="24" s="1"/>
  <c r="J24" i="24" s="1"/>
  <c r="K6" i="24"/>
  <c r="L6" i="24"/>
  <c r="M6" i="24"/>
  <c r="G6" i="24"/>
  <c r="E6" i="24"/>
  <c r="E24" i="24" s="1"/>
  <c r="Y24" i="24" s="1"/>
  <c r="N7" i="1"/>
  <c r="I6" i="3" s="1"/>
  <c r="AC6" i="3" l="1"/>
  <c r="AK6" i="3"/>
  <c r="AS6" i="3"/>
  <c r="BA6" i="3"/>
  <c r="BC6" i="3" s="1"/>
  <c r="BI6" i="3"/>
  <c r="BQ6" i="3"/>
  <c r="BY6" i="3"/>
  <c r="CA6" i="3" s="1"/>
  <c r="W6" i="3"/>
  <c r="Y6" i="3" s="1"/>
  <c r="AE6" i="3"/>
  <c r="AM6" i="3"/>
  <c r="AU6" i="3"/>
  <c r="BK6" i="3"/>
  <c r="BS6" i="3"/>
  <c r="X6" i="3"/>
  <c r="AN6" i="3"/>
  <c r="BD6" i="3"/>
  <c r="BL6" i="3"/>
  <c r="BT6" i="3"/>
  <c r="CB6" i="3"/>
  <c r="CD6" i="3" s="1"/>
  <c r="AG6" i="3"/>
  <c r="AO6" i="3"/>
  <c r="AW6" i="3"/>
  <c r="AY6" i="3" s="1"/>
  <c r="BE6" i="3"/>
  <c r="BM6" i="3"/>
  <c r="BU6" i="3"/>
  <c r="CC6" i="3"/>
  <c r="AA6" i="3"/>
  <c r="AI6" i="3"/>
  <c r="AQ6" i="3"/>
  <c r="BG6" i="3"/>
  <c r="BO6" i="3"/>
  <c r="BW6" i="3"/>
  <c r="CE6" i="3"/>
  <c r="AD6" i="3"/>
  <c r="AF6" i="3" s="1"/>
  <c r="AZ6" i="3"/>
  <c r="BV6" i="3"/>
  <c r="AH6" i="3"/>
  <c r="BB6" i="3"/>
  <c r="BX6" i="3"/>
  <c r="AJ6" i="3"/>
  <c r="BF6" i="3"/>
  <c r="BZ6" i="3"/>
  <c r="AL6" i="3"/>
  <c r="BH6" i="3"/>
  <c r="AP6" i="3"/>
  <c r="AR6" i="3" s="1"/>
  <c r="BJ6" i="3"/>
  <c r="BN6" i="3"/>
  <c r="AX6" i="3"/>
  <c r="BR6" i="3"/>
  <c r="Z6" i="3"/>
  <c r="AB6" i="3" s="1"/>
  <c r="AT6" i="3"/>
  <c r="AV6" i="3" s="1"/>
  <c r="BP6" i="3"/>
  <c r="U6" i="3"/>
  <c r="V6" i="3"/>
  <c r="N9" i="1"/>
  <c r="I8" i="3" s="1"/>
  <c r="AA8" i="3" l="1"/>
  <c r="AI8" i="3"/>
  <c r="AQ8" i="3"/>
  <c r="BG8" i="3"/>
  <c r="BO8" i="3"/>
  <c r="BW8" i="3"/>
  <c r="CE8" i="3"/>
  <c r="AC8" i="3"/>
  <c r="AK8" i="3"/>
  <c r="AS8" i="3"/>
  <c r="BA8" i="3"/>
  <c r="BC8" i="3" s="1"/>
  <c r="BI8" i="3"/>
  <c r="BQ8" i="3"/>
  <c r="BY8" i="3"/>
  <c r="CA8" i="3" s="1"/>
  <c r="AD8" i="3"/>
  <c r="AF8" i="3" s="1"/>
  <c r="AL8" i="3"/>
  <c r="AT8" i="3"/>
  <c r="AV8" i="3" s="1"/>
  <c r="BB8" i="3"/>
  <c r="BJ8" i="3"/>
  <c r="BR8" i="3"/>
  <c r="BZ8" i="3"/>
  <c r="W8" i="3"/>
  <c r="Y8" i="3" s="1"/>
  <c r="AE8" i="3"/>
  <c r="AM8" i="3"/>
  <c r="AU8" i="3"/>
  <c r="BK8" i="3"/>
  <c r="BS8" i="3"/>
  <c r="AG8" i="3"/>
  <c r="AO8" i="3"/>
  <c r="AW8" i="3"/>
  <c r="AY8" i="3" s="1"/>
  <c r="BE8" i="3"/>
  <c r="BM8" i="3"/>
  <c r="BU8" i="3"/>
  <c r="CC8" i="3"/>
  <c r="AJ8" i="3"/>
  <c r="BF8" i="3"/>
  <c r="CB8" i="3"/>
  <c r="CD8" i="3" s="1"/>
  <c r="AN8" i="3"/>
  <c r="BH8" i="3"/>
  <c r="AP8" i="3"/>
  <c r="AR8" i="3" s="1"/>
  <c r="BL8" i="3"/>
  <c r="X8" i="3"/>
  <c r="BN8" i="3"/>
  <c r="Z8" i="3"/>
  <c r="AB8" i="3" s="1"/>
  <c r="BP8" i="3"/>
  <c r="AX8" i="3"/>
  <c r="BT8" i="3"/>
  <c r="AH8" i="3"/>
  <c r="BD8" i="3"/>
  <c r="BX8" i="3"/>
  <c r="AZ8" i="3"/>
  <c r="BV8" i="3"/>
  <c r="V8" i="3"/>
  <c r="U8" i="3"/>
  <c r="AA10" i="1"/>
  <c r="AC26" i="24" l="1"/>
  <c r="AF26" i="24"/>
  <c r="D22" i="24"/>
  <c r="D23" i="24"/>
  <c r="AD4" i="24" l="1"/>
  <c r="AD5" i="24"/>
  <c r="AD23" i="24" s="1"/>
  <c r="AD15" i="24"/>
  <c r="AD14" i="24"/>
  <c r="U21" i="1"/>
  <c r="AP21" i="1"/>
  <c r="AO21" i="1"/>
  <c r="AN21" i="1"/>
  <c r="AM21" i="1"/>
  <c r="AL21" i="1"/>
  <c r="AK21" i="1"/>
  <c r="AJ21" i="1"/>
  <c r="AI21" i="1"/>
  <c r="AH21" i="1"/>
  <c r="AG21" i="1"/>
  <c r="W21" i="1"/>
  <c r="R21" i="1"/>
  <c r="S21" i="1"/>
  <c r="P21" i="1"/>
  <c r="K21" i="1"/>
  <c r="L21" i="1"/>
  <c r="J21" i="1"/>
  <c r="C19" i="25" l="1"/>
  <c r="B19" i="25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3" i="24" s="1"/>
  <c r="L5" i="24"/>
  <c r="AF5" i="24" s="1"/>
  <c r="M5" i="24"/>
  <c r="G5" i="24"/>
  <c r="AA5" i="24" s="1"/>
  <c r="G23" i="24" s="1"/>
  <c r="E5" i="24"/>
  <c r="E23" i="24" s="1"/>
  <c r="Y23" i="24" s="1"/>
  <c r="H4" i="24"/>
  <c r="I4" i="24"/>
  <c r="AC4" i="24" s="1"/>
  <c r="I22" i="24" s="1"/>
  <c r="J4" i="24"/>
  <c r="K4" i="24"/>
  <c r="AE4" i="24" s="1"/>
  <c r="K22" i="24" s="1"/>
  <c r="L4" i="24"/>
  <c r="AF4" i="24" s="1"/>
  <c r="L22" i="24" s="1"/>
  <c r="M4" i="24"/>
  <c r="AG4" i="24" s="1"/>
  <c r="M22" i="24" s="1"/>
  <c r="G4" i="24"/>
  <c r="AA4" i="24" s="1"/>
  <c r="G22" i="24" s="1"/>
  <c r="E4" i="24"/>
  <c r="E22" i="24" s="1"/>
  <c r="H13" i="24"/>
  <c r="I13" i="24"/>
  <c r="AC13" i="24" s="1"/>
  <c r="I31" i="24" s="1"/>
  <c r="J13" i="24"/>
  <c r="K13" i="24"/>
  <c r="AE13" i="24" s="1"/>
  <c r="K31" i="24" s="1"/>
  <c r="M13" i="24"/>
  <c r="AG13" i="24" s="1"/>
  <c r="M31" i="24" s="1"/>
  <c r="H14" i="24"/>
  <c r="I14" i="24"/>
  <c r="AC14" i="24" s="1"/>
  <c r="I32" i="24" s="1"/>
  <c r="J14" i="24"/>
  <c r="K14" i="24"/>
  <c r="AE14" i="24" s="1"/>
  <c r="K32" i="24" s="1"/>
  <c r="M14" i="24"/>
  <c r="AG14" i="24" s="1"/>
  <c r="M32" i="24" s="1"/>
  <c r="H15" i="24"/>
  <c r="I15" i="24"/>
  <c r="AC15" i="24" s="1"/>
  <c r="I33" i="24" s="1"/>
  <c r="J15" i="24"/>
  <c r="M15" i="24"/>
  <c r="AG15" i="24" s="1"/>
  <c r="M33" i="24" s="1"/>
  <c r="H9" i="24"/>
  <c r="I9" i="24"/>
  <c r="AC9" i="24" s="1"/>
  <c r="I27" i="24" s="1"/>
  <c r="J9" i="24"/>
  <c r="M9" i="24"/>
  <c r="AG9" i="24" s="1"/>
  <c r="M27" i="24" s="1"/>
  <c r="H10" i="24"/>
  <c r="I10" i="24"/>
  <c r="AC10" i="24" s="1"/>
  <c r="I28" i="24" s="1"/>
  <c r="J10" i="24"/>
  <c r="M10" i="24"/>
  <c r="AG10" i="24" s="1"/>
  <c r="M28" i="24" s="1"/>
  <c r="G15" i="24"/>
  <c r="AA15" i="24" s="1"/>
  <c r="G33" i="24" s="1"/>
  <c r="G14" i="24"/>
  <c r="AA14" i="24" s="1"/>
  <c r="G32" i="24" s="1"/>
  <c r="G13" i="24"/>
  <c r="AA13" i="24" s="1"/>
  <c r="G31" i="24" s="1"/>
  <c r="G10" i="24"/>
  <c r="AA10" i="24" s="1"/>
  <c r="G28" i="24" s="1"/>
  <c r="G9" i="24"/>
  <c r="AA9" i="24" s="1"/>
  <c r="G27" i="24" s="1"/>
  <c r="E15" i="24"/>
  <c r="E33" i="24" s="1"/>
  <c r="E14" i="24"/>
  <c r="E32" i="24" s="1"/>
  <c r="Y32" i="24" s="1"/>
  <c r="E13" i="24"/>
  <c r="E31" i="24" s="1"/>
  <c r="E10" i="24"/>
  <c r="E28" i="24" s="1"/>
  <c r="E9" i="24"/>
  <c r="E27" i="24" s="1"/>
  <c r="AL36" i="24"/>
  <c r="AN34" i="24"/>
  <c r="AN33" i="24"/>
  <c r="AL33" i="24"/>
  <c r="AK33" i="24"/>
  <c r="AL32" i="24"/>
  <c r="AL28" i="24"/>
  <c r="AD28" i="24"/>
  <c r="AN27" i="24"/>
  <c r="AL27" i="24"/>
  <c r="AD27" i="24"/>
  <c r="AN26" i="24"/>
  <c r="AK26" i="24"/>
  <c r="AL26" i="24"/>
  <c r="AN25" i="24"/>
  <c r="AK25" i="24"/>
  <c r="AN24" i="24"/>
  <c r="AK24" i="24"/>
  <c r="AI24" i="24"/>
  <c r="AN23" i="24"/>
  <c r="AK23" i="24"/>
  <c r="AN22" i="24"/>
  <c r="AL22" i="24"/>
  <c r="AI21" i="24"/>
  <c r="AH19" i="24"/>
  <c r="AN21" i="24"/>
  <c r="Z20" i="24"/>
  <c r="Y20" i="24"/>
  <c r="F20" i="24"/>
  <c r="E20" i="24"/>
  <c r="D20" i="24"/>
  <c r="AN36" i="24"/>
  <c r="AK36" i="24"/>
  <c r="AJ36" i="24"/>
  <c r="AG18" i="24"/>
  <c r="AF18" i="24"/>
  <c r="AF36" i="24" s="1"/>
  <c r="AE18" i="24"/>
  <c r="AD18" i="24"/>
  <c r="AD36" i="24" s="1"/>
  <c r="AC18" i="24"/>
  <c r="AC36" i="24" s="1"/>
  <c r="AB18" i="24"/>
  <c r="AB36" i="24" s="1"/>
  <c r="AA18" i="24"/>
  <c r="AA36" i="24" s="1"/>
  <c r="V18" i="24"/>
  <c r="AP17" i="24"/>
  <c r="AN35" i="24"/>
  <c r="AL35" i="24"/>
  <c r="AK35" i="24"/>
  <c r="AJ35" i="24"/>
  <c r="AI35" i="24"/>
  <c r="AG17" i="24"/>
  <c r="AF17" i="24"/>
  <c r="AF35" i="24" s="1"/>
  <c r="AE17" i="24"/>
  <c r="AD17" i="24"/>
  <c r="AD35" i="24" s="1"/>
  <c r="AC17" i="24"/>
  <c r="AC35" i="24" s="1"/>
  <c r="AB17" i="24"/>
  <c r="AB35" i="24" s="1"/>
  <c r="AA17" i="24"/>
  <c r="AA35" i="24" s="1"/>
  <c r="V17" i="24"/>
  <c r="AL34" i="24"/>
  <c r="AK34" i="24"/>
  <c r="P34" i="24"/>
  <c r="AJ34" i="24" s="1"/>
  <c r="O34" i="24"/>
  <c r="AI34" i="24" s="1"/>
  <c r="AG16" i="24"/>
  <c r="AF16" i="24"/>
  <c r="AF34" i="24" s="1"/>
  <c r="AE16" i="24"/>
  <c r="AD16" i="24"/>
  <c r="AD34" i="24" s="1"/>
  <c r="AC16" i="24"/>
  <c r="AC34" i="24" s="1"/>
  <c r="AB16" i="24"/>
  <c r="AB34" i="24" s="1"/>
  <c r="AA16" i="24"/>
  <c r="AA34" i="24" s="1"/>
  <c r="V16" i="24"/>
  <c r="AI33" i="24"/>
  <c r="AD33" i="24"/>
  <c r="V15" i="24"/>
  <c r="AE15" i="1" s="1"/>
  <c r="AN32" i="24"/>
  <c r="AK32" i="24"/>
  <c r="AD32" i="24"/>
  <c r="V14" i="24"/>
  <c r="AE12" i="1" s="1"/>
  <c r="AN31" i="24"/>
  <c r="AL31" i="24"/>
  <c r="AK31" i="24"/>
  <c r="AD31" i="24"/>
  <c r="V13" i="24"/>
  <c r="AE14" i="1" s="1"/>
  <c r="AN30" i="24"/>
  <c r="AL30" i="24"/>
  <c r="AK30" i="24"/>
  <c r="AG12" i="24"/>
  <c r="AF12" i="24"/>
  <c r="AF30" i="24" s="1"/>
  <c r="AE12" i="24"/>
  <c r="AD12" i="24"/>
  <c r="AD30" i="24" s="1"/>
  <c r="AC12" i="24"/>
  <c r="AC30" i="24" s="1"/>
  <c r="AB12" i="24"/>
  <c r="AA12" i="24"/>
  <c r="AA30" i="24" s="1"/>
  <c r="V12" i="24"/>
  <c r="AN29" i="24"/>
  <c r="AL29" i="24"/>
  <c r="AK29" i="24"/>
  <c r="AI29" i="24"/>
  <c r="AG11" i="24"/>
  <c r="AF11" i="24"/>
  <c r="AF29" i="24" s="1"/>
  <c r="AE11" i="24"/>
  <c r="AD11" i="24"/>
  <c r="AD29" i="24" s="1"/>
  <c r="AC11" i="24"/>
  <c r="AC29" i="24" s="1"/>
  <c r="AB11" i="24"/>
  <c r="AA11" i="24"/>
  <c r="AA29" i="24" s="1"/>
  <c r="V11" i="24"/>
  <c r="AN28" i="24"/>
  <c r="AI28" i="24"/>
  <c r="V10" i="24"/>
  <c r="AE13" i="1" s="1"/>
  <c r="AK27" i="24"/>
  <c r="AI27" i="24"/>
  <c r="V9" i="24"/>
  <c r="AE11" i="1" s="1"/>
  <c r="AG8" i="24"/>
  <c r="AF8" i="24"/>
  <c r="AE8" i="24"/>
  <c r="AD8" i="24"/>
  <c r="AD26" i="24" s="1"/>
  <c r="AC8" i="24"/>
  <c r="AB8" i="24"/>
  <c r="AA8" i="24"/>
  <c r="AA26" i="24" s="1"/>
  <c r="V8" i="24"/>
  <c r="AL25" i="24"/>
  <c r="AG7" i="24"/>
  <c r="M25" i="24" s="1"/>
  <c r="AF7" i="24"/>
  <c r="AE7" i="24"/>
  <c r="K25" i="24" s="1"/>
  <c r="AD7" i="24"/>
  <c r="J25" i="24" s="1"/>
  <c r="AC7" i="24"/>
  <c r="AA7" i="24"/>
  <c r="G25" i="24" s="1"/>
  <c r="V7" i="24"/>
  <c r="AE9" i="1" s="1"/>
  <c r="AL24" i="24"/>
  <c r="AG6" i="24"/>
  <c r="M24" i="24" s="1"/>
  <c r="AF6" i="24"/>
  <c r="AE6" i="24"/>
  <c r="K24" i="24" s="1"/>
  <c r="AC6" i="24"/>
  <c r="AA6" i="24"/>
  <c r="G24" i="24" s="1"/>
  <c r="V6" i="24"/>
  <c r="AE7" i="1" s="1"/>
  <c r="AL23" i="24"/>
  <c r="AG5" i="24"/>
  <c r="M23" i="24" s="1"/>
  <c r="V5" i="24"/>
  <c r="AE8" i="1" s="1"/>
  <c r="AK22" i="24"/>
  <c r="AD22" i="24"/>
  <c r="V4" i="24"/>
  <c r="AE6" i="1" s="1"/>
  <c r="AO3" i="24"/>
  <c r="AN3" i="24"/>
  <c r="AM3" i="24"/>
  <c r="AM21" i="24" s="1"/>
  <c r="AL3" i="24"/>
  <c r="AL21" i="24" s="1"/>
  <c r="AK3" i="24"/>
  <c r="AI3" i="24"/>
  <c r="AP3" i="24" s="1"/>
  <c r="AG3" i="24"/>
  <c r="M21" i="24" s="1"/>
  <c r="AF3" i="24"/>
  <c r="AE3" i="24"/>
  <c r="AD3" i="24"/>
  <c r="AC3" i="24"/>
  <c r="AA3" i="24"/>
  <c r="G21" i="24" s="1"/>
  <c r="AA21" i="24" s="1"/>
  <c r="V3" i="24"/>
  <c r="AE4" i="1" s="1"/>
  <c r="AH1" i="24"/>
  <c r="D19" i="25" l="1"/>
  <c r="F19" i="25" s="1"/>
  <c r="L24" i="24"/>
  <c r="AF24" i="24" s="1"/>
  <c r="L23" i="24"/>
  <c r="AF23" i="24" s="1"/>
  <c r="L25" i="24"/>
  <c r="AF25" i="24" s="1"/>
  <c r="I21" i="24"/>
  <c r="AC21" i="24" s="1"/>
  <c r="J21" i="24"/>
  <c r="AD21" i="24" s="1"/>
  <c r="L21" i="24"/>
  <c r="AF21" i="24" s="1"/>
  <c r="I25" i="24"/>
  <c r="AC25" i="24" s="1"/>
  <c r="K21" i="24"/>
  <c r="AE21" i="24" s="1"/>
  <c r="I24" i="24"/>
  <c r="AC24" i="24" s="1"/>
  <c r="I23" i="24"/>
  <c r="AC23" i="24" s="1"/>
  <c r="AP15" i="24"/>
  <c r="AP14" i="24"/>
  <c r="AP7" i="24"/>
  <c r="AA25" i="24"/>
  <c r="AD25" i="24"/>
  <c r="AD24" i="24"/>
  <c r="AA24" i="24"/>
  <c r="AA22" i="24"/>
  <c r="AA32" i="24"/>
  <c r="AA33" i="24"/>
  <c r="AC22" i="24"/>
  <c r="AC28" i="24"/>
  <c r="AC33" i="24"/>
  <c r="AC27" i="24"/>
  <c r="AA27" i="24"/>
  <c r="AC32" i="24"/>
  <c r="AA28" i="24"/>
  <c r="AC31" i="24"/>
  <c r="AA23" i="24"/>
  <c r="AF22" i="24"/>
  <c r="AA31" i="24"/>
  <c r="N1" i="24"/>
  <c r="N19" i="24"/>
  <c r="AP35" i="24"/>
  <c r="AP24" i="24"/>
  <c r="AI23" i="24"/>
  <c r="V23" i="24"/>
  <c r="AK21" i="24"/>
  <c r="V21" i="24"/>
  <c r="AI31" i="24"/>
  <c r="V31" i="24"/>
  <c r="AP34" i="24"/>
  <c r="AI22" i="24"/>
  <c r="V22" i="24"/>
  <c r="V29" i="24"/>
  <c r="AI25" i="24"/>
  <c r="AK28" i="24"/>
  <c r="V28" i="24"/>
  <c r="AP9" i="24"/>
  <c r="V34" i="24"/>
  <c r="AP11" i="24"/>
  <c r="AP12" i="24"/>
  <c r="V24" i="24"/>
  <c r="AP5" i="24"/>
  <c r="AP27" i="24"/>
  <c r="AP6" i="24"/>
  <c r="AP8" i="24"/>
  <c r="V27" i="24"/>
  <c r="V33" i="24"/>
  <c r="V35" i="24"/>
  <c r="AI30" i="24"/>
  <c r="AP30" i="24" s="1"/>
  <c r="V30" i="24"/>
  <c r="AP13" i="24"/>
  <c r="AP16" i="24"/>
  <c r="AP18" i="24"/>
  <c r="AP4" i="24"/>
  <c r="AI36" i="24"/>
  <c r="AP36" i="24" s="1"/>
  <c r="V36" i="24"/>
  <c r="AP29" i="24"/>
  <c r="V26" i="24"/>
  <c r="AI26" i="24"/>
  <c r="AP10" i="24"/>
  <c r="AP33" i="24"/>
  <c r="E19" i="25" l="1"/>
  <c r="AP28" i="24"/>
  <c r="V25" i="24"/>
  <c r="V32" i="24"/>
  <c r="AI32" i="24"/>
  <c r="AP21" i="24"/>
  <c r="AP26" i="24"/>
  <c r="AP22" i="24"/>
  <c r="AP23" i="24"/>
  <c r="AP25" i="24"/>
  <c r="AP31" i="24"/>
  <c r="AP32" i="24" l="1"/>
  <c r="AP6" i="1" l="1"/>
  <c r="W6" i="1"/>
  <c r="U6" i="1"/>
  <c r="S6" i="1"/>
  <c r="R6" i="1"/>
  <c r="P6" i="1"/>
  <c r="N6" i="1"/>
  <c r="I5" i="3" s="1"/>
  <c r="J6" i="1"/>
  <c r="K6" i="1"/>
  <c r="L6" i="1"/>
  <c r="Z5" i="3" l="1"/>
  <c r="AB5" i="3" s="1"/>
  <c r="AH5" i="3"/>
  <c r="AP5" i="3"/>
  <c r="AR5" i="3" s="1"/>
  <c r="AX5" i="3"/>
  <c r="BF5" i="3"/>
  <c r="BN5" i="3"/>
  <c r="BV5" i="3"/>
  <c r="AJ5" i="3"/>
  <c r="AZ5" i="3"/>
  <c r="BH5" i="3"/>
  <c r="BP5" i="3"/>
  <c r="BX5" i="3"/>
  <c r="AC5" i="3"/>
  <c r="AK5" i="3"/>
  <c r="AS5" i="3"/>
  <c r="BA5" i="3"/>
  <c r="BC5" i="3" s="1"/>
  <c r="BI5" i="3"/>
  <c r="BQ5" i="3"/>
  <c r="BY5" i="3"/>
  <c r="CA5" i="3" s="1"/>
  <c r="AD5" i="3"/>
  <c r="AF5" i="3" s="1"/>
  <c r="AL5" i="3"/>
  <c r="AT5" i="3"/>
  <c r="AV5" i="3" s="1"/>
  <c r="BB5" i="3"/>
  <c r="BJ5" i="3"/>
  <c r="BR5" i="3"/>
  <c r="BZ5" i="3"/>
  <c r="X5" i="3"/>
  <c r="AN5" i="3"/>
  <c r="BD5" i="3"/>
  <c r="BL5" i="3"/>
  <c r="BT5" i="3"/>
  <c r="CB5" i="3"/>
  <c r="CD5" i="3" s="1"/>
  <c r="AE5" i="3"/>
  <c r="BU5" i="3"/>
  <c r="AG5" i="3"/>
  <c r="BW5" i="3"/>
  <c r="AI5" i="3"/>
  <c r="BE5" i="3"/>
  <c r="AM5" i="3"/>
  <c r="BG5" i="3"/>
  <c r="CC5" i="3"/>
  <c r="AO5" i="3"/>
  <c r="BK5" i="3"/>
  <c r="CE5" i="3"/>
  <c r="AU5" i="3"/>
  <c r="BO5" i="3"/>
  <c r="AA5" i="3"/>
  <c r="AW5" i="3"/>
  <c r="AY5" i="3" s="1"/>
  <c r="BS5" i="3"/>
  <c r="W5" i="3"/>
  <c r="Y5" i="3" s="1"/>
  <c r="BM5" i="3"/>
  <c r="AQ5" i="3"/>
  <c r="U5" i="3"/>
  <c r="V5" i="3"/>
  <c r="AH6" i="1"/>
  <c r="B4" i="25"/>
  <c r="I6" i="25" s="1"/>
  <c r="I17" i="25" s="1"/>
  <c r="C4" i="25"/>
  <c r="J6" i="25" s="1"/>
  <c r="J17" i="25" s="1"/>
  <c r="AK6" i="1"/>
  <c r="AN6" i="1"/>
  <c r="AI6" i="1"/>
  <c r="AL6" i="1"/>
  <c r="AJ6" i="1"/>
  <c r="AM6" i="1"/>
  <c r="AG6" i="1"/>
  <c r="AO6" i="1"/>
  <c r="K17" i="25" l="1"/>
  <c r="K6" i="25"/>
  <c r="D4" i="25"/>
  <c r="W8" i="1"/>
  <c r="U8" i="1"/>
  <c r="AP8" i="1"/>
  <c r="R8" i="1"/>
  <c r="S8" i="1"/>
  <c r="P8" i="1"/>
  <c r="N8" i="1"/>
  <c r="I7" i="3" s="1"/>
  <c r="J8" i="1"/>
  <c r="K8" i="1"/>
  <c r="L8" i="1"/>
  <c r="X7" i="3" l="1"/>
  <c r="AN7" i="3"/>
  <c r="BD7" i="3"/>
  <c r="BL7" i="3"/>
  <c r="BT7" i="3"/>
  <c r="CB7" i="3"/>
  <c r="CD7" i="3" s="1"/>
  <c r="Z7" i="3"/>
  <c r="AB7" i="3" s="1"/>
  <c r="AH7" i="3"/>
  <c r="AP7" i="3"/>
  <c r="AR7" i="3" s="1"/>
  <c r="AX7" i="3"/>
  <c r="BF7" i="3"/>
  <c r="BN7" i="3"/>
  <c r="BV7" i="3"/>
  <c r="AA7" i="3"/>
  <c r="AI7" i="3"/>
  <c r="AQ7" i="3"/>
  <c r="BG7" i="3"/>
  <c r="BO7" i="3"/>
  <c r="BW7" i="3"/>
  <c r="CE7" i="3"/>
  <c r="AJ7" i="3"/>
  <c r="AZ7" i="3"/>
  <c r="BH7" i="3"/>
  <c r="BP7" i="3"/>
  <c r="BX7" i="3"/>
  <c r="AD7" i="3"/>
  <c r="AF7" i="3" s="1"/>
  <c r="AL7" i="3"/>
  <c r="AT7" i="3"/>
  <c r="AV7" i="3" s="1"/>
  <c r="BB7" i="3"/>
  <c r="BJ7" i="3"/>
  <c r="BR7" i="3"/>
  <c r="BZ7" i="3"/>
  <c r="AG7" i="3"/>
  <c r="BY7" i="3"/>
  <c r="CA7" i="3" s="1"/>
  <c r="AK7" i="3"/>
  <c r="BE7" i="3"/>
  <c r="AM7" i="3"/>
  <c r="BI7" i="3"/>
  <c r="CC7" i="3"/>
  <c r="AO7" i="3"/>
  <c r="BK7" i="3"/>
  <c r="W7" i="3"/>
  <c r="Y7" i="3" s="1"/>
  <c r="AS7" i="3"/>
  <c r="BM7" i="3"/>
  <c r="AU7" i="3"/>
  <c r="BQ7" i="3"/>
  <c r="AE7" i="3"/>
  <c r="BA7" i="3"/>
  <c r="BC7" i="3" s="1"/>
  <c r="BU7" i="3"/>
  <c r="BS7" i="3"/>
  <c r="AW7" i="3"/>
  <c r="AY7" i="3" s="1"/>
  <c r="AC7" i="3"/>
  <c r="U7" i="3"/>
  <c r="V7" i="3"/>
  <c r="E4" i="25"/>
  <c r="L6" i="25" s="1"/>
  <c r="F4" i="25"/>
  <c r="M6" i="25" s="1"/>
  <c r="AG8" i="1"/>
  <c r="C6" i="25"/>
  <c r="J2" i="25" s="1"/>
  <c r="J13" i="25" s="1"/>
  <c r="B6" i="25"/>
  <c r="I2" i="25" s="1"/>
  <c r="I13" i="25" s="1"/>
  <c r="AM8" i="1"/>
  <c r="AK8" i="1"/>
  <c r="AJ8" i="1"/>
  <c r="AN8" i="1"/>
  <c r="AI8" i="1"/>
  <c r="AH8" i="1"/>
  <c r="AL8" i="1"/>
  <c r="AO8" i="1"/>
  <c r="Q13" i="25" l="1"/>
  <c r="K2" i="25"/>
  <c r="S4" i="25"/>
  <c r="Q2" i="25"/>
  <c r="P2" i="25"/>
  <c r="P13" i="25"/>
  <c r="T4" i="25"/>
  <c r="D6" i="25"/>
  <c r="AF2" i="1"/>
  <c r="AE2" i="1"/>
  <c r="AD2" i="1"/>
  <c r="R2" i="25" l="1"/>
  <c r="K13" i="25"/>
  <c r="E6" i="25"/>
  <c r="L2" i="25" s="1"/>
  <c r="F6" i="25"/>
  <c r="M2" i="25" s="1"/>
  <c r="AP7" i="1"/>
  <c r="AG7" i="1"/>
  <c r="AH7" i="1"/>
  <c r="AI7" i="1"/>
  <c r="AJ7" i="1"/>
  <c r="AK7" i="1"/>
  <c r="AL7" i="1"/>
  <c r="AM7" i="1"/>
  <c r="AN7" i="1"/>
  <c r="AO7" i="1"/>
  <c r="U7" i="1"/>
  <c r="W7" i="1"/>
  <c r="R7" i="1"/>
  <c r="S7" i="1"/>
  <c r="P7" i="1"/>
  <c r="J7" i="1"/>
  <c r="K7" i="1"/>
  <c r="L7" i="1"/>
  <c r="B5" i="25" l="1"/>
  <c r="I5" i="25" s="1"/>
  <c r="I16" i="25" s="1"/>
  <c r="C5" i="25"/>
  <c r="J5" i="25" s="1"/>
  <c r="J16" i="25" s="1"/>
  <c r="A3" i="3"/>
  <c r="B3" i="3"/>
  <c r="E3" i="3"/>
  <c r="F3" i="3"/>
  <c r="G3" i="3" s="1"/>
  <c r="J3" i="3"/>
  <c r="K3" i="3"/>
  <c r="L3" i="3"/>
  <c r="M3" i="3"/>
  <c r="N3" i="3"/>
  <c r="O3" i="3"/>
  <c r="P3" i="3"/>
  <c r="Q3" i="3"/>
  <c r="Q16" i="25" l="1"/>
  <c r="K5" i="25"/>
  <c r="Q5" i="25"/>
  <c r="P5" i="25"/>
  <c r="P16" i="25"/>
  <c r="D5" i="25"/>
  <c r="R3" i="3"/>
  <c r="T3" i="3"/>
  <c r="H3" i="3"/>
  <c r="S3" i="3"/>
  <c r="CE3" i="3"/>
  <c r="AP19" i="1"/>
  <c r="AG19" i="1"/>
  <c r="AH19" i="1"/>
  <c r="AI19" i="1"/>
  <c r="AJ19" i="1"/>
  <c r="AK19" i="1"/>
  <c r="AL19" i="1"/>
  <c r="AM19" i="1"/>
  <c r="AN19" i="1"/>
  <c r="AO19" i="1"/>
  <c r="U19" i="1"/>
  <c r="W19" i="1"/>
  <c r="R19" i="1"/>
  <c r="S19" i="1"/>
  <c r="P19" i="1"/>
  <c r="J19" i="1"/>
  <c r="K19" i="1"/>
  <c r="L19" i="1"/>
  <c r="AP4" i="1"/>
  <c r="AG4" i="1"/>
  <c r="AH4" i="1"/>
  <c r="AI4" i="1"/>
  <c r="AJ4" i="1"/>
  <c r="AK4" i="1"/>
  <c r="AL4" i="1"/>
  <c r="AM4" i="1"/>
  <c r="AN4" i="1"/>
  <c r="AO4" i="1"/>
  <c r="U4" i="1"/>
  <c r="W4" i="1"/>
  <c r="R4" i="1"/>
  <c r="S4" i="1"/>
  <c r="P4" i="1"/>
  <c r="J4" i="1"/>
  <c r="K4" i="1"/>
  <c r="L4" i="1"/>
  <c r="K16" i="25" l="1"/>
  <c r="R5" i="25"/>
  <c r="F5" i="25"/>
  <c r="M5" i="25" s="1"/>
  <c r="E5" i="25"/>
  <c r="L5" i="25" s="1"/>
  <c r="C2" i="25"/>
  <c r="B2" i="25"/>
  <c r="B17" i="25"/>
  <c r="C17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P5" i="1"/>
  <c r="W5" i="1"/>
  <c r="R5" i="1"/>
  <c r="S5" i="1"/>
  <c r="P5" i="1"/>
  <c r="N5" i="1"/>
  <c r="I4" i="3" s="1"/>
  <c r="J5" i="1"/>
  <c r="K5" i="1"/>
  <c r="L5" i="1"/>
  <c r="W4" i="3" l="1"/>
  <c r="Y4" i="3" s="1"/>
  <c r="AE4" i="3"/>
  <c r="AM4" i="3"/>
  <c r="AU4" i="3"/>
  <c r="BK4" i="3"/>
  <c r="BS4" i="3"/>
  <c r="AG4" i="3"/>
  <c r="AO4" i="3"/>
  <c r="AW4" i="3"/>
  <c r="AY4" i="3" s="1"/>
  <c r="BE4" i="3"/>
  <c r="BM4" i="3"/>
  <c r="BU4" i="3"/>
  <c r="CC4" i="3"/>
  <c r="Z4" i="3"/>
  <c r="AB4" i="3" s="1"/>
  <c r="AH4" i="3"/>
  <c r="AP4" i="3"/>
  <c r="AR4" i="3" s="1"/>
  <c r="AX4" i="3"/>
  <c r="BF4" i="3"/>
  <c r="BN4" i="3"/>
  <c r="BV4" i="3"/>
  <c r="AA4" i="3"/>
  <c r="AI4" i="3"/>
  <c r="AQ4" i="3"/>
  <c r="BG4" i="3"/>
  <c r="BO4" i="3"/>
  <c r="BW4" i="3"/>
  <c r="CE4" i="3"/>
  <c r="AC4" i="3"/>
  <c r="AK4" i="3"/>
  <c r="AS4" i="3"/>
  <c r="BA4" i="3"/>
  <c r="BC4" i="3" s="1"/>
  <c r="BI4" i="3"/>
  <c r="BQ4" i="3"/>
  <c r="BY4" i="3"/>
  <c r="CA4" i="3" s="1"/>
  <c r="AT4" i="3"/>
  <c r="AV4" i="3" s="1"/>
  <c r="BR4" i="3"/>
  <c r="BH4" i="3"/>
  <c r="AD4" i="3"/>
  <c r="AF4" i="3" s="1"/>
  <c r="AZ4" i="3"/>
  <c r="BT4" i="3"/>
  <c r="CB4" i="3"/>
  <c r="CD4" i="3" s="1"/>
  <c r="BB4" i="3"/>
  <c r="BX4" i="3"/>
  <c r="AL4" i="3"/>
  <c r="AJ4" i="3"/>
  <c r="BD4" i="3"/>
  <c r="BZ4" i="3"/>
  <c r="BL4" i="3"/>
  <c r="X4" i="3"/>
  <c r="BP4" i="3"/>
  <c r="AN4" i="3"/>
  <c r="BJ4" i="3"/>
  <c r="U4" i="3"/>
  <c r="V4" i="3"/>
  <c r="R13" i="25"/>
  <c r="D17" i="25"/>
  <c r="B3" i="25"/>
  <c r="C3" i="25"/>
  <c r="AG5" i="1"/>
  <c r="AO5" i="1"/>
  <c r="AN5" i="1"/>
  <c r="AM5" i="1"/>
  <c r="AL5" i="1"/>
  <c r="AK5" i="1"/>
  <c r="AJ5" i="1"/>
  <c r="AI5" i="1"/>
  <c r="AH5" i="1"/>
  <c r="AC18" i="1"/>
  <c r="AC15" i="1"/>
  <c r="L15" i="24" s="1"/>
  <c r="AF15" i="24" s="1"/>
  <c r="L33" i="24" s="1"/>
  <c r="AC14" i="1"/>
  <c r="L13" i="24" s="1"/>
  <c r="AF13" i="24" s="1"/>
  <c r="L31" i="24" s="1"/>
  <c r="AC10" i="1"/>
  <c r="AC11" i="1"/>
  <c r="L9" i="24" s="1"/>
  <c r="AF9" i="24" s="1"/>
  <c r="L27" i="24" s="1"/>
  <c r="AC13" i="1"/>
  <c r="L10" i="24" s="1"/>
  <c r="AF10" i="24" s="1"/>
  <c r="L28" i="24" s="1"/>
  <c r="AC12" i="1"/>
  <c r="L14" i="24" s="1"/>
  <c r="AF14" i="24" s="1"/>
  <c r="L32" i="24" s="1"/>
  <c r="E17" i="25" l="1"/>
  <c r="F17" i="25"/>
  <c r="D3" i="25"/>
  <c r="F3" i="25" s="1"/>
  <c r="AF32" i="24"/>
  <c r="AF31" i="24"/>
  <c r="AF28" i="24"/>
  <c r="AF27" i="24"/>
  <c r="AF33" i="24"/>
  <c r="AI20" i="1"/>
  <c r="AI14" i="1"/>
  <c r="E3" i="25" l="1"/>
  <c r="AB18" i="1"/>
  <c r="AB15" i="1"/>
  <c r="K15" i="24" s="1"/>
  <c r="AE15" i="24" s="1"/>
  <c r="K33" i="24" s="1"/>
  <c r="AB11" i="1"/>
  <c r="K9" i="24" s="1"/>
  <c r="AE9" i="24" s="1"/>
  <c r="K27" i="24" s="1"/>
  <c r="AB13" i="1"/>
  <c r="K10" i="24" s="1"/>
  <c r="AE10" i="24" s="1"/>
  <c r="K28" i="24" s="1"/>
  <c r="N11" i="1" l="1"/>
  <c r="I10" i="3" s="1"/>
  <c r="AP11" i="1"/>
  <c r="U11" i="1"/>
  <c r="W11" i="1"/>
  <c r="R11" i="1"/>
  <c r="S11" i="1"/>
  <c r="P11" i="1"/>
  <c r="J11" i="1"/>
  <c r="K11" i="1"/>
  <c r="L11" i="1"/>
  <c r="U10" i="3" l="1"/>
  <c r="V10" i="3" s="1"/>
  <c r="AG10" i="3"/>
  <c r="AO10" i="3"/>
  <c r="AW10" i="3"/>
  <c r="AY10" i="3" s="1"/>
  <c r="BE10" i="3"/>
  <c r="BM10" i="3"/>
  <c r="BU10" i="3"/>
  <c r="CC10" i="3"/>
  <c r="AA10" i="3"/>
  <c r="AI10" i="3"/>
  <c r="AQ10" i="3"/>
  <c r="BG10" i="3"/>
  <c r="BO10" i="3"/>
  <c r="BW10" i="3"/>
  <c r="CE10" i="3"/>
  <c r="AJ10" i="3"/>
  <c r="AZ10" i="3"/>
  <c r="BH10" i="3"/>
  <c r="BP10" i="3"/>
  <c r="BX10" i="3"/>
  <c r="AC10" i="3"/>
  <c r="AK10" i="3"/>
  <c r="AS10" i="3"/>
  <c r="BA10" i="3"/>
  <c r="BC10" i="3" s="1"/>
  <c r="BI10" i="3"/>
  <c r="BQ10" i="3"/>
  <c r="BY10" i="3"/>
  <c r="CA10" i="3" s="1"/>
  <c r="W10" i="3"/>
  <c r="Y10" i="3" s="1"/>
  <c r="AE10" i="3"/>
  <c r="AM10" i="3"/>
  <c r="AU10" i="3"/>
  <c r="BK10" i="3"/>
  <c r="BS10" i="3"/>
  <c r="AP10" i="3"/>
  <c r="AR10" i="3" s="1"/>
  <c r="X10" i="3"/>
  <c r="AT10" i="3"/>
  <c r="AV10" i="3" s="1"/>
  <c r="BN10" i="3"/>
  <c r="Z10" i="3"/>
  <c r="AB10" i="3" s="1"/>
  <c r="BR10" i="3"/>
  <c r="BZ10" i="3"/>
  <c r="AD10" i="3"/>
  <c r="AF10" i="3" s="1"/>
  <c r="AX10" i="3"/>
  <c r="BT10" i="3"/>
  <c r="BB10" i="3"/>
  <c r="BV10" i="3"/>
  <c r="AH10" i="3"/>
  <c r="BD10" i="3"/>
  <c r="AN10" i="3"/>
  <c r="BJ10" i="3"/>
  <c r="BL10" i="3"/>
  <c r="BF10" i="3"/>
  <c r="CB10" i="3"/>
  <c r="CD10" i="3" s="1"/>
  <c r="AL10" i="3"/>
  <c r="B9" i="25"/>
  <c r="C9" i="25"/>
  <c r="AJ11" i="1"/>
  <c r="AI11" i="1"/>
  <c r="AN11" i="1"/>
  <c r="AM11" i="1"/>
  <c r="AL11" i="1"/>
  <c r="AO11" i="1"/>
  <c r="AH11" i="1"/>
  <c r="AG11" i="1"/>
  <c r="AK11" i="1"/>
  <c r="D9" i="25" l="1"/>
  <c r="E9" i="25" s="1"/>
  <c r="U12" i="1"/>
  <c r="AP12" i="1"/>
  <c r="W12" i="1"/>
  <c r="R12" i="1"/>
  <c r="S12" i="1"/>
  <c r="P12" i="1"/>
  <c r="N12" i="1"/>
  <c r="I11" i="3" s="1"/>
  <c r="J12" i="1"/>
  <c r="K12" i="1"/>
  <c r="L12" i="1"/>
  <c r="AJ11" i="3" l="1"/>
  <c r="AZ11" i="3"/>
  <c r="BH11" i="3"/>
  <c r="BP11" i="3"/>
  <c r="BX11" i="3"/>
  <c r="AD11" i="3"/>
  <c r="AF11" i="3" s="1"/>
  <c r="AL11" i="3"/>
  <c r="AT11" i="3"/>
  <c r="AV11" i="3" s="1"/>
  <c r="BB11" i="3"/>
  <c r="BJ11" i="3"/>
  <c r="BR11" i="3"/>
  <c r="BZ11" i="3"/>
  <c r="W11" i="3"/>
  <c r="Y11" i="3" s="1"/>
  <c r="AE11" i="3"/>
  <c r="AM11" i="3"/>
  <c r="AU11" i="3"/>
  <c r="BK11" i="3"/>
  <c r="BS11" i="3"/>
  <c r="X11" i="3"/>
  <c r="AN11" i="3"/>
  <c r="BD11" i="3"/>
  <c r="BL11" i="3"/>
  <c r="BT11" i="3"/>
  <c r="CB11" i="3"/>
  <c r="CD11" i="3" s="1"/>
  <c r="Z11" i="3"/>
  <c r="AB11" i="3" s="1"/>
  <c r="AH11" i="3"/>
  <c r="AP11" i="3"/>
  <c r="AR11" i="3" s="1"/>
  <c r="AX11" i="3"/>
  <c r="BF11" i="3"/>
  <c r="BN11" i="3"/>
  <c r="BV11" i="3"/>
  <c r="AS11" i="3"/>
  <c r="BO11" i="3"/>
  <c r="AA11" i="3"/>
  <c r="AW11" i="3"/>
  <c r="AY11" i="3" s="1"/>
  <c r="BQ11" i="3"/>
  <c r="AK11" i="3"/>
  <c r="AC11" i="3"/>
  <c r="BU11" i="3"/>
  <c r="AG11" i="3"/>
  <c r="BA11" i="3"/>
  <c r="BC11" i="3" s="1"/>
  <c r="BW11" i="3"/>
  <c r="AI11" i="3"/>
  <c r="BE11" i="3"/>
  <c r="BY11" i="3"/>
  <c r="CA11" i="3" s="1"/>
  <c r="CC11" i="3"/>
  <c r="BG11" i="3"/>
  <c r="AQ11" i="3"/>
  <c r="BM11" i="3"/>
  <c r="AO11" i="3"/>
  <c r="BI11" i="3"/>
  <c r="CE11" i="3"/>
  <c r="V11" i="3"/>
  <c r="U11" i="3"/>
  <c r="F9" i="25"/>
  <c r="C10" i="25"/>
  <c r="J4" i="25" s="1"/>
  <c r="J15" i="25" s="1"/>
  <c r="B10" i="25"/>
  <c r="I4" i="25" s="1"/>
  <c r="I15" i="25" s="1"/>
  <c r="AJ12" i="1"/>
  <c r="AI12" i="1"/>
  <c r="AN12" i="1"/>
  <c r="AM12" i="1"/>
  <c r="AL12" i="1"/>
  <c r="AO12" i="1"/>
  <c r="AH12" i="1"/>
  <c r="AG12" i="1"/>
  <c r="AK12" i="1"/>
  <c r="Q15" i="25" l="1"/>
  <c r="K4" i="25"/>
  <c r="P4" i="25"/>
  <c r="P15" i="25"/>
  <c r="Q4" i="25"/>
  <c r="D10" i="25"/>
  <c r="R4" i="25" l="1"/>
  <c r="K15" i="25"/>
  <c r="R15" i="25"/>
  <c r="E10" i="25"/>
  <c r="L4" i="25" s="1"/>
  <c r="F10" i="25"/>
  <c r="M4" i="25" s="1"/>
  <c r="AP15" i="1" l="1"/>
  <c r="W15" i="1"/>
  <c r="U15" i="1"/>
  <c r="S15" i="1"/>
  <c r="R15" i="1"/>
  <c r="P15" i="1"/>
  <c r="N15" i="1"/>
  <c r="I14" i="3" s="1"/>
  <c r="L15" i="1"/>
  <c r="K15" i="1"/>
  <c r="J15" i="1"/>
  <c r="AP14" i="1"/>
  <c r="AO14" i="1"/>
  <c r="AN14" i="1"/>
  <c r="AM14" i="1"/>
  <c r="AK14" i="1"/>
  <c r="AJ14" i="1"/>
  <c r="AH14" i="1"/>
  <c r="AG14" i="1"/>
  <c r="AL14" i="1"/>
  <c r="W14" i="1"/>
  <c r="U14" i="1"/>
  <c r="S14" i="1"/>
  <c r="R14" i="1"/>
  <c r="P14" i="1"/>
  <c r="L14" i="1"/>
  <c r="K14" i="1"/>
  <c r="J14" i="1"/>
  <c r="AP17" i="1"/>
  <c r="W17" i="1"/>
  <c r="U17" i="1"/>
  <c r="S17" i="1"/>
  <c r="R17" i="1"/>
  <c r="P17" i="1"/>
  <c r="N17" i="1"/>
  <c r="I16" i="3" s="1"/>
  <c r="L17" i="1"/>
  <c r="K17" i="1"/>
  <c r="J17" i="1"/>
  <c r="AP18" i="1"/>
  <c r="W18" i="1"/>
  <c r="U18" i="1"/>
  <c r="S18" i="1"/>
  <c r="R18" i="1"/>
  <c r="P18" i="1"/>
  <c r="N18" i="1"/>
  <c r="I17" i="3" s="1"/>
  <c r="L18" i="1"/>
  <c r="K18" i="1"/>
  <c r="J18" i="1"/>
  <c r="AP10" i="1"/>
  <c r="W10" i="1"/>
  <c r="U10" i="1"/>
  <c r="S10" i="1"/>
  <c r="R10" i="1"/>
  <c r="P10" i="1"/>
  <c r="N10" i="1"/>
  <c r="I9" i="3" s="1"/>
  <c r="L10" i="1"/>
  <c r="K10" i="1"/>
  <c r="J10" i="1"/>
  <c r="AP13" i="1"/>
  <c r="W13" i="1"/>
  <c r="U13" i="1"/>
  <c r="S13" i="1"/>
  <c r="R13" i="1"/>
  <c r="P13" i="1"/>
  <c r="N13" i="1"/>
  <c r="I12" i="3" s="1"/>
  <c r="L13" i="1"/>
  <c r="K13" i="1"/>
  <c r="J13" i="1"/>
  <c r="AP20" i="1"/>
  <c r="AO20" i="1"/>
  <c r="AN20" i="1"/>
  <c r="AM20" i="1"/>
  <c r="AL20" i="1"/>
  <c r="AK20" i="1"/>
  <c r="AJ20" i="1"/>
  <c r="AH20" i="1"/>
  <c r="AG20" i="1"/>
  <c r="W20" i="1"/>
  <c r="U20" i="1"/>
  <c r="S20" i="1"/>
  <c r="R20" i="1"/>
  <c r="P20" i="1"/>
  <c r="L20" i="1"/>
  <c r="K20" i="1"/>
  <c r="J20" i="1"/>
  <c r="AP16" i="1"/>
  <c r="W16" i="1"/>
  <c r="U16" i="1"/>
  <c r="S16" i="1"/>
  <c r="R16" i="1"/>
  <c r="P16" i="1"/>
  <c r="N16" i="1"/>
  <c r="I15" i="3" s="1"/>
  <c r="L16" i="1"/>
  <c r="K16" i="1"/>
  <c r="J16" i="1"/>
  <c r="AP9" i="1"/>
  <c r="W9" i="1"/>
  <c r="U9" i="1"/>
  <c r="S9" i="1"/>
  <c r="R9" i="1"/>
  <c r="P9" i="1"/>
  <c r="L9" i="1"/>
  <c r="K9" i="1"/>
  <c r="J9" i="1"/>
  <c r="AD9" i="3" l="1"/>
  <c r="AF9" i="3" s="1"/>
  <c r="AL9" i="3"/>
  <c r="AT9" i="3"/>
  <c r="AV9" i="3" s="1"/>
  <c r="BB9" i="3"/>
  <c r="BJ9" i="3"/>
  <c r="BR9" i="3"/>
  <c r="BZ9" i="3"/>
  <c r="X9" i="3"/>
  <c r="AN9" i="3"/>
  <c r="BD9" i="3"/>
  <c r="BL9" i="3"/>
  <c r="BT9" i="3"/>
  <c r="CB9" i="3"/>
  <c r="CD9" i="3" s="1"/>
  <c r="AG9" i="3"/>
  <c r="AO9" i="3"/>
  <c r="AW9" i="3"/>
  <c r="AY9" i="3" s="1"/>
  <c r="BE9" i="3"/>
  <c r="BM9" i="3"/>
  <c r="BU9" i="3"/>
  <c r="CC9" i="3"/>
  <c r="Z9" i="3"/>
  <c r="AB9" i="3" s="1"/>
  <c r="AH9" i="3"/>
  <c r="AP9" i="3"/>
  <c r="AR9" i="3" s="1"/>
  <c r="AX9" i="3"/>
  <c r="BF9" i="3"/>
  <c r="BN9" i="3"/>
  <c r="BV9" i="3"/>
  <c r="AJ9" i="3"/>
  <c r="AZ9" i="3"/>
  <c r="BH9" i="3"/>
  <c r="BP9" i="3"/>
  <c r="BX9" i="3"/>
  <c r="AM9" i="3"/>
  <c r="BI9" i="3"/>
  <c r="CE9" i="3"/>
  <c r="AQ9" i="3"/>
  <c r="BK9" i="3"/>
  <c r="W9" i="3"/>
  <c r="Y9" i="3" s="1"/>
  <c r="AS9" i="3"/>
  <c r="BO9" i="3"/>
  <c r="AA9" i="3"/>
  <c r="AU9" i="3"/>
  <c r="BQ9" i="3"/>
  <c r="AC9" i="3"/>
  <c r="BS9" i="3"/>
  <c r="AE9" i="3"/>
  <c r="BA9" i="3"/>
  <c r="BC9" i="3" s="1"/>
  <c r="BW9" i="3"/>
  <c r="AK9" i="3"/>
  <c r="BG9" i="3"/>
  <c r="AI9" i="3"/>
  <c r="BY9" i="3"/>
  <c r="CA9" i="3" s="1"/>
  <c r="AG17" i="3"/>
  <c r="AO17" i="3"/>
  <c r="AW17" i="3"/>
  <c r="AY17" i="3" s="1"/>
  <c r="BE17" i="3"/>
  <c r="BM17" i="3"/>
  <c r="BU17" i="3"/>
  <c r="CC17" i="3"/>
  <c r="AC17" i="3"/>
  <c r="Z17" i="3"/>
  <c r="AB17" i="3" s="1"/>
  <c r="AH17" i="3"/>
  <c r="AP17" i="3"/>
  <c r="AR17" i="3" s="1"/>
  <c r="AX17" i="3"/>
  <c r="BF17" i="3"/>
  <c r="BN17" i="3"/>
  <c r="BV17" i="3"/>
  <c r="AA17" i="3"/>
  <c r="AI17" i="3"/>
  <c r="AQ17" i="3"/>
  <c r="BG17" i="3"/>
  <c r="BO17" i="3"/>
  <c r="BW17" i="3"/>
  <c r="CE17" i="3"/>
  <c r="BA17" i="3"/>
  <c r="BC17" i="3" s="1"/>
  <c r="AJ17" i="3"/>
  <c r="AZ17" i="3"/>
  <c r="BH17" i="3"/>
  <c r="BP17" i="3"/>
  <c r="BX17" i="3"/>
  <c r="AK17" i="3"/>
  <c r="W17" i="3"/>
  <c r="Y17" i="3" s="1"/>
  <c r="AE17" i="3"/>
  <c r="AM17" i="3"/>
  <c r="AU17" i="3"/>
  <c r="BK17" i="3"/>
  <c r="BS17" i="3"/>
  <c r="AN17" i="3"/>
  <c r="BL17" i="3"/>
  <c r="AT17" i="3"/>
  <c r="AV17" i="3" s="1"/>
  <c r="BR17" i="3"/>
  <c r="BT17" i="3"/>
  <c r="AL17" i="3"/>
  <c r="AS17" i="3"/>
  <c r="BQ17" i="3"/>
  <c r="X17" i="3"/>
  <c r="BB17" i="3"/>
  <c r="BY17" i="3"/>
  <c r="CA17" i="3" s="1"/>
  <c r="AD17" i="3"/>
  <c r="AF17" i="3" s="1"/>
  <c r="BD17" i="3"/>
  <c r="BZ17" i="3"/>
  <c r="BI17" i="3"/>
  <c r="CB17" i="3"/>
  <c r="CD17" i="3" s="1"/>
  <c r="BJ17" i="3"/>
  <c r="AC14" i="3"/>
  <c r="AK14" i="3"/>
  <c r="AS14" i="3"/>
  <c r="BA14" i="3"/>
  <c r="BC14" i="3" s="1"/>
  <c r="BI14" i="3"/>
  <c r="BQ14" i="3"/>
  <c r="BY14" i="3"/>
  <c r="CA14" i="3" s="1"/>
  <c r="W14" i="3"/>
  <c r="Y14" i="3" s="1"/>
  <c r="AE14" i="3"/>
  <c r="AM14" i="3"/>
  <c r="AU14" i="3"/>
  <c r="BK14" i="3"/>
  <c r="BS14" i="3"/>
  <c r="AG14" i="3"/>
  <c r="AO14" i="3"/>
  <c r="AA14" i="3"/>
  <c r="AI14" i="3"/>
  <c r="AQ14" i="3"/>
  <c r="BG14" i="3"/>
  <c r="BO14" i="3"/>
  <c r="AD14" i="3"/>
  <c r="AF14" i="3" s="1"/>
  <c r="AT14" i="3"/>
  <c r="AV14" i="3" s="1"/>
  <c r="BF14" i="3"/>
  <c r="BT14" i="3"/>
  <c r="AL14" i="3"/>
  <c r="BH14" i="3"/>
  <c r="BU14" i="3"/>
  <c r="CE14" i="3"/>
  <c r="AH14" i="3"/>
  <c r="AW14" i="3"/>
  <c r="AY14" i="3" s="1"/>
  <c r="BJ14" i="3"/>
  <c r="BV14" i="3"/>
  <c r="BM14" i="3"/>
  <c r="AJ14" i="3"/>
  <c r="AX14" i="3"/>
  <c r="BL14" i="3"/>
  <c r="BW14" i="3"/>
  <c r="AZ14" i="3"/>
  <c r="BX14" i="3"/>
  <c r="Z14" i="3"/>
  <c r="AB14" i="3" s="1"/>
  <c r="AP14" i="3"/>
  <c r="AR14" i="3" s="1"/>
  <c r="BD14" i="3"/>
  <c r="BP14" i="3"/>
  <c r="CB14" i="3"/>
  <c r="CD14" i="3" s="1"/>
  <c r="AN14" i="3"/>
  <c r="BE14" i="3"/>
  <c r="BN14" i="3"/>
  <c r="BB14" i="3"/>
  <c r="BR14" i="3"/>
  <c r="BZ14" i="3"/>
  <c r="CC14" i="3"/>
  <c r="X14" i="3"/>
  <c r="AD16" i="3"/>
  <c r="AF16" i="3" s="1"/>
  <c r="AL16" i="3"/>
  <c r="AT16" i="3"/>
  <c r="AV16" i="3" s="1"/>
  <c r="BB16" i="3"/>
  <c r="BJ16" i="3"/>
  <c r="BR16" i="3"/>
  <c r="BZ16" i="3"/>
  <c r="AX16" i="3"/>
  <c r="W16" i="3"/>
  <c r="Y16" i="3" s="1"/>
  <c r="AE16" i="3"/>
  <c r="AM16" i="3"/>
  <c r="AU16" i="3"/>
  <c r="BK16" i="3"/>
  <c r="BS16" i="3"/>
  <c r="BV16" i="3"/>
  <c r="X16" i="3"/>
  <c r="AN16" i="3"/>
  <c r="BD16" i="3"/>
  <c r="BL16" i="3"/>
  <c r="BT16" i="3"/>
  <c r="CB16" i="3"/>
  <c r="CD16" i="3" s="1"/>
  <c r="AP16" i="3"/>
  <c r="AR16" i="3" s="1"/>
  <c r="AG16" i="3"/>
  <c r="AO16" i="3"/>
  <c r="AW16" i="3"/>
  <c r="AY16" i="3" s="1"/>
  <c r="BE16" i="3"/>
  <c r="BM16" i="3"/>
  <c r="BU16" i="3"/>
  <c r="CC16" i="3"/>
  <c r="Z16" i="3"/>
  <c r="AB16" i="3" s="1"/>
  <c r="BF16" i="3"/>
  <c r="AH16" i="3"/>
  <c r="BN16" i="3"/>
  <c r="AJ16" i="3"/>
  <c r="AZ16" i="3"/>
  <c r="BH16" i="3"/>
  <c r="BP16" i="3"/>
  <c r="BX16" i="3"/>
  <c r="AK16" i="3"/>
  <c r="BQ16" i="3"/>
  <c r="AS16" i="3"/>
  <c r="BY16" i="3"/>
  <c r="CA16" i="3" s="1"/>
  <c r="AI16" i="3"/>
  <c r="AQ16" i="3"/>
  <c r="BW16" i="3"/>
  <c r="CE16" i="3"/>
  <c r="BA16" i="3"/>
  <c r="BC16" i="3" s="1"/>
  <c r="AA16" i="3"/>
  <c r="BG16" i="3"/>
  <c r="AC16" i="3"/>
  <c r="BI16" i="3"/>
  <c r="BO16" i="3"/>
  <c r="Z15" i="3"/>
  <c r="AB15" i="3" s="1"/>
  <c r="AH15" i="3"/>
  <c r="AP15" i="3"/>
  <c r="AR15" i="3" s="1"/>
  <c r="AX15" i="3"/>
  <c r="BF15" i="3"/>
  <c r="BN15" i="3"/>
  <c r="AD15" i="3"/>
  <c r="AF15" i="3" s="1"/>
  <c r="AM15" i="3"/>
  <c r="BE15" i="3"/>
  <c r="BO15" i="3"/>
  <c r="BW15" i="3"/>
  <c r="CE15" i="3"/>
  <c r="AI15" i="3"/>
  <c r="BS15" i="3"/>
  <c r="AE15" i="3"/>
  <c r="AN15" i="3"/>
  <c r="AW15" i="3"/>
  <c r="AY15" i="3" s="1"/>
  <c r="BG15" i="3"/>
  <c r="BP15" i="3"/>
  <c r="BX15" i="3"/>
  <c r="W15" i="3"/>
  <c r="Y15" i="3" s="1"/>
  <c r="AO15" i="3"/>
  <c r="BH15" i="3"/>
  <c r="BQ15" i="3"/>
  <c r="BY15" i="3"/>
  <c r="CA15" i="3" s="1"/>
  <c r="BA15" i="3"/>
  <c r="BC15" i="3" s="1"/>
  <c r="X15" i="3"/>
  <c r="AG15" i="3"/>
  <c r="AQ15" i="3"/>
  <c r="AZ15" i="3"/>
  <c r="BI15" i="3"/>
  <c r="BR15" i="3"/>
  <c r="BZ15" i="3"/>
  <c r="BJ15" i="3"/>
  <c r="AK15" i="3"/>
  <c r="AT15" i="3"/>
  <c r="AV15" i="3" s="1"/>
  <c r="BL15" i="3"/>
  <c r="BU15" i="3"/>
  <c r="CC15" i="3"/>
  <c r="AC15" i="3"/>
  <c r="BM15" i="3"/>
  <c r="AL15" i="3"/>
  <c r="BV15" i="3"/>
  <c r="AS15" i="3"/>
  <c r="CB15" i="3"/>
  <c r="CD15" i="3" s="1"/>
  <c r="AA15" i="3"/>
  <c r="AJ15" i="3"/>
  <c r="BT15" i="3"/>
  <c r="AU15" i="3"/>
  <c r="BB15" i="3"/>
  <c r="BD15" i="3"/>
  <c r="BK15" i="3"/>
  <c r="W12" i="3"/>
  <c r="Y12" i="3" s="1"/>
  <c r="AE12" i="3"/>
  <c r="AM12" i="3"/>
  <c r="AU12" i="3"/>
  <c r="BK12" i="3"/>
  <c r="BS12" i="3"/>
  <c r="AG12" i="3"/>
  <c r="AO12" i="3"/>
  <c r="AW12" i="3"/>
  <c r="AY12" i="3" s="1"/>
  <c r="BE12" i="3"/>
  <c r="BM12" i="3"/>
  <c r="BU12" i="3"/>
  <c r="CC12" i="3"/>
  <c r="Z12" i="3"/>
  <c r="AB12" i="3" s="1"/>
  <c r="AH12" i="3"/>
  <c r="AP12" i="3"/>
  <c r="AR12" i="3" s="1"/>
  <c r="AX12" i="3"/>
  <c r="BF12" i="3"/>
  <c r="BN12" i="3"/>
  <c r="BV12" i="3"/>
  <c r="AA12" i="3"/>
  <c r="AI12" i="3"/>
  <c r="AQ12" i="3"/>
  <c r="BG12" i="3"/>
  <c r="BO12" i="3"/>
  <c r="BW12" i="3"/>
  <c r="CE12" i="3"/>
  <c r="AC12" i="3"/>
  <c r="AK12" i="3"/>
  <c r="AS12" i="3"/>
  <c r="BA12" i="3"/>
  <c r="BC12" i="3" s="1"/>
  <c r="BI12" i="3"/>
  <c r="BQ12" i="3"/>
  <c r="BY12" i="3"/>
  <c r="CA12" i="3" s="1"/>
  <c r="BR12" i="3"/>
  <c r="AD12" i="3"/>
  <c r="AF12" i="3" s="1"/>
  <c r="AZ12" i="3"/>
  <c r="BT12" i="3"/>
  <c r="BB12" i="3"/>
  <c r="BX12" i="3"/>
  <c r="AJ12" i="3"/>
  <c r="BD12" i="3"/>
  <c r="BZ12" i="3"/>
  <c r="AN12" i="3"/>
  <c r="AL12" i="3"/>
  <c r="BH12" i="3"/>
  <c r="CB12" i="3"/>
  <c r="CD12" i="3" s="1"/>
  <c r="BJ12" i="3"/>
  <c r="X12" i="3"/>
  <c r="AT12" i="3"/>
  <c r="AV12" i="3" s="1"/>
  <c r="BP12" i="3"/>
  <c r="BL12" i="3"/>
  <c r="U14" i="3"/>
  <c r="V14" i="3"/>
  <c r="U17" i="3"/>
  <c r="V17" i="3"/>
  <c r="V16" i="3"/>
  <c r="U16" i="3"/>
  <c r="U15" i="3"/>
  <c r="V15" i="3"/>
  <c r="U9" i="3"/>
  <c r="V9" i="3"/>
  <c r="U12" i="3"/>
  <c r="V12" i="3"/>
  <c r="C12" i="25"/>
  <c r="B12" i="25"/>
  <c r="C7" i="25"/>
  <c r="J3" i="25" s="1"/>
  <c r="J14" i="25" s="1"/>
  <c r="B7" i="25"/>
  <c r="I3" i="25" s="1"/>
  <c r="I14" i="25" s="1"/>
  <c r="B18" i="25"/>
  <c r="C18" i="25"/>
  <c r="B16" i="25"/>
  <c r="C16" i="25"/>
  <c r="C15" i="25"/>
  <c r="B15" i="25"/>
  <c r="B13" i="25"/>
  <c r="C13" i="25"/>
  <c r="B14" i="25"/>
  <c r="C14" i="25"/>
  <c r="C8" i="25"/>
  <c r="B8" i="25"/>
  <c r="AI13" i="1"/>
  <c r="C11" i="25"/>
  <c r="B11" i="25"/>
  <c r="S2" i="1"/>
  <c r="R2" i="1"/>
  <c r="U2" i="1"/>
  <c r="N2" i="1"/>
  <c r="AG9" i="1"/>
  <c r="AK9" i="1"/>
  <c r="AO9" i="1"/>
  <c r="AI9" i="1"/>
  <c r="AM9" i="1"/>
  <c r="AJ9" i="1"/>
  <c r="AN9" i="1"/>
  <c r="AH9" i="1"/>
  <c r="AL9" i="1"/>
  <c r="AL17" i="1"/>
  <c r="AI17" i="1"/>
  <c r="AJ16" i="1"/>
  <c r="AI16" i="1"/>
  <c r="AM10" i="1"/>
  <c r="AI10" i="1"/>
  <c r="AJ18" i="1"/>
  <c r="AI18" i="1"/>
  <c r="AL15" i="1"/>
  <c r="AI15" i="1"/>
  <c r="AN10" i="1"/>
  <c r="AN18" i="1"/>
  <c r="AN15" i="1"/>
  <c r="AN13" i="1"/>
  <c r="AN16" i="1"/>
  <c r="AK10" i="1"/>
  <c r="AM15" i="1"/>
  <c r="AO16" i="1"/>
  <c r="AO17" i="1"/>
  <c r="AH18" i="1"/>
  <c r="AM13" i="1"/>
  <c r="AL10" i="1"/>
  <c r="AH10" i="1"/>
  <c r="AO10" i="1"/>
  <c r="AK18" i="1"/>
  <c r="AK17" i="1"/>
  <c r="AJ15" i="1"/>
  <c r="AH17" i="1"/>
  <c r="AJ17" i="1"/>
  <c r="AH15" i="1"/>
  <c r="AO15" i="1"/>
  <c r="AH16" i="1"/>
  <c r="AJ13" i="1"/>
  <c r="AK16" i="1"/>
  <c r="AJ10" i="1"/>
  <c r="AO18" i="1"/>
  <c r="AN17" i="1"/>
  <c r="AM17" i="1"/>
  <c r="AK15" i="1"/>
  <c r="AG16" i="1"/>
  <c r="AL16" i="1"/>
  <c r="AK13" i="1"/>
  <c r="AO13" i="1"/>
  <c r="AG18" i="1"/>
  <c r="AL18" i="1"/>
  <c r="AM16" i="1"/>
  <c r="AG13" i="1"/>
  <c r="AL13" i="1"/>
  <c r="AM18" i="1"/>
  <c r="AH13" i="1"/>
  <c r="AG10" i="1"/>
  <c r="AG17" i="1"/>
  <c r="AG15" i="1"/>
  <c r="R16" i="25" l="1"/>
  <c r="Q14" i="25"/>
  <c r="K3" i="25"/>
  <c r="P3" i="25"/>
  <c r="P14" i="25"/>
  <c r="Q3" i="25"/>
  <c r="D18" i="25"/>
  <c r="D16" i="25"/>
  <c r="D7" i="25"/>
  <c r="D12" i="25"/>
  <c r="D13" i="25"/>
  <c r="D15" i="25"/>
  <c r="D11" i="25"/>
  <c r="F11" i="25" s="1"/>
  <c r="D14" i="25"/>
  <c r="D8" i="25"/>
  <c r="R3" i="25" l="1"/>
  <c r="K14" i="25"/>
  <c r="R14" i="25"/>
  <c r="E13" i="25"/>
  <c r="F16" i="25"/>
  <c r="E15" i="25"/>
  <c r="E18" i="25"/>
  <c r="F18" i="25"/>
  <c r="F13" i="25"/>
  <c r="E16" i="25"/>
  <c r="E11" i="25"/>
  <c r="E12" i="25"/>
  <c r="F12" i="25"/>
  <c r="E7" i="25"/>
  <c r="L3" i="25" s="1"/>
  <c r="F7" i="25"/>
  <c r="M3" i="25" s="1"/>
  <c r="F15" i="25"/>
  <c r="E8" i="25"/>
  <c r="F8" i="25"/>
  <c r="E14" i="25"/>
  <c r="F14" i="25"/>
  <c r="R18" i="25" l="1"/>
  <c r="K18" i="25"/>
  <c r="S3" i="25"/>
  <c r="T3" i="25"/>
  <c r="K9" i="9"/>
  <c r="O4" i="12" l="1"/>
  <c r="O10" i="12"/>
  <c r="P10" i="12"/>
  <c r="E3" i="12"/>
  <c r="G3" i="12"/>
  <c r="P4" i="12" l="1"/>
  <c r="P18" i="12"/>
  <c r="I3" i="12"/>
  <c r="H3" i="12"/>
  <c r="F3" i="12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12" i="1" s="1"/>
  <c r="D12" i="10" l="1"/>
  <c r="C12" i="1"/>
  <c r="C11" i="3"/>
  <c r="F21" i="1"/>
  <c r="D21" i="10" s="1"/>
  <c r="F19" i="1"/>
  <c r="D19" i="10" s="1"/>
  <c r="F18" i="1"/>
  <c r="D18" i="10" s="1"/>
  <c r="F20" i="1"/>
  <c r="D20" i="10" s="1"/>
  <c r="F17" i="1"/>
  <c r="D17" i="10" s="1"/>
  <c r="F16" i="1"/>
  <c r="D16" i="10" s="1"/>
  <c r="F14" i="1"/>
  <c r="D14" i="10" s="1"/>
  <c r="F15" i="1"/>
  <c r="D15" i="10" s="1"/>
  <c r="F7" i="1"/>
  <c r="D7" i="10" s="1"/>
  <c r="F9" i="1"/>
  <c r="D9" i="10" s="1"/>
  <c r="F6" i="1"/>
  <c r="D6" i="10" s="1"/>
  <c r="F8" i="1"/>
  <c r="D8" i="10" s="1"/>
  <c r="F11" i="1"/>
  <c r="D11" i="10" s="1"/>
  <c r="F10" i="1"/>
  <c r="D10" i="10" s="1"/>
  <c r="F5" i="1"/>
  <c r="D5" i="10" s="1"/>
  <c r="F13" i="1"/>
  <c r="D13" i="10" s="1"/>
  <c r="F4" i="1"/>
  <c r="D4" i="10" s="1"/>
  <c r="C8" i="3" l="1"/>
  <c r="C21" i="1"/>
  <c r="C20" i="3"/>
  <c r="C20" i="1"/>
  <c r="C19" i="3"/>
  <c r="C17" i="1"/>
  <c r="C16" i="3"/>
  <c r="C18" i="1"/>
  <c r="C17" i="3"/>
  <c r="C10" i="1"/>
  <c r="C9" i="3"/>
  <c r="C6" i="1"/>
  <c r="C5" i="3"/>
  <c r="C16" i="1"/>
  <c r="C15" i="3"/>
  <c r="C8" i="1"/>
  <c r="C7" i="3"/>
  <c r="C19" i="1"/>
  <c r="C18" i="3"/>
  <c r="C7" i="1"/>
  <c r="C6" i="3"/>
  <c r="C15" i="1"/>
  <c r="C14" i="3"/>
  <c r="C11" i="1"/>
  <c r="C10" i="3"/>
  <c r="C13" i="1"/>
  <c r="C12" i="3"/>
  <c r="C5" i="1"/>
  <c r="C4" i="3"/>
  <c r="C14" i="1"/>
  <c r="C13" i="3"/>
  <c r="F7" i="24"/>
  <c r="Z7" i="24" s="1"/>
  <c r="C9" i="1"/>
  <c r="F3" i="24"/>
  <c r="Z3" i="24" s="1"/>
  <c r="C4" i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5" i="24" l="1"/>
  <c r="Z25" i="24" s="1"/>
  <c r="F21" i="24"/>
  <c r="Z21" i="24" s="1"/>
  <c r="F24" i="24"/>
  <c r="Z24" i="24" s="1"/>
  <c r="F23" i="24"/>
  <c r="Z23" i="24" s="1"/>
  <c r="F32" i="24"/>
  <c r="Z32" i="24" s="1"/>
  <c r="F33" i="24"/>
  <c r="Z33" i="24" s="1"/>
  <c r="F22" i="24"/>
  <c r="Z22" i="24" s="1"/>
  <c r="F27" i="24" l="1"/>
  <c r="Z27" i="24" s="1"/>
  <c r="F28" i="24"/>
  <c r="Z28" i="24" s="1"/>
  <c r="F31" i="24"/>
  <c r="Z31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sharedStrings.xml><?xml version="1.0" encoding="utf-8"?>
<sst xmlns="http://schemas.openxmlformats.org/spreadsheetml/2006/main" count="769" uniqueCount="382">
  <si>
    <t>CAB</t>
  </si>
  <si>
    <t>Nfin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</si>
  <si>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</si>
  <si>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</si>
  <si>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</si>
  <si>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</si>
  <si>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</si>
  <si>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</si>
  <si>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</si>
  <si>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</si>
  <si>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</si>
  <si>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</si>
  <si>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</si>
  <si>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</si>
  <si>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</si>
  <si>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</si>
  <si>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</si>
  <si>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</si>
  <si>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</si>
  <si>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</si>
  <si>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</si>
  <si>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</si>
  <si>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</si>
  <si>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BPiA</t>
  </si>
  <si>
    <t>BPiD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</si>
  <si>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</si>
  <si>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</si>
  <si>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</si>
  <si>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</si>
  <si>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</si>
  <si>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</si>
  <si>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</si>
  <si>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</si>
  <si>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</si>
  <si>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</si>
  <si>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</si>
  <si>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</si>
  <si>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</si>
  <si>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</si>
  <si>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</si>
  <si>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</si>
  <si>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#14</t>
  </si>
  <si>
    <t>#9</t>
  </si>
  <si>
    <t>DAV</t>
  </si>
  <si>
    <t>RAP</t>
  </si>
  <si>
    <t>#15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</si>
  <si>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</si>
  <si>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</si>
  <si>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</si>
  <si>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</si>
  <si>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</si>
  <si>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</si>
  <si>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</si>
  <si>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</si>
  <si>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</si>
  <si>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</si>
  <si>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</si>
  <si>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</si>
  <si>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</si>
  <si>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</si>
  <si>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</si>
  <si>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</si>
  <si>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</si>
  <si>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</si>
  <si>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</si>
  <si>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</si>
  <si>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</si>
  <si>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</si>
  <si>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</si>
  <si>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</si>
  <si>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</si>
  <si>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</si>
  <si>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</si>
  <si>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</si>
  <si>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</si>
  <si>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</si>
  <si>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</si>
  <si>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</si>
  <si>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</si>
  <si>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</si>
  <si>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</si>
  <si>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</si>
  <si>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</si>
  <si>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</si>
  <si>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</si>
  <si>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</si>
  <si>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</si>
  <si>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</si>
  <si>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</si>
  <si>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</si>
  <si>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</si>
  <si>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</si>
  <si>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</si>
  <si>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</si>
  <si>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</si>
  <si>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</si>
  <si>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</si>
  <si>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</si>
  <si>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</si>
  <si>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JUGMin</t>
  </si>
  <si>
    <t>JUGMax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</si>
  <si>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</si>
  <si>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</si>
  <si>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</si>
  <si>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</si>
  <si>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</si>
  <si>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</si>
  <si>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</si>
  <si>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</si>
  <si>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</si>
  <si>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</si>
  <si>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</si>
  <si>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</si>
  <si>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</si>
  <si>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</si>
  <si>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</si>
  <si>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</si>
  <si>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</si>
  <si>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</si>
  <si>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</si>
  <si>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</si>
  <si>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</si>
  <si>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</si>
  <si>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</si>
  <si>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</si>
  <si>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</si>
  <si>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</si>
  <si>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</si>
  <si>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</si>
  <si>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</si>
  <si>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</si>
  <si>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</si>
  <si>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</si>
  <si>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</si>
  <si>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</si>
  <si>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</si>
  <si>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</si>
  <si>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</si>
  <si>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</si>
  <si>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</si>
  <si>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</si>
  <si>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</si>
  <si>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</si>
  <si>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</si>
  <si>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</si>
  <si>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</si>
  <si>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</si>
  <si>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</si>
  <si>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</si>
  <si>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</si>
  <si>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</si>
  <si>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</si>
  <si>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</si>
  <si>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</si>
  <si>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</si>
  <si>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</si>
  <si>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</si>
  <si>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</si>
  <si>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</si>
  <si>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</si>
  <si>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</si>
  <si>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</si>
  <si>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</si>
  <si>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</si>
  <si>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</si>
  <si>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</si>
  <si>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</si>
  <si>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</si>
  <si>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</si>
  <si>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</si>
  <si>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</si>
  <si>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</si>
  <si>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</si>
  <si>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</si>
  <si>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</si>
  <si>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</si>
  <si>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</si>
  <si>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</si>
  <si>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</si>
  <si>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</si>
  <si>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</si>
  <si>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</si>
  <si>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</si>
  <si>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</si>
  <si>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</si>
  <si>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</si>
  <si>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</si>
  <si>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</si>
  <si>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</si>
  <si>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#21</t>
  </si>
  <si>
    <t>Enrique Cubas</t>
  </si>
  <si>
    <t>Fernando Gazón</t>
  </si>
  <si>
    <t>IMP</t>
  </si>
  <si>
    <t>HTMS</t>
  </si>
  <si>
    <t>Eckardt Hägerling</t>
  </si>
  <si>
    <t>Valeri Gomis</t>
  </si>
  <si>
    <t>#23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</si>
  <si>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</si>
  <si>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</si>
  <si>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</si>
  <si>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</si>
  <si>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</si>
  <si>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</si>
  <si>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</si>
  <si>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</si>
  <si>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</si>
  <si>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</si>
  <si>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</si>
  <si>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</si>
  <si>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</si>
  <si>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</si>
  <si>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#16</t>
  </si>
  <si>
    <t>Defensa</t>
  </si>
  <si>
    <t>Delantero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</si>
  <si>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</si>
  <si>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</si>
  <si>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</si>
  <si>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</si>
  <si>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</si>
  <si>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</si>
  <si>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</si>
  <si>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</si>
  <si>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</si>
  <si>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</si>
  <si>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</si>
  <si>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</si>
  <si>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</si>
  <si>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</si>
  <si>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</si>
  <si>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</si>
  <si>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</si>
  <si>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</si>
  <si>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</si>
  <si>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</si>
  <si>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</si>
  <si>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</si>
  <si>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</si>
  <si>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</si>
  <si>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</si>
  <si>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</si>
  <si>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#26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</si>
  <si>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</si>
  <si>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</si>
  <si>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</si>
  <si>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</si>
  <si>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</si>
  <si>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</si>
  <si>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</si>
  <si>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</si>
  <si>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</si>
  <si>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</si>
  <si>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</si>
  <si>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</si>
  <si>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</si>
  <si>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</si>
  <si>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</si>
  <si>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</si>
  <si>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</si>
  <si>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</si>
  <si>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</si>
  <si>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</si>
  <si>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</si>
  <si>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</si>
  <si>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</si>
  <si>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</si>
  <si>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</si>
  <si>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</si>
  <si>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</si>
  <si>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</si>
  <si>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</si>
  <si>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</si>
  <si>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</si>
  <si>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</si>
  <si>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</si>
  <si>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</si>
  <si>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</si>
  <si>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</si>
  <si>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</si>
  <si>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</si>
  <si>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</si>
  <si>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</si>
  <si>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</si>
  <si>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</si>
  <si>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</si>
  <si>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</si>
  <si>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</si>
  <si>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</si>
  <si>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</si>
  <si>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</si>
  <si>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</si>
  <si>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</si>
  <si>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</si>
  <si>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</si>
  <si>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</si>
  <si>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</si>
  <si>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</si>
  <si>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</si>
  <si>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</si>
  <si>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</si>
  <si>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</si>
  <si>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</si>
  <si>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</si>
  <si>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</si>
  <si>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</si>
  <si>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</si>
  <si>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</si>
  <si>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</si>
  <si>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</si>
  <si>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</si>
  <si>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</si>
  <si>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</si>
  <si>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</si>
  <si>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</si>
  <si>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</si>
  <si>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</si>
  <si>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</si>
  <si>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</si>
  <si>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</si>
  <si>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</si>
  <si>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</si>
  <si>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</si>
  <si>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</si>
  <si>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</si>
  <si>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</si>
  <si>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</si>
  <si>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</si>
  <si>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</si>
  <si>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</si>
  <si>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</si>
  <si>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</si>
  <si>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</si>
  <si>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</si>
  <si>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</si>
  <si>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</si>
  <si>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</si>
  <si>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</si>
  <si>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</si>
  <si>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</si>
  <si>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</si>
  <si>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</si>
  <si>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#36</t>
  </si>
  <si>
    <t>W. Duffill</t>
  </si>
  <si>
    <t>F. Añigas</t>
  </si>
  <si>
    <t>IMP/RAP</t>
  </si>
  <si>
    <t>Filip Antonijevic</t>
  </si>
  <si>
    <t>Namazbek Baktygazyuly</t>
  </si>
  <si>
    <t>Juan Gabriel de Minaya</t>
  </si>
  <si>
    <t>#38</t>
  </si>
  <si>
    <t>Berto Abandero</t>
  </si>
  <si>
    <t>Miguel Fernández</t>
  </si>
  <si>
    <t>M. Fernandez</t>
  </si>
  <si>
    <t>B. Abandero</t>
  </si>
  <si>
    <t>#25</t>
  </si>
  <si>
    <t>Iván Real Figueroa</t>
  </si>
  <si>
    <t>I. R. Figueroa</t>
  </si>
  <si>
    <t>Fabien Fabre</t>
  </si>
  <si>
    <t>Emilio Rojas</t>
  </si>
  <si>
    <t>Guillermo Pedrajas</t>
  </si>
  <si>
    <t>G. Pedrajas</t>
  </si>
  <si>
    <t>#19</t>
  </si>
  <si>
    <t>Cosme Fonteboa</t>
  </si>
  <si>
    <t>C. Fonteboa</t>
  </si>
  <si>
    <t>Miklós Gábriel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</si>
  <si>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</si>
  <si>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</si>
  <si>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</si>
  <si>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</si>
  <si>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</si>
  <si>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</si>
  <si>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</si>
  <si>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</si>
  <si>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</si>
  <si>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h34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</si>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</sst>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154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0" fontId="0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43" fontId="10" fillId="0" borderId="1" xfId="1" applyNumberFormat="1" applyFont="1" applyBorder="1" applyAlignment="1">
      <alignment horizontal="center"/>
    </xf>
    <xf numFmtId="2" fontId="9" fillId="0" borderId="1" xfId="0" applyNumberFormat="1" applyFont="1" applyBorder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  <xf numFmtId="0" fontId="27" fillId="20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1" borderId="1" xfId="0" applyFill="1" applyBorder="1"/>
    <xf numFmtId="0" fontId="0" fillId="22" borderId="1" xfId="0" applyFill="1" applyBorder="1"/>
    <xf numFmtId="0" fontId="0" fillId="15" borderId="1" xfId="0" applyFill="1" applyBorder="1"/>
    <xf numFmtId="0" fontId="21" fillId="21" borderId="1" xfId="0" applyFont="1" applyFill="1" applyBorder="1" applyAlignment="1">
      <alignment horizontal="center"/>
    </xf>
    <xf numFmtId="0" fontId="21" fillId="2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20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11" fillId="17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23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3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3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4" borderId="0" xfId="0" applyFont="1" applyFill="1"/>
    <xf numFmtId="0" fontId="28" fillId="24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3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0" fontId="24" fillId="19" borderId="1" xfId="0" applyFont="1" applyFill="1" applyBorder="1" applyAlignment="1">
      <alignment horizontal="center" vertical="top" wrapText="1"/>
    </xf>
    <xf numFmtId="0" fontId="25" fillId="20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  <xf numFmtId="0" fontId="13" fillId="16" borderId="0" xfId="0" applyFont="1" applyFill="1" applyAlignment="1">
      <alignment horizontal="center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499984740745262"/>
  </sheetPr>
  <dimension ref="A1:U76"/>
  <sheetViews>
    <sheetView zoomScale="90" zoomScaleNormal="90" workbookViewId="0">
      <pane ySplit="1" topLeftCell="A2" activePane="bottomLeft" state="frozen"/>
      <selection pane="bottomLeft" activeCell="B37" sqref="B37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150" t="s">
        <v>122</v>
      </c>
      <c r="B1" s="150"/>
      <c r="C1" s="150"/>
      <c r="D1" s="150"/>
      <c r="F1" s="10" t="s">
        <v>3</v>
      </c>
      <c r="G1" s="10" t="s">
        <v>4</v>
      </c>
      <c r="H1" s="10" t="s">
        <v>5</v>
      </c>
      <c r="I1" s="31" t="s">
        <v>67</v>
      </c>
      <c r="J1" s="31" t="s">
        <v>7</v>
      </c>
      <c r="K1" s="31" t="s">
        <v>50</v>
      </c>
      <c r="L1" s="31" t="s">
        <v>107</v>
      </c>
      <c r="M1" s="31" t="s">
        <v>187</v>
      </c>
      <c r="N1" s="74" t="s">
        <v>108</v>
      </c>
      <c r="O1" s="74" t="s">
        <v>109</v>
      </c>
      <c r="P1" s="74" t="s">
        <v>182</v>
      </c>
      <c r="Q1" s="74" t="s">
        <v>86</v>
      </c>
      <c r="R1" s="75" t="s">
        <v>110</v>
      </c>
      <c r="S1" s="75" t="s">
        <v>111</v>
      </c>
      <c r="T1" s="75" t="s">
        <v>182</v>
      </c>
      <c r="U1" s="75" t="s">
        <v>86</v>
      </c>
    </row>
    <row r="2" spans="1:21" x14ac:dyDescent="0.25">
      <c r="A2" s="151" t="s">
        <v>123</v>
      </c>
      <c r="B2" s="152" t="s">
        <v>124</v>
      </c>
      <c r="C2" s="152" t="s">
        <v>125</v>
      </c>
      <c r="D2" s="152" t="s">
        <v>126</v>
      </c>
      <c r="F2" s="104" t="s">
        <v>230</v>
      </c>
      <c r="G2">
        <v>36</v>
      </c>
      <c r="H2">
        <v>92</v>
      </c>
      <c r="I2" s="61">
        <v>14.3</v>
      </c>
      <c r="J2" s="62">
        <v>4</v>
      </c>
      <c r="K2" s="50">
        <v>2448</v>
      </c>
      <c r="L2" s="50">
        <v>1000</v>
      </c>
      <c r="M2" s="70">
        <v>3</v>
      </c>
      <c r="N2" s="50">
        <v>325000</v>
      </c>
      <c r="O2" s="50">
        <f>L2+N2</f>
        <v>326000</v>
      </c>
      <c r="P2" s="76">
        <v>6.5</v>
      </c>
      <c r="Q2" s="87">
        <f>O2/P2</f>
        <v>50153.846153846156</v>
      </c>
      <c r="R2" s="50">
        <v>2375000</v>
      </c>
      <c r="S2" s="50">
        <f>R2+L2</f>
        <v>2376000</v>
      </c>
      <c r="T2" s="77">
        <f>P2</f>
        <v>6.5</v>
      </c>
      <c r="U2" s="87">
        <f>S2/T2</f>
        <v>365538.46153846156</v>
      </c>
    </row>
    <row r="3" spans="1:21" x14ac:dyDescent="0.25">
      <c r="A3" s="151"/>
      <c r="B3" s="152"/>
      <c r="C3" s="152"/>
      <c r="D3" s="152"/>
      <c r="F3" s="104" t="s">
        <v>231</v>
      </c>
      <c r="G3">
        <v>40</v>
      </c>
      <c r="H3">
        <v>26</v>
      </c>
      <c r="I3" s="61">
        <v>14.1</v>
      </c>
      <c r="J3" s="62">
        <v>5</v>
      </c>
      <c r="K3" s="50">
        <v>468</v>
      </c>
      <c r="L3" s="50">
        <v>410000</v>
      </c>
      <c r="M3" s="70">
        <v>3</v>
      </c>
      <c r="N3" s="50">
        <v>335000</v>
      </c>
      <c r="O3" s="50">
        <f>L3+N3</f>
        <v>745000</v>
      </c>
      <c r="P3" s="76">
        <v>8</v>
      </c>
      <c r="Q3" s="87">
        <f>O3/P3</f>
        <v>93125</v>
      </c>
      <c r="R3" s="50">
        <v>2390000</v>
      </c>
      <c r="S3" s="50">
        <f>R3+L3</f>
        <v>2800000</v>
      </c>
      <c r="T3" s="77">
        <f>P3</f>
        <v>8</v>
      </c>
      <c r="U3" s="87">
        <f>S3/T3</f>
        <v>350000</v>
      </c>
    </row>
    <row r="4" spans="1:21" x14ac:dyDescent="0.25">
      <c r="A4" s="83" t="s">
        <v>124</v>
      </c>
      <c r="B4" s="84" t="s">
        <v>127</v>
      </c>
      <c r="C4" s="84" t="s">
        <v>128</v>
      </c>
      <c r="D4" s="84" t="s">
        <v>128</v>
      </c>
      <c r="F4" s="104" t="s">
        <v>232</v>
      </c>
      <c r="G4">
        <v>35</v>
      </c>
      <c r="H4">
        <v>85</v>
      </c>
      <c r="I4" s="61">
        <v>18.2</v>
      </c>
      <c r="J4" s="62">
        <v>4</v>
      </c>
      <c r="K4" s="50">
        <v>14808</v>
      </c>
      <c r="L4" s="50">
        <v>1245000</v>
      </c>
      <c r="M4" s="70">
        <v>3</v>
      </c>
      <c r="N4" s="50">
        <v>259000</v>
      </c>
      <c r="O4" s="50">
        <f>L4+N4</f>
        <v>1504000</v>
      </c>
      <c r="P4" s="76">
        <v>6.5</v>
      </c>
      <c r="Q4" s="87">
        <f>O4/P4</f>
        <v>231384.61538461538</v>
      </c>
      <c r="R4" s="50">
        <v>1850000</v>
      </c>
      <c r="S4" s="50">
        <f>R4+L4</f>
        <v>3095000</v>
      </c>
      <c r="T4" s="77">
        <f>P4</f>
        <v>6.5</v>
      </c>
      <c r="U4" s="87">
        <f>S4/T4</f>
        <v>476153.84615384613</v>
      </c>
    </row>
    <row r="5" spans="1:21" x14ac:dyDescent="0.25">
      <c r="A5" s="85" t="s">
        <v>125</v>
      </c>
      <c r="B5" s="86" t="s">
        <v>129</v>
      </c>
      <c r="C5" s="86" t="s">
        <v>130</v>
      </c>
      <c r="D5" s="86" t="s">
        <v>128</v>
      </c>
      <c r="F5" s="104" t="s">
        <v>233</v>
      </c>
      <c r="G5">
        <v>36</v>
      </c>
      <c r="H5">
        <v>97</v>
      </c>
      <c r="I5" s="61">
        <v>14</v>
      </c>
      <c r="J5" s="62">
        <v>5</v>
      </c>
      <c r="K5" s="50">
        <v>4956</v>
      </c>
      <c r="L5" s="50">
        <v>405000</v>
      </c>
      <c r="M5" s="70">
        <v>3</v>
      </c>
      <c r="N5" s="78">
        <v>337500</v>
      </c>
      <c r="O5" s="50">
        <f>L5+N5</f>
        <v>742500</v>
      </c>
      <c r="P5" s="76">
        <v>8</v>
      </c>
      <c r="Q5" s="87">
        <f>O5/P5</f>
        <v>92812.5</v>
      </c>
      <c r="R5" s="50">
        <v>2400000</v>
      </c>
      <c r="S5" s="50">
        <f>R5+L5</f>
        <v>2805000</v>
      </c>
      <c r="T5" s="77">
        <f>P5</f>
        <v>8</v>
      </c>
      <c r="U5" s="87">
        <f>S5/T5</f>
        <v>350625</v>
      </c>
    </row>
    <row r="6" spans="1:21" x14ac:dyDescent="0.25">
      <c r="A6" s="83" t="s">
        <v>126</v>
      </c>
      <c r="B6" s="84" t="s">
        <v>131</v>
      </c>
      <c r="C6" s="84" t="s">
        <v>132</v>
      </c>
      <c r="D6" s="84" t="s">
        <v>133</v>
      </c>
      <c r="F6" s="104" t="s">
        <v>235</v>
      </c>
      <c r="G6">
        <v>40</v>
      </c>
      <c r="H6">
        <v>71</v>
      </c>
      <c r="I6" s="61">
        <v>15.3</v>
      </c>
      <c r="J6" s="62">
        <v>5</v>
      </c>
      <c r="K6" s="50">
        <v>840</v>
      </c>
      <c r="L6" s="50">
        <v>325000</v>
      </c>
      <c r="M6" s="70">
        <v>3</v>
      </c>
      <c r="N6" s="50">
        <v>305000</v>
      </c>
      <c r="O6" s="50">
        <f>L6+N6</f>
        <v>630000</v>
      </c>
      <c r="P6" s="76">
        <v>8</v>
      </c>
      <c r="Q6" s="87">
        <f>O6/P6</f>
        <v>78750</v>
      </c>
      <c r="R6" s="50">
        <v>2200000</v>
      </c>
      <c r="S6" s="50">
        <f>R6+L6</f>
        <v>2525000</v>
      </c>
      <c r="T6" s="77">
        <f>P6</f>
        <v>8</v>
      </c>
      <c r="U6" s="87">
        <f>S6/T6</f>
        <v>315625</v>
      </c>
    </row>
    <row r="7" spans="1:21" x14ac:dyDescent="0.25">
      <c r="A7" s="85" t="s">
        <v>134</v>
      </c>
      <c r="B7" s="86" t="s">
        <v>135</v>
      </c>
      <c r="C7" s="86" t="s">
        <v>136</v>
      </c>
      <c r="D7" s="86" t="s">
        <v>137</v>
      </c>
      <c r="I7" s="61">
        <v>0</v>
      </c>
      <c r="J7" s="62">
        <v>0</v>
      </c>
      <c r="K7" s="50"/>
      <c r="L7" s="50"/>
      <c r="M7" s="70">
        <v>3</v>
      </c>
      <c r="N7" s="50"/>
      <c r="O7" s="50">
        <f t="shared" ref="O7:O14" si="0">L7+N7</f>
        <v>0</v>
      </c>
      <c r="P7" s="76">
        <v>9</v>
      </c>
      <c r="Q7" s="87">
        <f t="shared" ref="Q7:Q14" si="1">O7/P7</f>
        <v>0</v>
      </c>
      <c r="R7" s="50"/>
      <c r="S7" s="50">
        <f t="shared" ref="S7:S14" si="2">R7+L7</f>
        <v>0</v>
      </c>
      <c r="T7" s="77">
        <f t="shared" ref="T7:T14" si="3">P7</f>
        <v>9</v>
      </c>
      <c r="U7" s="87">
        <f t="shared" ref="U7:U14" si="4">S7/T7</f>
        <v>0</v>
      </c>
    </row>
    <row r="8" spans="1:21" x14ac:dyDescent="0.25">
      <c r="A8" s="83" t="s">
        <v>138</v>
      </c>
      <c r="B8" s="84" t="s">
        <v>139</v>
      </c>
      <c r="C8" s="84" t="s">
        <v>140</v>
      </c>
      <c r="D8" s="84" t="s">
        <v>141</v>
      </c>
      <c r="F8" s="104" t="s">
        <v>234</v>
      </c>
      <c r="G8">
        <v>38</v>
      </c>
      <c r="H8">
        <v>105</v>
      </c>
      <c r="I8" s="61">
        <v>17.8</v>
      </c>
      <c r="J8" s="62">
        <v>4</v>
      </c>
      <c r="K8" s="50">
        <v>1080</v>
      </c>
      <c r="L8" s="50">
        <v>320000</v>
      </c>
      <c r="M8" s="70">
        <v>3</v>
      </c>
      <c r="N8" s="50">
        <v>269000</v>
      </c>
      <c r="O8" s="50">
        <f t="shared" si="0"/>
        <v>589000</v>
      </c>
      <c r="P8" s="76">
        <v>6.5</v>
      </c>
      <c r="Q8" s="87">
        <f t="shared" si="1"/>
        <v>90615.38461538461</v>
      </c>
      <c r="R8" s="50">
        <v>1900000</v>
      </c>
      <c r="S8" s="50">
        <f t="shared" si="2"/>
        <v>2220000</v>
      </c>
      <c r="T8" s="77">
        <f t="shared" si="3"/>
        <v>6.5</v>
      </c>
      <c r="U8" s="87">
        <f t="shared" si="4"/>
        <v>341538.46153846156</v>
      </c>
    </row>
    <row r="9" spans="1:21" x14ac:dyDescent="0.25">
      <c r="A9" s="85" t="s">
        <v>142</v>
      </c>
      <c r="B9" s="86" t="s">
        <v>143</v>
      </c>
      <c r="C9" s="86" t="s">
        <v>144</v>
      </c>
      <c r="D9" s="86" t="s">
        <v>145</v>
      </c>
      <c r="F9" s="104" t="s">
        <v>236</v>
      </c>
      <c r="G9">
        <v>40</v>
      </c>
      <c r="H9">
        <v>43</v>
      </c>
      <c r="I9" s="61">
        <v>33.4</v>
      </c>
      <c r="J9" s="62">
        <v>4</v>
      </c>
      <c r="K9" s="50">
        <f>470*1.2</f>
        <v>564</v>
      </c>
      <c r="L9" s="50">
        <v>920000</v>
      </c>
      <c r="M9" s="70">
        <v>3</v>
      </c>
      <c r="N9" s="50">
        <v>125000</v>
      </c>
      <c r="O9" s="50">
        <f t="shared" si="0"/>
        <v>1045000</v>
      </c>
      <c r="P9" s="76">
        <v>6.5</v>
      </c>
      <c r="Q9" s="87">
        <f t="shared" si="1"/>
        <v>160769.23076923078</v>
      </c>
      <c r="R9" s="50">
        <v>1050000</v>
      </c>
      <c r="S9" s="50">
        <f t="shared" si="2"/>
        <v>1970000</v>
      </c>
      <c r="T9" s="77">
        <f t="shared" si="3"/>
        <v>6.5</v>
      </c>
      <c r="U9" s="87">
        <f t="shared" si="4"/>
        <v>303076.92307692306</v>
      </c>
    </row>
    <row r="10" spans="1:21" x14ac:dyDescent="0.25">
      <c r="A10" s="83" t="s">
        <v>146</v>
      </c>
      <c r="B10" s="84" t="s">
        <v>147</v>
      </c>
      <c r="C10" s="84" t="s">
        <v>148</v>
      </c>
      <c r="D10" s="84" t="s">
        <v>149</v>
      </c>
      <c r="F10" s="104" t="s">
        <v>237</v>
      </c>
      <c r="G10">
        <v>38</v>
      </c>
      <c r="H10">
        <v>73</v>
      </c>
      <c r="I10" s="61">
        <v>15.5</v>
      </c>
      <c r="J10" s="62">
        <v>4</v>
      </c>
      <c r="K10" s="50">
        <v>1280</v>
      </c>
      <c r="L10" s="50">
        <v>10000</v>
      </c>
      <c r="M10" s="70">
        <v>3</v>
      </c>
      <c r="N10" s="50">
        <v>305000</v>
      </c>
      <c r="O10" s="50">
        <f t="shared" si="0"/>
        <v>315000</v>
      </c>
      <c r="P10" s="76">
        <v>6.5</v>
      </c>
      <c r="Q10" s="87">
        <f t="shared" si="1"/>
        <v>48461.538461538461</v>
      </c>
      <c r="R10" s="50">
        <v>2200000</v>
      </c>
      <c r="S10" s="50">
        <f t="shared" si="2"/>
        <v>2210000</v>
      </c>
      <c r="T10" s="77">
        <f t="shared" si="3"/>
        <v>6.5</v>
      </c>
      <c r="U10" s="87">
        <f t="shared" si="4"/>
        <v>340000</v>
      </c>
    </row>
    <row r="11" spans="1:21" x14ac:dyDescent="0.25">
      <c r="A11" s="85" t="s">
        <v>150</v>
      </c>
      <c r="B11" s="86" t="s">
        <v>151</v>
      </c>
      <c r="C11" s="86" t="s">
        <v>152</v>
      </c>
      <c r="D11" s="86" t="s">
        <v>153</v>
      </c>
      <c r="F11" s="104" t="s">
        <v>238</v>
      </c>
      <c r="G11">
        <v>38</v>
      </c>
      <c r="H11">
        <v>33</v>
      </c>
      <c r="I11" s="61">
        <v>16.7</v>
      </c>
      <c r="J11" s="62">
        <v>4</v>
      </c>
      <c r="K11" s="50">
        <v>1224</v>
      </c>
      <c r="L11" s="50">
        <v>10000</v>
      </c>
      <c r="M11" s="70">
        <v>3</v>
      </c>
      <c r="N11" s="78">
        <v>283000</v>
      </c>
      <c r="O11" s="50">
        <f t="shared" si="0"/>
        <v>293000</v>
      </c>
      <c r="P11" s="76">
        <v>6.5</v>
      </c>
      <c r="Q11" s="87">
        <f t="shared" si="1"/>
        <v>45076.923076923078</v>
      </c>
      <c r="R11" s="50">
        <v>2005000</v>
      </c>
      <c r="S11" s="50">
        <f t="shared" si="2"/>
        <v>2015000</v>
      </c>
      <c r="T11" s="77">
        <f t="shared" si="3"/>
        <v>6.5</v>
      </c>
      <c r="U11" s="87">
        <f t="shared" si="4"/>
        <v>310000</v>
      </c>
    </row>
    <row r="12" spans="1:21" x14ac:dyDescent="0.25">
      <c r="A12" s="83" t="s">
        <v>154</v>
      </c>
      <c r="B12" s="84" t="s">
        <v>155</v>
      </c>
      <c r="C12" s="84" t="s">
        <v>156</v>
      </c>
      <c r="D12" s="84" t="s">
        <v>157</v>
      </c>
      <c r="F12" s="104" t="s">
        <v>239</v>
      </c>
      <c r="G12">
        <v>38</v>
      </c>
      <c r="H12">
        <v>106</v>
      </c>
      <c r="I12" s="61">
        <v>15.1</v>
      </c>
      <c r="J12" s="62">
        <v>4</v>
      </c>
      <c r="K12" s="50">
        <v>1368</v>
      </c>
      <c r="L12" s="50">
        <v>5000</v>
      </c>
      <c r="M12" s="70">
        <v>3</v>
      </c>
      <c r="N12" s="50">
        <v>315000</v>
      </c>
      <c r="O12" s="50">
        <f t="shared" si="0"/>
        <v>320000</v>
      </c>
      <c r="P12" s="76">
        <v>6.5</v>
      </c>
      <c r="Q12" s="87">
        <f t="shared" si="1"/>
        <v>49230.769230769234</v>
      </c>
      <c r="R12" s="50">
        <v>2242290</v>
      </c>
      <c r="S12" s="50">
        <f t="shared" si="2"/>
        <v>2247290</v>
      </c>
      <c r="T12" s="77">
        <f t="shared" si="3"/>
        <v>6.5</v>
      </c>
      <c r="U12" s="87">
        <f t="shared" si="4"/>
        <v>345736.92307692306</v>
      </c>
    </row>
    <row r="13" spans="1:21" x14ac:dyDescent="0.25">
      <c r="A13" s="85" t="s">
        <v>158</v>
      </c>
      <c r="B13" s="86" t="s">
        <v>159</v>
      </c>
      <c r="C13" s="86" t="s">
        <v>160</v>
      </c>
      <c r="D13" s="86" t="s">
        <v>161</v>
      </c>
      <c r="F13" s="104" t="s">
        <v>242</v>
      </c>
      <c r="G13">
        <v>58</v>
      </c>
      <c r="H13">
        <v>49</v>
      </c>
      <c r="I13" s="61">
        <v>16</v>
      </c>
      <c r="J13" s="62">
        <v>4</v>
      </c>
      <c r="K13" s="50">
        <v>300</v>
      </c>
      <c r="L13" s="50">
        <v>125000</v>
      </c>
      <c r="M13" s="70">
        <v>3</v>
      </c>
      <c r="N13" s="50">
        <v>296000</v>
      </c>
      <c r="O13" s="50">
        <f t="shared" si="0"/>
        <v>421000</v>
      </c>
      <c r="P13" s="76">
        <v>6.5</v>
      </c>
      <c r="Q13" s="87">
        <f t="shared" si="1"/>
        <v>64769.230769230766</v>
      </c>
      <c r="R13" s="50">
        <v>2105000</v>
      </c>
      <c r="S13" s="50">
        <f t="shared" si="2"/>
        <v>2230000</v>
      </c>
      <c r="T13" s="77">
        <f t="shared" si="3"/>
        <v>6.5</v>
      </c>
      <c r="U13" s="87">
        <f t="shared" si="4"/>
        <v>343076.92307692306</v>
      </c>
    </row>
    <row r="14" spans="1:21" x14ac:dyDescent="0.25">
      <c r="A14" s="83" t="s">
        <v>162</v>
      </c>
      <c r="B14" s="84" t="s">
        <v>163</v>
      </c>
      <c r="C14" s="84" t="s">
        <v>164</v>
      </c>
      <c r="D14" s="84" t="s">
        <v>165</v>
      </c>
      <c r="I14" s="61">
        <v>0</v>
      </c>
      <c r="J14" s="62">
        <v>0</v>
      </c>
      <c r="K14" s="50"/>
      <c r="L14" s="50"/>
      <c r="M14" s="70">
        <v>3</v>
      </c>
      <c r="N14" s="50"/>
      <c r="O14" s="50">
        <f t="shared" si="0"/>
        <v>0</v>
      </c>
      <c r="P14" s="76">
        <v>9</v>
      </c>
      <c r="Q14" s="87">
        <f t="shared" si="1"/>
        <v>0</v>
      </c>
      <c r="R14" s="50"/>
      <c r="S14" s="50">
        <f t="shared" si="2"/>
        <v>0</v>
      </c>
      <c r="T14" s="77">
        <f t="shared" si="3"/>
        <v>9</v>
      </c>
      <c r="U14" s="87">
        <f t="shared" si="4"/>
        <v>0</v>
      </c>
    </row>
    <row r="15" spans="1:21" x14ac:dyDescent="0.25">
      <c r="A15" s="85" t="s">
        <v>166</v>
      </c>
      <c r="B15" s="86" t="s">
        <v>167</v>
      </c>
      <c r="C15" s="86" t="s">
        <v>168</v>
      </c>
      <c r="D15" s="86" t="s">
        <v>169</v>
      </c>
      <c r="F15" s="104" t="s">
        <v>344</v>
      </c>
      <c r="G15">
        <v>40</v>
      </c>
      <c r="H15">
        <v>1</v>
      </c>
      <c r="I15" s="61">
        <v>16.100000000000001</v>
      </c>
      <c r="J15" s="62">
        <v>5</v>
      </c>
      <c r="K15" s="50">
        <v>492</v>
      </c>
      <c r="L15" s="50">
        <v>1100000</v>
      </c>
      <c r="M15" s="70">
        <v>2</v>
      </c>
      <c r="N15" s="50">
        <v>296000</v>
      </c>
      <c r="O15" s="50">
        <f t="shared" ref="O15:O46" si="5">L15+N15</f>
        <v>1396000</v>
      </c>
      <c r="P15" s="76">
        <v>8</v>
      </c>
      <c r="Q15" s="87">
        <f t="shared" ref="Q15:Q46" si="6">O15/P15</f>
        <v>174500</v>
      </c>
      <c r="R15" s="50">
        <v>2100000</v>
      </c>
      <c r="S15" s="50">
        <f t="shared" ref="S15:S46" si="7">R15+L15</f>
        <v>3200000</v>
      </c>
      <c r="T15" s="77">
        <f t="shared" ref="T15:T46" si="8">P15</f>
        <v>8</v>
      </c>
      <c r="U15" s="87">
        <f t="shared" ref="U15:U46" si="9">S15/T15</f>
        <v>400000</v>
      </c>
    </row>
    <row r="16" spans="1:21" x14ac:dyDescent="0.25">
      <c r="A16" s="83" t="s">
        <v>170</v>
      </c>
      <c r="B16" s="84" t="s">
        <v>171</v>
      </c>
      <c r="C16" s="84" t="s">
        <v>172</v>
      </c>
      <c r="D16" s="84" t="s">
        <v>173</v>
      </c>
      <c r="F16" s="104" t="s">
        <v>345</v>
      </c>
      <c r="G16">
        <v>36</v>
      </c>
      <c r="H16">
        <v>0</v>
      </c>
      <c r="I16" s="61">
        <v>27</v>
      </c>
      <c r="J16" s="62">
        <v>5</v>
      </c>
      <c r="K16" s="50">
        <v>7812</v>
      </c>
      <c r="L16" s="50">
        <v>3500000</v>
      </c>
      <c r="M16" s="70">
        <v>3</v>
      </c>
      <c r="N16" s="78">
        <v>161800</v>
      </c>
      <c r="O16" s="50">
        <f t="shared" si="5"/>
        <v>3661800</v>
      </c>
      <c r="P16" s="76">
        <v>8</v>
      </c>
      <c r="Q16" s="87">
        <f t="shared" si="6"/>
        <v>457725</v>
      </c>
      <c r="R16" s="50">
        <v>1150800</v>
      </c>
      <c r="S16" s="50">
        <f t="shared" si="7"/>
        <v>4650800</v>
      </c>
      <c r="T16" s="77">
        <f t="shared" si="8"/>
        <v>8</v>
      </c>
      <c r="U16" s="87">
        <f t="shared" si="9"/>
        <v>581350</v>
      </c>
    </row>
    <row r="17" spans="1:21" x14ac:dyDescent="0.25">
      <c r="A17" s="85" t="s">
        <v>174</v>
      </c>
      <c r="B17" s="86" t="s">
        <v>175</v>
      </c>
      <c r="C17" s="86" t="s">
        <v>176</v>
      </c>
      <c r="D17" s="86" t="s">
        <v>177</v>
      </c>
      <c r="I17" s="61">
        <v>0</v>
      </c>
      <c r="J17" s="62">
        <v>0</v>
      </c>
      <c r="K17" s="50"/>
      <c r="L17" s="50"/>
      <c r="M17" s="70">
        <v>3</v>
      </c>
      <c r="N17" s="50"/>
      <c r="O17" s="50">
        <f t="shared" si="5"/>
        <v>0</v>
      </c>
      <c r="P17" s="76">
        <v>9</v>
      </c>
      <c r="Q17" s="87">
        <f t="shared" si="6"/>
        <v>0</v>
      </c>
      <c r="R17" s="50"/>
      <c r="S17" s="50">
        <f t="shared" si="7"/>
        <v>0</v>
      </c>
      <c r="T17" s="77">
        <f t="shared" si="8"/>
        <v>9</v>
      </c>
      <c r="U17" s="87">
        <f t="shared" si="9"/>
        <v>0</v>
      </c>
    </row>
    <row r="18" spans="1:21" x14ac:dyDescent="0.25">
      <c r="A18" s="83" t="s">
        <v>178</v>
      </c>
      <c r="B18" s="84" t="s">
        <v>179</v>
      </c>
      <c r="C18" s="84" t="s">
        <v>180</v>
      </c>
      <c r="D18" s="84" t="s">
        <v>181</v>
      </c>
      <c r="I18" s="61">
        <v>0</v>
      </c>
      <c r="J18" s="62">
        <v>0</v>
      </c>
      <c r="K18" s="50"/>
      <c r="L18" s="50"/>
      <c r="M18" s="70">
        <v>3</v>
      </c>
      <c r="N18" s="50"/>
      <c r="O18" s="50">
        <f t="shared" si="5"/>
        <v>0</v>
      </c>
      <c r="P18" s="76">
        <v>9</v>
      </c>
      <c r="Q18" s="87">
        <f t="shared" si="6"/>
        <v>0</v>
      </c>
      <c r="R18" s="50"/>
      <c r="S18" s="50">
        <f t="shared" si="7"/>
        <v>0</v>
      </c>
      <c r="T18" s="77">
        <f t="shared" si="8"/>
        <v>9</v>
      </c>
      <c r="U18" s="87">
        <f t="shared" si="9"/>
        <v>0</v>
      </c>
    </row>
    <row r="19" spans="1:21" x14ac:dyDescent="0.25">
      <c r="I19" s="61">
        <v>0</v>
      </c>
      <c r="J19" s="62">
        <v>0</v>
      </c>
      <c r="K19" s="50"/>
      <c r="L19" s="50"/>
      <c r="M19" s="70">
        <v>3</v>
      </c>
      <c r="N19" s="50"/>
      <c r="O19" s="50">
        <f t="shared" si="5"/>
        <v>0</v>
      </c>
      <c r="P19" s="76">
        <v>9</v>
      </c>
      <c r="Q19" s="87">
        <f t="shared" si="6"/>
        <v>0</v>
      </c>
      <c r="R19" s="50"/>
      <c r="S19" s="50">
        <f t="shared" si="7"/>
        <v>0</v>
      </c>
      <c r="T19" s="77">
        <f t="shared" si="8"/>
        <v>9</v>
      </c>
      <c r="U19" s="87">
        <f t="shared" si="9"/>
        <v>0</v>
      </c>
    </row>
    <row r="20" spans="1:21" x14ac:dyDescent="0.25">
      <c r="A20" s="10" t="s">
        <v>120</v>
      </c>
      <c r="B20" s="10" t="s">
        <v>121</v>
      </c>
      <c r="I20" s="61">
        <v>0</v>
      </c>
      <c r="J20" s="62">
        <v>0</v>
      </c>
      <c r="K20" s="50"/>
      <c r="L20" s="50"/>
      <c r="M20" s="70">
        <v>3</v>
      </c>
      <c r="N20" s="50"/>
      <c r="O20" s="50">
        <f t="shared" si="5"/>
        <v>0</v>
      </c>
      <c r="P20" s="76">
        <v>9</v>
      </c>
      <c r="Q20" s="87">
        <f t="shared" si="6"/>
        <v>0</v>
      </c>
      <c r="R20" s="50"/>
      <c r="S20" s="50">
        <f t="shared" si="7"/>
        <v>0</v>
      </c>
      <c r="T20" s="77">
        <f t="shared" si="8"/>
        <v>9</v>
      </c>
      <c r="U20" s="87">
        <f t="shared" si="9"/>
        <v>0</v>
      </c>
    </row>
    <row r="21" spans="1:21" x14ac:dyDescent="0.25">
      <c r="A21" s="88" t="s">
        <v>119</v>
      </c>
      <c r="B21" s="88">
        <v>2</v>
      </c>
      <c r="I21" s="61">
        <v>0</v>
      </c>
      <c r="J21" s="62">
        <v>0</v>
      </c>
      <c r="K21" s="50"/>
      <c r="L21" s="50"/>
      <c r="M21" s="70">
        <v>3</v>
      </c>
      <c r="N21" s="78"/>
      <c r="O21" s="50">
        <f t="shared" si="5"/>
        <v>0</v>
      </c>
      <c r="P21" s="76">
        <v>9</v>
      </c>
      <c r="Q21" s="87">
        <f t="shared" si="6"/>
        <v>0</v>
      </c>
      <c r="R21" s="50"/>
      <c r="S21" s="50">
        <f t="shared" si="7"/>
        <v>0</v>
      </c>
      <c r="T21" s="77">
        <f t="shared" si="8"/>
        <v>9</v>
      </c>
      <c r="U21" s="87">
        <f t="shared" si="9"/>
        <v>0</v>
      </c>
    </row>
    <row r="22" spans="1:21" x14ac:dyDescent="0.25">
      <c r="A22" s="88" t="s">
        <v>118</v>
      </c>
      <c r="B22" s="88">
        <v>1.5</v>
      </c>
      <c r="I22" s="61">
        <v>0</v>
      </c>
      <c r="J22" s="62">
        <v>0</v>
      </c>
      <c r="K22" s="50"/>
      <c r="L22" s="50"/>
      <c r="M22" s="70">
        <v>3</v>
      </c>
      <c r="N22" s="50"/>
      <c r="O22" s="50">
        <f t="shared" si="5"/>
        <v>0</v>
      </c>
      <c r="P22" s="76">
        <v>9</v>
      </c>
      <c r="Q22" s="87">
        <f t="shared" si="6"/>
        <v>0</v>
      </c>
      <c r="R22" s="50"/>
      <c r="S22" s="50">
        <f t="shared" si="7"/>
        <v>0</v>
      </c>
      <c r="T22" s="77">
        <f t="shared" si="8"/>
        <v>9</v>
      </c>
      <c r="U22" s="87">
        <f t="shared" si="9"/>
        <v>0</v>
      </c>
    </row>
    <row r="23" spans="1:21" x14ac:dyDescent="0.25">
      <c r="A23" s="88" t="s">
        <v>117</v>
      </c>
      <c r="B23" s="88">
        <v>1.5</v>
      </c>
      <c r="I23" s="61">
        <v>0</v>
      </c>
      <c r="J23" s="62">
        <v>0</v>
      </c>
      <c r="K23" s="50"/>
      <c r="L23" s="50"/>
      <c r="M23" s="70">
        <v>3</v>
      </c>
      <c r="N23" s="50"/>
      <c r="O23" s="50">
        <f t="shared" si="5"/>
        <v>0</v>
      </c>
      <c r="P23" s="76">
        <v>9</v>
      </c>
      <c r="Q23" s="87">
        <f t="shared" si="6"/>
        <v>0</v>
      </c>
      <c r="R23" s="50"/>
      <c r="S23" s="50">
        <f t="shared" si="7"/>
        <v>0</v>
      </c>
      <c r="T23" s="77">
        <f t="shared" si="8"/>
        <v>9</v>
      </c>
      <c r="U23" s="87">
        <f t="shared" si="9"/>
        <v>0</v>
      </c>
    </row>
    <row r="24" spans="1:21" x14ac:dyDescent="0.25">
      <c r="A24" s="88" t="s">
        <v>114</v>
      </c>
      <c r="B24" s="88">
        <v>1.5</v>
      </c>
      <c r="I24" s="61">
        <v>0</v>
      </c>
      <c r="J24" s="62">
        <v>0</v>
      </c>
      <c r="K24" s="50"/>
      <c r="L24" s="50"/>
      <c r="M24" s="70">
        <v>3</v>
      </c>
      <c r="N24" s="50"/>
      <c r="O24" s="50">
        <f t="shared" si="5"/>
        <v>0</v>
      </c>
      <c r="P24" s="76">
        <v>9</v>
      </c>
      <c r="Q24" s="87">
        <f t="shared" si="6"/>
        <v>0</v>
      </c>
      <c r="R24" s="50"/>
      <c r="S24" s="50">
        <f t="shared" si="7"/>
        <v>0</v>
      </c>
      <c r="T24" s="77">
        <f t="shared" si="8"/>
        <v>9</v>
      </c>
      <c r="U24" s="87">
        <f t="shared" si="9"/>
        <v>0</v>
      </c>
    </row>
    <row r="25" spans="1:21" x14ac:dyDescent="0.25">
      <c r="A25" s="88" t="s">
        <v>115</v>
      </c>
      <c r="B25" s="88">
        <v>1.5</v>
      </c>
      <c r="I25" s="61">
        <v>0</v>
      </c>
      <c r="J25" s="62">
        <v>0</v>
      </c>
      <c r="K25" s="50"/>
      <c r="L25" s="50"/>
      <c r="M25" s="70">
        <v>3</v>
      </c>
      <c r="N25" s="50"/>
      <c r="O25" s="50">
        <f t="shared" si="5"/>
        <v>0</v>
      </c>
      <c r="P25" s="76">
        <v>9</v>
      </c>
      <c r="Q25" s="87">
        <f t="shared" si="6"/>
        <v>0</v>
      </c>
      <c r="R25" s="50"/>
      <c r="S25" s="50">
        <f t="shared" si="7"/>
        <v>0</v>
      </c>
      <c r="T25" s="77">
        <f t="shared" si="8"/>
        <v>9</v>
      </c>
      <c r="U25" s="87">
        <f t="shared" si="9"/>
        <v>0</v>
      </c>
    </row>
    <row r="26" spans="1:21" x14ac:dyDescent="0.25">
      <c r="A26" s="88" t="s">
        <v>116</v>
      </c>
      <c r="B26" s="88">
        <v>1.5</v>
      </c>
      <c r="I26" s="61">
        <v>0</v>
      </c>
      <c r="J26" s="62">
        <v>0</v>
      </c>
      <c r="K26" s="50"/>
      <c r="L26" s="50"/>
      <c r="M26" s="70">
        <v>3</v>
      </c>
      <c r="N26" s="78"/>
      <c r="O26" s="50">
        <f t="shared" si="5"/>
        <v>0</v>
      </c>
      <c r="P26" s="76">
        <v>9</v>
      </c>
      <c r="Q26" s="87">
        <f t="shared" si="6"/>
        <v>0</v>
      </c>
      <c r="R26" s="50"/>
      <c r="S26" s="50">
        <f t="shared" si="7"/>
        <v>0</v>
      </c>
      <c r="T26" s="77">
        <f t="shared" si="8"/>
        <v>9</v>
      </c>
      <c r="U26" s="87">
        <f t="shared" si="9"/>
        <v>0</v>
      </c>
    </row>
    <row r="27" spans="1:21" x14ac:dyDescent="0.25">
      <c r="A27" s="88"/>
      <c r="B27" s="88"/>
      <c r="I27" s="61">
        <v>0</v>
      </c>
      <c r="J27" s="62">
        <v>0</v>
      </c>
      <c r="K27" s="50"/>
      <c r="L27" s="50"/>
      <c r="M27" s="70">
        <v>3</v>
      </c>
      <c r="N27" s="50"/>
      <c r="O27" s="50">
        <f t="shared" si="5"/>
        <v>0</v>
      </c>
      <c r="P27" s="76">
        <v>9</v>
      </c>
      <c r="Q27" s="87">
        <f t="shared" si="6"/>
        <v>0</v>
      </c>
      <c r="R27" s="50"/>
      <c r="S27" s="50">
        <f t="shared" si="7"/>
        <v>0</v>
      </c>
      <c r="T27" s="77">
        <f t="shared" si="8"/>
        <v>9</v>
      </c>
      <c r="U27" s="87">
        <f t="shared" si="9"/>
        <v>0</v>
      </c>
    </row>
    <row r="28" spans="1:21" x14ac:dyDescent="0.25">
      <c r="A28" s="10" t="s">
        <v>183</v>
      </c>
      <c r="B28" s="10" t="s">
        <v>184</v>
      </c>
      <c r="I28" s="61">
        <v>0</v>
      </c>
      <c r="J28" s="62">
        <v>0</v>
      </c>
      <c r="K28" s="50"/>
      <c r="L28" s="50"/>
      <c r="M28" s="70">
        <v>3</v>
      </c>
      <c r="N28" s="50"/>
      <c r="O28" s="50">
        <f t="shared" si="5"/>
        <v>0</v>
      </c>
      <c r="P28" s="76">
        <v>9</v>
      </c>
      <c r="Q28" s="87">
        <f t="shared" si="6"/>
        <v>0</v>
      </c>
      <c r="R28" s="50"/>
      <c r="S28" s="50">
        <f t="shared" si="7"/>
        <v>0</v>
      </c>
      <c r="T28" s="77">
        <f t="shared" si="8"/>
        <v>9</v>
      </c>
      <c r="U28" s="87">
        <f t="shared" si="9"/>
        <v>0</v>
      </c>
    </row>
    <row r="29" spans="1:21" x14ac:dyDescent="0.25">
      <c r="A29" s="88" t="s">
        <v>87</v>
      </c>
      <c r="B29" s="34">
        <v>9.5</v>
      </c>
      <c r="I29" s="61">
        <v>0</v>
      </c>
      <c r="J29" s="62">
        <v>0</v>
      </c>
      <c r="K29" s="50"/>
      <c r="L29" s="50"/>
      <c r="M29" s="70">
        <v>3</v>
      </c>
      <c r="N29" s="50"/>
      <c r="O29" s="50">
        <f t="shared" si="5"/>
        <v>0</v>
      </c>
      <c r="P29" s="76">
        <v>9</v>
      </c>
      <c r="Q29" s="87">
        <f t="shared" si="6"/>
        <v>0</v>
      </c>
      <c r="R29" s="50"/>
      <c r="S29" s="50">
        <f t="shared" si="7"/>
        <v>0</v>
      </c>
      <c r="T29" s="77">
        <f t="shared" si="8"/>
        <v>9</v>
      </c>
      <c r="U29" s="87">
        <f t="shared" si="9"/>
        <v>0</v>
      </c>
    </row>
    <row r="30" spans="1:21" x14ac:dyDescent="0.25">
      <c r="A30" s="88" t="s">
        <v>81</v>
      </c>
      <c r="B30" s="34">
        <v>8</v>
      </c>
      <c r="I30" s="61">
        <v>0</v>
      </c>
      <c r="J30" s="62">
        <v>0</v>
      </c>
      <c r="K30" s="50"/>
      <c r="L30" s="50"/>
      <c r="M30" s="70">
        <v>3</v>
      </c>
      <c r="N30" s="50"/>
      <c r="O30" s="50">
        <f t="shared" si="5"/>
        <v>0</v>
      </c>
      <c r="P30" s="76">
        <v>9</v>
      </c>
      <c r="Q30" s="87">
        <f t="shared" si="6"/>
        <v>0</v>
      </c>
      <c r="R30" s="50"/>
      <c r="S30" s="50">
        <f t="shared" si="7"/>
        <v>0</v>
      </c>
      <c r="T30" s="77">
        <f t="shared" si="8"/>
        <v>9</v>
      </c>
      <c r="U30" s="87">
        <f t="shared" si="9"/>
        <v>0</v>
      </c>
    </row>
    <row r="31" spans="1:21" x14ac:dyDescent="0.25">
      <c r="A31" s="88" t="s">
        <v>82</v>
      </c>
      <c r="B31" s="34">
        <f>B30-1.5</f>
        <v>6.5</v>
      </c>
      <c r="I31" s="61">
        <v>0</v>
      </c>
      <c r="J31" s="62">
        <v>0</v>
      </c>
      <c r="K31" s="50"/>
      <c r="L31" s="50"/>
      <c r="M31" s="70">
        <v>3</v>
      </c>
      <c r="N31" s="78"/>
      <c r="O31" s="50">
        <f t="shared" si="5"/>
        <v>0</v>
      </c>
      <c r="P31" s="76">
        <v>9</v>
      </c>
      <c r="Q31" s="87">
        <f t="shared" si="6"/>
        <v>0</v>
      </c>
      <c r="R31" s="50"/>
      <c r="S31" s="50">
        <f t="shared" si="7"/>
        <v>0</v>
      </c>
      <c r="T31" s="77">
        <f t="shared" si="8"/>
        <v>9</v>
      </c>
      <c r="U31" s="87">
        <f t="shared" si="9"/>
        <v>0</v>
      </c>
    </row>
    <row r="32" spans="1:21" x14ac:dyDescent="0.25">
      <c r="A32" s="88" t="s">
        <v>83</v>
      </c>
      <c r="B32" s="34">
        <f>B31-1.5</f>
        <v>5</v>
      </c>
      <c r="I32" s="61">
        <v>0</v>
      </c>
      <c r="J32" s="62">
        <v>0</v>
      </c>
      <c r="K32" s="50"/>
      <c r="L32" s="50"/>
      <c r="M32" s="70">
        <v>3</v>
      </c>
      <c r="N32" s="50"/>
      <c r="O32" s="50">
        <f t="shared" si="5"/>
        <v>0</v>
      </c>
      <c r="P32" s="76">
        <v>9</v>
      </c>
      <c r="Q32" s="87">
        <f t="shared" si="6"/>
        <v>0</v>
      </c>
      <c r="R32" s="50"/>
      <c r="S32" s="50">
        <f t="shared" si="7"/>
        <v>0</v>
      </c>
      <c r="T32" s="77">
        <f t="shared" si="8"/>
        <v>9</v>
      </c>
      <c r="U32" s="87">
        <f t="shared" si="9"/>
        <v>0</v>
      </c>
    </row>
    <row r="33" spans="1:21" x14ac:dyDescent="0.25">
      <c r="A33" s="88" t="s">
        <v>84</v>
      </c>
      <c r="B33" s="34">
        <f>2+1.5</f>
        <v>3.5</v>
      </c>
      <c r="I33" s="61">
        <v>0</v>
      </c>
      <c r="J33" s="62">
        <v>0</v>
      </c>
      <c r="K33" s="50"/>
      <c r="L33" s="50"/>
      <c r="M33" s="70">
        <v>3</v>
      </c>
      <c r="N33" s="50"/>
      <c r="O33" s="50">
        <f t="shared" si="5"/>
        <v>0</v>
      </c>
      <c r="P33" s="76">
        <v>9</v>
      </c>
      <c r="Q33" s="87">
        <f t="shared" si="6"/>
        <v>0</v>
      </c>
      <c r="R33" s="50"/>
      <c r="S33" s="50">
        <f t="shared" si="7"/>
        <v>0</v>
      </c>
      <c r="T33" s="77">
        <f t="shared" si="8"/>
        <v>9</v>
      </c>
      <c r="U33" s="87">
        <f t="shared" si="9"/>
        <v>0</v>
      </c>
    </row>
    <row r="34" spans="1:21" x14ac:dyDescent="0.25">
      <c r="A34" s="88" t="s">
        <v>186</v>
      </c>
      <c r="B34" s="34">
        <v>2</v>
      </c>
      <c r="I34" s="61">
        <v>0</v>
      </c>
      <c r="J34" s="62">
        <v>0</v>
      </c>
      <c r="K34" s="50"/>
      <c r="L34" s="50"/>
      <c r="M34" s="70">
        <v>3</v>
      </c>
      <c r="N34" s="50"/>
      <c r="O34" s="50">
        <f t="shared" si="5"/>
        <v>0</v>
      </c>
      <c r="P34" s="76">
        <v>9</v>
      </c>
      <c r="Q34" s="87">
        <f t="shared" si="6"/>
        <v>0</v>
      </c>
      <c r="R34" s="50"/>
      <c r="S34" s="50">
        <f t="shared" si="7"/>
        <v>0</v>
      </c>
      <c r="T34" s="77">
        <f t="shared" si="8"/>
        <v>9</v>
      </c>
      <c r="U34" s="87">
        <f t="shared" si="9"/>
        <v>0</v>
      </c>
    </row>
    <row r="35" spans="1:21" x14ac:dyDescent="0.25">
      <c r="A35" s="88" t="s">
        <v>185</v>
      </c>
      <c r="B35" s="34">
        <v>1</v>
      </c>
      <c r="I35" s="61">
        <v>0</v>
      </c>
      <c r="J35" s="62">
        <v>0</v>
      </c>
      <c r="K35" s="50"/>
      <c r="L35" s="50"/>
      <c r="M35" s="70">
        <v>3</v>
      </c>
      <c r="N35" s="50"/>
      <c r="O35" s="50">
        <f t="shared" si="5"/>
        <v>0</v>
      </c>
      <c r="P35" s="76">
        <v>9</v>
      </c>
      <c r="Q35" s="87">
        <f t="shared" si="6"/>
        <v>0</v>
      </c>
      <c r="R35" s="50"/>
      <c r="S35" s="50">
        <f t="shared" si="7"/>
        <v>0</v>
      </c>
      <c r="T35" s="77">
        <f t="shared" si="8"/>
        <v>9</v>
      </c>
      <c r="U35" s="87">
        <f t="shared" si="9"/>
        <v>0</v>
      </c>
    </row>
    <row r="36" spans="1:21" x14ac:dyDescent="0.25">
      <c r="I36" s="61">
        <v>0</v>
      </c>
      <c r="J36" s="62">
        <v>0</v>
      </c>
      <c r="K36" s="50"/>
      <c r="L36" s="50"/>
      <c r="M36" s="70">
        <v>3</v>
      </c>
      <c r="N36" s="78"/>
      <c r="O36" s="50">
        <f t="shared" si="5"/>
        <v>0</v>
      </c>
      <c r="P36" s="76">
        <v>9</v>
      </c>
      <c r="Q36" s="87">
        <f t="shared" si="6"/>
        <v>0</v>
      </c>
      <c r="R36" s="50"/>
      <c r="S36" s="50">
        <f t="shared" si="7"/>
        <v>0</v>
      </c>
      <c r="T36" s="77">
        <f t="shared" si="8"/>
        <v>9</v>
      </c>
      <c r="U36" s="87">
        <f t="shared" si="9"/>
        <v>0</v>
      </c>
    </row>
    <row r="37" spans="1:21" x14ac:dyDescent="0.25">
      <c r="I37" s="61">
        <v>0</v>
      </c>
      <c r="J37" s="62">
        <v>0</v>
      </c>
      <c r="K37" s="50"/>
      <c r="L37" s="50"/>
      <c r="M37" s="70">
        <v>3</v>
      </c>
      <c r="N37" s="50"/>
      <c r="O37" s="50">
        <f t="shared" si="5"/>
        <v>0</v>
      </c>
      <c r="P37" s="76">
        <v>9</v>
      </c>
      <c r="Q37" s="87">
        <f t="shared" si="6"/>
        <v>0</v>
      </c>
      <c r="R37" s="50"/>
      <c r="S37" s="50">
        <f t="shared" si="7"/>
        <v>0</v>
      </c>
      <c r="T37" s="77">
        <f t="shared" si="8"/>
        <v>9</v>
      </c>
      <c r="U37" s="87">
        <f t="shared" si="9"/>
        <v>0</v>
      </c>
    </row>
    <row r="38" spans="1:21" x14ac:dyDescent="0.25">
      <c r="I38" s="61">
        <v>0</v>
      </c>
      <c r="J38" s="62">
        <v>0</v>
      </c>
      <c r="K38" s="50"/>
      <c r="L38" s="50"/>
      <c r="M38" s="70">
        <v>3</v>
      </c>
      <c r="N38" s="50"/>
      <c r="O38" s="50">
        <f t="shared" si="5"/>
        <v>0</v>
      </c>
      <c r="P38" s="76">
        <v>9</v>
      </c>
      <c r="Q38" s="87">
        <f t="shared" si="6"/>
        <v>0</v>
      </c>
      <c r="R38" s="50"/>
      <c r="S38" s="50">
        <f t="shared" si="7"/>
        <v>0</v>
      </c>
      <c r="T38" s="77">
        <f t="shared" si="8"/>
        <v>9</v>
      </c>
      <c r="U38" s="87">
        <f t="shared" si="9"/>
        <v>0</v>
      </c>
    </row>
    <row r="39" spans="1:21" x14ac:dyDescent="0.25">
      <c r="I39" s="61">
        <v>0</v>
      </c>
      <c r="J39" s="62">
        <v>0</v>
      </c>
      <c r="K39" s="50"/>
      <c r="L39" s="50"/>
      <c r="M39" s="70">
        <v>3</v>
      </c>
      <c r="N39" s="50"/>
      <c r="O39" s="50">
        <f t="shared" si="5"/>
        <v>0</v>
      </c>
      <c r="P39" s="76">
        <v>9</v>
      </c>
      <c r="Q39" s="87">
        <f t="shared" si="6"/>
        <v>0</v>
      </c>
      <c r="R39" s="50"/>
      <c r="S39" s="50">
        <f t="shared" si="7"/>
        <v>0</v>
      </c>
      <c r="T39" s="77">
        <f t="shared" si="8"/>
        <v>9</v>
      </c>
      <c r="U39" s="87">
        <f t="shared" si="9"/>
        <v>0</v>
      </c>
    </row>
    <row r="40" spans="1:21" x14ac:dyDescent="0.25">
      <c r="I40" s="61">
        <v>0</v>
      </c>
      <c r="J40" s="62">
        <v>0</v>
      </c>
      <c r="K40" s="50"/>
      <c r="L40" s="50"/>
      <c r="M40" s="70">
        <v>3</v>
      </c>
      <c r="N40" s="50"/>
      <c r="O40" s="50">
        <f t="shared" si="5"/>
        <v>0</v>
      </c>
      <c r="P40" s="76">
        <v>9</v>
      </c>
      <c r="Q40" s="87">
        <f t="shared" si="6"/>
        <v>0</v>
      </c>
      <c r="R40" s="50"/>
      <c r="S40" s="50">
        <f t="shared" si="7"/>
        <v>0</v>
      </c>
      <c r="T40" s="77">
        <f t="shared" si="8"/>
        <v>9</v>
      </c>
      <c r="U40" s="87">
        <f t="shared" si="9"/>
        <v>0</v>
      </c>
    </row>
    <row r="41" spans="1:21" x14ac:dyDescent="0.25">
      <c r="I41" s="61">
        <v>0</v>
      </c>
      <c r="J41" s="62">
        <v>0</v>
      </c>
      <c r="K41" s="50"/>
      <c r="L41" s="50"/>
      <c r="M41" s="70">
        <v>3</v>
      </c>
      <c r="N41" s="78"/>
      <c r="O41" s="50">
        <f t="shared" si="5"/>
        <v>0</v>
      </c>
      <c r="P41" s="76">
        <v>9</v>
      </c>
      <c r="Q41" s="87">
        <f t="shared" si="6"/>
        <v>0</v>
      </c>
      <c r="R41" s="50"/>
      <c r="S41" s="50">
        <f t="shared" si="7"/>
        <v>0</v>
      </c>
      <c r="T41" s="77">
        <f t="shared" si="8"/>
        <v>9</v>
      </c>
      <c r="U41" s="87">
        <f t="shared" si="9"/>
        <v>0</v>
      </c>
    </row>
    <row r="42" spans="1:21" x14ac:dyDescent="0.25">
      <c r="I42" s="61">
        <v>0</v>
      </c>
      <c r="J42" s="62">
        <v>0</v>
      </c>
      <c r="K42" s="50"/>
      <c r="L42" s="50"/>
      <c r="M42" s="70">
        <v>3</v>
      </c>
      <c r="N42" s="50"/>
      <c r="O42" s="50">
        <f t="shared" si="5"/>
        <v>0</v>
      </c>
      <c r="P42" s="76">
        <v>9</v>
      </c>
      <c r="Q42" s="87">
        <f t="shared" si="6"/>
        <v>0</v>
      </c>
      <c r="R42" s="50"/>
      <c r="S42" s="50">
        <f t="shared" si="7"/>
        <v>0</v>
      </c>
      <c r="T42" s="77">
        <f t="shared" si="8"/>
        <v>9</v>
      </c>
      <c r="U42" s="87">
        <f t="shared" si="9"/>
        <v>0</v>
      </c>
    </row>
    <row r="43" spans="1:21" x14ac:dyDescent="0.25">
      <c r="I43" s="61">
        <v>0</v>
      </c>
      <c r="J43" s="62">
        <v>0</v>
      </c>
      <c r="K43" s="50"/>
      <c r="L43" s="50"/>
      <c r="M43" s="70">
        <v>3</v>
      </c>
      <c r="N43" s="50"/>
      <c r="O43" s="50">
        <f t="shared" si="5"/>
        <v>0</v>
      </c>
      <c r="P43" s="76">
        <v>9</v>
      </c>
      <c r="Q43" s="87">
        <f t="shared" si="6"/>
        <v>0</v>
      </c>
      <c r="R43" s="50"/>
      <c r="S43" s="50">
        <f t="shared" si="7"/>
        <v>0</v>
      </c>
      <c r="T43" s="77">
        <f t="shared" si="8"/>
        <v>9</v>
      </c>
      <c r="U43" s="87">
        <f t="shared" si="9"/>
        <v>0</v>
      </c>
    </row>
    <row r="44" spans="1:21" x14ac:dyDescent="0.25">
      <c r="I44" s="61">
        <v>0</v>
      </c>
      <c r="J44" s="62">
        <v>0</v>
      </c>
      <c r="K44" s="50"/>
      <c r="L44" s="50"/>
      <c r="M44" s="70">
        <v>3</v>
      </c>
      <c r="N44" s="50"/>
      <c r="O44" s="50">
        <f t="shared" si="5"/>
        <v>0</v>
      </c>
      <c r="P44" s="76">
        <v>9</v>
      </c>
      <c r="Q44" s="87">
        <f t="shared" si="6"/>
        <v>0</v>
      </c>
      <c r="R44" s="50"/>
      <c r="S44" s="50">
        <f t="shared" si="7"/>
        <v>0</v>
      </c>
      <c r="T44" s="77">
        <f t="shared" si="8"/>
        <v>9</v>
      </c>
      <c r="U44" s="87">
        <f t="shared" si="9"/>
        <v>0</v>
      </c>
    </row>
    <row r="45" spans="1:21" x14ac:dyDescent="0.25">
      <c r="I45" s="61">
        <v>0</v>
      </c>
      <c r="J45" s="62">
        <v>0</v>
      </c>
      <c r="K45" s="50"/>
      <c r="L45" s="50"/>
      <c r="M45" s="70">
        <v>3</v>
      </c>
      <c r="N45" s="50"/>
      <c r="O45" s="50">
        <f t="shared" si="5"/>
        <v>0</v>
      </c>
      <c r="P45" s="76">
        <v>9</v>
      </c>
      <c r="Q45" s="87">
        <f t="shared" si="6"/>
        <v>0</v>
      </c>
      <c r="R45" s="50"/>
      <c r="S45" s="50">
        <f t="shared" si="7"/>
        <v>0</v>
      </c>
      <c r="T45" s="77">
        <f t="shared" si="8"/>
        <v>9</v>
      </c>
      <c r="U45" s="87">
        <f t="shared" si="9"/>
        <v>0</v>
      </c>
    </row>
    <row r="46" spans="1:21" x14ac:dyDescent="0.25">
      <c r="I46" s="61">
        <v>0</v>
      </c>
      <c r="J46" s="62">
        <v>0</v>
      </c>
      <c r="K46" s="50"/>
      <c r="L46" s="50"/>
      <c r="M46" s="70">
        <v>3</v>
      </c>
      <c r="N46" s="50"/>
      <c r="O46" s="50">
        <f t="shared" si="5"/>
        <v>0</v>
      </c>
      <c r="P46" s="76">
        <v>9</v>
      </c>
      <c r="Q46" s="87">
        <f t="shared" si="6"/>
        <v>0</v>
      </c>
      <c r="R46" s="50"/>
      <c r="S46" s="50">
        <f t="shared" si="7"/>
        <v>0</v>
      </c>
      <c r="T46" s="77">
        <f t="shared" si="8"/>
        <v>9</v>
      </c>
      <c r="U46" s="87">
        <f t="shared" si="9"/>
        <v>0</v>
      </c>
    </row>
    <row r="47" spans="1:21" x14ac:dyDescent="0.25">
      <c r="I47" s="61">
        <v>0</v>
      </c>
      <c r="J47" s="62">
        <v>0</v>
      </c>
      <c r="K47" s="50"/>
      <c r="L47" s="50"/>
      <c r="M47" s="70">
        <v>3</v>
      </c>
      <c r="N47" s="78"/>
      <c r="O47" s="50">
        <f t="shared" ref="O47:O76" si="10">L47+N47</f>
        <v>0</v>
      </c>
      <c r="P47" s="76">
        <v>9</v>
      </c>
      <c r="Q47" s="87">
        <f t="shared" ref="Q47:Q76" si="11">O47/P47</f>
        <v>0</v>
      </c>
      <c r="R47" s="50"/>
      <c r="S47" s="50">
        <f t="shared" ref="S47:S76" si="12">R47+L47</f>
        <v>0</v>
      </c>
      <c r="T47" s="77">
        <f t="shared" ref="T47:T76" si="13">P47</f>
        <v>9</v>
      </c>
      <c r="U47" s="87">
        <f t="shared" ref="U47:U76" si="14">S47/T47</f>
        <v>0</v>
      </c>
    </row>
    <row r="48" spans="1:21" x14ac:dyDescent="0.25">
      <c r="I48" s="61">
        <v>0</v>
      </c>
      <c r="J48" s="62">
        <v>0</v>
      </c>
      <c r="K48" s="50"/>
      <c r="L48" s="50"/>
      <c r="M48" s="70">
        <v>3</v>
      </c>
      <c r="N48" s="50"/>
      <c r="O48" s="50">
        <f t="shared" si="10"/>
        <v>0</v>
      </c>
      <c r="P48" s="76">
        <v>9</v>
      </c>
      <c r="Q48" s="87">
        <f t="shared" si="11"/>
        <v>0</v>
      </c>
      <c r="R48" s="50"/>
      <c r="S48" s="50">
        <f t="shared" si="12"/>
        <v>0</v>
      </c>
      <c r="T48" s="77">
        <f t="shared" si="13"/>
        <v>9</v>
      </c>
      <c r="U48" s="87">
        <f t="shared" si="14"/>
        <v>0</v>
      </c>
    </row>
    <row r="49" spans="1:21" x14ac:dyDescent="0.25">
      <c r="I49" s="61">
        <v>0</v>
      </c>
      <c r="J49" s="62">
        <v>0</v>
      </c>
      <c r="K49" s="50"/>
      <c r="L49" s="50"/>
      <c r="M49" s="70">
        <v>3</v>
      </c>
      <c r="N49" s="50"/>
      <c r="O49" s="50">
        <f t="shared" si="10"/>
        <v>0</v>
      </c>
      <c r="P49" s="76">
        <v>9</v>
      </c>
      <c r="Q49" s="87">
        <f t="shared" si="11"/>
        <v>0</v>
      </c>
      <c r="R49" s="50"/>
      <c r="S49" s="50">
        <f t="shared" si="12"/>
        <v>0</v>
      </c>
      <c r="T49" s="77">
        <f t="shared" si="13"/>
        <v>9</v>
      </c>
      <c r="U49" s="87">
        <f t="shared" si="14"/>
        <v>0</v>
      </c>
    </row>
    <row r="50" spans="1:21" x14ac:dyDescent="0.25">
      <c r="A50" s="28"/>
      <c r="I50" s="61">
        <v>0</v>
      </c>
      <c r="J50" s="62">
        <v>0</v>
      </c>
      <c r="K50" s="50"/>
      <c r="L50" s="50"/>
      <c r="M50" s="70">
        <v>3</v>
      </c>
      <c r="N50" s="50"/>
      <c r="O50" s="50">
        <f t="shared" si="10"/>
        <v>0</v>
      </c>
      <c r="P50" s="76">
        <v>9</v>
      </c>
      <c r="Q50" s="87">
        <f t="shared" si="11"/>
        <v>0</v>
      </c>
      <c r="R50" s="50"/>
      <c r="S50" s="50">
        <f t="shared" si="12"/>
        <v>0</v>
      </c>
      <c r="T50" s="77">
        <f t="shared" si="13"/>
        <v>9</v>
      </c>
      <c r="U50" s="87">
        <f t="shared" si="14"/>
        <v>0</v>
      </c>
    </row>
    <row r="51" spans="1:21" x14ac:dyDescent="0.25">
      <c r="A51" s="28"/>
      <c r="I51" s="61">
        <v>0</v>
      </c>
      <c r="J51" s="62">
        <v>0</v>
      </c>
      <c r="K51" s="50"/>
      <c r="L51" s="50"/>
      <c r="M51" s="70">
        <v>3</v>
      </c>
      <c r="N51" s="50"/>
      <c r="O51" s="50">
        <f t="shared" si="10"/>
        <v>0</v>
      </c>
      <c r="P51" s="76">
        <v>9</v>
      </c>
      <c r="Q51" s="87">
        <f t="shared" si="11"/>
        <v>0</v>
      </c>
      <c r="R51" s="50"/>
      <c r="S51" s="50">
        <f t="shared" si="12"/>
        <v>0</v>
      </c>
      <c r="T51" s="77">
        <f t="shared" si="13"/>
        <v>9</v>
      </c>
      <c r="U51" s="87">
        <f t="shared" si="14"/>
        <v>0</v>
      </c>
    </row>
    <row r="52" spans="1:21" x14ac:dyDescent="0.25">
      <c r="A52" s="28"/>
      <c r="I52" s="61">
        <v>0</v>
      </c>
      <c r="J52" s="62">
        <v>0</v>
      </c>
      <c r="K52" s="50"/>
      <c r="L52" s="50"/>
      <c r="M52" s="70">
        <v>3</v>
      </c>
      <c r="N52" s="78"/>
      <c r="O52" s="50">
        <f t="shared" si="10"/>
        <v>0</v>
      </c>
      <c r="P52" s="76">
        <v>9</v>
      </c>
      <c r="Q52" s="87">
        <f t="shared" si="11"/>
        <v>0</v>
      </c>
      <c r="R52" s="50"/>
      <c r="S52" s="50">
        <f t="shared" si="12"/>
        <v>0</v>
      </c>
      <c r="T52" s="77">
        <f t="shared" si="13"/>
        <v>9</v>
      </c>
      <c r="U52" s="87">
        <f t="shared" si="14"/>
        <v>0</v>
      </c>
    </row>
    <row r="53" spans="1:21" x14ac:dyDescent="0.25">
      <c r="I53" s="61">
        <v>0</v>
      </c>
      <c r="J53" s="62">
        <v>0</v>
      </c>
      <c r="K53" s="50"/>
      <c r="L53" s="50"/>
      <c r="M53" s="70">
        <v>3</v>
      </c>
      <c r="N53" s="50"/>
      <c r="O53" s="50">
        <f t="shared" si="10"/>
        <v>0</v>
      </c>
      <c r="P53" s="76">
        <v>9</v>
      </c>
      <c r="Q53" s="87">
        <f t="shared" si="11"/>
        <v>0</v>
      </c>
      <c r="R53" s="50"/>
      <c r="S53" s="50">
        <f t="shared" si="12"/>
        <v>0</v>
      </c>
      <c r="T53" s="77">
        <f t="shared" si="13"/>
        <v>9</v>
      </c>
      <c r="U53" s="87">
        <f t="shared" si="14"/>
        <v>0</v>
      </c>
    </row>
    <row r="54" spans="1:21" x14ac:dyDescent="0.25">
      <c r="I54" s="61">
        <v>0</v>
      </c>
      <c r="J54" s="62">
        <v>0</v>
      </c>
      <c r="K54" s="50"/>
      <c r="L54" s="50"/>
      <c r="M54" s="70">
        <v>3</v>
      </c>
      <c r="N54" s="50"/>
      <c r="O54" s="50">
        <f t="shared" si="10"/>
        <v>0</v>
      </c>
      <c r="P54" s="76">
        <v>9</v>
      </c>
      <c r="Q54" s="87">
        <f t="shared" si="11"/>
        <v>0</v>
      </c>
      <c r="R54" s="50"/>
      <c r="S54" s="50">
        <f t="shared" si="12"/>
        <v>0</v>
      </c>
      <c r="T54" s="77">
        <f t="shared" si="13"/>
        <v>9</v>
      </c>
      <c r="U54" s="87">
        <f t="shared" si="14"/>
        <v>0</v>
      </c>
    </row>
    <row r="55" spans="1:21" x14ac:dyDescent="0.25">
      <c r="I55" s="61">
        <v>0</v>
      </c>
      <c r="J55" s="62">
        <v>0</v>
      </c>
      <c r="K55" s="50"/>
      <c r="L55" s="50"/>
      <c r="M55" s="70">
        <v>3</v>
      </c>
      <c r="N55" s="50"/>
      <c r="O55" s="50">
        <f t="shared" si="10"/>
        <v>0</v>
      </c>
      <c r="P55" s="76">
        <v>9</v>
      </c>
      <c r="Q55" s="87">
        <f t="shared" si="11"/>
        <v>0</v>
      </c>
      <c r="R55" s="50"/>
      <c r="S55" s="50">
        <f t="shared" si="12"/>
        <v>0</v>
      </c>
      <c r="T55" s="77">
        <f t="shared" si="13"/>
        <v>9</v>
      </c>
      <c r="U55" s="87">
        <f t="shared" si="14"/>
        <v>0</v>
      </c>
    </row>
    <row r="56" spans="1:21" x14ac:dyDescent="0.25">
      <c r="I56" s="61">
        <v>0</v>
      </c>
      <c r="J56" s="62">
        <v>0</v>
      </c>
      <c r="K56" s="50"/>
      <c r="L56" s="50"/>
      <c r="M56" s="70">
        <v>3</v>
      </c>
      <c r="N56" s="50"/>
      <c r="O56" s="50">
        <f t="shared" si="10"/>
        <v>0</v>
      </c>
      <c r="P56" s="76">
        <v>9</v>
      </c>
      <c r="Q56" s="87">
        <f t="shared" si="11"/>
        <v>0</v>
      </c>
      <c r="R56" s="50"/>
      <c r="S56" s="50">
        <f t="shared" si="12"/>
        <v>0</v>
      </c>
      <c r="T56" s="77">
        <f t="shared" si="13"/>
        <v>9</v>
      </c>
      <c r="U56" s="87">
        <f t="shared" si="14"/>
        <v>0</v>
      </c>
    </row>
    <row r="57" spans="1:21" x14ac:dyDescent="0.25">
      <c r="A57" s="28"/>
      <c r="I57" s="61">
        <v>0</v>
      </c>
      <c r="J57" s="62">
        <v>0</v>
      </c>
      <c r="K57" s="50"/>
      <c r="L57" s="50"/>
      <c r="M57" s="70">
        <v>3</v>
      </c>
      <c r="N57" s="50"/>
      <c r="O57" s="50">
        <f t="shared" si="10"/>
        <v>0</v>
      </c>
      <c r="P57" s="76">
        <v>9</v>
      </c>
      <c r="Q57" s="87">
        <f t="shared" si="11"/>
        <v>0</v>
      </c>
      <c r="R57" s="50"/>
      <c r="S57" s="50">
        <f t="shared" si="12"/>
        <v>0</v>
      </c>
      <c r="T57" s="77">
        <f t="shared" si="13"/>
        <v>9</v>
      </c>
      <c r="U57" s="87">
        <f t="shared" si="14"/>
        <v>0</v>
      </c>
    </row>
    <row r="58" spans="1:21" x14ac:dyDescent="0.25">
      <c r="A58" s="28"/>
      <c r="I58" s="61">
        <v>0</v>
      </c>
      <c r="J58" s="62">
        <v>0</v>
      </c>
      <c r="K58" s="50"/>
      <c r="L58" s="50"/>
      <c r="M58" s="70">
        <v>3</v>
      </c>
      <c r="N58" s="78"/>
      <c r="O58" s="50">
        <f t="shared" si="10"/>
        <v>0</v>
      </c>
      <c r="P58" s="76">
        <v>9</v>
      </c>
      <c r="Q58" s="87">
        <f t="shared" si="11"/>
        <v>0</v>
      </c>
      <c r="R58" s="50"/>
      <c r="S58" s="50">
        <f t="shared" si="12"/>
        <v>0</v>
      </c>
      <c r="T58" s="77">
        <f t="shared" si="13"/>
        <v>9</v>
      </c>
      <c r="U58" s="87">
        <f t="shared" si="14"/>
        <v>0</v>
      </c>
    </row>
    <row r="59" spans="1:21" x14ac:dyDescent="0.25">
      <c r="A59" s="28"/>
      <c r="I59" s="61">
        <v>0</v>
      </c>
      <c r="J59" s="62">
        <v>0</v>
      </c>
      <c r="K59" s="50"/>
      <c r="L59" s="50"/>
      <c r="M59" s="70">
        <v>3</v>
      </c>
      <c r="N59" s="50"/>
      <c r="O59" s="50">
        <f t="shared" si="10"/>
        <v>0</v>
      </c>
      <c r="P59" s="76">
        <v>9</v>
      </c>
      <c r="Q59" s="87">
        <f t="shared" si="11"/>
        <v>0</v>
      </c>
      <c r="R59" s="50"/>
      <c r="S59" s="50">
        <f t="shared" si="12"/>
        <v>0</v>
      </c>
      <c r="T59" s="77">
        <f t="shared" si="13"/>
        <v>9</v>
      </c>
      <c r="U59" s="87">
        <f t="shared" si="14"/>
        <v>0</v>
      </c>
    </row>
    <row r="60" spans="1:21" x14ac:dyDescent="0.25">
      <c r="I60" s="61">
        <v>0</v>
      </c>
      <c r="J60" s="62">
        <v>0</v>
      </c>
      <c r="K60" s="50"/>
      <c r="L60" s="50"/>
      <c r="M60" s="70">
        <v>3</v>
      </c>
      <c r="N60" s="50"/>
      <c r="O60" s="50">
        <f t="shared" si="10"/>
        <v>0</v>
      </c>
      <c r="P60" s="76">
        <v>9</v>
      </c>
      <c r="Q60" s="87">
        <f t="shared" si="11"/>
        <v>0</v>
      </c>
      <c r="R60" s="50"/>
      <c r="S60" s="50">
        <f t="shared" si="12"/>
        <v>0</v>
      </c>
      <c r="T60" s="77">
        <f t="shared" si="13"/>
        <v>9</v>
      </c>
      <c r="U60" s="87">
        <f t="shared" si="14"/>
        <v>0</v>
      </c>
    </row>
    <row r="61" spans="1:21" x14ac:dyDescent="0.25">
      <c r="I61" s="61">
        <v>0</v>
      </c>
      <c r="J61" s="62">
        <v>0</v>
      </c>
      <c r="K61" s="50"/>
      <c r="L61" s="50"/>
      <c r="M61" s="70">
        <v>3</v>
      </c>
      <c r="N61" s="50"/>
      <c r="O61" s="50">
        <f t="shared" si="10"/>
        <v>0</v>
      </c>
      <c r="P61" s="76">
        <v>9</v>
      </c>
      <c r="Q61" s="87">
        <f t="shared" si="11"/>
        <v>0</v>
      </c>
      <c r="R61" s="50"/>
      <c r="S61" s="50">
        <f t="shared" si="12"/>
        <v>0</v>
      </c>
      <c r="T61" s="77">
        <f t="shared" si="13"/>
        <v>9</v>
      </c>
      <c r="U61" s="87">
        <f t="shared" si="14"/>
        <v>0</v>
      </c>
    </row>
    <row r="62" spans="1:21" x14ac:dyDescent="0.25">
      <c r="I62" s="61">
        <v>0</v>
      </c>
      <c r="J62" s="62">
        <v>0</v>
      </c>
      <c r="K62" s="50"/>
      <c r="L62" s="50"/>
      <c r="M62" s="70">
        <v>3</v>
      </c>
      <c r="N62" s="50"/>
      <c r="O62" s="50">
        <f t="shared" si="10"/>
        <v>0</v>
      </c>
      <c r="P62" s="76">
        <v>9</v>
      </c>
      <c r="Q62" s="87">
        <f t="shared" si="11"/>
        <v>0</v>
      </c>
      <c r="R62" s="50"/>
      <c r="S62" s="50">
        <f t="shared" si="12"/>
        <v>0</v>
      </c>
      <c r="T62" s="77">
        <f t="shared" si="13"/>
        <v>9</v>
      </c>
      <c r="U62" s="87">
        <f t="shared" si="14"/>
        <v>0</v>
      </c>
    </row>
    <row r="63" spans="1:21" x14ac:dyDescent="0.25">
      <c r="I63" s="61">
        <v>0</v>
      </c>
      <c r="J63" s="62">
        <v>0</v>
      </c>
      <c r="K63" s="50"/>
      <c r="L63" s="50"/>
      <c r="M63" s="70">
        <v>3</v>
      </c>
      <c r="N63" s="78"/>
      <c r="O63" s="50">
        <f t="shared" si="10"/>
        <v>0</v>
      </c>
      <c r="P63" s="76">
        <v>9</v>
      </c>
      <c r="Q63" s="87">
        <f t="shared" si="11"/>
        <v>0</v>
      </c>
      <c r="R63" s="50"/>
      <c r="S63" s="50">
        <f t="shared" si="12"/>
        <v>0</v>
      </c>
      <c r="T63" s="77">
        <f t="shared" si="13"/>
        <v>9</v>
      </c>
      <c r="U63" s="87">
        <f t="shared" si="14"/>
        <v>0</v>
      </c>
    </row>
    <row r="64" spans="1:21" x14ac:dyDescent="0.25">
      <c r="I64" s="61">
        <v>0</v>
      </c>
      <c r="J64" s="62">
        <v>0</v>
      </c>
      <c r="K64" s="50"/>
      <c r="L64" s="50"/>
      <c r="M64" s="70">
        <v>3</v>
      </c>
      <c r="N64" s="50"/>
      <c r="O64" s="50">
        <f t="shared" si="10"/>
        <v>0</v>
      </c>
      <c r="P64" s="76">
        <v>9</v>
      </c>
      <c r="Q64" s="87">
        <f t="shared" si="11"/>
        <v>0</v>
      </c>
      <c r="R64" s="50"/>
      <c r="S64" s="50">
        <f t="shared" si="12"/>
        <v>0</v>
      </c>
      <c r="T64" s="77">
        <f t="shared" si="13"/>
        <v>9</v>
      </c>
      <c r="U64" s="87">
        <f t="shared" si="14"/>
        <v>0</v>
      </c>
    </row>
    <row r="65" spans="9:21" x14ac:dyDescent="0.25">
      <c r="I65" s="61">
        <v>0</v>
      </c>
      <c r="J65" s="62">
        <v>0</v>
      </c>
      <c r="K65" s="50"/>
      <c r="L65" s="50"/>
      <c r="M65" s="70">
        <v>3</v>
      </c>
      <c r="N65" s="50"/>
      <c r="O65" s="50">
        <f t="shared" si="10"/>
        <v>0</v>
      </c>
      <c r="P65" s="76">
        <v>9</v>
      </c>
      <c r="Q65" s="87">
        <f t="shared" si="11"/>
        <v>0</v>
      </c>
      <c r="R65" s="50"/>
      <c r="S65" s="50">
        <f t="shared" si="12"/>
        <v>0</v>
      </c>
      <c r="T65" s="77">
        <f t="shared" si="13"/>
        <v>9</v>
      </c>
      <c r="U65" s="87">
        <f t="shared" si="14"/>
        <v>0</v>
      </c>
    </row>
    <row r="66" spans="9:21" x14ac:dyDescent="0.25">
      <c r="I66" s="61">
        <v>0</v>
      </c>
      <c r="J66" s="62">
        <v>0</v>
      </c>
      <c r="K66" s="50"/>
      <c r="L66" s="50"/>
      <c r="M66" s="70">
        <v>3</v>
      </c>
      <c r="N66" s="50"/>
      <c r="O66" s="50">
        <f t="shared" si="10"/>
        <v>0</v>
      </c>
      <c r="P66" s="76">
        <v>9</v>
      </c>
      <c r="Q66" s="87">
        <f t="shared" si="11"/>
        <v>0</v>
      </c>
      <c r="R66" s="50"/>
      <c r="S66" s="50">
        <f t="shared" si="12"/>
        <v>0</v>
      </c>
      <c r="T66" s="77">
        <f t="shared" si="13"/>
        <v>9</v>
      </c>
      <c r="U66" s="87">
        <f t="shared" si="14"/>
        <v>0</v>
      </c>
    </row>
    <row r="67" spans="9:21" x14ac:dyDescent="0.25">
      <c r="I67" s="61">
        <v>0</v>
      </c>
      <c r="J67" s="62">
        <v>0</v>
      </c>
      <c r="K67" s="50"/>
      <c r="L67" s="50"/>
      <c r="M67" s="70">
        <v>3</v>
      </c>
      <c r="N67" s="50"/>
      <c r="O67" s="50">
        <f t="shared" si="10"/>
        <v>0</v>
      </c>
      <c r="P67" s="76">
        <v>9</v>
      </c>
      <c r="Q67" s="87">
        <f t="shared" si="11"/>
        <v>0</v>
      </c>
      <c r="R67" s="50"/>
      <c r="S67" s="50">
        <f t="shared" si="12"/>
        <v>0</v>
      </c>
      <c r="T67" s="77">
        <f t="shared" si="13"/>
        <v>9</v>
      </c>
      <c r="U67" s="87">
        <f t="shared" si="14"/>
        <v>0</v>
      </c>
    </row>
    <row r="68" spans="9:21" x14ac:dyDescent="0.25">
      <c r="I68" s="61">
        <v>0</v>
      </c>
      <c r="J68" s="62">
        <v>0</v>
      </c>
      <c r="K68" s="50"/>
      <c r="L68" s="50"/>
      <c r="M68" s="70">
        <v>3</v>
      </c>
      <c r="N68" s="50"/>
      <c r="O68" s="50">
        <f t="shared" si="10"/>
        <v>0</v>
      </c>
      <c r="P68" s="76">
        <v>9</v>
      </c>
      <c r="Q68" s="87">
        <f t="shared" si="11"/>
        <v>0</v>
      </c>
      <c r="R68" s="50"/>
      <c r="S68" s="50">
        <f t="shared" si="12"/>
        <v>0</v>
      </c>
      <c r="T68" s="77">
        <f t="shared" si="13"/>
        <v>9</v>
      </c>
      <c r="U68" s="87">
        <f t="shared" si="14"/>
        <v>0</v>
      </c>
    </row>
    <row r="69" spans="9:21" x14ac:dyDescent="0.25">
      <c r="I69" s="61">
        <v>0</v>
      </c>
      <c r="J69" s="62">
        <v>0</v>
      </c>
      <c r="K69" s="50"/>
      <c r="L69" s="50"/>
      <c r="M69" s="70">
        <v>3</v>
      </c>
      <c r="N69" s="78"/>
      <c r="O69" s="50">
        <f t="shared" si="10"/>
        <v>0</v>
      </c>
      <c r="P69" s="76">
        <v>9</v>
      </c>
      <c r="Q69" s="87">
        <f t="shared" si="11"/>
        <v>0</v>
      </c>
      <c r="R69" s="50"/>
      <c r="S69" s="50">
        <f t="shared" si="12"/>
        <v>0</v>
      </c>
      <c r="T69" s="77">
        <f t="shared" si="13"/>
        <v>9</v>
      </c>
      <c r="U69" s="87">
        <f t="shared" si="14"/>
        <v>0</v>
      </c>
    </row>
    <row r="70" spans="9:21" x14ac:dyDescent="0.25">
      <c r="I70" s="61">
        <v>0</v>
      </c>
      <c r="J70" s="62">
        <v>0</v>
      </c>
      <c r="K70" s="50"/>
      <c r="L70" s="50"/>
      <c r="M70" s="70">
        <v>3</v>
      </c>
      <c r="N70" s="50"/>
      <c r="O70" s="50">
        <f t="shared" si="10"/>
        <v>0</v>
      </c>
      <c r="P70" s="76">
        <v>9</v>
      </c>
      <c r="Q70" s="87">
        <f t="shared" si="11"/>
        <v>0</v>
      </c>
      <c r="R70" s="50"/>
      <c r="S70" s="50">
        <f t="shared" si="12"/>
        <v>0</v>
      </c>
      <c r="T70" s="77">
        <f t="shared" si="13"/>
        <v>9</v>
      </c>
      <c r="U70" s="87">
        <f t="shared" si="14"/>
        <v>0</v>
      </c>
    </row>
    <row r="71" spans="9:21" x14ac:dyDescent="0.25">
      <c r="I71" s="61">
        <v>0</v>
      </c>
      <c r="J71" s="62">
        <v>0</v>
      </c>
      <c r="K71" s="50"/>
      <c r="L71" s="50"/>
      <c r="M71" s="70">
        <v>3</v>
      </c>
      <c r="N71" s="50"/>
      <c r="O71" s="50">
        <f t="shared" si="10"/>
        <v>0</v>
      </c>
      <c r="P71" s="76">
        <v>9</v>
      </c>
      <c r="Q71" s="87">
        <f t="shared" si="11"/>
        <v>0</v>
      </c>
      <c r="R71" s="50"/>
      <c r="S71" s="50">
        <f t="shared" si="12"/>
        <v>0</v>
      </c>
      <c r="T71" s="77">
        <f t="shared" si="13"/>
        <v>9</v>
      </c>
      <c r="U71" s="87">
        <f t="shared" si="14"/>
        <v>0</v>
      </c>
    </row>
    <row r="72" spans="9:21" x14ac:dyDescent="0.25">
      <c r="I72" s="61">
        <v>0</v>
      </c>
      <c r="J72" s="62">
        <v>0</v>
      </c>
      <c r="K72" s="50"/>
      <c r="L72" s="50"/>
      <c r="M72" s="70">
        <v>3</v>
      </c>
      <c r="N72" s="50"/>
      <c r="O72" s="50">
        <f t="shared" si="10"/>
        <v>0</v>
      </c>
      <c r="P72" s="76">
        <v>9</v>
      </c>
      <c r="Q72" s="87">
        <f t="shared" si="11"/>
        <v>0</v>
      </c>
      <c r="R72" s="50"/>
      <c r="S72" s="50">
        <f t="shared" si="12"/>
        <v>0</v>
      </c>
      <c r="T72" s="77">
        <f t="shared" si="13"/>
        <v>9</v>
      </c>
      <c r="U72" s="87">
        <f t="shared" si="14"/>
        <v>0</v>
      </c>
    </row>
    <row r="73" spans="9:21" x14ac:dyDescent="0.25">
      <c r="I73" s="61">
        <v>0</v>
      </c>
      <c r="J73" s="62">
        <v>0</v>
      </c>
      <c r="K73" s="50"/>
      <c r="L73" s="50"/>
      <c r="M73" s="70">
        <v>3</v>
      </c>
      <c r="N73" s="50"/>
      <c r="O73" s="50">
        <f t="shared" si="10"/>
        <v>0</v>
      </c>
      <c r="P73" s="76">
        <v>9</v>
      </c>
      <c r="Q73" s="87">
        <f t="shared" si="11"/>
        <v>0</v>
      </c>
      <c r="R73" s="50"/>
      <c r="S73" s="50">
        <f t="shared" si="12"/>
        <v>0</v>
      </c>
      <c r="T73" s="77">
        <f t="shared" si="13"/>
        <v>9</v>
      </c>
      <c r="U73" s="87">
        <f t="shared" si="14"/>
        <v>0</v>
      </c>
    </row>
    <row r="74" spans="9:21" x14ac:dyDescent="0.25">
      <c r="I74" s="61">
        <v>0</v>
      </c>
      <c r="J74" s="62">
        <v>0</v>
      </c>
      <c r="K74" s="50"/>
      <c r="L74" s="50"/>
      <c r="M74" s="70">
        <v>3</v>
      </c>
      <c r="N74" s="78"/>
      <c r="O74" s="50">
        <f t="shared" si="10"/>
        <v>0</v>
      </c>
      <c r="P74" s="76">
        <v>9</v>
      </c>
      <c r="Q74" s="87">
        <f t="shared" si="11"/>
        <v>0</v>
      </c>
      <c r="R74" s="50"/>
      <c r="S74" s="50">
        <f t="shared" si="12"/>
        <v>0</v>
      </c>
      <c r="T74" s="77">
        <f t="shared" si="13"/>
        <v>9</v>
      </c>
      <c r="U74" s="87">
        <f t="shared" si="14"/>
        <v>0</v>
      </c>
    </row>
    <row r="75" spans="9:21" x14ac:dyDescent="0.25">
      <c r="I75" s="61">
        <v>0</v>
      </c>
      <c r="J75" s="62">
        <v>0</v>
      </c>
      <c r="K75" s="50"/>
      <c r="L75" s="50"/>
      <c r="M75" s="70">
        <v>3</v>
      </c>
      <c r="N75" s="50"/>
      <c r="O75" s="50">
        <f t="shared" si="10"/>
        <v>0</v>
      </c>
      <c r="P75" s="76">
        <v>9</v>
      </c>
      <c r="Q75" s="87">
        <f t="shared" si="11"/>
        <v>0</v>
      </c>
      <c r="R75" s="50"/>
      <c r="S75" s="50">
        <f t="shared" si="12"/>
        <v>0</v>
      </c>
      <c r="T75" s="77">
        <f t="shared" si="13"/>
        <v>9</v>
      </c>
      <c r="U75" s="87">
        <f t="shared" si="14"/>
        <v>0</v>
      </c>
    </row>
    <row r="76" spans="9:21" x14ac:dyDescent="0.25">
      <c r="I76" s="61">
        <v>0</v>
      </c>
      <c r="J76" s="62">
        <v>0</v>
      </c>
      <c r="K76" s="50"/>
      <c r="L76" s="50"/>
      <c r="M76" s="70">
        <v>3</v>
      </c>
      <c r="N76" s="50"/>
      <c r="O76" s="50">
        <f t="shared" si="10"/>
        <v>0</v>
      </c>
      <c r="P76" s="76">
        <v>9</v>
      </c>
      <c r="Q76" s="87">
        <f t="shared" si="11"/>
        <v>0</v>
      </c>
      <c r="R76" s="50"/>
      <c r="S76" s="50">
        <f t="shared" si="12"/>
        <v>0</v>
      </c>
      <c r="T76" s="77">
        <f t="shared" si="13"/>
        <v>9</v>
      </c>
      <c r="U76" s="87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T32"/>
  <sheetViews>
    <sheetView workbookViewId="0">
      <selection activeCell="C7" sqref="C7"/>
    </sheetView>
  </sheetViews>
  <sheetFormatPr baseColWidth="10" defaultColWidth="11.42578125"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7.7109375" bestFit="1" customWidth="1"/>
    <col min="5" max="5" width="5.140625" customWidth="1"/>
    <col min="6" max="6" width="5.28515625" style="120" bestFit="1" customWidth="1"/>
    <col min="7" max="7" width="20.85546875" bestFit="1" customWidth="1"/>
    <col min="8" max="8" width="5.85546875" style="108" customWidth="1"/>
    <col min="9" max="9" width="6.85546875" customWidth="1"/>
    <col min="10" max="10" width="5.28515625" style="120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20" bestFit="1" customWidth="1"/>
    <col min="15" max="15" width="22" bestFit="1" customWidth="1"/>
    <col min="16" max="16" width="5.85546875" customWidth="1"/>
    <col min="17" max="17" width="5.140625" customWidth="1"/>
    <col min="18" max="18" width="5.28515625" style="120" bestFit="1" customWidth="1"/>
    <col min="19" max="19" width="21.28515625" bestFit="1" customWidth="1"/>
    <col min="20" max="20" width="5.85546875" customWidth="1"/>
  </cols>
  <sheetData>
    <row r="1" spans="1:20" x14ac:dyDescent="0.25">
      <c r="A1" s="109" t="s">
        <v>250</v>
      </c>
      <c r="F1" s="119" t="s">
        <v>297</v>
      </c>
      <c r="G1" s="153" t="s">
        <v>257</v>
      </c>
      <c r="H1" s="153"/>
      <c r="J1" s="119" t="s">
        <v>297</v>
      </c>
      <c r="K1" s="153" t="s">
        <v>298</v>
      </c>
      <c r="L1" s="153"/>
      <c r="N1" s="119" t="s">
        <v>297</v>
      </c>
      <c r="O1" s="153" t="s">
        <v>309</v>
      </c>
      <c r="P1" s="153"/>
      <c r="R1" s="119" t="s">
        <v>297</v>
      </c>
      <c r="S1" s="153" t="s">
        <v>328</v>
      </c>
      <c r="T1" s="153"/>
    </row>
    <row r="2" spans="1:20" x14ac:dyDescent="0.25">
      <c r="A2" s="28">
        <v>43634</v>
      </c>
      <c r="F2" s="48">
        <v>1</v>
      </c>
      <c r="G2" s="110" t="s">
        <v>258</v>
      </c>
      <c r="H2" s="108" t="s">
        <v>259</v>
      </c>
      <c r="J2" s="48">
        <v>1</v>
      </c>
      <c r="K2" s="110" t="s">
        <v>281</v>
      </c>
      <c r="L2" s="108">
        <v>175</v>
      </c>
      <c r="N2" s="48">
        <v>1</v>
      </c>
      <c r="O2" s="110" t="s">
        <v>281</v>
      </c>
      <c r="P2" s="108">
        <v>71</v>
      </c>
      <c r="R2" s="48">
        <v>1</v>
      </c>
      <c r="S2" s="110" t="s">
        <v>266</v>
      </c>
      <c r="T2" s="108">
        <v>58</v>
      </c>
    </row>
    <row r="3" spans="1:20" x14ac:dyDescent="0.25">
      <c r="F3" s="48">
        <v>2</v>
      </c>
      <c r="G3" s="110" t="s">
        <v>260</v>
      </c>
      <c r="H3" s="108" t="s">
        <v>261</v>
      </c>
      <c r="J3" s="48">
        <v>2</v>
      </c>
      <c r="K3" s="110" t="s">
        <v>299</v>
      </c>
      <c r="L3" s="108">
        <v>155</v>
      </c>
      <c r="N3" s="48">
        <v>2</v>
      </c>
      <c r="O3" s="110" t="s">
        <v>302</v>
      </c>
      <c r="P3" s="108">
        <v>29</v>
      </c>
      <c r="R3" s="48">
        <v>2</v>
      </c>
      <c r="S3" s="110" t="s">
        <v>300</v>
      </c>
      <c r="T3" s="108">
        <v>57</v>
      </c>
    </row>
    <row r="4" spans="1:20" x14ac:dyDescent="0.25">
      <c r="A4" s="109" t="s">
        <v>251</v>
      </c>
      <c r="F4" s="48">
        <v>3</v>
      </c>
      <c r="G4" s="110" t="s">
        <v>262</v>
      </c>
      <c r="H4" s="108" t="s">
        <v>263</v>
      </c>
      <c r="J4" s="48">
        <v>3</v>
      </c>
      <c r="K4" s="110" t="s">
        <v>267</v>
      </c>
      <c r="L4" s="108">
        <v>145</v>
      </c>
      <c r="N4" s="48">
        <v>3</v>
      </c>
      <c r="O4" s="110" t="s">
        <v>310</v>
      </c>
      <c r="P4" s="108">
        <v>16</v>
      </c>
      <c r="R4" s="48">
        <v>3</v>
      </c>
      <c r="S4" s="110" t="s">
        <v>260</v>
      </c>
      <c r="T4" s="108">
        <v>44</v>
      </c>
    </row>
    <row r="5" spans="1:20" x14ac:dyDescent="0.25">
      <c r="A5" s="129" t="s">
        <v>252</v>
      </c>
      <c r="B5" t="s">
        <v>367</v>
      </c>
      <c r="C5" s="28">
        <v>42847</v>
      </c>
      <c r="D5" t="s">
        <v>253</v>
      </c>
      <c r="F5" s="48">
        <v>4</v>
      </c>
      <c r="G5" s="110" t="s">
        <v>264</v>
      </c>
      <c r="H5" s="108" t="s">
        <v>265</v>
      </c>
      <c r="J5" s="48">
        <v>4</v>
      </c>
      <c r="K5" s="110" t="s">
        <v>264</v>
      </c>
      <c r="L5" s="108">
        <v>144</v>
      </c>
      <c r="N5" s="48">
        <v>4</v>
      </c>
      <c r="O5" s="110" t="s">
        <v>311</v>
      </c>
      <c r="P5" s="108">
        <v>12</v>
      </c>
      <c r="R5" s="48">
        <v>4</v>
      </c>
      <c r="S5" s="110" t="s">
        <v>258</v>
      </c>
      <c r="T5" s="108">
        <v>42</v>
      </c>
    </row>
    <row r="6" spans="1:20" x14ac:dyDescent="0.25">
      <c r="A6" s="129" t="s">
        <v>254</v>
      </c>
      <c r="B6" t="s">
        <v>255</v>
      </c>
      <c r="C6" s="28">
        <v>42991</v>
      </c>
      <c r="D6" t="s">
        <v>256</v>
      </c>
      <c r="F6" s="48">
        <v>5</v>
      </c>
      <c r="G6" s="110" t="s">
        <v>266</v>
      </c>
      <c r="H6" s="108" t="s">
        <v>265</v>
      </c>
      <c r="J6" s="48">
        <v>5</v>
      </c>
      <c r="K6" s="110" t="s">
        <v>258</v>
      </c>
      <c r="L6" s="108">
        <v>141</v>
      </c>
      <c r="N6" s="48">
        <v>5</v>
      </c>
      <c r="O6" s="110" t="s">
        <v>312</v>
      </c>
      <c r="P6" s="108">
        <v>11</v>
      </c>
      <c r="R6" s="48">
        <v>5</v>
      </c>
      <c r="S6" s="117" t="s">
        <v>195</v>
      </c>
      <c r="T6" s="112">
        <v>40</v>
      </c>
    </row>
    <row r="7" spans="1:20" x14ac:dyDescent="0.25">
      <c r="F7" s="48">
        <v>6</v>
      </c>
      <c r="G7" s="110" t="s">
        <v>267</v>
      </c>
      <c r="H7" s="108" t="s">
        <v>268</v>
      </c>
      <c r="J7" s="48">
        <v>6</v>
      </c>
      <c r="K7" s="110" t="s">
        <v>300</v>
      </c>
      <c r="L7" s="108">
        <v>140</v>
      </c>
      <c r="N7" s="48">
        <v>5</v>
      </c>
      <c r="O7" s="110" t="s">
        <v>313</v>
      </c>
      <c r="P7" s="108">
        <v>11</v>
      </c>
      <c r="R7" s="48">
        <v>6</v>
      </c>
      <c r="S7" s="110" t="s">
        <v>262</v>
      </c>
      <c r="T7" s="108">
        <v>27</v>
      </c>
    </row>
    <row r="8" spans="1:20" x14ac:dyDescent="0.25">
      <c r="F8" s="48">
        <v>7</v>
      </c>
      <c r="G8" s="110" t="s">
        <v>269</v>
      </c>
      <c r="H8" s="108" t="s">
        <v>270</v>
      </c>
      <c r="J8" s="48">
        <v>7</v>
      </c>
      <c r="K8" s="110" t="s">
        <v>303</v>
      </c>
      <c r="L8" s="108">
        <v>135</v>
      </c>
      <c r="N8" s="48">
        <v>7</v>
      </c>
      <c r="O8" s="110" t="s">
        <v>314</v>
      </c>
      <c r="P8" s="108">
        <v>6</v>
      </c>
      <c r="R8" s="48">
        <v>7</v>
      </c>
      <c r="S8" s="117" t="s">
        <v>356</v>
      </c>
      <c r="T8" s="129">
        <v>24</v>
      </c>
    </row>
    <row r="9" spans="1:20" x14ac:dyDescent="0.25">
      <c r="F9" s="48">
        <v>8</v>
      </c>
      <c r="G9" s="110" t="s">
        <v>272</v>
      </c>
      <c r="H9" s="108" t="s">
        <v>271</v>
      </c>
      <c r="J9" s="48">
        <v>8</v>
      </c>
      <c r="K9" s="110" t="s">
        <v>272</v>
      </c>
      <c r="L9" s="108">
        <v>111</v>
      </c>
      <c r="N9" s="48">
        <v>8</v>
      </c>
      <c r="O9" s="113" t="s">
        <v>360</v>
      </c>
      <c r="P9" s="108">
        <v>6</v>
      </c>
      <c r="R9" s="48">
        <v>8</v>
      </c>
      <c r="S9" s="110" t="s">
        <v>305</v>
      </c>
      <c r="T9" s="108">
        <v>22</v>
      </c>
    </row>
    <row r="10" spans="1:20" x14ac:dyDescent="0.25">
      <c r="F10" s="48">
        <v>9</v>
      </c>
      <c r="G10" s="110" t="s">
        <v>273</v>
      </c>
      <c r="H10" s="108" t="s">
        <v>271</v>
      </c>
      <c r="J10" s="48">
        <v>9</v>
      </c>
      <c r="K10" s="110" t="s">
        <v>301</v>
      </c>
      <c r="L10" s="108">
        <v>105</v>
      </c>
      <c r="N10" s="48">
        <v>9</v>
      </c>
      <c r="O10" s="110" t="s">
        <v>315</v>
      </c>
      <c r="P10" s="108">
        <v>4</v>
      </c>
      <c r="R10" s="48">
        <v>9</v>
      </c>
      <c r="S10" s="110" t="s">
        <v>329</v>
      </c>
      <c r="T10" s="108">
        <v>20</v>
      </c>
    </row>
    <row r="11" spans="1:20" x14ac:dyDescent="0.25">
      <c r="F11" s="48">
        <v>10</v>
      </c>
      <c r="G11" s="110" t="s">
        <v>274</v>
      </c>
      <c r="H11" s="108" t="s">
        <v>271</v>
      </c>
      <c r="J11" s="48">
        <v>10</v>
      </c>
      <c r="K11" s="110" t="s">
        <v>302</v>
      </c>
      <c r="L11" s="108">
        <v>93</v>
      </c>
      <c r="N11" s="48">
        <v>10</v>
      </c>
      <c r="O11" s="110" t="s">
        <v>316</v>
      </c>
      <c r="P11" s="108">
        <v>3</v>
      </c>
      <c r="R11" s="48">
        <v>10</v>
      </c>
      <c r="S11" s="110" t="s">
        <v>308</v>
      </c>
      <c r="T11" s="108">
        <v>13</v>
      </c>
    </row>
    <row r="12" spans="1:20" x14ac:dyDescent="0.25">
      <c r="F12" s="48">
        <v>11</v>
      </c>
      <c r="G12" s="110" t="s">
        <v>275</v>
      </c>
      <c r="H12" s="108" t="s">
        <v>271</v>
      </c>
      <c r="J12" s="48">
        <v>11</v>
      </c>
      <c r="K12" s="117" t="s">
        <v>190</v>
      </c>
      <c r="L12" s="108">
        <v>87</v>
      </c>
      <c r="N12" s="48">
        <v>10</v>
      </c>
      <c r="O12" s="113" t="s">
        <v>338</v>
      </c>
      <c r="P12" s="108">
        <v>3</v>
      </c>
      <c r="R12" s="48">
        <v>10</v>
      </c>
      <c r="S12" s="110" t="s">
        <v>330</v>
      </c>
      <c r="T12" s="108">
        <v>12</v>
      </c>
    </row>
    <row r="13" spans="1:20" x14ac:dyDescent="0.25">
      <c r="F13" s="48">
        <v>12</v>
      </c>
      <c r="G13" s="110" t="s">
        <v>277</v>
      </c>
      <c r="H13" s="108" t="s">
        <v>276</v>
      </c>
      <c r="J13" s="48">
        <v>12</v>
      </c>
      <c r="K13" s="110" t="s">
        <v>288</v>
      </c>
      <c r="L13" s="108">
        <v>83</v>
      </c>
      <c r="N13" s="48">
        <v>12</v>
      </c>
      <c r="O13" s="110" t="s">
        <v>317</v>
      </c>
      <c r="P13" s="108">
        <v>2</v>
      </c>
      <c r="R13" s="48">
        <v>10</v>
      </c>
      <c r="S13" s="116" t="s">
        <v>247</v>
      </c>
      <c r="T13" s="108">
        <v>12</v>
      </c>
    </row>
    <row r="14" spans="1:20" x14ac:dyDescent="0.25">
      <c r="F14" s="48">
        <v>13</v>
      </c>
      <c r="G14" s="110" t="s">
        <v>278</v>
      </c>
      <c r="H14" s="108" t="s">
        <v>276</v>
      </c>
      <c r="J14" s="48">
        <v>13</v>
      </c>
      <c r="K14" s="117" t="s">
        <v>364</v>
      </c>
      <c r="L14" s="108">
        <v>81</v>
      </c>
      <c r="N14" s="48">
        <v>12</v>
      </c>
      <c r="O14" s="116" t="s">
        <v>339</v>
      </c>
      <c r="P14" s="115">
        <v>2</v>
      </c>
      <c r="R14" s="48">
        <v>13</v>
      </c>
      <c r="S14" s="110" t="s">
        <v>331</v>
      </c>
      <c r="T14" s="108">
        <v>11</v>
      </c>
    </row>
    <row r="15" spans="1:20" x14ac:dyDescent="0.25">
      <c r="F15" s="48">
        <v>14</v>
      </c>
      <c r="G15" s="110" t="s">
        <v>279</v>
      </c>
      <c r="H15" s="108" t="s">
        <v>276</v>
      </c>
      <c r="J15" s="48">
        <v>14</v>
      </c>
      <c r="K15" s="110" t="s">
        <v>289</v>
      </c>
      <c r="L15" s="108">
        <v>78</v>
      </c>
      <c r="N15" s="48">
        <v>14</v>
      </c>
      <c r="O15" s="110" t="s">
        <v>318</v>
      </c>
      <c r="P15" s="108">
        <v>1</v>
      </c>
      <c r="R15" s="48">
        <v>13</v>
      </c>
      <c r="S15" s="110" t="s">
        <v>312</v>
      </c>
      <c r="T15" s="108">
        <v>11</v>
      </c>
    </row>
    <row r="16" spans="1:20" x14ac:dyDescent="0.25">
      <c r="F16" s="48">
        <v>15</v>
      </c>
      <c r="G16" s="110" t="s">
        <v>280</v>
      </c>
      <c r="H16" s="108" t="s">
        <v>276</v>
      </c>
      <c r="J16" s="48">
        <v>15</v>
      </c>
      <c r="K16" s="117" t="s">
        <v>195</v>
      </c>
      <c r="L16" s="108">
        <v>77</v>
      </c>
      <c r="N16" s="48">
        <v>14</v>
      </c>
      <c r="O16" s="110" t="s">
        <v>319</v>
      </c>
      <c r="P16" s="108">
        <v>1</v>
      </c>
      <c r="R16" s="48">
        <v>14</v>
      </c>
      <c r="S16" s="110" t="s">
        <v>332</v>
      </c>
      <c r="T16" s="108">
        <v>8</v>
      </c>
    </row>
    <row r="17" spans="6:20" x14ac:dyDescent="0.25">
      <c r="F17" s="48">
        <v>16</v>
      </c>
      <c r="G17" s="110" t="s">
        <v>281</v>
      </c>
      <c r="H17" s="108" t="s">
        <v>276</v>
      </c>
      <c r="J17" s="48">
        <v>16</v>
      </c>
      <c r="K17" s="117" t="s">
        <v>365</v>
      </c>
      <c r="L17" s="108">
        <v>75</v>
      </c>
      <c r="N17" s="48">
        <v>14</v>
      </c>
      <c r="O17" s="110" t="s">
        <v>320</v>
      </c>
      <c r="P17" s="108">
        <v>1</v>
      </c>
      <c r="R17" s="48">
        <v>14</v>
      </c>
      <c r="S17" s="110" t="s">
        <v>333</v>
      </c>
      <c r="T17" s="108">
        <v>8</v>
      </c>
    </row>
    <row r="18" spans="6:20" x14ac:dyDescent="0.25">
      <c r="F18" s="48">
        <v>17</v>
      </c>
      <c r="G18" s="110" t="s">
        <v>283</v>
      </c>
      <c r="H18" s="108" t="s">
        <v>282</v>
      </c>
      <c r="J18" s="48">
        <v>17</v>
      </c>
      <c r="K18" s="131" t="s">
        <v>249</v>
      </c>
      <c r="L18" s="108">
        <v>75</v>
      </c>
      <c r="N18" s="48">
        <v>14</v>
      </c>
      <c r="O18" s="110" t="s">
        <v>321</v>
      </c>
      <c r="P18" s="108">
        <v>1</v>
      </c>
      <c r="R18" s="48">
        <v>14</v>
      </c>
      <c r="S18" s="110" t="s">
        <v>307</v>
      </c>
      <c r="T18" s="108">
        <v>8</v>
      </c>
    </row>
    <row r="19" spans="6:20" x14ac:dyDescent="0.25">
      <c r="F19" s="48">
        <v>18</v>
      </c>
      <c r="G19" s="110" t="s">
        <v>284</v>
      </c>
      <c r="H19" s="108" t="s">
        <v>282</v>
      </c>
      <c r="J19" s="48">
        <v>18</v>
      </c>
      <c r="K19" s="110" t="s">
        <v>279</v>
      </c>
      <c r="L19" s="108">
        <v>67</v>
      </c>
      <c r="N19" s="48">
        <v>14</v>
      </c>
      <c r="O19" s="110" t="s">
        <v>322</v>
      </c>
      <c r="P19" s="108">
        <v>1</v>
      </c>
      <c r="R19" s="48">
        <v>17</v>
      </c>
      <c r="S19" s="110" t="s">
        <v>334</v>
      </c>
      <c r="T19" s="108">
        <v>7</v>
      </c>
    </row>
    <row r="20" spans="6:20" x14ac:dyDescent="0.25">
      <c r="F20" s="48">
        <v>19</v>
      </c>
      <c r="G20" s="110" t="s">
        <v>285</v>
      </c>
      <c r="H20" s="108" t="s">
        <v>282</v>
      </c>
      <c r="J20" s="48">
        <v>19</v>
      </c>
      <c r="K20" s="110" t="s">
        <v>266</v>
      </c>
      <c r="L20" s="108">
        <v>64</v>
      </c>
      <c r="N20" s="48">
        <v>14</v>
      </c>
      <c r="O20" s="110" t="s">
        <v>323</v>
      </c>
      <c r="P20" s="108">
        <v>1</v>
      </c>
      <c r="R20" s="48">
        <v>17</v>
      </c>
      <c r="S20" s="110" t="s">
        <v>335</v>
      </c>
      <c r="T20" s="108">
        <v>7</v>
      </c>
    </row>
    <row r="21" spans="6:20" x14ac:dyDescent="0.25">
      <c r="F21" s="48">
        <v>20</v>
      </c>
      <c r="G21" s="110" t="s">
        <v>286</v>
      </c>
      <c r="H21" s="108" t="s">
        <v>282</v>
      </c>
      <c r="J21" s="48">
        <v>20</v>
      </c>
      <c r="K21" s="110" t="s">
        <v>290</v>
      </c>
      <c r="L21" s="108">
        <v>60</v>
      </c>
      <c r="N21" s="48">
        <v>14</v>
      </c>
      <c r="O21" s="110" t="s">
        <v>324</v>
      </c>
      <c r="P21" s="108">
        <v>1</v>
      </c>
      <c r="R21" s="48">
        <v>19</v>
      </c>
      <c r="S21" s="110" t="s">
        <v>336</v>
      </c>
      <c r="T21" s="108">
        <v>6</v>
      </c>
    </row>
    <row r="22" spans="6:20" x14ac:dyDescent="0.25">
      <c r="F22" s="48">
        <v>21</v>
      </c>
      <c r="G22" s="110" t="s">
        <v>287</v>
      </c>
      <c r="H22" s="108" t="s">
        <v>282</v>
      </c>
      <c r="J22" s="48">
        <v>20</v>
      </c>
      <c r="K22" s="110" t="s">
        <v>280</v>
      </c>
      <c r="L22" s="108">
        <v>60</v>
      </c>
      <c r="N22" s="48">
        <v>14</v>
      </c>
      <c r="O22" s="110" t="s">
        <v>325</v>
      </c>
      <c r="P22" s="108">
        <v>1</v>
      </c>
      <c r="R22" s="48">
        <v>19</v>
      </c>
      <c r="S22" s="110" t="s">
        <v>337</v>
      </c>
      <c r="T22" s="108">
        <v>6</v>
      </c>
    </row>
    <row r="23" spans="6:20" x14ac:dyDescent="0.25">
      <c r="F23" s="48">
        <v>22</v>
      </c>
      <c r="G23" s="110" t="s">
        <v>288</v>
      </c>
      <c r="H23" s="108" t="s">
        <v>282</v>
      </c>
      <c r="J23" s="48">
        <v>22</v>
      </c>
      <c r="K23" s="110" t="s">
        <v>304</v>
      </c>
      <c r="L23" s="108">
        <v>58</v>
      </c>
      <c r="N23" s="48">
        <v>14</v>
      </c>
      <c r="O23" s="110" t="s">
        <v>326</v>
      </c>
      <c r="P23" s="108">
        <v>1</v>
      </c>
      <c r="R23" s="48">
        <v>19</v>
      </c>
      <c r="S23" s="110" t="s">
        <v>303</v>
      </c>
      <c r="T23" s="108">
        <v>6</v>
      </c>
    </row>
    <row r="24" spans="6:20" x14ac:dyDescent="0.25">
      <c r="F24" s="48">
        <v>23</v>
      </c>
      <c r="G24" s="110" t="s">
        <v>289</v>
      </c>
      <c r="H24" s="108" t="s">
        <v>282</v>
      </c>
      <c r="J24" s="48">
        <v>23</v>
      </c>
      <c r="K24" s="110" t="s">
        <v>305</v>
      </c>
      <c r="L24" s="108">
        <v>57</v>
      </c>
      <c r="N24" s="48">
        <v>14</v>
      </c>
      <c r="O24" s="110" t="s">
        <v>327</v>
      </c>
      <c r="P24" s="108">
        <v>1</v>
      </c>
      <c r="R24" s="48">
        <v>19</v>
      </c>
      <c r="S24" s="117" t="s">
        <v>368</v>
      </c>
      <c r="T24" s="132">
        <v>6</v>
      </c>
    </row>
    <row r="25" spans="6:20" x14ac:dyDescent="0.25">
      <c r="F25" s="48">
        <v>24</v>
      </c>
      <c r="G25" s="110" t="s">
        <v>290</v>
      </c>
      <c r="H25" s="108" t="s">
        <v>282</v>
      </c>
      <c r="J25" s="48">
        <v>23</v>
      </c>
      <c r="K25" s="110" t="s">
        <v>260</v>
      </c>
      <c r="L25" s="108">
        <v>57</v>
      </c>
      <c r="N25" s="48">
        <v>14</v>
      </c>
      <c r="O25" s="113" t="s">
        <v>366</v>
      </c>
      <c r="P25" s="108">
        <v>1</v>
      </c>
    </row>
    <row r="26" spans="6:20" x14ac:dyDescent="0.25">
      <c r="F26" s="48">
        <v>25</v>
      </c>
      <c r="G26" s="110" t="s">
        <v>291</v>
      </c>
      <c r="H26" s="108" t="s">
        <v>282</v>
      </c>
      <c r="J26" s="48">
        <v>25</v>
      </c>
      <c r="K26" s="110" t="s">
        <v>306</v>
      </c>
      <c r="L26" s="108">
        <v>56</v>
      </c>
      <c r="O26" s="60"/>
      <c r="P26" s="108"/>
    </row>
    <row r="27" spans="6:20" x14ac:dyDescent="0.25">
      <c r="F27" s="48">
        <v>26</v>
      </c>
      <c r="G27" s="110" t="s">
        <v>292</v>
      </c>
      <c r="H27" s="108" t="s">
        <v>282</v>
      </c>
      <c r="J27" s="48">
        <v>26</v>
      </c>
      <c r="K27" s="110" t="s">
        <v>284</v>
      </c>
      <c r="L27" s="108">
        <v>56</v>
      </c>
      <c r="O27" s="60"/>
      <c r="P27" s="108"/>
    </row>
    <row r="28" spans="6:20" x14ac:dyDescent="0.25">
      <c r="F28" s="48">
        <v>27</v>
      </c>
      <c r="G28" s="110" t="s">
        <v>293</v>
      </c>
      <c r="H28" s="108" t="s">
        <v>282</v>
      </c>
      <c r="J28" s="48">
        <v>27</v>
      </c>
      <c r="K28" s="110" t="s">
        <v>269</v>
      </c>
      <c r="L28" s="108">
        <v>54</v>
      </c>
      <c r="O28" s="60"/>
      <c r="P28" s="108"/>
    </row>
    <row r="29" spans="6:20" x14ac:dyDescent="0.25">
      <c r="F29" s="48">
        <v>28</v>
      </c>
      <c r="G29" s="110" t="s">
        <v>294</v>
      </c>
      <c r="H29" s="108" t="s">
        <v>282</v>
      </c>
      <c r="J29" s="48">
        <v>28</v>
      </c>
      <c r="K29" s="130" t="s">
        <v>346</v>
      </c>
      <c r="L29" s="118">
        <v>52</v>
      </c>
      <c r="O29" s="60"/>
      <c r="P29" s="108"/>
    </row>
    <row r="30" spans="6:20" x14ac:dyDescent="0.25">
      <c r="F30" s="48">
        <v>29</v>
      </c>
      <c r="G30" s="110" t="s">
        <v>295</v>
      </c>
      <c r="H30" s="108" t="s">
        <v>282</v>
      </c>
      <c r="J30" s="48">
        <v>29</v>
      </c>
      <c r="K30" s="110" t="s">
        <v>293</v>
      </c>
      <c r="L30" s="108">
        <v>51</v>
      </c>
      <c r="O30" s="60"/>
      <c r="P30" s="108"/>
    </row>
    <row r="31" spans="6:20" x14ac:dyDescent="0.25">
      <c r="F31" s="48">
        <v>30</v>
      </c>
      <c r="G31" s="110" t="s">
        <v>296</v>
      </c>
      <c r="H31" s="108" t="s">
        <v>282</v>
      </c>
      <c r="J31" s="48">
        <v>29</v>
      </c>
      <c r="K31" s="110" t="s">
        <v>307</v>
      </c>
      <c r="L31" s="108">
        <v>51</v>
      </c>
      <c r="O31" s="60"/>
      <c r="P31" s="108"/>
    </row>
    <row r="32" spans="6:20" x14ac:dyDescent="0.25">
      <c r="J32"/>
    </row>
  </sheetData>
  <mergeCells count="4">
    <mergeCell ref="G1:H1"/>
    <mergeCell ref="K1:L1"/>
    <mergeCell ref="O1:P1"/>
    <mergeCell ref="S1:T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dimension ref="A1:T28"/>
  <sheetViews>
    <sheetView workbookViewId="0">
      <selection activeCell="I10" sqref="I10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35" t="s">
        <v>3</v>
      </c>
      <c r="B1" s="135" t="s">
        <v>29</v>
      </c>
      <c r="C1" s="135" t="s">
        <v>69</v>
      </c>
      <c r="D1" s="136" t="s">
        <v>373</v>
      </c>
      <c r="E1" s="136" t="s">
        <v>214</v>
      </c>
      <c r="F1" s="136" t="s">
        <v>215</v>
      </c>
      <c r="H1" s="135" t="s">
        <v>374</v>
      </c>
      <c r="I1" s="135" t="s">
        <v>29</v>
      </c>
      <c r="J1" s="135" t="s">
        <v>69</v>
      </c>
      <c r="K1" s="135" t="str">
        <f>D1</f>
        <v>N_CA</v>
      </c>
      <c r="L1" s="136" t="s">
        <v>214</v>
      </c>
      <c r="M1" s="136" t="s">
        <v>215</v>
      </c>
      <c r="O1" s="135" t="s">
        <v>374</v>
      </c>
      <c r="P1" s="135" t="s">
        <v>29</v>
      </c>
      <c r="Q1" s="135" t="s">
        <v>69</v>
      </c>
      <c r="R1" s="135" t="str">
        <f>K1</f>
        <v>N_CA</v>
      </c>
      <c r="S1" s="136" t="s">
        <v>214</v>
      </c>
      <c r="T1" s="136" t="s">
        <v>215</v>
      </c>
    </row>
    <row r="2" spans="1:20" x14ac:dyDescent="0.25">
      <c r="A2" t="str">
        <f>PLANTILLA!D4</f>
        <v>Cosme Fonteboa</v>
      </c>
      <c r="B2" s="29">
        <f ca="1">PLANTILLA!Y4+PLANTILLA!N4+PLANTILLA!J4</f>
        <v>12.088088710324104</v>
      </c>
      <c r="C2" s="29">
        <f ca="1">PLANTILLA!AB4+PLANTILLA!N4+PLANTILLA!J4</f>
        <v>1.6595172817526755</v>
      </c>
      <c r="D2" s="82">
        <f ca="1">(C2*2+B2)/8</f>
        <v>1.9258904092286819</v>
      </c>
      <c r="E2" s="29">
        <f ca="1">D2*PLANTILLA!R4</f>
        <v>1.2607912257828449</v>
      </c>
      <c r="F2" s="29">
        <f ca="1">D2*PLANTILLA!S4</f>
        <v>1.4540153730152381</v>
      </c>
      <c r="H2" s="32" t="str">
        <f>A6</f>
        <v>Berto Abandero</v>
      </c>
      <c r="I2" s="29">
        <f t="shared" ref="I2:M2" ca="1" si="0">B6</f>
        <v>14.072051011006792</v>
      </c>
      <c r="J2" s="29">
        <f t="shared" ca="1" si="0"/>
        <v>11.617505556461337</v>
      </c>
      <c r="K2" s="82">
        <f ca="1">(J2*2+I2)/8</f>
        <v>4.6633827654911837</v>
      </c>
      <c r="L2" s="32">
        <f t="shared" ca="1" si="0"/>
        <v>3.9412777856825101</v>
      </c>
      <c r="M2" s="32">
        <f t="shared" ca="1" si="0"/>
        <v>4.3138541189439268</v>
      </c>
      <c r="O2" t="str">
        <f>A2</f>
        <v>Cosme Fonteboa</v>
      </c>
      <c r="P2" s="29">
        <f ca="1">I2</f>
        <v>14.072051011006792</v>
      </c>
      <c r="Q2" s="29">
        <f ca="1">J2</f>
        <v>11.617505556461337</v>
      </c>
      <c r="R2" s="82">
        <f ca="1">(Q2*2+P2)/8</f>
        <v>4.6633827654911837</v>
      </c>
      <c r="S2" s="32">
        <f ca="1">E2</f>
        <v>1.2607912257828449</v>
      </c>
      <c r="T2" s="32">
        <f ca="1">F2</f>
        <v>1.4540153730152381</v>
      </c>
    </row>
    <row r="3" spans="1:20" x14ac:dyDescent="0.25">
      <c r="A3" t="str">
        <f>PLANTILLA!D5</f>
        <v>Nicolae Hornet</v>
      </c>
      <c r="B3" s="29">
        <f ca="1">PLANTILLA!Y5+PLANTILLA!N5+PLANTILLA!J5</f>
        <v>5.1948373809043176</v>
      </c>
      <c r="C3" s="29">
        <f ca="1">PLANTILLA!AB5+PLANTILLA!N5+PLANTILLA!J5</f>
        <v>1.1948373809043173</v>
      </c>
      <c r="D3" s="82">
        <f t="shared" ref="D3:D19" ca="1" si="1">(C3*2+B3)/8</f>
        <v>0.94806401783911909</v>
      </c>
      <c r="E3" s="29">
        <f ca="1">D3*PLANTILLA!R5</f>
        <v>0.87773672358657917</v>
      </c>
      <c r="F3" s="29">
        <f ca="1">D3*PLANTILLA!S5</f>
        <v>0.94738658722897595</v>
      </c>
      <c r="H3" s="32" t="str">
        <f>A7</f>
        <v>Guillermo Pedrajas</v>
      </c>
      <c r="I3" s="29">
        <f t="shared" ref="I3:M3" ca="1" si="2">B7</f>
        <v>11.958293905021474</v>
      </c>
      <c r="J3" s="29">
        <f t="shared" ca="1" si="2"/>
        <v>10.62496057168814</v>
      </c>
      <c r="K3" s="82">
        <f t="shared" ref="K3:K6" ca="1" si="3">(J3*2+I3)/8</f>
        <v>4.1510268810497193</v>
      </c>
      <c r="L3" s="32">
        <f t="shared" ca="1" si="2"/>
        <v>3.8431041211719941</v>
      </c>
      <c r="M3" s="32">
        <f t="shared" ca="1" si="2"/>
        <v>4.1480608021564818</v>
      </c>
      <c r="O3" t="str">
        <f>A7</f>
        <v>Guillermo Pedrajas</v>
      </c>
      <c r="P3" s="29">
        <f t="shared" ref="P3:P5" ca="1" si="4">I3</f>
        <v>11.958293905021474</v>
      </c>
      <c r="Q3" s="29">
        <f t="shared" ref="Q3:Q5" ca="1" si="5">J3</f>
        <v>10.62496057168814</v>
      </c>
      <c r="R3" s="82">
        <f t="shared" ref="R3:R5" ca="1" si="6">(Q3*2+P3)/8</f>
        <v>4.1510268810497193</v>
      </c>
      <c r="S3" s="32">
        <f ca="1">E7</f>
        <v>3.8431041211719941</v>
      </c>
      <c r="T3" s="32">
        <f ca="1">F7</f>
        <v>4.1480608021564818</v>
      </c>
    </row>
    <row r="4" spans="1:20" x14ac:dyDescent="0.25">
      <c r="A4" t="str">
        <f>PLANTILLA!D6</f>
        <v>Miguel Fernández</v>
      </c>
      <c r="B4" s="29">
        <f ca="1">PLANTILLA!Y6+PLANTILLA!N6+PLANTILLA!J6</f>
        <v>15.934906105534075</v>
      </c>
      <c r="C4" s="29">
        <f ca="1">PLANTILLA!AB6+PLANTILLA!N6+PLANTILLA!J6</f>
        <v>6.3724061055340773</v>
      </c>
      <c r="D4" s="82">
        <f t="shared" ca="1" si="1"/>
        <v>3.5849647895752788</v>
      </c>
      <c r="E4" s="29">
        <f ca="1">D4*PLANTILLA!R6</f>
        <v>2.7099786548969105</v>
      </c>
      <c r="F4" s="29">
        <f ca="1">D4*PLANTILLA!S6</f>
        <v>3.0268168802755637</v>
      </c>
      <c r="H4" t="str">
        <f>A10</f>
        <v>Will Duffill</v>
      </c>
      <c r="I4" s="29">
        <f t="shared" ref="I4:M4" ca="1" si="7">B10</f>
        <v>12.54528476814958</v>
      </c>
      <c r="J4" s="29">
        <f t="shared" ca="1" si="7"/>
        <v>8.8309990538638665</v>
      </c>
      <c r="K4" s="82">
        <f t="shared" ca="1" si="3"/>
        <v>3.7759103594846639</v>
      </c>
      <c r="L4" s="32">
        <f t="shared" ca="1" si="7"/>
        <v>3.1912267057919461</v>
      </c>
      <c r="M4" s="32">
        <f t="shared" ca="1" si="7"/>
        <v>3.4928993128253985</v>
      </c>
      <c r="O4" t="str">
        <f t="shared" ref="O4" si="8">A4</f>
        <v>Miguel Fernández</v>
      </c>
      <c r="P4" s="29">
        <f t="shared" ca="1" si="4"/>
        <v>12.54528476814958</v>
      </c>
      <c r="Q4" s="29">
        <f t="shared" ca="1" si="5"/>
        <v>8.8309990538638665</v>
      </c>
      <c r="R4" s="82">
        <f t="shared" ca="1" si="6"/>
        <v>3.7759103594846639</v>
      </c>
      <c r="S4" s="32">
        <f ca="1">E4</f>
        <v>2.7099786548969105</v>
      </c>
      <c r="T4" s="32">
        <f ca="1">F4</f>
        <v>3.0268168802755637</v>
      </c>
    </row>
    <row r="5" spans="1:20" x14ac:dyDescent="0.25">
      <c r="A5" t="str">
        <f>PLANTILLA!D7</f>
        <v>Iván Real Figueroa</v>
      </c>
      <c r="B5" s="29">
        <f ca="1">PLANTILLA!Y7+PLANTILLA!N7+PLANTILLA!J7</f>
        <v>16.028518874271015</v>
      </c>
      <c r="C5" s="29">
        <f ca="1">PLANTILLA!AB7+PLANTILLA!N7+PLANTILLA!J7</f>
        <v>6.5285188742710156</v>
      </c>
      <c r="D5" s="82">
        <f t="shared" ca="1" si="1"/>
        <v>3.6356945778516305</v>
      </c>
      <c r="E5" s="29">
        <f ca="1">D5*PLANTILLA!R7</f>
        <v>3.0727227413647036</v>
      </c>
      <c r="F5" s="29">
        <f ca="1">D5*PLANTILLA!S7</f>
        <v>3.3631929478204463</v>
      </c>
      <c r="H5" s="32" t="str">
        <f>A5</f>
        <v>Iván Real Figueroa</v>
      </c>
      <c r="I5" s="29">
        <f t="shared" ref="I5:M5" ca="1" si="9">B5</f>
        <v>16.028518874271015</v>
      </c>
      <c r="J5" s="29">
        <f t="shared" ca="1" si="9"/>
        <v>6.5285188742710156</v>
      </c>
      <c r="K5" s="82">
        <f t="shared" ca="1" si="3"/>
        <v>3.6356945778516305</v>
      </c>
      <c r="L5" s="32">
        <f t="shared" ca="1" si="9"/>
        <v>3.0727227413647036</v>
      </c>
      <c r="M5" s="32">
        <f t="shared" ca="1" si="9"/>
        <v>3.3631929478204463</v>
      </c>
      <c r="O5" s="32" t="str">
        <f>H5</f>
        <v>Iván Real Figueroa</v>
      </c>
      <c r="P5" s="29">
        <f t="shared" ca="1" si="4"/>
        <v>16.028518874271015</v>
      </c>
      <c r="Q5" s="29">
        <f t="shared" ca="1" si="5"/>
        <v>6.5285188742710156</v>
      </c>
      <c r="R5" s="82">
        <f t="shared" ca="1" si="6"/>
        <v>3.6356945778516305</v>
      </c>
      <c r="S5" s="32">
        <f ca="1">L5</f>
        <v>3.0727227413647036</v>
      </c>
      <c r="T5" s="32">
        <f ca="1">M5</f>
        <v>3.3631929478204463</v>
      </c>
    </row>
    <row r="6" spans="1:20" x14ac:dyDescent="0.25">
      <c r="A6" t="str">
        <f>PLANTILLA!D8</f>
        <v>Berto Abandero</v>
      </c>
      <c r="B6" s="29">
        <f ca="1">PLANTILLA!Y8+PLANTILLA!N8+PLANTILLA!J8</f>
        <v>14.072051011006792</v>
      </c>
      <c r="C6" s="29">
        <f ca="1">PLANTILLA!AB8+PLANTILLA!N8+PLANTILLA!J8</f>
        <v>11.617505556461337</v>
      </c>
      <c r="D6" s="82">
        <f t="shared" ca="1" si="1"/>
        <v>4.6633827654911837</v>
      </c>
      <c r="E6" s="29">
        <f ca="1">D6*PLANTILLA!R8</f>
        <v>3.9412777856825101</v>
      </c>
      <c r="F6" s="29">
        <f ca="1">D6*PLANTILLA!S8</f>
        <v>4.3138541189439268</v>
      </c>
      <c r="H6" t="str">
        <f>A4</f>
        <v>Miguel Fernández</v>
      </c>
      <c r="I6" s="29">
        <f t="shared" ref="I6:M6" ca="1" si="10">B4</f>
        <v>15.934906105534075</v>
      </c>
      <c r="J6" s="29">
        <f t="shared" ca="1" si="10"/>
        <v>6.3724061055340773</v>
      </c>
      <c r="K6" s="82">
        <f t="shared" ca="1" si="3"/>
        <v>3.5849647895752788</v>
      </c>
      <c r="L6" s="32">
        <f t="shared" ca="1" si="10"/>
        <v>2.7099786548969105</v>
      </c>
      <c r="M6" s="32">
        <f t="shared" ca="1" si="10"/>
        <v>3.0268168802755637</v>
      </c>
      <c r="R6" s="32"/>
      <c r="S6" s="29"/>
      <c r="T6" s="29"/>
    </row>
    <row r="7" spans="1:20" ht="18.75" x14ac:dyDescent="0.3">
      <c r="A7" t="str">
        <f>PLANTILLA!D9</f>
        <v>Guillermo Pedrajas</v>
      </c>
      <c r="B7" s="29">
        <f ca="1">PLANTILLA!Y9+PLANTILLA!N9+PLANTILLA!J9</f>
        <v>11.958293905021474</v>
      </c>
      <c r="C7" s="29">
        <f ca="1">PLANTILLA!AB9+PLANTILLA!N9+PLANTILLA!J9</f>
        <v>10.62496057168814</v>
      </c>
      <c r="D7" s="82">
        <f t="shared" ca="1" si="1"/>
        <v>4.1510268810497193</v>
      </c>
      <c r="E7" s="29">
        <f ca="1">D7*PLANTILLA!R9</f>
        <v>3.8431041211719941</v>
      </c>
      <c r="F7" s="29">
        <f ca="1">D7*PLANTILLA!S9</f>
        <v>4.1480608021564818</v>
      </c>
      <c r="K7" s="137">
        <f ca="1">SUM(K2:K6)</f>
        <v>19.810979373452472</v>
      </c>
      <c r="L7" s="137">
        <f t="shared" ref="L7:M7" ca="1" si="11">SUM(L2:L6)</f>
        <v>16.758310008908065</v>
      </c>
      <c r="M7" s="137">
        <f t="shared" ca="1" si="11"/>
        <v>18.344824062021818</v>
      </c>
      <c r="N7" s="137"/>
      <c r="O7" s="137"/>
      <c r="P7" s="137"/>
      <c r="Q7" s="137"/>
      <c r="R7" s="137">
        <f ca="1">SUM(R2:R6)</f>
        <v>16.226014583877195</v>
      </c>
      <c r="S7" s="137">
        <f t="shared" ref="S7:T7" ca="1" si="12">SUM(S2:S6)</f>
        <v>10.886596743216453</v>
      </c>
      <c r="T7" s="137">
        <f t="shared" ca="1" si="12"/>
        <v>11.99208600326773</v>
      </c>
    </row>
    <row r="8" spans="1:20" x14ac:dyDescent="0.25">
      <c r="A8" t="str">
        <f>PLANTILLA!D10</f>
        <v>Eckardt Hägerling</v>
      </c>
      <c r="B8" s="29">
        <f ca="1">PLANTILLA!Y10+PLANTILLA!N10+PLANTILLA!J10</f>
        <v>7.4565635744296088</v>
      </c>
      <c r="C8" s="29">
        <f ca="1">PLANTILLA!AB10+PLANTILLA!N10+PLANTILLA!J10</f>
        <v>4.4565635744296088</v>
      </c>
      <c r="D8" s="82">
        <f t="shared" ca="1" si="1"/>
        <v>2.0462113404111033</v>
      </c>
      <c r="E8" s="29">
        <f ca="1">D8*PLANTILLA!R10</f>
        <v>1.7293642204221849</v>
      </c>
      <c r="F8" s="29">
        <f ca="1">D8*PLANTILLA!S10</f>
        <v>1.8928442426776602</v>
      </c>
      <c r="L8" s="64">
        <f ca="1">(K7-L7)/K7</f>
        <v>0.15408977552291583</v>
      </c>
      <c r="M8" s="64">
        <f ca="1">(K7-M7)/K7</f>
        <v>7.400721003199684E-2</v>
      </c>
      <c r="R8" s="32"/>
    </row>
    <row r="9" spans="1:20" x14ac:dyDescent="0.25">
      <c r="A9" t="str">
        <f>PLANTILLA!D11</f>
        <v>Francesc Añigas</v>
      </c>
      <c r="B9" s="29">
        <f ca="1">PLANTILLA!Y11+PLANTILLA!N11+PLANTILLA!J11</f>
        <v>13.483711808959647</v>
      </c>
      <c r="C9" s="29">
        <f ca="1">PLANTILLA!AB11+PLANTILLA!N11+PLANTILLA!J11</f>
        <v>6.0670451422929803</v>
      </c>
      <c r="D9" s="82">
        <f t="shared" ca="1" si="1"/>
        <v>3.2022252616932008</v>
      </c>
      <c r="E9" s="29">
        <f ca="1">D9*PLANTILLA!R11</f>
        <v>3.2022252616932008</v>
      </c>
      <c r="F9" s="29">
        <f ca="1">D9*PLANTILLA!S11</f>
        <v>3.2022252616932008</v>
      </c>
    </row>
    <row r="10" spans="1:20" x14ac:dyDescent="0.25">
      <c r="A10" t="str">
        <f>PLANTILLA!D12</f>
        <v>Will Duffill</v>
      </c>
      <c r="B10" s="29">
        <f ca="1">PLANTILLA!Y12+PLANTILLA!N12+PLANTILLA!J12</f>
        <v>12.54528476814958</v>
      </c>
      <c r="C10" s="29">
        <f ca="1">PLANTILLA!AB12+PLANTILLA!N12+PLANTILLA!J12</f>
        <v>8.8309990538638665</v>
      </c>
      <c r="D10" s="82">
        <f t="shared" ca="1" si="1"/>
        <v>3.7759103594846639</v>
      </c>
      <c r="E10" s="29">
        <f ca="1">D10*PLANTILLA!R12</f>
        <v>3.1912267057919461</v>
      </c>
      <c r="F10" s="29">
        <f ca="1">D10*PLANTILLA!S12</f>
        <v>3.4928993128253985</v>
      </c>
      <c r="H10" s="32"/>
      <c r="I10" s="32"/>
      <c r="J10" s="32"/>
    </row>
    <row r="11" spans="1:20" x14ac:dyDescent="0.25">
      <c r="A11" t="str">
        <f>PLANTILLA!D13</f>
        <v>Valeri Gomis</v>
      </c>
      <c r="B11" s="29">
        <f ca="1">PLANTILLA!Y13+PLANTILLA!N13+PLANTILLA!J13</f>
        <v>12.116713339578153</v>
      </c>
      <c r="C11" s="29">
        <f ca="1">PLANTILLA!AB13+PLANTILLA!N13+PLANTILLA!J13</f>
        <v>7.8309990538638683</v>
      </c>
      <c r="D11" s="82">
        <f t="shared" ca="1" si="1"/>
        <v>3.472338930913236</v>
      </c>
      <c r="E11" s="29">
        <f ca="1">D11*PLANTILLA!R13</f>
        <v>2.624841508264089</v>
      </c>
      <c r="F11" s="29">
        <f ca="1">D11*PLANTILLA!S13</f>
        <v>2.9317258904992909</v>
      </c>
    </row>
    <row r="12" spans="1:20" x14ac:dyDescent="0.25">
      <c r="A12" t="str">
        <f>PLANTILLA!D14</f>
        <v>Enrique Cubas</v>
      </c>
      <c r="B12" s="29">
        <f>PLANTILLA!Y14+PLANTILLA!N14+PLANTILLA!J14</f>
        <v>11.183677108908766</v>
      </c>
      <c r="C12" s="29">
        <f>PLANTILLA!AB14+PLANTILLA!N14+PLANTILLA!J14</f>
        <v>8.3836771089087652</v>
      </c>
      <c r="D12" s="82">
        <f t="shared" si="1"/>
        <v>3.4938789158407868</v>
      </c>
      <c r="E12" s="29">
        <f>D12*PLANTILLA!R14</f>
        <v>3.2347033264569309</v>
      </c>
      <c r="F12" s="29">
        <f>D12*PLANTILLA!S14</f>
        <v>3.4913823961109069</v>
      </c>
      <c r="H12" s="138" t="s">
        <v>374</v>
      </c>
      <c r="I12" s="138" t="s">
        <v>29</v>
      </c>
      <c r="J12" s="138" t="s">
        <v>69</v>
      </c>
      <c r="K12" s="139" t="s">
        <v>373</v>
      </c>
      <c r="L12" s="139" t="s">
        <v>214</v>
      </c>
      <c r="M12" s="139" t="s">
        <v>215</v>
      </c>
      <c r="O12" s="138" t="s">
        <v>374</v>
      </c>
      <c r="P12" s="138" t="s">
        <v>29</v>
      </c>
      <c r="Q12" s="138" t="s">
        <v>69</v>
      </c>
      <c r="R12" s="138" t="str">
        <f>K12</f>
        <v>N_CA</v>
      </c>
      <c r="S12" s="139" t="s">
        <v>214</v>
      </c>
      <c r="T12" s="139" t="s">
        <v>215</v>
      </c>
    </row>
    <row r="13" spans="1:20" x14ac:dyDescent="0.25">
      <c r="A13" t="str">
        <f>PLANTILLA!D15</f>
        <v>J. G. Peñuela</v>
      </c>
      <c r="B13" s="29">
        <f ca="1">PLANTILLA!Y15+PLANTILLA!N15+PLANTILLA!J15</f>
        <v>11.088460940818237</v>
      </c>
      <c r="C13" s="29">
        <f ca="1">PLANTILLA!AB15+PLANTILLA!N15+PLANTILLA!J15</f>
        <v>6.8027466551039497</v>
      </c>
      <c r="D13" s="82">
        <f t="shared" ca="1" si="1"/>
        <v>3.0867442813782668</v>
      </c>
      <c r="E13" s="29">
        <f ca="1">D13*PLANTILLA!R15</f>
        <v>2.6087750626657598</v>
      </c>
      <c r="F13" s="29">
        <f ca="1">D13*PLANTILLA!S15</f>
        <v>2.8553874305335363</v>
      </c>
      <c r="H13" s="32" t="str">
        <f>H2</f>
        <v>Berto Abandero</v>
      </c>
      <c r="I13" s="29">
        <f ca="1">I2</f>
        <v>14.072051011006792</v>
      </c>
      <c r="J13" s="29">
        <f ca="1">J2</f>
        <v>11.617505556461337</v>
      </c>
      <c r="K13" s="82">
        <f ca="1">(J13*2+I13)/8</f>
        <v>4.6633827654911837</v>
      </c>
      <c r="L13" s="32">
        <f ca="1">K13*(1-$L$8)</f>
        <v>3.944803161979213</v>
      </c>
      <c r="M13" s="32">
        <f ca="1">K13*(1-$M$8)</f>
        <v>4.3182588177058836</v>
      </c>
      <c r="O13" s="32" t="str">
        <f>H13</f>
        <v>Berto Abandero</v>
      </c>
      <c r="P13" s="32">
        <f t="shared" ref="P13:Q13" ca="1" si="13">I13</f>
        <v>14.072051011006792</v>
      </c>
      <c r="Q13" s="32">
        <f t="shared" ca="1" si="13"/>
        <v>11.617505556461337</v>
      </c>
      <c r="R13" s="82">
        <f ca="1">(Q13*2+P13)/8</f>
        <v>4.6633827654911837</v>
      </c>
      <c r="S13" s="32">
        <f ca="1">L13</f>
        <v>3.944803161979213</v>
      </c>
      <c r="T13" s="32">
        <f ca="1">M13</f>
        <v>4.3182588177058836</v>
      </c>
    </row>
    <row r="14" spans="1:20" x14ac:dyDescent="0.25">
      <c r="A14" t="str">
        <f>PLANTILLA!D16</f>
        <v>David Garcia-Spiess</v>
      </c>
      <c r="B14" s="29">
        <f ca="1">PLANTILLA!Y16+PLANTILLA!N16+PLANTILLA!J16</f>
        <v>10.915757727513556</v>
      </c>
      <c r="C14" s="29">
        <f ca="1">PLANTILLA!AB16+PLANTILLA!N16+PLANTILLA!J16</f>
        <v>8.915757727513558</v>
      </c>
      <c r="D14" s="82">
        <f t="shared" ca="1" si="1"/>
        <v>3.5934091478175842</v>
      </c>
      <c r="E14" s="29">
        <f ca="1">D14*PLANTILLA!R16</f>
        <v>3.0369850302584043</v>
      </c>
      <c r="F14" s="29">
        <f ca="1">D14*PLANTILLA!S16</f>
        <v>3.3240768842895831</v>
      </c>
      <c r="H14" s="32" t="str">
        <f t="shared" ref="H14:I17" si="14">H3</f>
        <v>Guillermo Pedrajas</v>
      </c>
      <c r="I14" s="29">
        <f t="shared" ca="1" si="14"/>
        <v>11.958293905021474</v>
      </c>
      <c r="J14" s="29">
        <f t="shared" ref="J14:J17" ca="1" si="15">J3</f>
        <v>10.62496057168814</v>
      </c>
      <c r="K14" s="82">
        <f t="shared" ref="K14:K17" ca="1" si="16">(J14*2+I14)/8</f>
        <v>4.1510268810497193</v>
      </c>
      <c r="L14" s="32">
        <f t="shared" ref="L14:L17" ca="1" si="17">K14*(1-$L$8)</f>
        <v>3.5113960807591789</v>
      </c>
      <c r="M14" s="32">
        <f t="shared" ref="M14:M17" ca="1" si="18">K14*(1-$M$8)</f>
        <v>3.8438209628154079</v>
      </c>
      <c r="O14" s="32" t="str">
        <f t="shared" ref="O14:O16" si="19">H14</f>
        <v>Guillermo Pedrajas</v>
      </c>
      <c r="P14" s="32">
        <f t="shared" ref="P14:P16" ca="1" si="20">I14</f>
        <v>11.958293905021474</v>
      </c>
      <c r="Q14" s="32">
        <f t="shared" ref="Q14:Q16" ca="1" si="21">J14</f>
        <v>10.62496057168814</v>
      </c>
      <c r="R14" s="82">
        <f t="shared" ref="R14:R16" ca="1" si="22">(Q14*2+P14)/8</f>
        <v>4.1510268810497193</v>
      </c>
      <c r="S14" s="32">
        <f t="shared" ref="S14:S16" ca="1" si="23">L14</f>
        <v>3.5113960807591789</v>
      </c>
      <c r="T14" s="32">
        <f t="shared" ref="T14:T16" ca="1" si="24">M14</f>
        <v>3.8438209628154079</v>
      </c>
    </row>
    <row r="15" spans="1:20" x14ac:dyDescent="0.25">
      <c r="A15" t="str">
        <f>PLANTILLA!D17</f>
        <v>Fabien Fabre</v>
      </c>
      <c r="B15" s="29">
        <f ca="1">PLANTILLA!Y17+PLANTILLA!N17+PLANTILLA!J17</f>
        <v>6.6841618226780266</v>
      </c>
      <c r="C15" s="29">
        <f ca="1">PLANTILLA!AB17+PLANTILLA!N17+PLANTILLA!J17</f>
        <v>5.6841618226780266</v>
      </c>
      <c r="D15" s="82">
        <f t="shared" ca="1" si="1"/>
        <v>2.2565606835042598</v>
      </c>
      <c r="E15" s="29">
        <f ca="1">D15*PLANTILLA!R17</f>
        <v>1.9071418627167147</v>
      </c>
      <c r="F15" s="29">
        <f ca="1">D15*PLANTILLA!S17</f>
        <v>2.0874275367693227</v>
      </c>
      <c r="H15" s="32" t="str">
        <f t="shared" si="14"/>
        <v>Will Duffill</v>
      </c>
      <c r="I15" s="29">
        <f t="shared" ca="1" si="14"/>
        <v>12.54528476814958</v>
      </c>
      <c r="J15" s="29">
        <f t="shared" ca="1" si="15"/>
        <v>8.8309990538638665</v>
      </c>
      <c r="K15" s="82">
        <f t="shared" ca="1" si="16"/>
        <v>3.7759103594846639</v>
      </c>
      <c r="L15" s="32">
        <f t="shared" ca="1" si="17"/>
        <v>3.1940811797970197</v>
      </c>
      <c r="M15" s="32">
        <f t="shared" ca="1" si="18"/>
        <v>3.4964657684482896</v>
      </c>
      <c r="O15" s="32" t="str">
        <f t="shared" si="19"/>
        <v>Will Duffill</v>
      </c>
      <c r="P15" s="32">
        <f t="shared" ca="1" si="20"/>
        <v>12.54528476814958</v>
      </c>
      <c r="Q15" s="32">
        <f t="shared" ca="1" si="21"/>
        <v>8.8309990538638665</v>
      </c>
      <c r="R15" s="82">
        <f t="shared" ca="1" si="22"/>
        <v>3.7759103594846639</v>
      </c>
      <c r="S15" s="32">
        <f t="shared" ca="1" si="23"/>
        <v>3.1940811797970197</v>
      </c>
      <c r="T15" s="32">
        <f t="shared" ca="1" si="24"/>
        <v>3.4964657684482896</v>
      </c>
    </row>
    <row r="16" spans="1:20" x14ac:dyDescent="0.25">
      <c r="A16" t="str">
        <f>PLANTILLA!D18</f>
        <v>Fernando Gazón</v>
      </c>
      <c r="B16" s="29">
        <f ca="1">PLANTILLA!Y18+PLANTILLA!N18+PLANTILLA!J18</f>
        <v>5.5305866782293833</v>
      </c>
      <c r="C16" s="29">
        <f ca="1">PLANTILLA!AB18+PLANTILLA!N18+PLANTILLA!J18</f>
        <v>5.7805866782293833</v>
      </c>
      <c r="D16" s="82">
        <f t="shared" ca="1" si="1"/>
        <v>2.1364700043360187</v>
      </c>
      <c r="E16" s="29">
        <f ca="1">D16*PLANTILLA!R18</f>
        <v>1.8056467142644386</v>
      </c>
      <c r="F16" s="29">
        <f ca="1">D16*PLANTILLA!S18</f>
        <v>1.9763378628076951</v>
      </c>
      <c r="H16" s="32" t="str">
        <f t="shared" si="14"/>
        <v>Iván Real Figueroa</v>
      </c>
      <c r="I16" s="29">
        <f t="shared" ca="1" si="14"/>
        <v>16.028518874271015</v>
      </c>
      <c r="J16" s="29">
        <f t="shared" ca="1" si="15"/>
        <v>6.5285188742710156</v>
      </c>
      <c r="K16" s="82">
        <f t="shared" ca="1" si="16"/>
        <v>3.6356945778516305</v>
      </c>
      <c r="L16" s="32">
        <f t="shared" ca="1" si="17"/>
        <v>3.0754712164805906</v>
      </c>
      <c r="M16" s="32">
        <f t="shared" ca="1" si="18"/>
        <v>3.3666269656163728</v>
      </c>
      <c r="O16" s="32" t="str">
        <f t="shared" si="19"/>
        <v>Iván Real Figueroa</v>
      </c>
      <c r="P16" s="32">
        <f t="shared" ca="1" si="20"/>
        <v>16.028518874271015</v>
      </c>
      <c r="Q16" s="32">
        <f t="shared" ca="1" si="21"/>
        <v>6.5285188742710156</v>
      </c>
      <c r="R16" s="82">
        <f t="shared" ca="1" si="22"/>
        <v>3.6356945778516305</v>
      </c>
      <c r="S16" s="32">
        <f t="shared" ca="1" si="23"/>
        <v>3.0754712164805906</v>
      </c>
      <c r="T16" s="32">
        <f t="shared" ca="1" si="24"/>
        <v>3.3666269656163728</v>
      </c>
    </row>
    <row r="17" spans="1:20" x14ac:dyDescent="0.25">
      <c r="A17" t="str">
        <f>PLANTILLA!D19</f>
        <v>Miklós Gábriel</v>
      </c>
      <c r="B17" s="29">
        <f ca="1">PLANTILLA!Y19+PLANTILLA!N19+PLANTILLA!J19</f>
        <v>6.8575358811198051</v>
      </c>
      <c r="C17" s="29">
        <f ca="1">PLANTILLA!AB19+PLANTILLA!N19+PLANTILLA!J19</f>
        <v>8.8575358811198051</v>
      </c>
      <c r="D17" s="82">
        <f t="shared" ca="1" si="1"/>
        <v>3.0715759554199269</v>
      </c>
      <c r="E17" s="29">
        <f ca="1">D17*PLANTILLA!R19</f>
        <v>2.3218931745962124</v>
      </c>
      <c r="F17" s="29">
        <f ca="1">D17*PLANTILLA!S19</f>
        <v>2.5933582326801687</v>
      </c>
      <c r="H17" s="32" t="str">
        <f t="shared" si="14"/>
        <v>Miguel Fernández</v>
      </c>
      <c r="I17" s="29">
        <f t="shared" ca="1" si="14"/>
        <v>15.934906105534075</v>
      </c>
      <c r="J17" s="29">
        <f t="shared" ca="1" si="15"/>
        <v>6.3724061055340773</v>
      </c>
      <c r="K17" s="82">
        <f t="shared" ca="1" si="16"/>
        <v>3.5849647895752788</v>
      </c>
      <c r="L17" s="32">
        <f t="shared" ca="1" si="17"/>
        <v>3.0325583698920671</v>
      </c>
      <c r="M17" s="32">
        <f t="shared" ca="1" si="18"/>
        <v>3.3196515474358677</v>
      </c>
      <c r="R17" s="32"/>
      <c r="S17" s="29"/>
      <c r="T17" s="29"/>
    </row>
    <row r="18" spans="1:20" ht="18.75" x14ac:dyDescent="0.3">
      <c r="A18" t="str">
        <f>PLANTILLA!D20</f>
        <v>Emilio Rojas</v>
      </c>
      <c r="B18" s="29">
        <f ca="1">PLANTILLA!Y20+PLANTILLA!N20+PLANTILLA!J20</f>
        <v>7.8372264053416751</v>
      </c>
      <c r="C18" s="29">
        <f ca="1">PLANTILLA!AB20+PLANTILLA!N20+PLANTILLA!J20</f>
        <v>10.837226405341676</v>
      </c>
      <c r="D18" s="82">
        <f t="shared" ca="1" si="1"/>
        <v>3.6889599020031283</v>
      </c>
      <c r="E18" s="29">
        <f ca="1">D18*PLANTILLA!R20</f>
        <v>3.6889599020031283</v>
      </c>
      <c r="F18" s="29">
        <f ca="1">D18*PLANTILLA!S20</f>
        <v>3.6889599020031283</v>
      </c>
      <c r="K18" s="137">
        <f ca="1">SUM(K13:K17)</f>
        <v>19.810979373452472</v>
      </c>
      <c r="L18" s="137">
        <f t="shared" ref="L18:M18" ca="1" si="25">SUM(L13:L17)</f>
        <v>16.758310008908069</v>
      </c>
      <c r="M18" s="137">
        <f t="shared" ca="1" si="25"/>
        <v>18.344824062021821</v>
      </c>
      <c r="N18" s="137"/>
      <c r="O18" s="137"/>
      <c r="P18" s="137"/>
      <c r="Q18" s="137"/>
      <c r="R18" s="137">
        <f ca="1">SUM(R13:R17)</f>
        <v>16.226014583877195</v>
      </c>
      <c r="S18" s="137">
        <f t="shared" ref="S18:T18" ca="1" si="26">SUM(S13:S17)</f>
        <v>13.725751639016002</v>
      </c>
      <c r="T18" s="137">
        <f t="shared" ca="1" si="26"/>
        <v>15.025172514585954</v>
      </c>
    </row>
    <row r="19" spans="1:20" x14ac:dyDescent="0.25">
      <c r="A19" t="str">
        <f>PLANTILLA!D21</f>
        <v>Leo Hilpinen</v>
      </c>
      <c r="B19" s="29">
        <f ca="1">PLANTILLA!Y21+PLANTILLA!N21+PLANTILLA!J21</f>
        <v>6.7992416882597588</v>
      </c>
      <c r="C19" s="29">
        <f ca="1">PLANTILLA!AB21+PLANTILLA!N21+PLANTILLA!J21</f>
        <v>10.799241688259759</v>
      </c>
      <c r="D19" s="82">
        <f t="shared" ca="1" si="1"/>
        <v>3.5497156330974096</v>
      </c>
      <c r="E19" s="29">
        <f ca="1">D19*PLANTILLA!R21</f>
        <v>3.2863980815984291</v>
      </c>
      <c r="F19" s="29">
        <f ca="1">D19*PLANTILLA!S21</f>
        <v>3.5471792157438169</v>
      </c>
    </row>
    <row r="20" spans="1:20" x14ac:dyDescent="0.25">
      <c r="B20" s="29"/>
      <c r="C20" s="29"/>
      <c r="D20" s="82"/>
      <c r="E20" s="29"/>
      <c r="F20" s="29"/>
    </row>
    <row r="21" spans="1:20" x14ac:dyDescent="0.25">
      <c r="B21" s="29"/>
      <c r="C21" s="29"/>
      <c r="D21" s="82"/>
      <c r="E21" s="29"/>
      <c r="F21" s="29"/>
    </row>
    <row r="22" spans="1:20" x14ac:dyDescent="0.25">
      <c r="B22" s="29"/>
      <c r="C22" s="29"/>
      <c r="D22" s="82"/>
      <c r="E22" s="29"/>
      <c r="F22" s="29"/>
    </row>
    <row r="23" spans="1:20" x14ac:dyDescent="0.25">
      <c r="B23" s="29"/>
      <c r="C23" s="29"/>
      <c r="D23" s="82"/>
      <c r="E23" s="29"/>
      <c r="F23" s="29"/>
    </row>
    <row r="24" spans="1:20" x14ac:dyDescent="0.25">
      <c r="B24" s="29"/>
      <c r="C24" s="29"/>
      <c r="D24" s="82"/>
      <c r="E24" s="29"/>
      <c r="F24" s="29"/>
    </row>
    <row r="25" spans="1:20" x14ac:dyDescent="0.25">
      <c r="B25" s="29"/>
      <c r="C25" s="29"/>
      <c r="D25" s="82"/>
      <c r="E25" s="29"/>
      <c r="F25" s="29"/>
    </row>
    <row r="26" spans="1:20" x14ac:dyDescent="0.25">
      <c r="B26" s="29"/>
      <c r="C26" s="29"/>
      <c r="D26" s="82"/>
      <c r="E26" s="29"/>
      <c r="F26" s="29"/>
    </row>
    <row r="27" spans="1:20" x14ac:dyDescent="0.25">
      <c r="B27" s="29"/>
      <c r="C27" s="29"/>
      <c r="D27" s="82"/>
      <c r="E27" s="29"/>
      <c r="F27" s="29"/>
    </row>
    <row r="28" spans="1:20" x14ac:dyDescent="0.25">
      <c r="B28" s="29"/>
      <c r="C28" s="29"/>
      <c r="D28" s="82"/>
      <c r="E28" s="29"/>
      <c r="F28" s="29"/>
    </row>
  </sheetData>
  <conditionalFormatting sqref="D20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9 K2:K6 K13:K17 R2:R5 R13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6"/>
  <sheetViews>
    <sheetView zoomScaleNormal="100" workbookViewId="0">
      <selection activeCell="K22" sqref="K22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60" bestFit="1" customWidth="1"/>
    <col min="44" max="45" width="6.140625" style="60" customWidth="1"/>
  </cols>
  <sheetData>
    <row r="1" spans="1:45" x14ac:dyDescent="0.25">
      <c r="N1" s="90">
        <f>SUM(N3:N17)</f>
        <v>123730</v>
      </c>
      <c r="AH1" s="90">
        <f>SUM(AH3:AH17)</f>
        <v>178515.48</v>
      </c>
    </row>
    <row r="2" spans="1:45" x14ac:dyDescent="0.25">
      <c r="A2" s="125" t="s">
        <v>96</v>
      </c>
      <c r="B2" s="125" t="s">
        <v>2</v>
      </c>
      <c r="C2" s="125" t="s">
        <v>64</v>
      </c>
      <c r="D2" s="125" t="s">
        <v>97</v>
      </c>
      <c r="E2" s="125" t="s">
        <v>198</v>
      </c>
      <c r="F2" s="125" t="s">
        <v>199</v>
      </c>
      <c r="G2" s="125" t="s">
        <v>15</v>
      </c>
      <c r="H2" s="125" t="s">
        <v>16</v>
      </c>
      <c r="I2" s="125" t="s">
        <v>17</v>
      </c>
      <c r="J2" s="125" t="s">
        <v>18</v>
      </c>
      <c r="K2" s="125" t="s">
        <v>19</v>
      </c>
      <c r="L2" s="125" t="s">
        <v>20</v>
      </c>
      <c r="M2" s="125" t="s">
        <v>6</v>
      </c>
      <c r="N2" s="125" t="s">
        <v>50</v>
      </c>
      <c r="O2" s="125" t="s">
        <v>200</v>
      </c>
      <c r="P2" s="125" t="s">
        <v>201</v>
      </c>
      <c r="Q2" s="125" t="s">
        <v>202</v>
      </c>
      <c r="R2" s="125" t="s">
        <v>203</v>
      </c>
      <c r="S2" s="125" t="s">
        <v>204</v>
      </c>
      <c r="T2" s="125" t="s">
        <v>205</v>
      </c>
      <c r="U2" s="125" t="s">
        <v>206</v>
      </c>
      <c r="V2" s="125" t="s">
        <v>207</v>
      </c>
      <c r="X2" s="10" t="s">
        <v>96</v>
      </c>
      <c r="Y2" s="10" t="s">
        <v>198</v>
      </c>
      <c r="Z2" s="10" t="s">
        <v>199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0" t="s">
        <v>6</v>
      </c>
      <c r="AH2" s="10" t="s">
        <v>50</v>
      </c>
      <c r="AI2" s="10" t="s">
        <v>200</v>
      </c>
      <c r="AJ2" s="10" t="s">
        <v>201</v>
      </c>
      <c r="AK2" s="10" t="s">
        <v>202</v>
      </c>
      <c r="AL2" s="10" t="s">
        <v>203</v>
      </c>
      <c r="AM2" s="10" t="s">
        <v>204</v>
      </c>
      <c r="AN2" s="10" t="s">
        <v>205</v>
      </c>
      <c r="AO2" s="10" t="s">
        <v>206</v>
      </c>
      <c r="AP2" s="10" t="s">
        <v>207</v>
      </c>
    </row>
    <row r="3" spans="1:45" x14ac:dyDescent="0.25">
      <c r="A3" t="s">
        <v>28</v>
      </c>
      <c r="B3" s="15" t="s">
        <v>27</v>
      </c>
      <c r="C3" s="17"/>
      <c r="D3" s="17" t="s">
        <v>361</v>
      </c>
      <c r="E3" s="3">
        <f>PLANTILLA!E4</f>
        <v>22</v>
      </c>
      <c r="F3" s="25">
        <f ca="1">PLANTILLA!F4</f>
        <v>52</v>
      </c>
      <c r="G3" s="105">
        <f>PLANTILLA!X4</f>
        <v>15</v>
      </c>
      <c r="H3" s="105">
        <f>PLANTILLA!Y4</f>
        <v>10.428571428571429</v>
      </c>
      <c r="I3" s="105">
        <f>PLANTILLA!Z4</f>
        <v>0</v>
      </c>
      <c r="J3" s="105">
        <f>PLANTILLA!AA4</f>
        <v>0</v>
      </c>
      <c r="K3" s="105">
        <f>PLANTILLA!AB4</f>
        <v>0</v>
      </c>
      <c r="L3" s="105">
        <f>PLANTILLA!AC4</f>
        <v>1</v>
      </c>
      <c r="M3" s="105">
        <f>PLANTILLA!AD4</f>
        <v>1</v>
      </c>
      <c r="N3" s="42">
        <f>PLANTILLA!V4</f>
        <v>27520</v>
      </c>
      <c r="O3" s="121">
        <v>51.5</v>
      </c>
      <c r="P3" s="121">
        <v>40</v>
      </c>
      <c r="Q3" s="121">
        <v>0</v>
      </c>
      <c r="R3" s="89">
        <v>0</v>
      </c>
      <c r="S3" s="89">
        <v>0</v>
      </c>
      <c r="T3" s="89">
        <v>0</v>
      </c>
      <c r="U3" s="89">
        <v>0</v>
      </c>
      <c r="V3" s="128">
        <f>SUM(O3:U3)</f>
        <v>91.5</v>
      </c>
      <c r="X3" t="s">
        <v>28</v>
      </c>
      <c r="Y3" s="17">
        <f>E3+1</f>
        <v>23</v>
      </c>
      <c r="Z3" s="3">
        <f ca="1">F3+(7*$AR$8)-122</f>
        <v>21</v>
      </c>
      <c r="AA3" s="61">
        <f>G3</f>
        <v>15</v>
      </c>
      <c r="AB3" s="61">
        <f>11+6/10</f>
        <v>11.6</v>
      </c>
      <c r="AC3" s="61">
        <f t="shared" ref="AB3:AG18" si="0">I3</f>
        <v>0</v>
      </c>
      <c r="AD3" s="61">
        <f t="shared" si="0"/>
        <v>0</v>
      </c>
      <c r="AE3" s="61">
        <f t="shared" si="0"/>
        <v>0</v>
      </c>
      <c r="AF3" s="61">
        <f t="shared" si="0"/>
        <v>1</v>
      </c>
      <c r="AG3" s="61">
        <f t="shared" si="0"/>
        <v>1</v>
      </c>
      <c r="AH3" s="42">
        <f>(24270+2300)*1.008</f>
        <v>26782.560000000001</v>
      </c>
      <c r="AI3" s="121">
        <f>O3</f>
        <v>51.5</v>
      </c>
      <c r="AJ3" s="121">
        <f>P3+$AR$8</f>
        <v>53</v>
      </c>
      <c r="AK3" s="121">
        <f t="shared" ref="AK3:AO3" si="1">Q3</f>
        <v>0</v>
      </c>
      <c r="AL3" s="121">
        <f t="shared" si="1"/>
        <v>0</v>
      </c>
      <c r="AM3" s="121">
        <f t="shared" si="1"/>
        <v>0</v>
      </c>
      <c r="AN3" s="121">
        <f t="shared" si="1"/>
        <v>0</v>
      </c>
      <c r="AO3" s="121">
        <f t="shared" si="1"/>
        <v>0</v>
      </c>
      <c r="AP3" s="128">
        <f>SUM(AI3:AO3)</f>
        <v>104.5</v>
      </c>
    </row>
    <row r="4" spans="1:45" x14ac:dyDescent="0.25">
      <c r="A4" t="s">
        <v>31</v>
      </c>
      <c r="B4" s="15" t="s">
        <v>29</v>
      </c>
      <c r="C4" s="3"/>
      <c r="D4" s="3" t="s">
        <v>350</v>
      </c>
      <c r="E4" s="3">
        <f>PLANTILLA!E6</f>
        <v>22</v>
      </c>
      <c r="F4" s="3">
        <f ca="1">PLANTILLA!F6</f>
        <v>49</v>
      </c>
      <c r="G4" s="105">
        <f>PLANTILLA!X6</f>
        <v>0</v>
      </c>
      <c r="H4" s="105">
        <f>PLANTILLA!Y6</f>
        <v>14.5625</v>
      </c>
      <c r="I4" s="105">
        <f>PLANTILLA!Z6</f>
        <v>5</v>
      </c>
      <c r="J4" s="105">
        <f>PLANTILLA!AA6</f>
        <v>5.4</v>
      </c>
      <c r="K4" s="105">
        <f>PLANTILLA!AB6</f>
        <v>5</v>
      </c>
      <c r="L4" s="105">
        <f>PLANTILLA!AC6</f>
        <v>2</v>
      </c>
      <c r="M4" s="105">
        <f>PLANTILLA!AD6</f>
        <v>1</v>
      </c>
      <c r="N4" s="42">
        <f>PLANTILLA!V6</f>
        <v>18250</v>
      </c>
      <c r="O4" s="121">
        <v>0</v>
      </c>
      <c r="P4" s="121">
        <f>79+9</f>
        <v>88</v>
      </c>
      <c r="Q4" s="121">
        <v>9</v>
      </c>
      <c r="R4" s="89">
        <v>6</v>
      </c>
      <c r="S4" s="89">
        <v>7</v>
      </c>
      <c r="T4" s="89">
        <v>0</v>
      </c>
      <c r="U4" s="89">
        <v>0</v>
      </c>
      <c r="V4" s="128">
        <f t="shared" ref="V4:V13" si="2">SUM(O4:U4)</f>
        <v>110</v>
      </c>
      <c r="X4" t="s">
        <v>31</v>
      </c>
      <c r="Y4" s="17">
        <f t="shared" ref="Y4:Y15" si="3">E4+1</f>
        <v>23</v>
      </c>
      <c r="Z4" s="3">
        <f t="shared" ref="Z4:Z15" ca="1" si="4">F4+(7*$AR$8)-122</f>
        <v>18</v>
      </c>
      <c r="AA4" s="61">
        <f t="shared" ref="AA4:AA18" si="5">G4</f>
        <v>0</v>
      </c>
      <c r="AB4" s="61">
        <f>15+3/18</f>
        <v>15.166666666666666</v>
      </c>
      <c r="AC4" s="61">
        <f t="shared" si="0"/>
        <v>5</v>
      </c>
      <c r="AD4" s="61">
        <f>5+2/10</f>
        <v>5.2</v>
      </c>
      <c r="AE4" s="61">
        <f t="shared" si="0"/>
        <v>5</v>
      </c>
      <c r="AF4" s="61">
        <f t="shared" si="0"/>
        <v>2</v>
      </c>
      <c r="AG4" s="61">
        <f t="shared" si="0"/>
        <v>1</v>
      </c>
      <c r="AH4" s="42">
        <f>(28000+135+130+135)*1.004</f>
        <v>28513.599999999999</v>
      </c>
      <c r="AI4" s="123">
        <f t="shared" ref="AI4:AI18" si="6">O4</f>
        <v>0</v>
      </c>
      <c r="AJ4" s="123">
        <f t="shared" ref="AJ4:AJ15" si="7">P4+$AR$8</f>
        <v>101</v>
      </c>
      <c r="AK4" s="123">
        <f t="shared" ref="AK4:AK18" si="8">Q4</f>
        <v>9</v>
      </c>
      <c r="AL4" s="123">
        <f t="shared" ref="AL4:AL18" si="9">R4</f>
        <v>6</v>
      </c>
      <c r="AM4" s="123">
        <f t="shared" ref="AM4:AM18" si="10">S4</f>
        <v>7</v>
      </c>
      <c r="AN4" s="123">
        <f t="shared" ref="AN4:AN18" si="11">T4</f>
        <v>0</v>
      </c>
      <c r="AO4" s="123">
        <f t="shared" ref="AO4:AO18" si="12">U4</f>
        <v>0</v>
      </c>
      <c r="AP4" s="128">
        <f>SUM(AI4:AO4)</f>
        <v>123</v>
      </c>
    </row>
    <row r="5" spans="1:45" x14ac:dyDescent="0.25">
      <c r="A5" t="s">
        <v>32</v>
      </c>
      <c r="B5" s="15" t="s">
        <v>29</v>
      </c>
      <c r="C5" s="3"/>
      <c r="D5" s="3" t="s">
        <v>351</v>
      </c>
      <c r="E5" s="3">
        <f>PLANTILLA!E8</f>
        <v>22</v>
      </c>
      <c r="F5" s="3">
        <f ca="1">PLANTILLA!F8</f>
        <v>80</v>
      </c>
      <c r="G5" s="105">
        <f>PLANTILLA!X8</f>
        <v>0</v>
      </c>
      <c r="H5" s="105">
        <f>PLANTILLA!Y8</f>
        <v>12.454545454545455</v>
      </c>
      <c r="I5" s="105">
        <f>PLANTILLA!Z8</f>
        <v>3</v>
      </c>
      <c r="J5" s="105">
        <f>PLANTILLA!AA8</f>
        <v>7.1999999999999993</v>
      </c>
      <c r="K5" s="105">
        <f>PLANTILLA!AB8</f>
        <v>10</v>
      </c>
      <c r="L5" s="105">
        <f>PLANTILLA!AC8</f>
        <v>3</v>
      </c>
      <c r="M5" s="105">
        <f>PLANTILLA!AD8</f>
        <v>2</v>
      </c>
      <c r="N5" s="42">
        <f>PLANTILLA!V8</f>
        <v>5710</v>
      </c>
      <c r="O5" s="121">
        <v>0</v>
      </c>
      <c r="P5" s="121">
        <v>61</v>
      </c>
      <c r="Q5" s="121">
        <v>3</v>
      </c>
      <c r="R5" s="89">
        <v>11.5</v>
      </c>
      <c r="S5" s="89">
        <v>29</v>
      </c>
      <c r="T5" s="89">
        <v>2</v>
      </c>
      <c r="U5" s="89">
        <v>0</v>
      </c>
      <c r="V5" s="128">
        <f>SUM(O5:U5)</f>
        <v>106.5</v>
      </c>
      <c r="X5" t="s">
        <v>32</v>
      </c>
      <c r="Y5" s="17">
        <f t="shared" si="3"/>
        <v>23</v>
      </c>
      <c r="Z5" s="3">
        <f t="shared" ca="1" si="4"/>
        <v>49</v>
      </c>
      <c r="AA5" s="61">
        <f t="shared" si="5"/>
        <v>0</v>
      </c>
      <c r="AB5" s="61">
        <f>13+5/12</f>
        <v>13.416666666666666</v>
      </c>
      <c r="AC5" s="61">
        <f t="shared" si="0"/>
        <v>3</v>
      </c>
      <c r="AD5" s="61">
        <f>7+1/12</f>
        <v>7.083333333333333</v>
      </c>
      <c r="AE5" s="61">
        <f t="shared" si="0"/>
        <v>10</v>
      </c>
      <c r="AF5" s="61">
        <f t="shared" si="0"/>
        <v>3</v>
      </c>
      <c r="AG5" s="61">
        <f t="shared" si="0"/>
        <v>2</v>
      </c>
      <c r="AH5" s="42">
        <f>(195+13000+190)*1.008</f>
        <v>13492.08</v>
      </c>
      <c r="AI5" s="123">
        <f t="shared" si="6"/>
        <v>0</v>
      </c>
      <c r="AJ5" s="123">
        <f t="shared" si="7"/>
        <v>74</v>
      </c>
      <c r="AK5" s="123">
        <f t="shared" si="8"/>
        <v>3</v>
      </c>
      <c r="AL5" s="123">
        <f t="shared" si="9"/>
        <v>11.5</v>
      </c>
      <c r="AM5" s="123">
        <f t="shared" si="10"/>
        <v>29</v>
      </c>
      <c r="AN5" s="123">
        <f t="shared" si="11"/>
        <v>2</v>
      </c>
      <c r="AO5" s="123">
        <f t="shared" si="12"/>
        <v>0</v>
      </c>
      <c r="AP5" s="128">
        <f>SUM(AI5:AO5)</f>
        <v>119.5</v>
      </c>
    </row>
    <row r="6" spans="1:45" x14ac:dyDescent="0.25">
      <c r="A6" t="s">
        <v>38</v>
      </c>
      <c r="B6" s="15" t="s">
        <v>29</v>
      </c>
      <c r="C6" s="3"/>
      <c r="D6" s="3" t="s">
        <v>354</v>
      </c>
      <c r="E6" s="3">
        <f>PLANTILLA!E7</f>
        <v>22</v>
      </c>
      <c r="F6" s="25">
        <f ca="1">PLANTILLA!F7</f>
        <v>30</v>
      </c>
      <c r="G6" s="105">
        <f>PLANTILLA!X7</f>
        <v>0</v>
      </c>
      <c r="H6" s="105">
        <f>PLANTILLA!Y7</f>
        <v>14.5</v>
      </c>
      <c r="I6" s="105">
        <f>PLANTILLA!Z7</f>
        <v>5</v>
      </c>
      <c r="J6" s="105">
        <f>PLANTILLA!AA7</f>
        <v>7</v>
      </c>
      <c r="K6" s="105">
        <f>PLANTILLA!AB7</f>
        <v>5</v>
      </c>
      <c r="L6" s="105">
        <f>PLANTILLA!AC7</f>
        <v>1</v>
      </c>
      <c r="M6" s="105">
        <f>PLANTILLA!AD7</f>
        <v>0</v>
      </c>
      <c r="N6" s="42">
        <f>PLANTILLA!V7</f>
        <v>19870</v>
      </c>
      <c r="O6" s="121">
        <v>0</v>
      </c>
      <c r="P6" s="121">
        <v>87</v>
      </c>
      <c r="Q6" s="121">
        <v>9</v>
      </c>
      <c r="R6" s="89">
        <v>10.5</v>
      </c>
      <c r="S6" s="89">
        <v>7</v>
      </c>
      <c r="T6" s="89">
        <v>0</v>
      </c>
      <c r="U6" s="89">
        <v>0</v>
      </c>
      <c r="V6" s="128">
        <f>SUM(O6:U6)</f>
        <v>113.5</v>
      </c>
      <c r="X6" t="s">
        <v>38</v>
      </c>
      <c r="Y6" s="17">
        <f t="shared" si="3"/>
        <v>23</v>
      </c>
      <c r="Z6" s="3">
        <f t="shared" ca="1" si="4"/>
        <v>-1</v>
      </c>
      <c r="AA6" s="61">
        <f t="shared" si="5"/>
        <v>0</v>
      </c>
      <c r="AB6" s="61">
        <f>15+3/18</f>
        <v>15.166666666666666</v>
      </c>
      <c r="AC6" s="61">
        <f t="shared" si="0"/>
        <v>5</v>
      </c>
      <c r="AD6" s="61">
        <f>J6+(0.5*AR9)/4</f>
        <v>7</v>
      </c>
      <c r="AE6" s="61">
        <f t="shared" si="0"/>
        <v>5</v>
      </c>
      <c r="AF6" s="61">
        <f t="shared" si="0"/>
        <v>1</v>
      </c>
      <c r="AG6" s="61">
        <f t="shared" si="0"/>
        <v>0</v>
      </c>
      <c r="AH6" s="42">
        <f>(28000+135+130+135)*1.004</f>
        <v>28513.599999999999</v>
      </c>
      <c r="AI6" s="123">
        <f t="shared" si="6"/>
        <v>0</v>
      </c>
      <c r="AJ6" s="123">
        <f t="shared" si="7"/>
        <v>100</v>
      </c>
      <c r="AK6" s="123">
        <f t="shared" si="8"/>
        <v>9</v>
      </c>
      <c r="AL6" s="123">
        <f t="shared" si="9"/>
        <v>10.5</v>
      </c>
      <c r="AM6" s="123">
        <f t="shared" si="10"/>
        <v>7</v>
      </c>
      <c r="AN6" s="123">
        <f t="shared" si="11"/>
        <v>0</v>
      </c>
      <c r="AO6" s="123">
        <f t="shared" si="12"/>
        <v>0</v>
      </c>
      <c r="AP6" s="128">
        <f>SUM(AI6:AO6)</f>
        <v>126.5</v>
      </c>
    </row>
    <row r="7" spans="1:45" x14ac:dyDescent="0.25">
      <c r="A7" t="s">
        <v>40</v>
      </c>
      <c r="B7" s="15" t="s">
        <v>29</v>
      </c>
      <c r="C7" s="3"/>
      <c r="D7" s="3" t="s">
        <v>358</v>
      </c>
      <c r="E7" s="3">
        <f>PLANTILLA!E9</f>
        <v>22</v>
      </c>
      <c r="F7" s="25">
        <f ca="1">PLANTILLA!F9</f>
        <v>65</v>
      </c>
      <c r="G7" s="105">
        <f>PLANTILLA!X9</f>
        <v>0</v>
      </c>
      <c r="H7" s="105">
        <f>PLANTILLA!Y9</f>
        <v>10.333333333333334</v>
      </c>
      <c r="I7" s="105">
        <f>PLANTILLA!Z9</f>
        <v>11</v>
      </c>
      <c r="J7" s="105">
        <f>PLANTILLA!AA9</f>
        <v>4</v>
      </c>
      <c r="K7" s="105">
        <f>PLANTILLA!AB9</f>
        <v>9</v>
      </c>
      <c r="L7" s="105">
        <f>PLANTILLA!AC9</f>
        <v>4</v>
      </c>
      <c r="M7" s="105">
        <f>PLANTILLA!AD9</f>
        <v>1</v>
      </c>
      <c r="N7" s="42">
        <f>PLANTILLA!V9</f>
        <v>6250</v>
      </c>
      <c r="O7" s="121">
        <v>0</v>
      </c>
      <c r="P7" s="121">
        <v>40</v>
      </c>
      <c r="Q7" s="121">
        <v>40</v>
      </c>
      <c r="R7" s="89">
        <v>3.5</v>
      </c>
      <c r="S7" s="89">
        <v>23</v>
      </c>
      <c r="T7" s="89">
        <v>5</v>
      </c>
      <c r="U7" s="89">
        <v>0</v>
      </c>
      <c r="V7" s="128">
        <f t="shared" si="2"/>
        <v>111.5</v>
      </c>
      <c r="X7" t="s">
        <v>40</v>
      </c>
      <c r="Y7" s="17">
        <f t="shared" si="3"/>
        <v>23</v>
      </c>
      <c r="Z7" s="3">
        <f t="shared" ca="1" si="4"/>
        <v>34</v>
      </c>
      <c r="AA7" s="61">
        <f t="shared" si="5"/>
        <v>0</v>
      </c>
      <c r="AB7" s="61">
        <f>11+7/10</f>
        <v>11.7</v>
      </c>
      <c r="AC7" s="61">
        <f t="shared" si="0"/>
        <v>11</v>
      </c>
      <c r="AD7" s="61">
        <f t="shared" si="0"/>
        <v>4</v>
      </c>
      <c r="AE7" s="61">
        <f t="shared" si="0"/>
        <v>9</v>
      </c>
      <c r="AF7" s="61">
        <f t="shared" si="0"/>
        <v>4</v>
      </c>
      <c r="AG7" s="61">
        <f t="shared" si="0"/>
        <v>1</v>
      </c>
      <c r="AH7" s="42">
        <f>(6800+2505+145)*1.008</f>
        <v>9525.6</v>
      </c>
      <c r="AI7" s="123">
        <f t="shared" si="6"/>
        <v>0</v>
      </c>
      <c r="AJ7" s="123">
        <f t="shared" si="7"/>
        <v>53</v>
      </c>
      <c r="AK7" s="123">
        <f t="shared" si="8"/>
        <v>40</v>
      </c>
      <c r="AL7" s="123">
        <f t="shared" si="9"/>
        <v>3.5</v>
      </c>
      <c r="AM7" s="123">
        <f t="shared" si="10"/>
        <v>23</v>
      </c>
      <c r="AN7" s="123">
        <f t="shared" si="11"/>
        <v>5</v>
      </c>
      <c r="AO7" s="123">
        <f t="shared" si="12"/>
        <v>0</v>
      </c>
      <c r="AP7" s="128">
        <f t="shared" ref="AP7:AP13" si="13">SUM(AI7:AO7)</f>
        <v>124.5</v>
      </c>
      <c r="AR7" s="106" t="s">
        <v>243</v>
      </c>
      <c r="AS7" s="106" t="s">
        <v>244</v>
      </c>
    </row>
    <row r="8" spans="1:45" x14ac:dyDescent="0.25">
      <c r="A8" t="s">
        <v>37</v>
      </c>
      <c r="B8" s="15" t="s">
        <v>29</v>
      </c>
      <c r="C8" s="3"/>
      <c r="D8" s="3"/>
      <c r="E8" s="3"/>
      <c r="F8" s="3"/>
      <c r="G8" s="105">
        <v>0</v>
      </c>
      <c r="H8" s="73">
        <v>2</v>
      </c>
      <c r="I8" s="105">
        <v>2</v>
      </c>
      <c r="J8" s="73">
        <v>2</v>
      </c>
      <c r="K8" s="105">
        <v>2</v>
      </c>
      <c r="L8" s="73">
        <v>2</v>
      </c>
      <c r="M8" s="105">
        <v>2</v>
      </c>
      <c r="N8" s="42"/>
      <c r="O8" s="121">
        <v>0</v>
      </c>
      <c r="P8" s="121">
        <v>0</v>
      </c>
      <c r="Q8" s="121">
        <v>0</v>
      </c>
      <c r="R8" s="89">
        <v>0</v>
      </c>
      <c r="S8" s="89">
        <v>0</v>
      </c>
      <c r="T8" s="89">
        <v>0</v>
      </c>
      <c r="U8" s="89">
        <v>0</v>
      </c>
      <c r="V8" s="128">
        <f t="shared" si="2"/>
        <v>0</v>
      </c>
      <c r="X8" t="s">
        <v>37</v>
      </c>
      <c r="Y8" s="17"/>
      <c r="Z8" s="3"/>
      <c r="AA8" s="61">
        <f t="shared" si="5"/>
        <v>0</v>
      </c>
      <c r="AB8" s="61">
        <f t="shared" si="0"/>
        <v>2</v>
      </c>
      <c r="AC8" s="61">
        <f t="shared" si="0"/>
        <v>2</v>
      </c>
      <c r="AD8" s="61">
        <f t="shared" si="0"/>
        <v>2</v>
      </c>
      <c r="AE8" s="61">
        <f t="shared" si="0"/>
        <v>2</v>
      </c>
      <c r="AF8" s="61">
        <f t="shared" si="0"/>
        <v>2</v>
      </c>
      <c r="AG8" s="61">
        <f t="shared" si="0"/>
        <v>2</v>
      </c>
      <c r="AH8" s="42"/>
      <c r="AI8" s="123">
        <f t="shared" si="6"/>
        <v>0</v>
      </c>
      <c r="AJ8" s="123">
        <v>0</v>
      </c>
      <c r="AK8" s="123">
        <f t="shared" si="8"/>
        <v>0</v>
      </c>
      <c r="AL8" s="123">
        <f t="shared" si="9"/>
        <v>0</v>
      </c>
      <c r="AM8" s="123">
        <f t="shared" si="10"/>
        <v>0</v>
      </c>
      <c r="AN8" s="123">
        <f t="shared" si="11"/>
        <v>0</v>
      </c>
      <c r="AO8" s="123">
        <f t="shared" si="12"/>
        <v>0</v>
      </c>
      <c r="AP8" s="128">
        <f t="shared" si="13"/>
        <v>0</v>
      </c>
      <c r="AQ8" s="106" t="s">
        <v>29</v>
      </c>
      <c r="AR8" s="60">
        <v>13</v>
      </c>
      <c r="AS8" s="126">
        <f>AR8/16</f>
        <v>0.8125</v>
      </c>
    </row>
    <row r="9" spans="1:45" x14ac:dyDescent="0.25">
      <c r="A9" t="s">
        <v>34</v>
      </c>
      <c r="B9" s="15" t="s">
        <v>29</v>
      </c>
      <c r="C9" s="3" t="s">
        <v>192</v>
      </c>
      <c r="D9" s="3" t="s">
        <v>342</v>
      </c>
      <c r="E9" s="3">
        <f>PLANTILLA!E11</f>
        <v>22</v>
      </c>
      <c r="F9" s="3">
        <f ca="1">PLANTILLA!F11</f>
        <v>45</v>
      </c>
      <c r="G9" s="105">
        <f>PLANTILLA!X11</f>
        <v>0</v>
      </c>
      <c r="H9" s="105">
        <f>PLANTILLA!Y11</f>
        <v>11.666666666666666</v>
      </c>
      <c r="I9" s="105">
        <f>PLANTILLA!Z11</f>
        <v>4</v>
      </c>
      <c r="J9" s="105">
        <f>PLANTILLA!AA11</f>
        <v>12.666666666666666</v>
      </c>
      <c r="K9" s="105">
        <f>PLANTILLA!AB11</f>
        <v>4.25</v>
      </c>
      <c r="L9" s="105">
        <f>PLANTILLA!AC11</f>
        <v>7</v>
      </c>
      <c r="M9" s="105">
        <f>PLANTILLA!AD11</f>
        <v>3</v>
      </c>
      <c r="N9" s="42">
        <f>PLANTILLA!V11</f>
        <v>8650</v>
      </c>
      <c r="O9" s="121">
        <v>0</v>
      </c>
      <c r="P9" s="121">
        <v>53</v>
      </c>
      <c r="Q9" s="121">
        <v>6</v>
      </c>
      <c r="R9" s="89">
        <v>40.5</v>
      </c>
      <c r="S9" s="89">
        <v>5</v>
      </c>
      <c r="T9" s="89">
        <v>16</v>
      </c>
      <c r="U9" s="89">
        <v>1</v>
      </c>
      <c r="V9" s="128">
        <f t="shared" si="2"/>
        <v>121.5</v>
      </c>
      <c r="X9" t="s">
        <v>34</v>
      </c>
      <c r="Y9" s="17">
        <f t="shared" si="3"/>
        <v>23</v>
      </c>
      <c r="Z9" s="3">
        <f t="shared" ca="1" si="4"/>
        <v>14</v>
      </c>
      <c r="AA9" s="61">
        <f t="shared" si="5"/>
        <v>0</v>
      </c>
      <c r="AB9" s="61">
        <f>12+10/11</f>
        <v>12.909090909090908</v>
      </c>
      <c r="AC9" s="61">
        <f t="shared" si="0"/>
        <v>4</v>
      </c>
      <c r="AD9" s="61">
        <v>12.5</v>
      </c>
      <c r="AE9" s="61">
        <f t="shared" si="0"/>
        <v>4.25</v>
      </c>
      <c r="AF9" s="61">
        <f t="shared" si="0"/>
        <v>7</v>
      </c>
      <c r="AG9" s="61">
        <f t="shared" si="0"/>
        <v>3</v>
      </c>
      <c r="AH9" s="42">
        <f>(12930+2985+125+125+245)*1.012</f>
        <v>16606.920000000002</v>
      </c>
      <c r="AI9" s="123">
        <f t="shared" si="6"/>
        <v>0</v>
      </c>
      <c r="AJ9" s="123">
        <f t="shared" si="7"/>
        <v>66</v>
      </c>
      <c r="AK9" s="123">
        <f t="shared" si="8"/>
        <v>6</v>
      </c>
      <c r="AL9" s="123">
        <f t="shared" si="9"/>
        <v>40.5</v>
      </c>
      <c r="AM9" s="123">
        <f t="shared" si="10"/>
        <v>5</v>
      </c>
      <c r="AN9" s="123">
        <f t="shared" si="11"/>
        <v>16</v>
      </c>
      <c r="AO9" s="123">
        <f t="shared" si="12"/>
        <v>1</v>
      </c>
      <c r="AP9" s="128">
        <f t="shared" si="13"/>
        <v>134.5</v>
      </c>
      <c r="AR9" s="127"/>
      <c r="AS9" s="127"/>
    </row>
    <row r="10" spans="1:45" x14ac:dyDescent="0.25">
      <c r="A10" t="s">
        <v>30</v>
      </c>
      <c r="B10" s="15" t="s">
        <v>29</v>
      </c>
      <c r="C10" s="3" t="s">
        <v>192</v>
      </c>
      <c r="D10" s="3" t="s">
        <v>209</v>
      </c>
      <c r="E10" s="3">
        <f>PLANTILLA!E13</f>
        <v>22</v>
      </c>
      <c r="F10" s="3">
        <f ca="1">PLANTILLA!F13</f>
        <v>45</v>
      </c>
      <c r="G10" s="105">
        <f>PLANTILLA!X13</f>
        <v>0</v>
      </c>
      <c r="H10" s="105">
        <f>PLANTILLA!Y13</f>
        <v>10.285714285714286</v>
      </c>
      <c r="I10" s="105">
        <f>PLANTILLA!Z13</f>
        <v>3</v>
      </c>
      <c r="J10" s="105">
        <f>PLANTILLA!AA13</f>
        <v>12</v>
      </c>
      <c r="K10" s="105">
        <f>PLANTILLA!AB13</f>
        <v>6.0000000000000009</v>
      </c>
      <c r="L10" s="105">
        <f>PLANTILLA!AC13</f>
        <v>7.25</v>
      </c>
      <c r="M10" s="105">
        <f>PLANTILLA!AD13</f>
        <v>3</v>
      </c>
      <c r="N10" s="42">
        <f>PLANTILLA!V13</f>
        <v>5690</v>
      </c>
      <c r="O10" s="121">
        <v>0</v>
      </c>
      <c r="P10" s="121">
        <v>39</v>
      </c>
      <c r="Q10" s="121">
        <v>3</v>
      </c>
      <c r="R10" s="89">
        <v>32.5</v>
      </c>
      <c r="S10" s="89">
        <v>10</v>
      </c>
      <c r="T10" s="89">
        <v>17</v>
      </c>
      <c r="U10" s="89">
        <v>1</v>
      </c>
      <c r="V10" s="128">
        <f t="shared" si="2"/>
        <v>102.5</v>
      </c>
      <c r="X10" t="s">
        <v>30</v>
      </c>
      <c r="Y10" s="17">
        <f t="shared" si="3"/>
        <v>23</v>
      </c>
      <c r="Z10" s="3">
        <f t="shared" ca="1" si="4"/>
        <v>14</v>
      </c>
      <c r="AA10" s="61">
        <f t="shared" si="5"/>
        <v>0</v>
      </c>
      <c r="AB10" s="61">
        <v>12</v>
      </c>
      <c r="AC10" s="61">
        <f t="shared" si="0"/>
        <v>3</v>
      </c>
      <c r="AD10" s="61">
        <v>11.9</v>
      </c>
      <c r="AE10" s="61">
        <f t="shared" si="0"/>
        <v>6.0000000000000009</v>
      </c>
      <c r="AF10" s="61">
        <f t="shared" si="0"/>
        <v>7.25</v>
      </c>
      <c r="AG10" s="61">
        <f t="shared" si="0"/>
        <v>3</v>
      </c>
      <c r="AH10" s="42">
        <f>(12930+2985+125+125+245)*1.012</f>
        <v>16606.920000000002</v>
      </c>
      <c r="AI10" s="123">
        <f t="shared" si="6"/>
        <v>0</v>
      </c>
      <c r="AJ10" s="123">
        <f t="shared" si="7"/>
        <v>52</v>
      </c>
      <c r="AK10" s="123">
        <f t="shared" si="8"/>
        <v>3</v>
      </c>
      <c r="AL10" s="123">
        <f t="shared" si="9"/>
        <v>32.5</v>
      </c>
      <c r="AM10" s="123">
        <f t="shared" si="10"/>
        <v>10</v>
      </c>
      <c r="AN10" s="123">
        <f t="shared" si="11"/>
        <v>17</v>
      </c>
      <c r="AO10" s="123">
        <f t="shared" si="12"/>
        <v>1</v>
      </c>
      <c r="AP10" s="128">
        <f t="shared" si="13"/>
        <v>115.5</v>
      </c>
      <c r="AR10" s="127"/>
      <c r="AS10" s="127"/>
    </row>
    <row r="11" spans="1:45" x14ac:dyDescent="0.25">
      <c r="A11" t="s">
        <v>42</v>
      </c>
      <c r="B11" s="15" t="s">
        <v>245</v>
      </c>
      <c r="C11" s="3"/>
      <c r="D11" s="3"/>
      <c r="E11" s="3"/>
      <c r="F11" s="3"/>
      <c r="G11" s="105">
        <v>0</v>
      </c>
      <c r="H11" s="73">
        <v>2</v>
      </c>
      <c r="I11" s="105">
        <v>2</v>
      </c>
      <c r="J11" s="73">
        <v>2</v>
      </c>
      <c r="K11" s="105">
        <v>2</v>
      </c>
      <c r="L11" s="73">
        <v>2</v>
      </c>
      <c r="M11" s="105">
        <v>2</v>
      </c>
      <c r="N11" s="42"/>
      <c r="O11" s="121">
        <v>0</v>
      </c>
      <c r="P11" s="121">
        <v>0</v>
      </c>
      <c r="Q11" s="121">
        <v>0</v>
      </c>
      <c r="R11" s="89">
        <v>0</v>
      </c>
      <c r="S11" s="89">
        <v>0</v>
      </c>
      <c r="T11" s="89">
        <v>0</v>
      </c>
      <c r="U11" s="89">
        <v>0</v>
      </c>
      <c r="V11" s="128">
        <f t="shared" si="2"/>
        <v>0</v>
      </c>
      <c r="X11" t="s">
        <v>42</v>
      </c>
      <c r="Y11" s="17"/>
      <c r="Z11" s="3"/>
      <c r="AA11" s="61">
        <f t="shared" si="5"/>
        <v>0</v>
      </c>
      <c r="AB11" s="61">
        <f t="shared" si="0"/>
        <v>2</v>
      </c>
      <c r="AC11" s="61">
        <f t="shared" si="0"/>
        <v>2</v>
      </c>
      <c r="AD11" s="61">
        <f t="shared" si="0"/>
        <v>2</v>
      </c>
      <c r="AE11" s="61">
        <f t="shared" si="0"/>
        <v>2</v>
      </c>
      <c r="AF11" s="61">
        <f t="shared" si="0"/>
        <v>2</v>
      </c>
      <c r="AG11" s="61">
        <f t="shared" si="0"/>
        <v>2</v>
      </c>
      <c r="AH11" s="42"/>
      <c r="AI11" s="123">
        <f t="shared" si="6"/>
        <v>0</v>
      </c>
      <c r="AJ11" s="123">
        <v>0</v>
      </c>
      <c r="AK11" s="123">
        <f t="shared" si="8"/>
        <v>0</v>
      </c>
      <c r="AL11" s="123">
        <f t="shared" si="9"/>
        <v>0</v>
      </c>
      <c r="AM11" s="123">
        <f t="shared" si="10"/>
        <v>0</v>
      </c>
      <c r="AN11" s="123">
        <f t="shared" si="11"/>
        <v>0</v>
      </c>
      <c r="AO11" s="123">
        <f t="shared" si="12"/>
        <v>0</v>
      </c>
      <c r="AP11" s="128">
        <f t="shared" si="13"/>
        <v>0</v>
      </c>
    </row>
    <row r="12" spans="1:45" x14ac:dyDescent="0.25">
      <c r="A12" t="s">
        <v>36</v>
      </c>
      <c r="B12" s="15" t="s">
        <v>245</v>
      </c>
      <c r="C12" s="3"/>
      <c r="D12" s="3"/>
      <c r="E12" s="3"/>
      <c r="F12" s="3"/>
      <c r="G12" s="105">
        <v>0</v>
      </c>
      <c r="H12" s="73">
        <v>2</v>
      </c>
      <c r="I12" s="105">
        <v>2</v>
      </c>
      <c r="J12" s="73">
        <v>2</v>
      </c>
      <c r="K12" s="105">
        <v>2</v>
      </c>
      <c r="L12" s="73">
        <v>2</v>
      </c>
      <c r="M12" s="105">
        <v>2</v>
      </c>
      <c r="N12" s="42"/>
      <c r="O12" s="121">
        <v>0</v>
      </c>
      <c r="P12" s="121">
        <v>0</v>
      </c>
      <c r="Q12" s="121">
        <v>0</v>
      </c>
      <c r="R12" s="89">
        <v>0</v>
      </c>
      <c r="S12" s="89">
        <v>0</v>
      </c>
      <c r="T12" s="89">
        <v>0</v>
      </c>
      <c r="U12" s="89">
        <v>0</v>
      </c>
      <c r="V12" s="128">
        <f t="shared" si="2"/>
        <v>0</v>
      </c>
      <c r="X12" t="s">
        <v>36</v>
      </c>
      <c r="Y12" s="17"/>
      <c r="Z12" s="3"/>
      <c r="AA12" s="61">
        <f t="shared" si="5"/>
        <v>0</v>
      </c>
      <c r="AB12" s="61">
        <f t="shared" si="0"/>
        <v>2</v>
      </c>
      <c r="AC12" s="61">
        <f t="shared" si="0"/>
        <v>2</v>
      </c>
      <c r="AD12" s="61">
        <f t="shared" si="0"/>
        <v>2</v>
      </c>
      <c r="AE12" s="61">
        <f t="shared" si="0"/>
        <v>2</v>
      </c>
      <c r="AF12" s="61">
        <f t="shared" si="0"/>
        <v>2</v>
      </c>
      <c r="AG12" s="61">
        <f t="shared" si="0"/>
        <v>2</v>
      </c>
      <c r="AH12" s="42"/>
      <c r="AI12" s="123">
        <f t="shared" si="6"/>
        <v>0</v>
      </c>
      <c r="AJ12" s="123">
        <v>0</v>
      </c>
      <c r="AK12" s="123">
        <f t="shared" si="8"/>
        <v>0</v>
      </c>
      <c r="AL12" s="123">
        <f t="shared" si="9"/>
        <v>0</v>
      </c>
      <c r="AM12" s="123">
        <f t="shared" si="10"/>
        <v>0</v>
      </c>
      <c r="AN12" s="123">
        <f t="shared" si="11"/>
        <v>0</v>
      </c>
      <c r="AO12" s="123">
        <f t="shared" si="12"/>
        <v>0</v>
      </c>
      <c r="AP12" s="128">
        <f t="shared" si="13"/>
        <v>0</v>
      </c>
    </row>
    <row r="13" spans="1:45" x14ac:dyDescent="0.25">
      <c r="A13" t="s">
        <v>35</v>
      </c>
      <c r="B13" s="15" t="s">
        <v>51</v>
      </c>
      <c r="C13" s="3" t="s">
        <v>44</v>
      </c>
      <c r="D13" s="3" t="s">
        <v>208</v>
      </c>
      <c r="E13" s="3">
        <f>PLANTILLA!E14</f>
        <v>22</v>
      </c>
      <c r="F13" s="3">
        <f ca="1">PLANTILLA!F14</f>
        <v>41</v>
      </c>
      <c r="G13" s="105">
        <f>PLANTILLA!X14</f>
        <v>0</v>
      </c>
      <c r="H13" s="105">
        <f>PLANTILLA!Y14</f>
        <v>8.8000000000000007</v>
      </c>
      <c r="I13" s="105">
        <f>PLANTILLA!Z14</f>
        <v>5.7</v>
      </c>
      <c r="J13" s="105">
        <f>PLANTILLA!AA14</f>
        <v>14.124999999999996</v>
      </c>
      <c r="K13" s="105">
        <f>PLANTILLA!AB14</f>
        <v>6</v>
      </c>
      <c r="L13" s="105">
        <f>PLANTILLA!AC14</f>
        <v>7.5</v>
      </c>
      <c r="M13" s="105">
        <f>PLANTILLA!AD14</f>
        <v>5</v>
      </c>
      <c r="N13" s="42">
        <f>PLANTILLA!V14</f>
        <v>13450</v>
      </c>
      <c r="O13" s="121">
        <v>0</v>
      </c>
      <c r="P13" s="121">
        <v>24</v>
      </c>
      <c r="Q13" s="121">
        <v>10.5</v>
      </c>
      <c r="R13" s="89">
        <v>47.5</v>
      </c>
      <c r="S13" s="89">
        <v>10</v>
      </c>
      <c r="T13" s="89">
        <v>18</v>
      </c>
      <c r="U13" s="89">
        <v>3</v>
      </c>
      <c r="V13" s="128">
        <f t="shared" si="2"/>
        <v>113</v>
      </c>
      <c r="X13" t="s">
        <v>35</v>
      </c>
      <c r="Y13" s="17">
        <f t="shared" si="3"/>
        <v>23</v>
      </c>
      <c r="Z13" s="3">
        <f t="shared" ca="1" si="4"/>
        <v>10</v>
      </c>
      <c r="AA13" s="61">
        <f t="shared" si="5"/>
        <v>0</v>
      </c>
      <c r="AB13" s="61">
        <f>10+6/9</f>
        <v>10.666666666666666</v>
      </c>
      <c r="AC13" s="61">
        <f t="shared" si="0"/>
        <v>5.7</v>
      </c>
      <c r="AD13" s="61">
        <v>14</v>
      </c>
      <c r="AE13" s="61">
        <f t="shared" si="0"/>
        <v>6</v>
      </c>
      <c r="AF13" s="61">
        <f t="shared" si="0"/>
        <v>7.5</v>
      </c>
      <c r="AG13" s="61">
        <f t="shared" si="0"/>
        <v>5</v>
      </c>
      <c r="AH13" s="42">
        <f>(11610+300+145+150+1200)*1.016</f>
        <v>13619.48</v>
      </c>
      <c r="AI13" s="123">
        <f t="shared" si="6"/>
        <v>0</v>
      </c>
      <c r="AJ13" s="123">
        <f t="shared" si="7"/>
        <v>37</v>
      </c>
      <c r="AK13" s="123">
        <f t="shared" si="8"/>
        <v>10.5</v>
      </c>
      <c r="AL13" s="123">
        <f t="shared" si="9"/>
        <v>47.5</v>
      </c>
      <c r="AM13" s="123">
        <f t="shared" si="10"/>
        <v>10</v>
      </c>
      <c r="AN13" s="123">
        <f t="shared" si="11"/>
        <v>18</v>
      </c>
      <c r="AO13" s="123">
        <f t="shared" si="12"/>
        <v>3</v>
      </c>
      <c r="AP13" s="128">
        <f t="shared" si="13"/>
        <v>126</v>
      </c>
    </row>
    <row r="14" spans="1:45" x14ac:dyDescent="0.25">
      <c r="A14" t="s">
        <v>39</v>
      </c>
      <c r="B14" s="15" t="s">
        <v>51</v>
      </c>
      <c r="C14" s="3" t="s">
        <v>44</v>
      </c>
      <c r="D14" s="3" t="s">
        <v>341</v>
      </c>
      <c r="E14" s="3">
        <f>PLANTILLA!E12</f>
        <v>22</v>
      </c>
      <c r="F14" s="3">
        <f ca="1">PLANTILLA!F12</f>
        <v>6</v>
      </c>
      <c r="G14" s="105">
        <f>PLANTILLA!X12</f>
        <v>0</v>
      </c>
      <c r="H14" s="105">
        <f>PLANTILLA!Y12</f>
        <v>10.714285714285714</v>
      </c>
      <c r="I14" s="105">
        <f>PLANTILLA!Z12</f>
        <v>3</v>
      </c>
      <c r="J14" s="105">
        <f>PLANTILLA!AA12</f>
        <v>13</v>
      </c>
      <c r="K14" s="105">
        <f>PLANTILLA!AB12</f>
        <v>7</v>
      </c>
      <c r="L14" s="105">
        <f>PLANTILLA!AC12</f>
        <v>7</v>
      </c>
      <c r="M14" s="105">
        <f>PLANTILLA!AD12</f>
        <v>3</v>
      </c>
      <c r="N14" s="42">
        <f>PLANTILLA!V12</f>
        <v>9290</v>
      </c>
      <c r="O14" s="121">
        <v>0</v>
      </c>
      <c r="P14" s="121">
        <v>42</v>
      </c>
      <c r="Q14" s="121">
        <v>3</v>
      </c>
      <c r="R14" s="89">
        <v>39.5</v>
      </c>
      <c r="S14" s="89">
        <v>14</v>
      </c>
      <c r="T14" s="89">
        <v>16</v>
      </c>
      <c r="U14" s="89">
        <v>1</v>
      </c>
      <c r="V14" s="128">
        <f>SUM(O14:U14)</f>
        <v>115.5</v>
      </c>
      <c r="X14" t="s">
        <v>39</v>
      </c>
      <c r="Y14" s="17">
        <f>E14</f>
        <v>22</v>
      </c>
      <c r="Z14" s="3">
        <f ca="1">F14+(7*$AR$8)</f>
        <v>97</v>
      </c>
      <c r="AA14" s="61">
        <f t="shared" si="5"/>
        <v>0</v>
      </c>
      <c r="AB14" s="61">
        <f>12+2/11</f>
        <v>12.181818181818182</v>
      </c>
      <c r="AC14" s="61">
        <f t="shared" si="0"/>
        <v>3</v>
      </c>
      <c r="AD14" s="61">
        <f>12+5/6</f>
        <v>12.833333333333334</v>
      </c>
      <c r="AE14" s="61">
        <f t="shared" si="0"/>
        <v>7</v>
      </c>
      <c r="AF14" s="61">
        <f t="shared" si="0"/>
        <v>7</v>
      </c>
      <c r="AG14" s="61">
        <f t="shared" si="0"/>
        <v>3</v>
      </c>
      <c r="AH14" s="42">
        <f>(7000+165+125+245+3505)*1.012</f>
        <v>11172.48</v>
      </c>
      <c r="AI14" s="123">
        <f t="shared" si="6"/>
        <v>0</v>
      </c>
      <c r="AJ14" s="123">
        <f t="shared" si="7"/>
        <v>55</v>
      </c>
      <c r="AK14" s="123">
        <f t="shared" si="8"/>
        <v>3</v>
      </c>
      <c r="AL14" s="123">
        <f t="shared" si="9"/>
        <v>39.5</v>
      </c>
      <c r="AM14" s="123">
        <f t="shared" si="10"/>
        <v>14</v>
      </c>
      <c r="AN14" s="123">
        <f t="shared" si="11"/>
        <v>16</v>
      </c>
      <c r="AO14" s="123">
        <f t="shared" si="12"/>
        <v>1</v>
      </c>
      <c r="AP14" s="128">
        <f>SUM(AI14:AO14)</f>
        <v>128.5</v>
      </c>
    </row>
    <row r="15" spans="1:45" x14ac:dyDescent="0.25">
      <c r="A15" t="s">
        <v>33</v>
      </c>
      <c r="B15" s="15" t="s">
        <v>51</v>
      </c>
      <c r="C15" s="3" t="s">
        <v>192</v>
      </c>
      <c r="D15" s="3" t="s">
        <v>210</v>
      </c>
      <c r="E15" s="3">
        <f>PLANTILLA!E15</f>
        <v>22</v>
      </c>
      <c r="F15" s="3">
        <f ca="1">PLANTILLA!F15</f>
        <v>41</v>
      </c>
      <c r="G15" s="105">
        <f>PLANTILLA!X15</f>
        <v>0</v>
      </c>
      <c r="H15" s="105">
        <f>PLANTILLA!Y15</f>
        <v>9.2857142857142865</v>
      </c>
      <c r="I15" s="105">
        <f>PLANTILLA!Z15</f>
        <v>5</v>
      </c>
      <c r="J15" s="105">
        <f>PLANTILLA!AA15</f>
        <v>13.19</v>
      </c>
      <c r="K15" s="105">
        <f>PLANTILLA!AB15</f>
        <v>5</v>
      </c>
      <c r="L15" s="105">
        <f>PLANTILLA!AC15</f>
        <v>7.8016666666666676</v>
      </c>
      <c r="M15" s="105">
        <f>PLANTILLA!AD15</f>
        <v>3</v>
      </c>
      <c r="N15" s="42">
        <f>PLANTILLA!V15</f>
        <v>9050</v>
      </c>
      <c r="O15" s="121">
        <v>0</v>
      </c>
      <c r="P15" s="121">
        <v>32</v>
      </c>
      <c r="Q15" s="121">
        <v>9</v>
      </c>
      <c r="R15" s="89">
        <v>39.880000000000003</v>
      </c>
      <c r="S15" s="89">
        <v>7</v>
      </c>
      <c r="T15" s="89">
        <v>19</v>
      </c>
      <c r="U15" s="89">
        <v>1</v>
      </c>
      <c r="V15" s="128">
        <f>SUM(O15:U15)</f>
        <v>107.88</v>
      </c>
      <c r="X15" t="s">
        <v>33</v>
      </c>
      <c r="Y15" s="17">
        <f t="shared" si="3"/>
        <v>23</v>
      </c>
      <c r="Z15" s="3">
        <f t="shared" ca="1" si="4"/>
        <v>10</v>
      </c>
      <c r="AA15" s="61">
        <f t="shared" si="5"/>
        <v>0</v>
      </c>
      <c r="AB15" s="61">
        <f>11+1/10</f>
        <v>11.1</v>
      </c>
      <c r="AC15" s="61">
        <f t="shared" si="0"/>
        <v>5</v>
      </c>
      <c r="AD15" s="61">
        <f>13+2/6</f>
        <v>13.333333333333334</v>
      </c>
      <c r="AE15" s="61">
        <f t="shared" si="0"/>
        <v>5</v>
      </c>
      <c r="AF15" s="61">
        <f t="shared" si="0"/>
        <v>7.8016666666666676</v>
      </c>
      <c r="AG15" s="61">
        <f t="shared" si="0"/>
        <v>3</v>
      </c>
      <c r="AH15" s="42">
        <f>(9000+135+135+350+3900)*1.012</f>
        <v>13682.24</v>
      </c>
      <c r="AI15" s="123">
        <f t="shared" si="6"/>
        <v>0</v>
      </c>
      <c r="AJ15" s="123">
        <f t="shared" si="7"/>
        <v>45</v>
      </c>
      <c r="AK15" s="123">
        <f t="shared" si="8"/>
        <v>9</v>
      </c>
      <c r="AL15" s="123">
        <f t="shared" si="9"/>
        <v>39.880000000000003</v>
      </c>
      <c r="AM15" s="123">
        <f t="shared" si="10"/>
        <v>7</v>
      </c>
      <c r="AN15" s="123">
        <f t="shared" si="11"/>
        <v>19</v>
      </c>
      <c r="AO15" s="123">
        <f t="shared" si="12"/>
        <v>1</v>
      </c>
      <c r="AP15" s="128">
        <f>SUM(AI15:AO15)</f>
        <v>120.88</v>
      </c>
    </row>
    <row r="16" spans="1:45" x14ac:dyDescent="0.25">
      <c r="A16" t="s">
        <v>41</v>
      </c>
      <c r="B16" s="15" t="s">
        <v>43</v>
      </c>
      <c r="C16" s="3"/>
      <c r="D16" s="3"/>
      <c r="E16" s="3"/>
      <c r="F16" s="3"/>
      <c r="G16" s="105">
        <v>0</v>
      </c>
      <c r="H16" s="73">
        <v>2</v>
      </c>
      <c r="I16" s="105">
        <v>2</v>
      </c>
      <c r="J16" s="73">
        <v>2</v>
      </c>
      <c r="K16" s="105">
        <v>2</v>
      </c>
      <c r="L16" s="73">
        <v>2</v>
      </c>
      <c r="M16" s="105">
        <v>2</v>
      </c>
      <c r="N16" s="42"/>
      <c r="O16" s="121">
        <v>0</v>
      </c>
      <c r="P16" s="121">
        <v>0</v>
      </c>
      <c r="Q16" s="121">
        <v>0</v>
      </c>
      <c r="R16" s="89">
        <v>0</v>
      </c>
      <c r="S16" s="89">
        <v>0</v>
      </c>
      <c r="T16" s="89">
        <v>0</v>
      </c>
      <c r="U16" s="89">
        <v>0</v>
      </c>
      <c r="V16" s="128">
        <f>SUM(O16:U16)</f>
        <v>0</v>
      </c>
      <c r="X16" t="s">
        <v>41</v>
      </c>
      <c r="Y16" s="3"/>
      <c r="Z16" s="3"/>
      <c r="AA16" s="61">
        <f t="shared" si="5"/>
        <v>0</v>
      </c>
      <c r="AB16" s="61">
        <f t="shared" si="0"/>
        <v>2</v>
      </c>
      <c r="AC16" s="61">
        <f t="shared" si="0"/>
        <v>2</v>
      </c>
      <c r="AD16" s="61">
        <f t="shared" si="0"/>
        <v>2</v>
      </c>
      <c r="AE16" s="61">
        <f t="shared" si="0"/>
        <v>2</v>
      </c>
      <c r="AF16" s="61">
        <f t="shared" si="0"/>
        <v>2</v>
      </c>
      <c r="AG16" s="61">
        <f t="shared" si="0"/>
        <v>2</v>
      </c>
      <c r="AH16" s="42"/>
      <c r="AI16" s="123">
        <f t="shared" si="6"/>
        <v>0</v>
      </c>
      <c r="AJ16" s="123">
        <v>0</v>
      </c>
      <c r="AK16" s="123">
        <f t="shared" si="8"/>
        <v>0</v>
      </c>
      <c r="AL16" s="123">
        <f t="shared" si="9"/>
        <v>0</v>
      </c>
      <c r="AM16" s="123">
        <f t="shared" si="10"/>
        <v>0</v>
      </c>
      <c r="AN16" s="123">
        <f t="shared" si="11"/>
        <v>0</v>
      </c>
      <c r="AO16" s="123">
        <f t="shared" si="12"/>
        <v>0</v>
      </c>
      <c r="AP16" s="128">
        <f>SUM(AI16:AO16)</f>
        <v>0</v>
      </c>
    </row>
    <row r="17" spans="1:45" x14ac:dyDescent="0.25">
      <c r="A17" t="s">
        <v>45</v>
      </c>
      <c r="B17" s="15" t="s">
        <v>43</v>
      </c>
      <c r="C17" s="3"/>
      <c r="D17" s="3"/>
      <c r="E17" s="3"/>
      <c r="F17" s="3"/>
      <c r="G17" s="105">
        <v>0</v>
      </c>
      <c r="H17" s="73">
        <v>2</v>
      </c>
      <c r="I17" s="105">
        <v>2</v>
      </c>
      <c r="J17" s="73">
        <v>2</v>
      </c>
      <c r="K17" s="105">
        <v>2</v>
      </c>
      <c r="L17" s="73">
        <v>2</v>
      </c>
      <c r="M17" s="105">
        <v>2</v>
      </c>
      <c r="N17" s="42"/>
      <c r="O17" s="121">
        <v>0</v>
      </c>
      <c r="P17" s="121">
        <v>0</v>
      </c>
      <c r="Q17" s="121">
        <v>0</v>
      </c>
      <c r="R17" s="89">
        <v>0</v>
      </c>
      <c r="S17" s="89">
        <v>0</v>
      </c>
      <c r="T17" s="89">
        <v>0</v>
      </c>
      <c r="U17" s="89">
        <v>0</v>
      </c>
      <c r="V17" s="128">
        <f>SUM(O17:U17)</f>
        <v>0</v>
      </c>
      <c r="X17" t="s">
        <v>45</v>
      </c>
      <c r="Y17" s="3"/>
      <c r="Z17" s="3"/>
      <c r="AA17" s="61">
        <f t="shared" si="5"/>
        <v>0</v>
      </c>
      <c r="AB17" s="61">
        <f t="shared" si="0"/>
        <v>2</v>
      </c>
      <c r="AC17" s="61">
        <f t="shared" si="0"/>
        <v>2</v>
      </c>
      <c r="AD17" s="61">
        <f t="shared" si="0"/>
        <v>2</v>
      </c>
      <c r="AE17" s="61">
        <f t="shared" si="0"/>
        <v>2</v>
      </c>
      <c r="AF17" s="61">
        <f t="shared" si="0"/>
        <v>2</v>
      </c>
      <c r="AG17" s="61">
        <f t="shared" si="0"/>
        <v>2</v>
      </c>
      <c r="AH17" s="42"/>
      <c r="AI17" s="123">
        <f t="shared" si="6"/>
        <v>0</v>
      </c>
      <c r="AJ17" s="123">
        <v>0</v>
      </c>
      <c r="AK17" s="123">
        <f t="shared" si="8"/>
        <v>0</v>
      </c>
      <c r="AL17" s="123">
        <f t="shared" si="9"/>
        <v>0</v>
      </c>
      <c r="AM17" s="123">
        <f t="shared" si="10"/>
        <v>0</v>
      </c>
      <c r="AN17" s="123">
        <f t="shared" si="11"/>
        <v>0</v>
      </c>
      <c r="AO17" s="123">
        <f t="shared" si="12"/>
        <v>0</v>
      </c>
      <c r="AP17" s="128">
        <f>SUM(AI17:AO17)</f>
        <v>0</v>
      </c>
    </row>
    <row r="18" spans="1:45" x14ac:dyDescent="0.25">
      <c r="A18" t="s">
        <v>211</v>
      </c>
      <c r="B18" s="15" t="s">
        <v>43</v>
      </c>
      <c r="C18" s="3"/>
      <c r="D18" s="3"/>
      <c r="E18" s="3"/>
      <c r="F18" s="3"/>
      <c r="G18" s="105">
        <v>0</v>
      </c>
      <c r="H18" s="73">
        <v>2</v>
      </c>
      <c r="I18" s="105">
        <v>2</v>
      </c>
      <c r="J18" s="73">
        <v>2</v>
      </c>
      <c r="K18" s="105">
        <v>2</v>
      </c>
      <c r="L18" s="73">
        <v>2</v>
      </c>
      <c r="M18" s="105">
        <v>2</v>
      </c>
      <c r="N18" s="42"/>
      <c r="O18" s="121">
        <v>0</v>
      </c>
      <c r="P18" s="121">
        <v>0</v>
      </c>
      <c r="Q18" s="121">
        <v>0</v>
      </c>
      <c r="R18" s="89">
        <v>0</v>
      </c>
      <c r="S18" s="89">
        <v>0</v>
      </c>
      <c r="T18" s="89">
        <v>0</v>
      </c>
      <c r="U18" s="89">
        <v>0</v>
      </c>
      <c r="V18" s="128">
        <f>SUM(O18:U18)</f>
        <v>0</v>
      </c>
      <c r="X18" t="s">
        <v>211</v>
      </c>
      <c r="Y18" s="3"/>
      <c r="Z18" s="3"/>
      <c r="AA18" s="61">
        <f t="shared" si="5"/>
        <v>0</v>
      </c>
      <c r="AB18" s="61">
        <f t="shared" si="0"/>
        <v>2</v>
      </c>
      <c r="AC18" s="61">
        <f t="shared" si="0"/>
        <v>2</v>
      </c>
      <c r="AD18" s="61">
        <f t="shared" si="0"/>
        <v>2</v>
      </c>
      <c r="AE18" s="61">
        <f t="shared" si="0"/>
        <v>2</v>
      </c>
      <c r="AF18" s="61">
        <f t="shared" si="0"/>
        <v>2</v>
      </c>
      <c r="AG18" s="61">
        <f t="shared" si="0"/>
        <v>2</v>
      </c>
      <c r="AH18" s="42"/>
      <c r="AI18" s="123">
        <f t="shared" si="6"/>
        <v>0</v>
      </c>
      <c r="AJ18" s="123">
        <v>0</v>
      </c>
      <c r="AK18" s="123">
        <f t="shared" si="8"/>
        <v>0</v>
      </c>
      <c r="AL18" s="123">
        <f t="shared" si="9"/>
        <v>0</v>
      </c>
      <c r="AM18" s="123">
        <f t="shared" si="10"/>
        <v>0</v>
      </c>
      <c r="AN18" s="123">
        <f t="shared" si="11"/>
        <v>0</v>
      </c>
      <c r="AO18" s="123">
        <f t="shared" si="12"/>
        <v>0</v>
      </c>
      <c r="AP18" s="128">
        <f>SUM(AI18:AO18)</f>
        <v>0</v>
      </c>
    </row>
    <row r="19" spans="1:45" x14ac:dyDescent="0.25">
      <c r="N19" s="90">
        <f>SUM(N21:N35)</f>
        <v>256852.38000000009</v>
      </c>
      <c r="AH19" s="90">
        <f>SUM(AH21:AH35)</f>
        <v>265456.36499999999</v>
      </c>
    </row>
    <row r="20" spans="1:45" x14ac:dyDescent="0.25">
      <c r="A20" s="10" t="s">
        <v>96</v>
      </c>
      <c r="B20" s="10" t="s">
        <v>2</v>
      </c>
      <c r="C20" s="10" t="s">
        <v>64</v>
      </c>
      <c r="D20" s="10" t="str">
        <f>D2</f>
        <v>Nombre</v>
      </c>
      <c r="E20" s="10" t="str">
        <f>E2</f>
        <v>Año</v>
      </c>
      <c r="F20" s="10" t="str">
        <f>F2</f>
        <v>Dia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6</v>
      </c>
      <c r="N20" s="10" t="s">
        <v>50</v>
      </c>
      <c r="O20" s="10" t="s">
        <v>200</v>
      </c>
      <c r="P20" s="10" t="s">
        <v>201</v>
      </c>
      <c r="Q20" s="10" t="s">
        <v>202</v>
      </c>
      <c r="R20" s="10" t="s">
        <v>203</v>
      </c>
      <c r="S20" s="10" t="s">
        <v>204</v>
      </c>
      <c r="T20" s="10" t="s">
        <v>205</v>
      </c>
      <c r="U20" s="10" t="s">
        <v>206</v>
      </c>
      <c r="V20" s="10" t="s">
        <v>207</v>
      </c>
      <c r="X20" s="10" t="s">
        <v>96</v>
      </c>
      <c r="Y20" s="10" t="str">
        <f>Y2</f>
        <v>Año</v>
      </c>
      <c r="Z20" s="10" t="str">
        <f>Z2</f>
        <v>Dia</v>
      </c>
      <c r="AA20" s="10" t="s">
        <v>15</v>
      </c>
      <c r="AB20" s="10" t="s">
        <v>16</v>
      </c>
      <c r="AC20" s="10" t="s">
        <v>17</v>
      </c>
      <c r="AD20" s="10" t="s">
        <v>18</v>
      </c>
      <c r="AE20" s="10" t="s">
        <v>19</v>
      </c>
      <c r="AF20" s="10" t="s">
        <v>20</v>
      </c>
      <c r="AG20" s="10" t="s">
        <v>6</v>
      </c>
      <c r="AH20" s="10" t="s">
        <v>50</v>
      </c>
      <c r="AI20" s="10" t="s">
        <v>200</v>
      </c>
      <c r="AJ20" s="10" t="s">
        <v>201</v>
      </c>
      <c r="AK20" s="10" t="s">
        <v>202</v>
      </c>
      <c r="AL20" s="10" t="s">
        <v>203</v>
      </c>
      <c r="AM20" s="10" t="s">
        <v>204</v>
      </c>
      <c r="AN20" s="10" t="s">
        <v>205</v>
      </c>
      <c r="AO20" s="10" t="s">
        <v>206</v>
      </c>
      <c r="AP20" s="10" t="s">
        <v>207</v>
      </c>
    </row>
    <row r="21" spans="1:45" x14ac:dyDescent="0.25">
      <c r="A21" t="s">
        <v>28</v>
      </c>
      <c r="B21" s="15" t="s">
        <v>27</v>
      </c>
      <c r="C21" s="17"/>
      <c r="D21" s="17" t="str">
        <f t="shared" ref="D21:D22" si="14">D3</f>
        <v>C. Fonteboa</v>
      </c>
      <c r="E21" s="17">
        <f t="shared" ref="E21" si="15">Y3</f>
        <v>23</v>
      </c>
      <c r="F21" s="17">
        <f t="shared" ref="F21" ca="1" si="16">Z3</f>
        <v>21</v>
      </c>
      <c r="G21" s="61">
        <f t="shared" ref="G21" si="17">AA3</f>
        <v>15</v>
      </c>
      <c r="H21" s="61">
        <f t="shared" ref="H21" si="18">AB3</f>
        <v>11.6</v>
      </c>
      <c r="I21" s="61">
        <f t="shared" ref="I21" si="19">AC3</f>
        <v>0</v>
      </c>
      <c r="J21" s="61">
        <f t="shared" ref="J21" si="20">AD3</f>
        <v>0</v>
      </c>
      <c r="K21" s="61">
        <f t="shared" ref="K21" si="21">AE3</f>
        <v>0</v>
      </c>
      <c r="L21" s="61">
        <f t="shared" ref="L21" si="22">AF3</f>
        <v>1</v>
      </c>
      <c r="M21" s="61">
        <f t="shared" ref="M21" si="23">AG3</f>
        <v>1</v>
      </c>
      <c r="N21" s="42">
        <f>AH3</f>
        <v>26782.560000000001</v>
      </c>
      <c r="O21" s="121">
        <f>AI3</f>
        <v>51.5</v>
      </c>
      <c r="P21" s="124">
        <f t="shared" ref="P21:U21" si="24">AJ3</f>
        <v>53</v>
      </c>
      <c r="Q21" s="124">
        <f t="shared" si="24"/>
        <v>0</v>
      </c>
      <c r="R21" s="124">
        <f t="shared" si="24"/>
        <v>0</v>
      </c>
      <c r="S21" s="124">
        <f t="shared" si="24"/>
        <v>0</v>
      </c>
      <c r="T21" s="124">
        <f t="shared" si="24"/>
        <v>0</v>
      </c>
      <c r="U21" s="124">
        <f t="shared" si="24"/>
        <v>0</v>
      </c>
      <c r="V21" s="48">
        <f>SUM(O21:U21)</f>
        <v>104.5</v>
      </c>
      <c r="X21" t="s">
        <v>28</v>
      </c>
      <c r="Y21" s="17">
        <f>E21+2</f>
        <v>25</v>
      </c>
      <c r="Z21" s="17">
        <f ca="1">F21+(($AR$25+$AR$26)*7)-112-112</f>
        <v>0</v>
      </c>
      <c r="AA21" s="61">
        <f>G21</f>
        <v>15</v>
      </c>
      <c r="AB21" s="61">
        <f>H21</f>
        <v>11.6</v>
      </c>
      <c r="AC21" s="61">
        <f t="shared" ref="AC21:AF22" si="25">I21</f>
        <v>0</v>
      </c>
      <c r="AD21" s="61">
        <f t="shared" si="25"/>
        <v>0</v>
      </c>
      <c r="AE21" s="61">
        <f t="shared" si="25"/>
        <v>0</v>
      </c>
      <c r="AF21" s="61">
        <f t="shared" si="25"/>
        <v>1</v>
      </c>
      <c r="AG21" s="61">
        <v>13.5</v>
      </c>
      <c r="AH21" s="42">
        <f>(24270+2300)*1.038</f>
        <v>27579.66</v>
      </c>
      <c r="AI21" s="121">
        <f>O21</f>
        <v>51.5</v>
      </c>
      <c r="AJ21" s="124">
        <f>P21</f>
        <v>53</v>
      </c>
      <c r="AK21" s="121">
        <f t="shared" ref="AK21:AN36" si="26">Q21</f>
        <v>0</v>
      </c>
      <c r="AL21" s="121">
        <f t="shared" si="26"/>
        <v>0</v>
      </c>
      <c r="AM21" s="121">
        <f t="shared" si="26"/>
        <v>0</v>
      </c>
      <c r="AN21" s="121">
        <f t="shared" si="26"/>
        <v>0</v>
      </c>
      <c r="AO21" s="121">
        <f>U21+$AR$26</f>
        <v>15</v>
      </c>
      <c r="AP21" s="48">
        <f>SUM(AI21:AO21)</f>
        <v>119.5</v>
      </c>
    </row>
    <row r="22" spans="1:45" x14ac:dyDescent="0.25">
      <c r="A22" t="s">
        <v>31</v>
      </c>
      <c r="B22" s="15" t="s">
        <v>29</v>
      </c>
      <c r="C22" s="17"/>
      <c r="D22" s="17" t="str">
        <f t="shared" si="14"/>
        <v>M. Fernandez</v>
      </c>
      <c r="E22" s="17">
        <f t="shared" ref="E22:F22" si="27">Y4</f>
        <v>23</v>
      </c>
      <c r="F22" s="17">
        <f t="shared" ca="1" si="27"/>
        <v>18</v>
      </c>
      <c r="G22" s="61">
        <f t="shared" ref="G22:G34" si="28">AA4</f>
        <v>0</v>
      </c>
      <c r="H22" s="61">
        <f t="shared" ref="H22:H34" si="29">AB4</f>
        <v>15.166666666666666</v>
      </c>
      <c r="I22" s="61">
        <f t="shared" ref="I22:I33" si="30">AC4</f>
        <v>5</v>
      </c>
      <c r="J22" s="61">
        <f t="shared" ref="J22:J33" si="31">AD4</f>
        <v>5.2</v>
      </c>
      <c r="K22" s="61">
        <f t="shared" ref="K22:K33" si="32">AE4</f>
        <v>5</v>
      </c>
      <c r="L22" s="61">
        <f t="shared" ref="L22:L33" si="33">AF4</f>
        <v>2</v>
      </c>
      <c r="M22" s="61">
        <f t="shared" ref="M22:M33" si="34">AG4</f>
        <v>1</v>
      </c>
      <c r="N22" s="42">
        <f t="shared" ref="N22:N33" si="35">AH4</f>
        <v>28513.599999999999</v>
      </c>
      <c r="O22" s="124">
        <f t="shared" ref="O22:O33" si="36">AI4</f>
        <v>0</v>
      </c>
      <c r="P22" s="124">
        <f t="shared" ref="P22:P33" si="37">AJ4</f>
        <v>101</v>
      </c>
      <c r="Q22" s="124">
        <f t="shared" ref="Q22:Q33" si="38">AK4</f>
        <v>9</v>
      </c>
      <c r="R22" s="124">
        <f t="shared" ref="R22:R33" si="39">AL4</f>
        <v>6</v>
      </c>
      <c r="S22" s="124">
        <f t="shared" ref="S22:S33" si="40">AM4</f>
        <v>7</v>
      </c>
      <c r="T22" s="124">
        <f t="shared" ref="T22:T33" si="41">AN4</f>
        <v>0</v>
      </c>
      <c r="U22" s="124">
        <f t="shared" ref="U22:U33" si="42">AO4</f>
        <v>0</v>
      </c>
      <c r="V22" s="48">
        <f>SUM(O22:U22)</f>
        <v>123</v>
      </c>
      <c r="X22" t="s">
        <v>31</v>
      </c>
      <c r="Y22" s="17">
        <f>E22+1</f>
        <v>24</v>
      </c>
      <c r="Z22" s="17">
        <f ca="1">F22+(($AR$25+$AR$26)*7)-112</f>
        <v>109</v>
      </c>
      <c r="AA22" s="61">
        <f>G22</f>
        <v>0</v>
      </c>
      <c r="AB22" s="61">
        <f t="shared" ref="AB22:AB33" si="43">H22</f>
        <v>15.166666666666666</v>
      </c>
      <c r="AC22" s="61">
        <f t="shared" si="25"/>
        <v>5</v>
      </c>
      <c r="AD22" s="61">
        <f t="shared" si="25"/>
        <v>5.2</v>
      </c>
      <c r="AE22" s="61">
        <f>8+3/5</f>
        <v>8.6</v>
      </c>
      <c r="AF22" s="61">
        <f t="shared" si="25"/>
        <v>2</v>
      </c>
      <c r="AG22" s="61">
        <v>13.5</v>
      </c>
      <c r="AH22" s="42">
        <f>(28000+135+140+135)*1.038</f>
        <v>29489.58</v>
      </c>
      <c r="AI22" s="121">
        <f t="shared" ref="AI22:AJ36" si="44">O22</f>
        <v>0</v>
      </c>
      <c r="AJ22" s="124">
        <f t="shared" ref="AJ22:AJ33" si="45">P22</f>
        <v>101</v>
      </c>
      <c r="AK22" s="121">
        <f t="shared" si="26"/>
        <v>9</v>
      </c>
      <c r="AL22" s="121">
        <f t="shared" si="26"/>
        <v>6</v>
      </c>
      <c r="AM22" s="121">
        <f>S22+$AR$25</f>
        <v>21</v>
      </c>
      <c r="AN22" s="121">
        <f t="shared" si="26"/>
        <v>0</v>
      </c>
      <c r="AO22" s="124">
        <f t="shared" ref="AO22:AO36" si="46">U22+$AR$26</f>
        <v>15</v>
      </c>
      <c r="AP22" s="48">
        <f>SUM(AI22:AO22)</f>
        <v>152</v>
      </c>
    </row>
    <row r="23" spans="1:45" x14ac:dyDescent="0.25">
      <c r="A23" t="s">
        <v>32</v>
      </c>
      <c r="B23" s="15" t="s">
        <v>29</v>
      </c>
      <c r="C23" s="17"/>
      <c r="D23" s="17" t="str">
        <f t="shared" ref="D23:D25" si="47">D5</f>
        <v>B. Abandero</v>
      </c>
      <c r="E23" s="17">
        <f t="shared" ref="E23:F23" si="48">Y5</f>
        <v>23</v>
      </c>
      <c r="F23" s="17">
        <f t="shared" ca="1" si="48"/>
        <v>49</v>
      </c>
      <c r="G23" s="61">
        <f t="shared" si="28"/>
        <v>0</v>
      </c>
      <c r="H23" s="61">
        <f t="shared" si="29"/>
        <v>13.416666666666666</v>
      </c>
      <c r="I23" s="61">
        <f t="shared" si="30"/>
        <v>3</v>
      </c>
      <c r="J23" s="61">
        <f t="shared" si="31"/>
        <v>7.083333333333333</v>
      </c>
      <c r="K23" s="61">
        <f t="shared" si="32"/>
        <v>10</v>
      </c>
      <c r="L23" s="61">
        <f t="shared" si="33"/>
        <v>3</v>
      </c>
      <c r="M23" s="61">
        <f t="shared" si="34"/>
        <v>2</v>
      </c>
      <c r="N23" s="42">
        <f t="shared" si="35"/>
        <v>13492.08</v>
      </c>
      <c r="O23" s="124">
        <f t="shared" si="36"/>
        <v>0</v>
      </c>
      <c r="P23" s="124">
        <f t="shared" si="37"/>
        <v>74</v>
      </c>
      <c r="Q23" s="124">
        <f t="shared" si="38"/>
        <v>3</v>
      </c>
      <c r="R23" s="124">
        <f t="shared" si="39"/>
        <v>11.5</v>
      </c>
      <c r="S23" s="124">
        <f t="shared" si="40"/>
        <v>29</v>
      </c>
      <c r="T23" s="124">
        <f t="shared" si="41"/>
        <v>2</v>
      </c>
      <c r="U23" s="124">
        <f t="shared" si="42"/>
        <v>0</v>
      </c>
      <c r="V23" s="48">
        <f>SUM(O23:U23)</f>
        <v>119.5</v>
      </c>
      <c r="X23" t="s">
        <v>32</v>
      </c>
      <c r="Y23" s="17">
        <f>E23+2</f>
        <v>25</v>
      </c>
      <c r="Z23" s="17">
        <f ca="1">F23+(($AR$25+$AR$26)*7)-112-112</f>
        <v>28</v>
      </c>
      <c r="AA23" s="61">
        <f t="shared" ref="AA23:AA36" si="49">G23</f>
        <v>0</v>
      </c>
      <c r="AB23" s="61">
        <f t="shared" si="43"/>
        <v>13.416666666666666</v>
      </c>
      <c r="AC23" s="61">
        <f t="shared" ref="AC23:AC36" si="50">I23</f>
        <v>3</v>
      </c>
      <c r="AD23" s="61">
        <f t="shared" ref="AD23:AD36" si="51">J23</f>
        <v>7.083333333333333</v>
      </c>
      <c r="AE23" s="61">
        <v>12</v>
      </c>
      <c r="AF23" s="61">
        <f t="shared" ref="AF23:AF36" si="52">L23</f>
        <v>3</v>
      </c>
      <c r="AG23" s="61">
        <v>13.5</v>
      </c>
      <c r="AH23" s="42">
        <f>(195+13000+515)*1.038</f>
        <v>14230.98</v>
      </c>
      <c r="AI23" s="121">
        <f t="shared" si="44"/>
        <v>0</v>
      </c>
      <c r="AJ23" s="124">
        <f t="shared" si="45"/>
        <v>74</v>
      </c>
      <c r="AK23" s="121">
        <f t="shared" si="26"/>
        <v>3</v>
      </c>
      <c r="AL23" s="121">
        <f t="shared" si="26"/>
        <v>11.5</v>
      </c>
      <c r="AM23" s="124">
        <f t="shared" ref="AM23:AM36" si="53">S23+$AR$25</f>
        <v>43</v>
      </c>
      <c r="AN23" s="121">
        <f t="shared" si="26"/>
        <v>2</v>
      </c>
      <c r="AO23" s="124">
        <f t="shared" si="46"/>
        <v>15</v>
      </c>
      <c r="AP23" s="48">
        <f>SUM(AI23:AO23)</f>
        <v>148.5</v>
      </c>
      <c r="AQ23" s="106"/>
    </row>
    <row r="24" spans="1:45" x14ac:dyDescent="0.25">
      <c r="A24" t="s">
        <v>38</v>
      </c>
      <c r="B24" s="15" t="s">
        <v>29</v>
      </c>
      <c r="C24" s="3"/>
      <c r="D24" s="17" t="str">
        <f t="shared" si="47"/>
        <v>I. R. Figueroa</v>
      </c>
      <c r="E24" s="17">
        <f t="shared" ref="E24:E25" si="54">Y6</f>
        <v>23</v>
      </c>
      <c r="F24" s="17">
        <f t="shared" ref="F24:F25" ca="1" si="55">Z6</f>
        <v>-1</v>
      </c>
      <c r="G24" s="61">
        <f t="shared" si="28"/>
        <v>0</v>
      </c>
      <c r="H24" s="61">
        <f t="shared" si="29"/>
        <v>15.166666666666666</v>
      </c>
      <c r="I24" s="61">
        <f t="shared" si="30"/>
        <v>5</v>
      </c>
      <c r="J24" s="61">
        <f t="shared" si="31"/>
        <v>7</v>
      </c>
      <c r="K24" s="61">
        <f t="shared" si="32"/>
        <v>5</v>
      </c>
      <c r="L24" s="61">
        <f t="shared" si="33"/>
        <v>1</v>
      </c>
      <c r="M24" s="61">
        <f t="shared" si="34"/>
        <v>0</v>
      </c>
      <c r="N24" s="42">
        <f t="shared" si="35"/>
        <v>28513.599999999999</v>
      </c>
      <c r="O24" s="124">
        <f t="shared" si="36"/>
        <v>0</v>
      </c>
      <c r="P24" s="124">
        <f t="shared" si="37"/>
        <v>100</v>
      </c>
      <c r="Q24" s="124">
        <f t="shared" si="38"/>
        <v>9</v>
      </c>
      <c r="R24" s="124">
        <f t="shared" si="39"/>
        <v>10.5</v>
      </c>
      <c r="S24" s="124">
        <f t="shared" si="40"/>
        <v>7</v>
      </c>
      <c r="T24" s="124">
        <f t="shared" si="41"/>
        <v>0</v>
      </c>
      <c r="U24" s="124">
        <f t="shared" si="42"/>
        <v>0</v>
      </c>
      <c r="V24" s="48">
        <f>SUM(O24:U24)</f>
        <v>126.5</v>
      </c>
      <c r="X24" t="s">
        <v>38</v>
      </c>
      <c r="Y24" s="17">
        <f t="shared" ref="Y24" si="56">E24+1</f>
        <v>24</v>
      </c>
      <c r="Z24" s="17">
        <f t="shared" ref="Z24" ca="1" si="57">F24+(($AR$25+$AR$26)*7)-112</f>
        <v>90</v>
      </c>
      <c r="AA24" s="61">
        <f t="shared" si="49"/>
        <v>0</v>
      </c>
      <c r="AB24" s="61">
        <f t="shared" si="43"/>
        <v>15.166666666666666</v>
      </c>
      <c r="AC24" s="61">
        <f t="shared" si="50"/>
        <v>5</v>
      </c>
      <c r="AD24" s="61">
        <f t="shared" si="51"/>
        <v>7</v>
      </c>
      <c r="AE24" s="61">
        <f>8+3/5</f>
        <v>8.6</v>
      </c>
      <c r="AF24" s="61">
        <f t="shared" si="52"/>
        <v>1</v>
      </c>
      <c r="AG24" s="61">
        <v>13.5</v>
      </c>
      <c r="AH24" s="42">
        <f>(28000+135+145+135)*1.038</f>
        <v>29494.77</v>
      </c>
      <c r="AI24" s="121">
        <f t="shared" si="44"/>
        <v>0</v>
      </c>
      <c r="AJ24" s="124">
        <f t="shared" si="45"/>
        <v>100</v>
      </c>
      <c r="AK24" s="121">
        <f t="shared" si="26"/>
        <v>9</v>
      </c>
      <c r="AL24" s="121">
        <f t="shared" si="26"/>
        <v>10.5</v>
      </c>
      <c r="AM24" s="124">
        <f t="shared" si="53"/>
        <v>21</v>
      </c>
      <c r="AN24" s="121">
        <f t="shared" si="26"/>
        <v>0</v>
      </c>
      <c r="AO24" s="124">
        <f t="shared" si="46"/>
        <v>15</v>
      </c>
      <c r="AP24" s="48">
        <f>SUM(AI24:AO24)</f>
        <v>155.5</v>
      </c>
      <c r="AQ24" s="106"/>
      <c r="AR24" s="106" t="s">
        <v>243</v>
      </c>
      <c r="AS24" s="106" t="s">
        <v>244</v>
      </c>
    </row>
    <row r="25" spans="1:45" x14ac:dyDescent="0.25">
      <c r="A25" t="s">
        <v>40</v>
      </c>
      <c r="B25" s="15" t="s">
        <v>29</v>
      </c>
      <c r="C25" s="3"/>
      <c r="D25" s="17" t="str">
        <f t="shared" si="47"/>
        <v>G. Pedrajas</v>
      </c>
      <c r="E25" s="17">
        <f t="shared" si="54"/>
        <v>23</v>
      </c>
      <c r="F25" s="17">
        <f t="shared" ca="1" si="55"/>
        <v>34</v>
      </c>
      <c r="G25" s="61">
        <f t="shared" si="28"/>
        <v>0</v>
      </c>
      <c r="H25" s="61">
        <f t="shared" si="29"/>
        <v>11.7</v>
      </c>
      <c r="I25" s="61">
        <f t="shared" si="30"/>
        <v>11</v>
      </c>
      <c r="J25" s="61">
        <f t="shared" si="31"/>
        <v>4</v>
      </c>
      <c r="K25" s="61">
        <f t="shared" si="32"/>
        <v>9</v>
      </c>
      <c r="L25" s="61">
        <f t="shared" si="33"/>
        <v>4</v>
      </c>
      <c r="M25" s="61">
        <f t="shared" si="34"/>
        <v>1</v>
      </c>
      <c r="N25" s="42">
        <f t="shared" si="35"/>
        <v>9525.6</v>
      </c>
      <c r="O25" s="124">
        <f t="shared" si="36"/>
        <v>0</v>
      </c>
      <c r="P25" s="124">
        <f t="shared" si="37"/>
        <v>53</v>
      </c>
      <c r="Q25" s="124">
        <f t="shared" si="38"/>
        <v>40</v>
      </c>
      <c r="R25" s="124">
        <f t="shared" si="39"/>
        <v>3.5</v>
      </c>
      <c r="S25" s="124">
        <f t="shared" si="40"/>
        <v>23</v>
      </c>
      <c r="T25" s="124">
        <f t="shared" si="41"/>
        <v>5</v>
      </c>
      <c r="U25" s="124">
        <f t="shared" si="42"/>
        <v>0</v>
      </c>
      <c r="V25" s="48">
        <f t="shared" ref="V25:V31" si="58">SUM(O25:U25)</f>
        <v>124.5</v>
      </c>
      <c r="X25" t="s">
        <v>40</v>
      </c>
      <c r="Y25" s="17">
        <f t="shared" ref="Y25:Y34" si="59">E25+2</f>
        <v>25</v>
      </c>
      <c r="Z25" s="17">
        <f t="shared" ref="Z25:Z34" ca="1" si="60">F25+(($AR$25+$AR$26)*7)-112-112</f>
        <v>13</v>
      </c>
      <c r="AA25" s="61">
        <f t="shared" si="49"/>
        <v>0</v>
      </c>
      <c r="AB25" s="61">
        <f t="shared" si="43"/>
        <v>11.7</v>
      </c>
      <c r="AC25" s="61">
        <f t="shared" si="50"/>
        <v>11</v>
      </c>
      <c r="AD25" s="61">
        <f t="shared" si="51"/>
        <v>4</v>
      </c>
      <c r="AE25" s="61">
        <f>11+1/7</f>
        <v>11.142857142857142</v>
      </c>
      <c r="AF25" s="61">
        <f t="shared" si="52"/>
        <v>4</v>
      </c>
      <c r="AG25" s="61">
        <v>13.5</v>
      </c>
      <c r="AH25" s="42">
        <f>(6800+2505+305)*1.038</f>
        <v>9975.18</v>
      </c>
      <c r="AI25" s="121">
        <f t="shared" si="44"/>
        <v>0</v>
      </c>
      <c r="AJ25" s="124">
        <f t="shared" si="45"/>
        <v>53</v>
      </c>
      <c r="AK25" s="121">
        <f t="shared" si="26"/>
        <v>40</v>
      </c>
      <c r="AL25" s="121">
        <f t="shared" si="26"/>
        <v>3.5</v>
      </c>
      <c r="AM25" s="124">
        <f t="shared" si="53"/>
        <v>37</v>
      </c>
      <c r="AN25" s="121">
        <f t="shared" si="26"/>
        <v>5</v>
      </c>
      <c r="AO25" s="124">
        <f t="shared" si="46"/>
        <v>15</v>
      </c>
      <c r="AP25" s="48">
        <f t="shared" ref="AP25:AP31" si="61">SUM(AI25:AO25)</f>
        <v>153.5</v>
      </c>
      <c r="AQ25" s="106" t="s">
        <v>197</v>
      </c>
      <c r="AR25" s="60">
        <v>14</v>
      </c>
      <c r="AS25" s="126">
        <f>AR25/16</f>
        <v>0.875</v>
      </c>
    </row>
    <row r="26" spans="1:45" x14ac:dyDescent="0.25">
      <c r="A26" t="s">
        <v>37</v>
      </c>
      <c r="B26" s="15" t="s">
        <v>29</v>
      </c>
      <c r="C26" s="3" t="s">
        <v>192</v>
      </c>
      <c r="D26" s="3" t="s">
        <v>212</v>
      </c>
      <c r="E26" s="17">
        <v>23</v>
      </c>
      <c r="F26" s="17">
        <v>50</v>
      </c>
      <c r="G26" s="61">
        <f t="shared" si="28"/>
        <v>0</v>
      </c>
      <c r="H26" s="61">
        <v>14</v>
      </c>
      <c r="I26" s="61">
        <v>8</v>
      </c>
      <c r="J26" s="61">
        <f t="shared" si="31"/>
        <v>2</v>
      </c>
      <c r="K26" s="61">
        <v>8</v>
      </c>
      <c r="L26" s="61">
        <f t="shared" si="33"/>
        <v>2</v>
      </c>
      <c r="M26" s="61">
        <f t="shared" si="34"/>
        <v>2</v>
      </c>
      <c r="N26" s="42">
        <f>(18370+445+135)*1.008</f>
        <v>19101.599999999999</v>
      </c>
      <c r="O26" s="124">
        <f t="shared" si="36"/>
        <v>0</v>
      </c>
      <c r="P26" s="124">
        <v>79</v>
      </c>
      <c r="Q26" s="124">
        <v>21</v>
      </c>
      <c r="R26" s="124">
        <f t="shared" si="39"/>
        <v>0</v>
      </c>
      <c r="S26" s="124">
        <v>18</v>
      </c>
      <c r="T26" s="124">
        <f t="shared" si="41"/>
        <v>0</v>
      </c>
      <c r="U26" s="124">
        <f t="shared" si="42"/>
        <v>0</v>
      </c>
      <c r="V26" s="48">
        <f t="shared" si="58"/>
        <v>118</v>
      </c>
      <c r="X26" t="s">
        <v>37</v>
      </c>
      <c r="Y26" s="17">
        <f t="shared" si="59"/>
        <v>25</v>
      </c>
      <c r="Z26" s="17">
        <f t="shared" si="60"/>
        <v>29</v>
      </c>
      <c r="AA26" s="61">
        <f t="shared" si="49"/>
        <v>0</v>
      </c>
      <c r="AB26" s="61">
        <f t="shared" si="43"/>
        <v>14</v>
      </c>
      <c r="AC26" s="61">
        <f t="shared" si="50"/>
        <v>8</v>
      </c>
      <c r="AD26" s="61">
        <f t="shared" si="51"/>
        <v>2</v>
      </c>
      <c r="AE26" s="61">
        <f>10+3/7</f>
        <v>10.428571428571429</v>
      </c>
      <c r="AF26" s="61">
        <f t="shared" si="52"/>
        <v>2</v>
      </c>
      <c r="AG26" s="61">
        <v>13.5</v>
      </c>
      <c r="AH26" s="42">
        <f>(18370+445+200)*1.038</f>
        <v>19737.57</v>
      </c>
      <c r="AI26" s="121">
        <f t="shared" si="44"/>
        <v>0</v>
      </c>
      <c r="AJ26" s="124">
        <f t="shared" si="45"/>
        <v>79</v>
      </c>
      <c r="AK26" s="121">
        <f t="shared" si="26"/>
        <v>21</v>
      </c>
      <c r="AL26" s="121">
        <f t="shared" si="26"/>
        <v>0</v>
      </c>
      <c r="AM26" s="124">
        <f t="shared" si="53"/>
        <v>32</v>
      </c>
      <c r="AN26" s="121">
        <f t="shared" si="26"/>
        <v>0</v>
      </c>
      <c r="AO26" s="124">
        <f t="shared" si="46"/>
        <v>15</v>
      </c>
      <c r="AP26" s="48">
        <f t="shared" si="61"/>
        <v>147</v>
      </c>
      <c r="AQ26" s="106" t="s">
        <v>46</v>
      </c>
      <c r="AR26" s="60">
        <v>15</v>
      </c>
      <c r="AS26" s="126">
        <f>AR26/16</f>
        <v>0.9375</v>
      </c>
    </row>
    <row r="27" spans="1:45" x14ac:dyDescent="0.25">
      <c r="A27" t="s">
        <v>34</v>
      </c>
      <c r="B27" s="15" t="s">
        <v>29</v>
      </c>
      <c r="C27" s="3" t="s">
        <v>192</v>
      </c>
      <c r="D27" s="3" t="s">
        <v>342</v>
      </c>
      <c r="E27" s="17">
        <f t="shared" ref="E27:F28" si="62">Y9</f>
        <v>23</v>
      </c>
      <c r="F27" s="17">
        <f t="shared" ca="1" si="62"/>
        <v>14</v>
      </c>
      <c r="G27" s="61">
        <f t="shared" si="28"/>
        <v>0</v>
      </c>
      <c r="H27" s="61">
        <f t="shared" si="29"/>
        <v>12.909090909090908</v>
      </c>
      <c r="I27" s="61">
        <f t="shared" si="30"/>
        <v>4</v>
      </c>
      <c r="J27" s="61">
        <f t="shared" si="31"/>
        <v>12.5</v>
      </c>
      <c r="K27" s="61">
        <f t="shared" si="32"/>
        <v>4.25</v>
      </c>
      <c r="L27" s="61">
        <f t="shared" si="33"/>
        <v>7</v>
      </c>
      <c r="M27" s="61">
        <f t="shared" si="34"/>
        <v>3</v>
      </c>
      <c r="N27" s="42">
        <f t="shared" si="35"/>
        <v>16606.920000000002</v>
      </c>
      <c r="O27" s="124">
        <f t="shared" si="36"/>
        <v>0</v>
      </c>
      <c r="P27" s="124">
        <f t="shared" si="37"/>
        <v>66</v>
      </c>
      <c r="Q27" s="124">
        <f t="shared" si="38"/>
        <v>6</v>
      </c>
      <c r="R27" s="124">
        <f t="shared" si="39"/>
        <v>40.5</v>
      </c>
      <c r="S27" s="124">
        <f t="shared" si="40"/>
        <v>5</v>
      </c>
      <c r="T27" s="124">
        <f t="shared" si="41"/>
        <v>16</v>
      </c>
      <c r="U27" s="124">
        <f t="shared" si="42"/>
        <v>1</v>
      </c>
      <c r="V27" s="48">
        <f t="shared" si="58"/>
        <v>134.5</v>
      </c>
      <c r="X27" t="s">
        <v>34</v>
      </c>
      <c r="Y27" s="17">
        <f>E27+1</f>
        <v>24</v>
      </c>
      <c r="Z27" s="17">
        <f ca="1">F27+(($AR$25+$AR$26)*7)-112</f>
        <v>105</v>
      </c>
      <c r="AA27" s="61">
        <f t="shared" si="49"/>
        <v>0</v>
      </c>
      <c r="AB27" s="61">
        <f t="shared" si="43"/>
        <v>12.909090909090908</v>
      </c>
      <c r="AC27" s="61">
        <f t="shared" si="50"/>
        <v>4</v>
      </c>
      <c r="AD27" s="61">
        <f t="shared" si="51"/>
        <v>12.5</v>
      </c>
      <c r="AE27" s="61">
        <f>8+1/5</f>
        <v>8.1999999999999993</v>
      </c>
      <c r="AF27" s="61">
        <f t="shared" si="52"/>
        <v>7</v>
      </c>
      <c r="AG27" s="61">
        <v>14</v>
      </c>
      <c r="AH27" s="42">
        <f>(12930+2985+125+145+245)*1.04</f>
        <v>17087.2</v>
      </c>
      <c r="AI27" s="121">
        <f t="shared" si="44"/>
        <v>0</v>
      </c>
      <c r="AJ27" s="124">
        <f t="shared" si="45"/>
        <v>66</v>
      </c>
      <c r="AK27" s="121">
        <f t="shared" si="26"/>
        <v>6</v>
      </c>
      <c r="AL27" s="121">
        <f t="shared" si="26"/>
        <v>40.5</v>
      </c>
      <c r="AM27" s="124">
        <f t="shared" si="53"/>
        <v>19</v>
      </c>
      <c r="AN27" s="121">
        <f t="shared" si="26"/>
        <v>16</v>
      </c>
      <c r="AO27" s="124">
        <f t="shared" si="46"/>
        <v>16</v>
      </c>
      <c r="AP27" s="48">
        <f t="shared" si="61"/>
        <v>163.5</v>
      </c>
      <c r="AQ27" s="106"/>
    </row>
    <row r="28" spans="1:45" x14ac:dyDescent="0.25">
      <c r="A28" t="s">
        <v>30</v>
      </c>
      <c r="B28" s="15" t="s">
        <v>29</v>
      </c>
      <c r="C28" s="3" t="s">
        <v>192</v>
      </c>
      <c r="D28" s="3" t="s">
        <v>209</v>
      </c>
      <c r="E28" s="17">
        <f t="shared" si="62"/>
        <v>23</v>
      </c>
      <c r="F28" s="17">
        <f t="shared" ca="1" si="62"/>
        <v>14</v>
      </c>
      <c r="G28" s="61">
        <f t="shared" si="28"/>
        <v>0</v>
      </c>
      <c r="H28" s="61">
        <f t="shared" si="29"/>
        <v>12</v>
      </c>
      <c r="I28" s="61">
        <f t="shared" si="30"/>
        <v>3</v>
      </c>
      <c r="J28" s="61">
        <f t="shared" si="31"/>
        <v>11.9</v>
      </c>
      <c r="K28" s="61">
        <f t="shared" si="32"/>
        <v>6.0000000000000009</v>
      </c>
      <c r="L28" s="61">
        <f t="shared" si="33"/>
        <v>7.25</v>
      </c>
      <c r="M28" s="61">
        <f t="shared" si="34"/>
        <v>3</v>
      </c>
      <c r="N28" s="42">
        <f t="shared" si="35"/>
        <v>16606.920000000002</v>
      </c>
      <c r="O28" s="124">
        <f t="shared" si="36"/>
        <v>0</v>
      </c>
      <c r="P28" s="124">
        <f t="shared" si="37"/>
        <v>52</v>
      </c>
      <c r="Q28" s="124">
        <f t="shared" si="38"/>
        <v>3</v>
      </c>
      <c r="R28" s="124">
        <f t="shared" si="39"/>
        <v>32.5</v>
      </c>
      <c r="S28" s="124">
        <f t="shared" si="40"/>
        <v>10</v>
      </c>
      <c r="T28" s="124">
        <f t="shared" si="41"/>
        <v>17</v>
      </c>
      <c r="U28" s="124">
        <f t="shared" si="42"/>
        <v>1</v>
      </c>
      <c r="V28" s="48">
        <f t="shared" si="58"/>
        <v>115.5</v>
      </c>
      <c r="X28" t="s">
        <v>30</v>
      </c>
      <c r="Y28" s="17">
        <f>E28+1</f>
        <v>24</v>
      </c>
      <c r="Z28" s="17">
        <f ca="1">F28+(($AR$25+$AR$26)*7)-112</f>
        <v>105</v>
      </c>
      <c r="AA28" s="61">
        <f t="shared" si="49"/>
        <v>0</v>
      </c>
      <c r="AB28" s="61">
        <f t="shared" si="43"/>
        <v>12</v>
      </c>
      <c r="AC28" s="61">
        <f t="shared" si="50"/>
        <v>3</v>
      </c>
      <c r="AD28" s="61">
        <f t="shared" si="51"/>
        <v>11.9</v>
      </c>
      <c r="AE28" s="61">
        <f>9+1/7</f>
        <v>9.1428571428571423</v>
      </c>
      <c r="AF28" s="61">
        <f t="shared" si="52"/>
        <v>7.25</v>
      </c>
      <c r="AG28" s="61">
        <v>14</v>
      </c>
      <c r="AH28" s="42">
        <f>(12930+2985+180+125+245)*1.04</f>
        <v>17123.600000000002</v>
      </c>
      <c r="AI28" s="121">
        <f t="shared" si="44"/>
        <v>0</v>
      </c>
      <c r="AJ28" s="124">
        <f t="shared" si="45"/>
        <v>52</v>
      </c>
      <c r="AK28" s="121">
        <f t="shared" si="26"/>
        <v>3</v>
      </c>
      <c r="AL28" s="121">
        <f t="shared" si="26"/>
        <v>32.5</v>
      </c>
      <c r="AM28" s="124">
        <f t="shared" si="53"/>
        <v>24</v>
      </c>
      <c r="AN28" s="121">
        <f t="shared" si="26"/>
        <v>17</v>
      </c>
      <c r="AO28" s="124">
        <f t="shared" si="46"/>
        <v>16</v>
      </c>
      <c r="AP28" s="48">
        <f t="shared" si="61"/>
        <v>144.5</v>
      </c>
      <c r="AQ28" s="106"/>
    </row>
    <row r="29" spans="1:45" x14ac:dyDescent="0.25">
      <c r="A29" t="s">
        <v>42</v>
      </c>
      <c r="B29" s="15" t="s">
        <v>245</v>
      </c>
      <c r="C29" s="3" t="s">
        <v>343</v>
      </c>
      <c r="D29" s="3" t="s">
        <v>363</v>
      </c>
      <c r="E29" s="17">
        <v>23</v>
      </c>
      <c r="F29" s="17">
        <v>50</v>
      </c>
      <c r="G29" s="61">
        <f t="shared" si="28"/>
        <v>0</v>
      </c>
      <c r="H29" s="61">
        <v>6</v>
      </c>
      <c r="I29" s="61">
        <v>13</v>
      </c>
      <c r="J29" s="61">
        <v>6</v>
      </c>
      <c r="K29" s="61">
        <v>6</v>
      </c>
      <c r="L29" s="61">
        <v>6</v>
      </c>
      <c r="M29" s="61">
        <v>12</v>
      </c>
      <c r="N29" s="42">
        <f>(14490+225+185+125+165)*1.03</f>
        <v>15645.7</v>
      </c>
      <c r="O29" s="124">
        <f t="shared" si="36"/>
        <v>0</v>
      </c>
      <c r="P29" s="124">
        <v>14</v>
      </c>
      <c r="Q29" s="124">
        <v>58</v>
      </c>
      <c r="R29" s="124">
        <v>8.5</v>
      </c>
      <c r="S29" s="124">
        <v>10</v>
      </c>
      <c r="T29" s="124">
        <v>12</v>
      </c>
      <c r="U29" s="124">
        <v>12</v>
      </c>
      <c r="V29" s="48">
        <f t="shared" si="58"/>
        <v>114.5</v>
      </c>
      <c r="X29" t="s">
        <v>42</v>
      </c>
      <c r="Y29" s="17">
        <f t="shared" si="59"/>
        <v>25</v>
      </c>
      <c r="Z29" s="17">
        <f t="shared" si="60"/>
        <v>29</v>
      </c>
      <c r="AA29" s="61">
        <f t="shared" si="49"/>
        <v>0</v>
      </c>
      <c r="AB29" s="61">
        <f t="shared" si="43"/>
        <v>6</v>
      </c>
      <c r="AC29" s="61">
        <f t="shared" si="50"/>
        <v>13</v>
      </c>
      <c r="AD29" s="61">
        <f t="shared" si="51"/>
        <v>6</v>
      </c>
      <c r="AE29" s="61">
        <f>9+5/6</f>
        <v>9.8333333333333339</v>
      </c>
      <c r="AF29" s="61">
        <f t="shared" si="52"/>
        <v>6</v>
      </c>
      <c r="AG29" s="61">
        <v>19</v>
      </c>
      <c r="AH29" s="42">
        <f>(14490+225+200+125+165)*1.049</f>
        <v>15950.044999999998</v>
      </c>
      <c r="AI29" s="121">
        <f t="shared" si="44"/>
        <v>0</v>
      </c>
      <c r="AJ29" s="124">
        <f t="shared" si="45"/>
        <v>14</v>
      </c>
      <c r="AK29" s="121">
        <f t="shared" si="26"/>
        <v>58</v>
      </c>
      <c r="AL29" s="121">
        <f t="shared" si="26"/>
        <v>8.5</v>
      </c>
      <c r="AM29" s="124">
        <f t="shared" si="53"/>
        <v>24</v>
      </c>
      <c r="AN29" s="121">
        <f t="shared" si="26"/>
        <v>12</v>
      </c>
      <c r="AO29" s="124">
        <v>31</v>
      </c>
      <c r="AP29" s="48">
        <f t="shared" si="61"/>
        <v>147.5</v>
      </c>
    </row>
    <row r="30" spans="1:45" x14ac:dyDescent="0.25">
      <c r="A30" t="s">
        <v>36</v>
      </c>
      <c r="B30" s="15" t="s">
        <v>245</v>
      </c>
      <c r="C30" s="3" t="s">
        <v>343</v>
      </c>
      <c r="D30" s="3" t="s">
        <v>363</v>
      </c>
      <c r="E30" s="17">
        <v>23</v>
      </c>
      <c r="F30" s="17">
        <v>50</v>
      </c>
      <c r="G30" s="61">
        <f t="shared" ref="G30" si="63">AA12</f>
        <v>0</v>
      </c>
      <c r="H30" s="61">
        <v>6</v>
      </c>
      <c r="I30" s="61">
        <v>13</v>
      </c>
      <c r="J30" s="61">
        <v>6</v>
      </c>
      <c r="K30" s="61">
        <v>6</v>
      </c>
      <c r="L30" s="61">
        <v>6</v>
      </c>
      <c r="M30" s="61">
        <v>12</v>
      </c>
      <c r="N30" s="42">
        <f>(14490+225+185+125+165)*1.03</f>
        <v>15645.7</v>
      </c>
      <c r="O30" s="124">
        <f t="shared" si="36"/>
        <v>0</v>
      </c>
      <c r="P30" s="133">
        <v>14</v>
      </c>
      <c r="Q30" s="133">
        <v>58</v>
      </c>
      <c r="R30" s="133">
        <v>8.5</v>
      </c>
      <c r="S30" s="133">
        <v>10</v>
      </c>
      <c r="T30" s="133">
        <v>12</v>
      </c>
      <c r="U30" s="133">
        <v>12</v>
      </c>
      <c r="V30" s="48">
        <f t="shared" si="58"/>
        <v>114.5</v>
      </c>
      <c r="X30" t="s">
        <v>36</v>
      </c>
      <c r="Y30" s="17">
        <f t="shared" si="59"/>
        <v>25</v>
      </c>
      <c r="Z30" s="17">
        <f t="shared" si="60"/>
        <v>29</v>
      </c>
      <c r="AA30" s="61">
        <f t="shared" si="49"/>
        <v>0</v>
      </c>
      <c r="AB30" s="61">
        <f t="shared" si="43"/>
        <v>6</v>
      </c>
      <c r="AC30" s="61">
        <f t="shared" si="50"/>
        <v>13</v>
      </c>
      <c r="AD30" s="61">
        <f t="shared" si="51"/>
        <v>6</v>
      </c>
      <c r="AE30" s="61">
        <f>9+5/6</f>
        <v>9.8333333333333339</v>
      </c>
      <c r="AF30" s="61">
        <f t="shared" si="52"/>
        <v>6</v>
      </c>
      <c r="AG30" s="61">
        <v>19</v>
      </c>
      <c r="AH30" s="42">
        <f>(14490+225+200+125+165)*1.049</f>
        <v>15950.044999999998</v>
      </c>
      <c r="AI30" s="121">
        <f t="shared" si="44"/>
        <v>0</v>
      </c>
      <c r="AJ30" s="124">
        <f t="shared" si="45"/>
        <v>14</v>
      </c>
      <c r="AK30" s="121">
        <f t="shared" si="26"/>
        <v>58</v>
      </c>
      <c r="AL30" s="121">
        <f t="shared" si="26"/>
        <v>8.5</v>
      </c>
      <c r="AM30" s="124">
        <f t="shared" si="53"/>
        <v>24</v>
      </c>
      <c r="AN30" s="121">
        <f t="shared" si="26"/>
        <v>12</v>
      </c>
      <c r="AO30" s="124">
        <v>31</v>
      </c>
      <c r="AP30" s="48">
        <f t="shared" si="61"/>
        <v>147.5</v>
      </c>
    </row>
    <row r="31" spans="1:45" x14ac:dyDescent="0.25">
      <c r="A31" t="s">
        <v>35</v>
      </c>
      <c r="B31" s="15" t="s">
        <v>51</v>
      </c>
      <c r="C31" s="3" t="s">
        <v>44</v>
      </c>
      <c r="D31" s="3" t="s">
        <v>208</v>
      </c>
      <c r="E31" s="17">
        <f t="shared" ref="E31:F32" si="64">Y13</f>
        <v>23</v>
      </c>
      <c r="F31" s="17">
        <f t="shared" ca="1" si="64"/>
        <v>10</v>
      </c>
      <c r="G31" s="61">
        <f t="shared" si="28"/>
        <v>0</v>
      </c>
      <c r="H31" s="61">
        <f t="shared" si="29"/>
        <v>10.666666666666666</v>
      </c>
      <c r="I31" s="61">
        <f t="shared" si="30"/>
        <v>5.7</v>
      </c>
      <c r="J31" s="61">
        <f t="shared" si="31"/>
        <v>14</v>
      </c>
      <c r="K31" s="61">
        <f t="shared" si="32"/>
        <v>6</v>
      </c>
      <c r="L31" s="61">
        <f t="shared" si="33"/>
        <v>7.5</v>
      </c>
      <c r="M31" s="61">
        <f t="shared" si="34"/>
        <v>5</v>
      </c>
      <c r="N31" s="42">
        <f t="shared" si="35"/>
        <v>13619.48</v>
      </c>
      <c r="O31" s="124">
        <f t="shared" si="36"/>
        <v>0</v>
      </c>
      <c r="P31" s="124">
        <f t="shared" si="37"/>
        <v>37</v>
      </c>
      <c r="Q31" s="124">
        <f t="shared" si="38"/>
        <v>10.5</v>
      </c>
      <c r="R31" s="124">
        <f t="shared" si="39"/>
        <v>47.5</v>
      </c>
      <c r="S31" s="124">
        <f t="shared" si="40"/>
        <v>10</v>
      </c>
      <c r="T31" s="124">
        <f t="shared" si="41"/>
        <v>18</v>
      </c>
      <c r="U31" s="124">
        <f t="shared" si="42"/>
        <v>3</v>
      </c>
      <c r="V31" s="48">
        <f t="shared" si="58"/>
        <v>126</v>
      </c>
      <c r="X31" t="s">
        <v>35</v>
      </c>
      <c r="Y31" s="17">
        <f>E31+1</f>
        <v>24</v>
      </c>
      <c r="Z31" s="17">
        <f ca="1">F31+(($AR$25+$AR$26)*7)-112</f>
        <v>101</v>
      </c>
      <c r="AA31" s="61">
        <f t="shared" si="49"/>
        <v>0</v>
      </c>
      <c r="AB31" s="61">
        <f t="shared" si="43"/>
        <v>10.666666666666666</v>
      </c>
      <c r="AC31" s="61">
        <f t="shared" si="50"/>
        <v>5.7</v>
      </c>
      <c r="AD31" s="61">
        <f t="shared" si="51"/>
        <v>14</v>
      </c>
      <c r="AE31" s="61">
        <f>9+1/7</f>
        <v>9.1428571428571423</v>
      </c>
      <c r="AF31" s="61">
        <f t="shared" si="52"/>
        <v>7.5</v>
      </c>
      <c r="AG31" s="61">
        <v>15</v>
      </c>
      <c r="AH31" s="42">
        <f>(11610+300+185+150+1200)*1.045</f>
        <v>14050.025</v>
      </c>
      <c r="AI31" s="121">
        <f t="shared" si="44"/>
        <v>0</v>
      </c>
      <c r="AJ31" s="124">
        <f t="shared" si="45"/>
        <v>37</v>
      </c>
      <c r="AK31" s="121">
        <f t="shared" si="26"/>
        <v>10.5</v>
      </c>
      <c r="AL31" s="121">
        <f t="shared" si="26"/>
        <v>47.5</v>
      </c>
      <c r="AM31" s="124">
        <f t="shared" si="53"/>
        <v>24</v>
      </c>
      <c r="AN31" s="121">
        <f t="shared" si="26"/>
        <v>18</v>
      </c>
      <c r="AO31" s="124">
        <f t="shared" si="46"/>
        <v>18</v>
      </c>
      <c r="AP31" s="48">
        <f t="shared" si="61"/>
        <v>155</v>
      </c>
    </row>
    <row r="32" spans="1:45" x14ac:dyDescent="0.25">
      <c r="A32" t="s">
        <v>39</v>
      </c>
      <c r="B32" s="15" t="s">
        <v>51</v>
      </c>
      <c r="C32" s="3" t="s">
        <v>44</v>
      </c>
      <c r="D32" s="3" t="s">
        <v>341</v>
      </c>
      <c r="E32" s="17">
        <f t="shared" si="64"/>
        <v>22</v>
      </c>
      <c r="F32" s="17">
        <f t="shared" ca="1" si="64"/>
        <v>97</v>
      </c>
      <c r="G32" s="61">
        <f t="shared" si="28"/>
        <v>0</v>
      </c>
      <c r="H32" s="61">
        <f t="shared" si="29"/>
        <v>12.181818181818182</v>
      </c>
      <c r="I32" s="61">
        <f t="shared" si="30"/>
        <v>3</v>
      </c>
      <c r="J32" s="61">
        <f t="shared" si="31"/>
        <v>12.833333333333334</v>
      </c>
      <c r="K32" s="61">
        <f t="shared" si="32"/>
        <v>7</v>
      </c>
      <c r="L32" s="61">
        <f t="shared" si="33"/>
        <v>7</v>
      </c>
      <c r="M32" s="61">
        <f t="shared" si="34"/>
        <v>3</v>
      </c>
      <c r="N32" s="42">
        <f t="shared" si="35"/>
        <v>11172.48</v>
      </c>
      <c r="O32" s="124">
        <f t="shared" si="36"/>
        <v>0</v>
      </c>
      <c r="P32" s="124">
        <f t="shared" si="37"/>
        <v>55</v>
      </c>
      <c r="Q32" s="124">
        <f t="shared" si="38"/>
        <v>3</v>
      </c>
      <c r="R32" s="124">
        <f t="shared" si="39"/>
        <v>39.5</v>
      </c>
      <c r="S32" s="124">
        <f t="shared" si="40"/>
        <v>14</v>
      </c>
      <c r="T32" s="124">
        <f t="shared" si="41"/>
        <v>16</v>
      </c>
      <c r="U32" s="124">
        <f t="shared" si="42"/>
        <v>1</v>
      </c>
      <c r="V32" s="48">
        <f>SUM(O32:U32)</f>
        <v>128.5</v>
      </c>
      <c r="X32" t="s">
        <v>39</v>
      </c>
      <c r="Y32" s="17">
        <f t="shared" si="59"/>
        <v>24</v>
      </c>
      <c r="Z32" s="17">
        <f t="shared" ca="1" si="60"/>
        <v>76</v>
      </c>
      <c r="AA32" s="61">
        <f t="shared" si="49"/>
        <v>0</v>
      </c>
      <c r="AB32" s="61">
        <f t="shared" si="43"/>
        <v>12.181818181818182</v>
      </c>
      <c r="AC32" s="61">
        <f t="shared" si="50"/>
        <v>3</v>
      </c>
      <c r="AD32" s="61">
        <f t="shared" si="51"/>
        <v>12.833333333333334</v>
      </c>
      <c r="AE32" s="61">
        <f>9+5/6</f>
        <v>9.8333333333333339</v>
      </c>
      <c r="AF32" s="61">
        <f t="shared" si="52"/>
        <v>7</v>
      </c>
      <c r="AG32" s="61">
        <v>14</v>
      </c>
      <c r="AH32" s="42">
        <f>(7000+165+165+245+3505)*1.04</f>
        <v>11523.2</v>
      </c>
      <c r="AI32" s="121">
        <f t="shared" si="44"/>
        <v>0</v>
      </c>
      <c r="AJ32" s="124">
        <f t="shared" si="45"/>
        <v>55</v>
      </c>
      <c r="AK32" s="121">
        <f t="shared" si="26"/>
        <v>3</v>
      </c>
      <c r="AL32" s="121">
        <f t="shared" si="26"/>
        <v>39.5</v>
      </c>
      <c r="AM32" s="124">
        <f t="shared" si="53"/>
        <v>28</v>
      </c>
      <c r="AN32" s="121">
        <f t="shared" si="26"/>
        <v>16</v>
      </c>
      <c r="AO32" s="124">
        <f t="shared" si="46"/>
        <v>16</v>
      </c>
      <c r="AP32" s="48">
        <f>SUM(AI32:AO32)</f>
        <v>157.5</v>
      </c>
    </row>
    <row r="33" spans="1:42" x14ac:dyDescent="0.25">
      <c r="A33" t="s">
        <v>33</v>
      </c>
      <c r="B33" s="15" t="s">
        <v>51</v>
      </c>
      <c r="C33" s="3" t="s">
        <v>192</v>
      </c>
      <c r="D33" s="3" t="s">
        <v>210</v>
      </c>
      <c r="E33" s="17">
        <f t="shared" ref="E33:F33" si="65">Y15</f>
        <v>23</v>
      </c>
      <c r="F33" s="17">
        <f t="shared" ca="1" si="65"/>
        <v>10</v>
      </c>
      <c r="G33" s="61">
        <f t="shared" si="28"/>
        <v>0</v>
      </c>
      <c r="H33" s="61">
        <f t="shared" si="29"/>
        <v>11.1</v>
      </c>
      <c r="I33" s="61">
        <f t="shared" si="30"/>
        <v>5</v>
      </c>
      <c r="J33" s="61">
        <f t="shared" si="31"/>
        <v>13.333333333333334</v>
      </c>
      <c r="K33" s="61">
        <f t="shared" si="32"/>
        <v>5</v>
      </c>
      <c r="L33" s="61">
        <f t="shared" si="33"/>
        <v>7.8016666666666676</v>
      </c>
      <c r="M33" s="61">
        <f t="shared" si="34"/>
        <v>3</v>
      </c>
      <c r="N33" s="42">
        <f t="shared" si="35"/>
        <v>13682.24</v>
      </c>
      <c r="O33" s="124">
        <f t="shared" si="36"/>
        <v>0</v>
      </c>
      <c r="P33" s="124">
        <f t="shared" si="37"/>
        <v>45</v>
      </c>
      <c r="Q33" s="124">
        <f t="shared" si="38"/>
        <v>9</v>
      </c>
      <c r="R33" s="124">
        <f t="shared" si="39"/>
        <v>39.880000000000003</v>
      </c>
      <c r="S33" s="124">
        <f t="shared" si="40"/>
        <v>7</v>
      </c>
      <c r="T33" s="124">
        <f t="shared" si="41"/>
        <v>19</v>
      </c>
      <c r="U33" s="124">
        <f t="shared" si="42"/>
        <v>1</v>
      </c>
      <c r="V33" s="48">
        <f>SUM(O33:U33)</f>
        <v>120.88</v>
      </c>
      <c r="X33" t="s">
        <v>33</v>
      </c>
      <c r="Y33" s="17">
        <f>E33+1</f>
        <v>24</v>
      </c>
      <c r="Z33" s="17">
        <f ca="1">F33+(($AR$25+$AR$26)*7)-112</f>
        <v>101</v>
      </c>
      <c r="AA33" s="61">
        <f t="shared" si="49"/>
        <v>0</v>
      </c>
      <c r="AB33" s="61">
        <f t="shared" si="43"/>
        <v>11.1</v>
      </c>
      <c r="AC33" s="61">
        <f t="shared" si="50"/>
        <v>5</v>
      </c>
      <c r="AD33" s="61">
        <f t="shared" si="51"/>
        <v>13.333333333333334</v>
      </c>
      <c r="AE33" s="61">
        <f>8+3/5</f>
        <v>8.6</v>
      </c>
      <c r="AF33" s="61">
        <f t="shared" si="52"/>
        <v>7.8016666666666676</v>
      </c>
      <c r="AG33" s="61">
        <v>14</v>
      </c>
      <c r="AH33" s="42">
        <f>(9000+135+185+350+3900)*1.04</f>
        <v>14112.800000000001</v>
      </c>
      <c r="AI33" s="121">
        <f t="shared" si="44"/>
        <v>0</v>
      </c>
      <c r="AJ33" s="124">
        <f t="shared" si="45"/>
        <v>45</v>
      </c>
      <c r="AK33" s="121">
        <f t="shared" si="26"/>
        <v>9</v>
      </c>
      <c r="AL33" s="121">
        <f t="shared" si="26"/>
        <v>39.880000000000003</v>
      </c>
      <c r="AM33" s="124">
        <f t="shared" si="53"/>
        <v>21</v>
      </c>
      <c r="AN33" s="121">
        <f t="shared" si="26"/>
        <v>19</v>
      </c>
      <c r="AO33" s="124">
        <f t="shared" si="46"/>
        <v>16</v>
      </c>
      <c r="AP33" s="48">
        <f>SUM(AI33:AO33)</f>
        <v>149.88</v>
      </c>
    </row>
    <row r="34" spans="1:42" x14ac:dyDescent="0.25">
      <c r="A34" t="s">
        <v>41</v>
      </c>
      <c r="B34" s="15" t="s">
        <v>43</v>
      </c>
      <c r="C34" s="3" t="s">
        <v>343</v>
      </c>
      <c r="D34" s="3" t="s">
        <v>213</v>
      </c>
      <c r="E34" s="17">
        <v>23</v>
      </c>
      <c r="F34" s="17">
        <v>50</v>
      </c>
      <c r="G34" s="61">
        <f t="shared" si="28"/>
        <v>0</v>
      </c>
      <c r="H34" s="61">
        <f t="shared" si="29"/>
        <v>2</v>
      </c>
      <c r="I34" s="61">
        <v>7</v>
      </c>
      <c r="J34" s="61">
        <v>7</v>
      </c>
      <c r="K34" s="61">
        <v>10</v>
      </c>
      <c r="L34" s="61">
        <v>13</v>
      </c>
      <c r="M34" s="61">
        <v>10</v>
      </c>
      <c r="N34" s="42">
        <f>(12930+255+185+195)*1.03</f>
        <v>13971.95</v>
      </c>
      <c r="O34" s="121">
        <f t="shared" ref="O34:P34" si="66">AI16</f>
        <v>0</v>
      </c>
      <c r="P34" s="121">
        <f t="shared" si="66"/>
        <v>0</v>
      </c>
      <c r="Q34" s="121">
        <v>16</v>
      </c>
      <c r="R34" s="121">
        <v>10.5</v>
      </c>
      <c r="S34" s="121">
        <v>29</v>
      </c>
      <c r="T34" s="121">
        <v>59</v>
      </c>
      <c r="U34" s="121">
        <v>8</v>
      </c>
      <c r="V34" s="48">
        <f>SUM(O34:U34)</f>
        <v>122.5</v>
      </c>
      <c r="X34" t="s">
        <v>41</v>
      </c>
      <c r="Y34" s="17">
        <f t="shared" si="59"/>
        <v>25</v>
      </c>
      <c r="Z34" s="17">
        <f t="shared" si="60"/>
        <v>29</v>
      </c>
      <c r="AA34" s="61">
        <f t="shared" si="49"/>
        <v>0</v>
      </c>
      <c r="AB34" s="61">
        <f t="shared" ref="AB34:AB36" si="67">H34</f>
        <v>2</v>
      </c>
      <c r="AC34" s="61">
        <f t="shared" si="50"/>
        <v>7</v>
      </c>
      <c r="AD34" s="61">
        <f t="shared" si="51"/>
        <v>7</v>
      </c>
      <c r="AE34" s="61">
        <v>12</v>
      </c>
      <c r="AF34" s="61">
        <f t="shared" si="52"/>
        <v>13</v>
      </c>
      <c r="AG34" s="61">
        <v>16.5</v>
      </c>
      <c r="AH34" s="42">
        <f>(12930+255+515+195)*1.049</f>
        <v>14575.855</v>
      </c>
      <c r="AI34" s="121">
        <f t="shared" si="44"/>
        <v>0</v>
      </c>
      <c r="AJ34" s="121">
        <f t="shared" si="44"/>
        <v>0</v>
      </c>
      <c r="AK34" s="121">
        <f t="shared" si="26"/>
        <v>16</v>
      </c>
      <c r="AL34" s="121">
        <f t="shared" si="26"/>
        <v>10.5</v>
      </c>
      <c r="AM34" s="124">
        <f t="shared" si="53"/>
        <v>43</v>
      </c>
      <c r="AN34" s="121">
        <f t="shared" si="26"/>
        <v>59</v>
      </c>
      <c r="AO34" s="124">
        <f t="shared" si="46"/>
        <v>23</v>
      </c>
      <c r="AP34" s="48">
        <f>SUM(AI34:AO34)</f>
        <v>151.5</v>
      </c>
    </row>
    <row r="35" spans="1:42" x14ac:dyDescent="0.25">
      <c r="A35" t="s">
        <v>45</v>
      </c>
      <c r="B35" s="15" t="s">
        <v>43</v>
      </c>
      <c r="C35" s="3" t="s">
        <v>343</v>
      </c>
      <c r="D35" s="3" t="s">
        <v>213</v>
      </c>
      <c r="E35" s="17">
        <v>23</v>
      </c>
      <c r="F35" s="17">
        <v>50</v>
      </c>
      <c r="G35" s="61">
        <f t="shared" ref="G35:G36" si="68">AA17</f>
        <v>0</v>
      </c>
      <c r="H35" s="61">
        <f t="shared" ref="H35:H36" si="69">AB17</f>
        <v>2</v>
      </c>
      <c r="I35" s="61">
        <v>7</v>
      </c>
      <c r="J35" s="61">
        <v>7</v>
      </c>
      <c r="K35" s="61">
        <v>10</v>
      </c>
      <c r="L35" s="61">
        <v>13</v>
      </c>
      <c r="M35" s="61">
        <v>10</v>
      </c>
      <c r="N35" s="42">
        <f t="shared" ref="N35:N36" si="70">(12930+255+185+195)*1.03</f>
        <v>13971.95</v>
      </c>
      <c r="O35" s="124">
        <f t="shared" ref="O35:O36" si="71">AI17</f>
        <v>0</v>
      </c>
      <c r="P35" s="124">
        <f t="shared" ref="P35:P36" si="72">AJ17</f>
        <v>0</v>
      </c>
      <c r="Q35" s="124">
        <v>16</v>
      </c>
      <c r="R35" s="124">
        <v>10.5</v>
      </c>
      <c r="S35" s="124">
        <v>29</v>
      </c>
      <c r="T35" s="124">
        <v>59</v>
      </c>
      <c r="U35" s="124">
        <v>8</v>
      </c>
      <c r="V35" s="48">
        <f>SUM(O35:U35)</f>
        <v>122.5</v>
      </c>
      <c r="X35" t="s">
        <v>45</v>
      </c>
      <c r="Y35" s="17">
        <f t="shared" ref="Y35:Y36" si="73">E35+2</f>
        <v>25</v>
      </c>
      <c r="Z35" s="17">
        <f t="shared" ref="Z35:Z36" si="74">F35+(($AR$25+$AR$26)*7)-112-112</f>
        <v>29</v>
      </c>
      <c r="AA35" s="61">
        <f t="shared" si="49"/>
        <v>0</v>
      </c>
      <c r="AB35" s="61">
        <f t="shared" si="67"/>
        <v>2</v>
      </c>
      <c r="AC35" s="61">
        <f t="shared" si="50"/>
        <v>7</v>
      </c>
      <c r="AD35" s="61">
        <f t="shared" si="51"/>
        <v>7</v>
      </c>
      <c r="AE35" s="61">
        <v>12</v>
      </c>
      <c r="AF35" s="61">
        <f t="shared" si="52"/>
        <v>13</v>
      </c>
      <c r="AG35" s="61">
        <v>16.5</v>
      </c>
      <c r="AH35" s="42">
        <f>(12930+255+515+195)*1.049</f>
        <v>14575.855</v>
      </c>
      <c r="AI35" s="121">
        <f t="shared" si="44"/>
        <v>0</v>
      </c>
      <c r="AJ35" s="121">
        <f t="shared" si="44"/>
        <v>0</v>
      </c>
      <c r="AK35" s="121">
        <f t="shared" si="26"/>
        <v>16</v>
      </c>
      <c r="AL35" s="121">
        <f t="shared" si="26"/>
        <v>10.5</v>
      </c>
      <c r="AM35" s="124">
        <f t="shared" si="53"/>
        <v>43</v>
      </c>
      <c r="AN35" s="121">
        <f t="shared" si="26"/>
        <v>59</v>
      </c>
      <c r="AO35" s="124">
        <f t="shared" si="46"/>
        <v>23</v>
      </c>
      <c r="AP35" s="48">
        <f>SUM(AI35:AO35)</f>
        <v>151.5</v>
      </c>
    </row>
    <row r="36" spans="1:42" x14ac:dyDescent="0.25">
      <c r="A36" t="s">
        <v>211</v>
      </c>
      <c r="B36" s="15" t="s">
        <v>43</v>
      </c>
      <c r="C36" s="3" t="s">
        <v>343</v>
      </c>
      <c r="D36" s="3" t="s">
        <v>213</v>
      </c>
      <c r="E36" s="17">
        <v>23</v>
      </c>
      <c r="F36" s="17">
        <v>50</v>
      </c>
      <c r="G36" s="61">
        <f t="shared" si="68"/>
        <v>0</v>
      </c>
      <c r="H36" s="61">
        <f t="shared" si="69"/>
        <v>2</v>
      </c>
      <c r="I36" s="61">
        <v>7</v>
      </c>
      <c r="J36" s="61">
        <v>7</v>
      </c>
      <c r="K36" s="61">
        <v>10</v>
      </c>
      <c r="L36" s="61">
        <v>13</v>
      </c>
      <c r="M36" s="61">
        <v>10</v>
      </c>
      <c r="N36" s="42">
        <f t="shared" si="70"/>
        <v>13971.95</v>
      </c>
      <c r="O36" s="124">
        <f t="shared" si="71"/>
        <v>0</v>
      </c>
      <c r="P36" s="124">
        <f t="shared" si="72"/>
        <v>0</v>
      </c>
      <c r="Q36" s="124">
        <v>16</v>
      </c>
      <c r="R36" s="124">
        <v>10.5</v>
      </c>
      <c r="S36" s="124">
        <v>29</v>
      </c>
      <c r="T36" s="124">
        <v>59</v>
      </c>
      <c r="U36" s="124">
        <v>8</v>
      </c>
      <c r="V36" s="48">
        <f>SUM(O36:U36)</f>
        <v>122.5</v>
      </c>
      <c r="X36" t="s">
        <v>211</v>
      </c>
      <c r="Y36" s="17">
        <f t="shared" si="73"/>
        <v>25</v>
      </c>
      <c r="Z36" s="17">
        <f t="shared" si="74"/>
        <v>29</v>
      </c>
      <c r="AA36" s="61">
        <f t="shared" si="49"/>
        <v>0</v>
      </c>
      <c r="AB36" s="61">
        <f t="shared" si="67"/>
        <v>2</v>
      </c>
      <c r="AC36" s="61">
        <f t="shared" si="50"/>
        <v>7</v>
      </c>
      <c r="AD36" s="61">
        <f t="shared" si="51"/>
        <v>7</v>
      </c>
      <c r="AE36" s="61">
        <v>12</v>
      </c>
      <c r="AF36" s="61">
        <f t="shared" si="52"/>
        <v>13</v>
      </c>
      <c r="AG36" s="61">
        <v>16.5</v>
      </c>
      <c r="AH36" s="42">
        <f>(12930+255+515+195)*1.049</f>
        <v>14575.855</v>
      </c>
      <c r="AI36" s="121">
        <f t="shared" si="44"/>
        <v>0</v>
      </c>
      <c r="AJ36" s="121">
        <f t="shared" si="44"/>
        <v>0</v>
      </c>
      <c r="AK36" s="121">
        <f t="shared" si="26"/>
        <v>16</v>
      </c>
      <c r="AL36" s="121">
        <f t="shared" si="26"/>
        <v>10.5</v>
      </c>
      <c r="AM36" s="124">
        <f t="shared" si="53"/>
        <v>43</v>
      </c>
      <c r="AN36" s="121">
        <f t="shared" si="26"/>
        <v>59</v>
      </c>
      <c r="AO36" s="124">
        <f t="shared" si="46"/>
        <v>23</v>
      </c>
      <c r="AP36" s="48">
        <f>SUM(AI36:AO36)</f>
        <v>151.5</v>
      </c>
    </row>
  </sheetData>
  <conditionalFormatting sqref="G8:M18 G3:M4">
    <cfRule type="colorScale" priority="26">
      <colorScale>
        <cfvo type="min"/>
        <cfvo type="max"/>
        <color rgb="FFFFEF9C"/>
        <color rgb="FF63BE7B"/>
      </colorScale>
    </cfRule>
  </conditionalFormatting>
  <conditionalFormatting sqref="G5:M7">
    <cfRule type="colorScale" priority="25">
      <colorScale>
        <cfvo type="min"/>
        <cfvo type="max"/>
        <color rgb="FFFFEF9C"/>
        <color rgb="FF63BE7B"/>
      </colorScale>
    </cfRule>
  </conditionalFormatting>
  <conditionalFormatting sqref="N3:N1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8">
    <cfRule type="colorScale" priority="23">
      <colorScale>
        <cfvo type="min"/>
        <cfvo type="max"/>
        <color rgb="FFFCFCFF"/>
        <color rgb="FFF8696B"/>
      </colorScale>
    </cfRule>
  </conditionalFormatting>
  <conditionalFormatting sqref="V3:V1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3:AH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AP3:AP1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N21:N3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21:V3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21:AO36">
    <cfRule type="colorScale" priority="13">
      <colorScale>
        <cfvo type="min"/>
        <cfvo type="max"/>
        <color rgb="FFFCFCFF"/>
        <color rgb="FFF8696B"/>
      </colorScale>
    </cfRule>
  </conditionalFormatting>
  <conditionalFormatting sqref="AP21:AP3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21:AG3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1:U36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21:AH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N3:N18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AP3:AP18</xm:sqref>
        </x14:conditionalFormatting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N21:N36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V21:V36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AP21:AP36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AH21:AH36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00B050"/>
  </sheetPr>
  <dimension ref="A1:AT28"/>
  <sheetViews>
    <sheetView tabSelected="1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X4" sqref="X4"/>
    </sheetView>
  </sheetViews>
  <sheetFormatPr baseColWidth="10" defaultColWidth="9.140625" defaultRowHeight="15" x14ac:dyDescent="0.25"/>
  <cols>
    <col min="1" max="1" width="4.7109375" bestFit="1" customWidth="1"/>
    <col min="2" max="2" width="8" bestFit="1" customWidth="1"/>
    <col min="3" max="3" width="6.140625" bestFit="1" customWidth="1"/>
    <col min="4" max="4" width="18.71093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4257812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2" width="10.42578125" bestFit="1" customWidth="1"/>
    <col min="23" max="23" width="7.5703125" bestFit="1" customWidth="1"/>
    <col min="24" max="30" width="5.5703125" bestFit="1" customWidth="1"/>
    <col min="31" max="31" width="7" bestFit="1" customWidth="1"/>
    <col min="32" max="32" width="8.5703125" bestFit="1" customWidth="1"/>
    <col min="33" max="35" width="7" bestFit="1" customWidth="1"/>
    <col min="36" max="36" width="8" bestFit="1" customWidth="1"/>
    <col min="37" max="37" width="8.140625" bestFit="1" customWidth="1"/>
    <col min="38" max="38" width="6.5703125" bestFit="1" customWidth="1"/>
    <col min="39" max="39" width="7.5703125" bestFit="1" customWidth="1"/>
    <col min="40" max="41" width="6.5703125" bestFit="1" customWidth="1"/>
    <col min="42" max="42" width="5.28515625" bestFit="1" customWidth="1"/>
    <col min="43" max="43" width="4.85546875" customWidth="1"/>
    <col min="44" max="44" width="3.42578125" bestFit="1" customWidth="1"/>
    <col min="45" max="45" width="3.5703125" bestFit="1" customWidth="1"/>
    <col min="46" max="46" width="7" bestFit="1" customWidth="1"/>
  </cols>
  <sheetData>
    <row r="1" spans="1:46" x14ac:dyDescent="0.25">
      <c r="D1" s="28">
        <v>42268</v>
      </c>
    </row>
    <row r="2" spans="1:46" x14ac:dyDescent="0.25">
      <c r="D2" s="28">
        <f ca="1">TODAY()</f>
        <v>43641</v>
      </c>
      <c r="I2" s="29">
        <f>AVERAGE(I4:I21)</f>
        <v>4.2666666666666666</v>
      </c>
      <c r="J2" s="29"/>
      <c r="N2" s="32">
        <f ca="1">AVERAGE(N4:N21)</f>
        <v>0.90920579321592121</v>
      </c>
      <c r="O2" s="29">
        <f>AVERAGE(O4:O21)</f>
        <v>5.7166666666666659</v>
      </c>
      <c r="Q2" s="29">
        <f>AVERAGE(Q4:Q21)</f>
        <v>5.166666666666667</v>
      </c>
      <c r="R2" s="64">
        <f>AVERAGE(R4:R21)</f>
        <v>0.85483083031564866</v>
      </c>
      <c r="S2" s="64">
        <f>AVERAGE(S4:S21)</f>
        <v>0.92696874457038925</v>
      </c>
      <c r="T2" s="33">
        <f>SUM(T4:T21)</f>
        <v>934470</v>
      </c>
      <c r="U2" s="33">
        <f>SUM(U4:U21)</f>
        <v>9810</v>
      </c>
      <c r="V2" s="33">
        <f>SUM(V4:V21)</f>
        <v>162424</v>
      </c>
      <c r="W2" s="34">
        <f>T2/V2</f>
        <v>5.753275378022952</v>
      </c>
      <c r="AD2" s="32">
        <f>AVERAGE(AD5:AD21)</f>
        <v>4.9411764705882355</v>
      </c>
      <c r="AE2" s="30">
        <f>AVERAGE(AE5:AE21)</f>
        <v>93.434117647058827</v>
      </c>
      <c r="AF2" s="30">
        <f>AVERAGE(AF5:AF21)</f>
        <v>2014.5555555555557</v>
      </c>
      <c r="AL2" s="29"/>
      <c r="AM2" s="29"/>
      <c r="AN2" s="29"/>
      <c r="AO2" s="29"/>
      <c r="AQ2" s="29"/>
      <c r="AR2" s="29"/>
      <c r="AS2" s="29"/>
    </row>
    <row r="3" spans="1:46" x14ac:dyDescent="0.25">
      <c r="A3" s="10" t="s">
        <v>1</v>
      </c>
      <c r="B3" s="10" t="s">
        <v>2</v>
      </c>
      <c r="C3" s="11" t="s">
        <v>372</v>
      </c>
      <c r="D3" s="12" t="s">
        <v>97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98</v>
      </c>
      <c r="K3" s="13" t="s">
        <v>49</v>
      </c>
      <c r="L3" s="13" t="s">
        <v>48</v>
      </c>
      <c r="M3" s="10" t="s">
        <v>105</v>
      </c>
      <c r="N3" s="10" t="s">
        <v>80</v>
      </c>
      <c r="O3" s="10" t="s">
        <v>9</v>
      </c>
      <c r="P3" s="10" t="s">
        <v>10</v>
      </c>
      <c r="Q3" s="10" t="s">
        <v>11</v>
      </c>
      <c r="R3" s="44" t="s">
        <v>78</v>
      </c>
      <c r="S3" s="44" t="s">
        <v>79</v>
      </c>
      <c r="T3" s="10" t="s">
        <v>12</v>
      </c>
      <c r="U3" s="10" t="s">
        <v>112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6</v>
      </c>
      <c r="AE3" s="10" t="s">
        <v>243</v>
      </c>
      <c r="AF3" s="10" t="s">
        <v>193</v>
      </c>
      <c r="AG3" s="14" t="s">
        <v>25</v>
      </c>
      <c r="AH3" s="14" t="s">
        <v>26</v>
      </c>
      <c r="AI3" s="14" t="s">
        <v>68</v>
      </c>
      <c r="AJ3" s="14" t="s">
        <v>99</v>
      </c>
      <c r="AK3" s="14" t="s">
        <v>100</v>
      </c>
      <c r="AL3" s="14" t="s">
        <v>21</v>
      </c>
      <c r="AM3" s="14" t="s">
        <v>22</v>
      </c>
      <c r="AN3" s="14" t="s">
        <v>23</v>
      </c>
      <c r="AO3" s="14" t="s">
        <v>24</v>
      </c>
      <c r="AP3" s="10" t="s">
        <v>104</v>
      </c>
      <c r="AQ3" s="10" t="s">
        <v>106</v>
      </c>
      <c r="AR3" s="10" t="s">
        <v>102</v>
      </c>
      <c r="AS3" s="10" t="s">
        <v>103</v>
      </c>
      <c r="AT3" s="31" t="s">
        <v>188</v>
      </c>
    </row>
    <row r="4" spans="1:46" x14ac:dyDescent="0.25">
      <c r="A4" s="15" t="s">
        <v>28</v>
      </c>
      <c r="B4" s="23" t="s">
        <v>27</v>
      </c>
      <c r="C4" s="69">
        <f ca="1">((34*112)-(E4*112)-(F4))/112</f>
        <v>11.535714285714286</v>
      </c>
      <c r="D4" s="111" t="s">
        <v>360</v>
      </c>
      <c r="E4" s="1">
        <v>22</v>
      </c>
      <c r="F4" s="2">
        <f ca="1">$D$2-$D$1-1097-112-112</f>
        <v>52</v>
      </c>
      <c r="G4" s="3"/>
      <c r="H4" s="4">
        <v>4</v>
      </c>
      <c r="I4" s="5">
        <v>4.5999999999999996</v>
      </c>
      <c r="J4" s="21">
        <f>LOG(I4)*4/3</f>
        <v>0.8836771089087655</v>
      </c>
      <c r="K4" s="6">
        <f>(H4)*(H4)*(I4)</f>
        <v>73.599999999999994</v>
      </c>
      <c r="L4" s="6">
        <f>(H4+1)*(H4+1)*I4</f>
        <v>114.99999999999999</v>
      </c>
      <c r="M4" s="72">
        <v>43415</v>
      </c>
      <c r="N4" s="73">
        <f t="shared" ref="N4:N9" ca="1" si="0">IF((TODAY()-M4)&gt;335,1,((TODAY()-M4)^0.64)/(336^0.64))</f>
        <v>0.77584017284391016</v>
      </c>
      <c r="O4" s="24">
        <v>6.7</v>
      </c>
      <c r="P4" s="19">
        <f>O4*10+19</f>
        <v>86</v>
      </c>
      <c r="Q4" s="25">
        <v>3</v>
      </c>
      <c r="R4" s="63">
        <f>(Q4/7)^0.5</f>
        <v>0.65465367070797709</v>
      </c>
      <c r="S4" s="63">
        <f>IF(Q4=7,1,((Q4+0.99)/7)^0.5)</f>
        <v>0.75498344352707503</v>
      </c>
      <c r="T4" s="27">
        <v>57080</v>
      </c>
      <c r="U4" s="27">
        <f>T4-AT4</f>
        <v>-2430</v>
      </c>
      <c r="V4" s="7">
        <v>27520</v>
      </c>
      <c r="W4" s="8">
        <f>T4/V4</f>
        <v>2.0741279069767442</v>
      </c>
      <c r="X4" s="20">
        <v>15</v>
      </c>
      <c r="Y4" s="21">
        <f>10+3/7</f>
        <v>10.428571428571429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91.5</v>
      </c>
      <c r="AF4" s="9">
        <v>1752</v>
      </c>
      <c r="AG4" s="22">
        <f t="shared" ref="AG4" ca="1" si="1">(AD4+1+(LOG(I4)*4/3)+N4)*(Q4/7)^0.5</f>
        <v>2.3957164215186673</v>
      </c>
      <c r="AH4" s="22">
        <f t="shared" ref="AH4" ca="1" si="2">(AD4+1+N4+(LOG(I4)*4/3))*(IF(Q4=7, (Q4/7)^0.5, ((Q4+1)/7)^0.5))</f>
        <v>2.7663350417316197</v>
      </c>
      <c r="AI4" s="22">
        <f t="shared" ref="AI4" ca="1" si="3">(Z4+N4+(LOG(I4)*4/3))</f>
        <v>1.6595172817526755</v>
      </c>
      <c r="AJ4" s="68">
        <f t="shared" ref="AJ4" ca="1" si="4">(Z4+N4+(LOG(I4)*4/3))*(Q4/7)^0.5</f>
        <v>1.0864090801027133</v>
      </c>
      <c r="AK4" s="68">
        <f t="shared" ref="AK4" ca="1" si="5">(Z4+N4+(LOG(I4)*4/3))*(IF(Q4=7, (Q4/7)^0.5, ((Q4+1)/7)^0.5))</f>
        <v>1.2544771496947105</v>
      </c>
      <c r="AL4" s="8">
        <f t="shared" ref="AL4" ca="1" si="6">(((Y4+LOG(I4)*4/3+N4)+(AB4+LOG(I4)*4/3+N4)*2)/8)*(Q4/7)^0.5</f>
        <v>1.2607912257828449</v>
      </c>
      <c r="AM4" s="8">
        <f t="shared" ref="AM4" ca="1" si="7">(AD4+LOG(I4)*4/3+N4)*0.7+(AC4+LOG(I4)*4/3+N4)*0.3</f>
        <v>2.6595172817526755</v>
      </c>
      <c r="AN4" s="8">
        <f t="shared" ref="AN4" ca="1" si="8">(0.5*(AC4+LOG(I4)*4/3+N4)+ 0.3*(AD4+LOG(I4)*4/3+N4))/10</f>
        <v>0.21276138254021407</v>
      </c>
      <c r="AO4" s="8">
        <f t="shared" ref="AO4" ca="1" si="9">(0.4*(Y4+LOG(I4)*4/3+N4)+0.3*(AD4+LOG(I4)*4/3+N4))/10</f>
        <v>0.56330906686554449</v>
      </c>
      <c r="AP4" s="71">
        <f>IF(AR4=4,IF(AS4=0,0.137+0.0697,0.137+0.02),IF(AR4=3,IF(AS4=0,0.0958+0.0697,0.0958+0.02),IF(AR4=2,IF(AS4=0,0.0415+0.0697,0.0415+0.02),IF(AR4=1,IF(AS4=0,0.0294+0.0697,0.0294+0.02),IF(AR4=0,IF(AS4=0,0.0063+0.0697,0.0063+0.02))))))</f>
        <v>0.1158</v>
      </c>
      <c r="AQ4" s="19">
        <v>1</v>
      </c>
      <c r="AR4" s="19">
        <v>3</v>
      </c>
      <c r="AS4" s="19">
        <v>2</v>
      </c>
      <c r="AT4" s="27">
        <v>59510</v>
      </c>
    </row>
    <row r="5" spans="1:46" x14ac:dyDescent="0.25">
      <c r="A5" s="15" t="s">
        <v>359</v>
      </c>
      <c r="B5" s="15" t="s">
        <v>27</v>
      </c>
      <c r="C5" s="69">
        <f t="shared" ref="C5:C21" ca="1" si="10">((34*112)-(E5*112)-(F5))/112</f>
        <v>11.3125</v>
      </c>
      <c r="D5" s="122" t="s">
        <v>338</v>
      </c>
      <c r="E5" s="16">
        <v>22</v>
      </c>
      <c r="F5" s="2">
        <f ca="1">$D$2-$D$1-880+32-112-112-112-112</f>
        <v>77</v>
      </c>
      <c r="G5" s="17"/>
      <c r="H5" s="107">
        <v>5</v>
      </c>
      <c r="I5" s="26">
        <v>1.4</v>
      </c>
      <c r="J5" s="21">
        <f t="shared" ref="J5:J9" si="11">LOG(I5)*4/3</f>
        <v>0.19483738090431735</v>
      </c>
      <c r="K5" s="6">
        <f t="shared" ref="K5:K9" si="12">(H5)*(H5)*(I5)</f>
        <v>35</v>
      </c>
      <c r="L5" s="6">
        <f t="shared" ref="L5:L9" si="13">(H5+1)*(H5+1)*I5</f>
        <v>50.4</v>
      </c>
      <c r="M5" s="72">
        <v>43190</v>
      </c>
      <c r="N5" s="73">
        <f t="shared" ca="1" si="0"/>
        <v>1</v>
      </c>
      <c r="O5" s="18">
        <v>5.0999999999999996</v>
      </c>
      <c r="P5" s="19">
        <f t="shared" ref="P5:P9" si="14">O5*10+19</f>
        <v>70</v>
      </c>
      <c r="Q5" s="25">
        <v>6</v>
      </c>
      <c r="R5" s="63">
        <f t="shared" ref="R5:R9" si="15">(Q5/7)^0.5</f>
        <v>0.92582009977255142</v>
      </c>
      <c r="S5" s="63">
        <f t="shared" ref="S5:S9" si="16">IF(Q5=7,1,((Q5+0.99)/7)^0.5)</f>
        <v>0.99928545900129484</v>
      </c>
      <c r="T5" s="27">
        <v>3170</v>
      </c>
      <c r="U5" s="27">
        <f t="shared" ref="U5:U9" si="17">T5-AT5</f>
        <v>-80</v>
      </c>
      <c r="V5" s="27">
        <v>1170</v>
      </c>
      <c r="W5" s="8">
        <f t="shared" ref="W5:W9" si="18">T5/V5</f>
        <v>2.7094017094017095</v>
      </c>
      <c r="X5" s="20">
        <v>6</v>
      </c>
      <c r="Y5" s="21">
        <v>4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7.5+6+1.5+1.5</f>
        <v>16.5</v>
      </c>
      <c r="AF5" s="9"/>
      <c r="AG5" s="22">
        <f ca="1">(AD5+1+(LOG(I5)*4/3)+N5)*(Q5/7)^0.5</f>
        <v>2.9578446627459121</v>
      </c>
      <c r="AH5" s="22">
        <f ca="1">(AD5+1+N5+(LOG(I5)*4/3))*(IF(Q5=7, (Q5/7)^0.5, ((Q5+1)/7)^0.5))</f>
        <v>3.1948373809043176</v>
      </c>
      <c r="AI5" s="22">
        <f ca="1">(Z5+N5+(LOG(I5)*4/3))</f>
        <v>1.1948373809043173</v>
      </c>
      <c r="AJ5" s="68">
        <f ca="1">(Z5+N5+(LOG(I5)*4/3))*(Q5/7)^0.5</f>
        <v>1.106204463200809</v>
      </c>
      <c r="AK5" s="68">
        <f ca="1">(Z5+N5+(LOG(I5)*4/3))*(IF(Q5=7, (Q5/7)^0.5, ((Q5+1)/7)^0.5))</f>
        <v>1.1948373809043173</v>
      </c>
      <c r="AL5" s="8">
        <f ca="1">(((Y5+LOG(I5)*4/3+N5)+(AB5+LOG(I5)*4/3+N5)*2)/8)*(Q5/7)^0.5</f>
        <v>0.87773672358657917</v>
      </c>
      <c r="AM5" s="8">
        <f ca="1">(AD5+LOG(I5)*4/3+N5)*0.7+(AC5+LOG(I5)*4/3+N5)*0.3</f>
        <v>2.1948373809043176</v>
      </c>
      <c r="AN5" s="8">
        <f t="shared" ref="AN5" ca="1" si="19">(0.5*(AC5+LOG(I5)*4/3+N5)+ 0.3*(AD5+LOG(I5)*4/3+N5))/10</f>
        <v>0.17558699047234541</v>
      </c>
      <c r="AO5" s="8">
        <f t="shared" ref="AO5" ca="1" si="20">(0.4*(Y5+LOG(I5)*4/3+N5)+0.3*(AD5+LOG(I5)*4/3+N5))/10</f>
        <v>0.27363861666330225</v>
      </c>
      <c r="AP5" s="71">
        <f t="shared" ref="AP5:AP9" si="21">IF(AR5=4,IF(AS5=0,0.137+0.0697,0.137+0.02),IF(AR5=3,IF(AS5=0,0.0958+0.0697,0.0958+0.02),IF(AR5=2,IF(AS5=0,0.0415+0.0697,0.0415+0.02),IF(AR5=1,IF(AS5=0,0.0294+0.0697,0.0294+0.02),IF(AR5=0,IF(AS5=0,0.0063+0.0697,0.0063+0.02))))))</f>
        <v>2.63E-2</v>
      </c>
      <c r="AQ5" s="19">
        <v>3</v>
      </c>
      <c r="AR5" s="19">
        <v>0</v>
      </c>
      <c r="AS5" s="19">
        <v>2</v>
      </c>
      <c r="AT5" s="27">
        <v>3250</v>
      </c>
    </row>
    <row r="6" spans="1:46" x14ac:dyDescent="0.25">
      <c r="A6" s="15" t="s">
        <v>31</v>
      </c>
      <c r="B6" s="23" t="s">
        <v>241</v>
      </c>
      <c r="C6" s="69">
        <f t="shared" ca="1" si="10"/>
        <v>11.5625</v>
      </c>
      <c r="D6" s="111" t="s">
        <v>349</v>
      </c>
      <c r="E6" s="1">
        <v>22</v>
      </c>
      <c r="F6" s="2">
        <f ca="1">$D$2-$D$1-1100-112-112</f>
        <v>49</v>
      </c>
      <c r="G6" s="3"/>
      <c r="H6" s="107">
        <v>5</v>
      </c>
      <c r="I6" s="5">
        <v>2.6</v>
      </c>
      <c r="J6" s="21">
        <f t="shared" ref="J6" si="22">LOG(I6)*4/3</f>
        <v>0.55329779729442397</v>
      </c>
      <c r="K6" s="6">
        <f t="shared" ref="K6" si="23">(H6)*(H6)*(I6)</f>
        <v>65</v>
      </c>
      <c r="L6" s="6">
        <f t="shared" ref="L6" si="24">(H6+1)*(H6+1)*I6</f>
        <v>93.600000000000009</v>
      </c>
      <c r="M6" s="72">
        <v>43395</v>
      </c>
      <c r="N6" s="73">
        <f t="shared" ca="1" si="0"/>
        <v>0.81910830823965308</v>
      </c>
      <c r="O6" s="24">
        <v>6.1</v>
      </c>
      <c r="P6" s="19">
        <f t="shared" si="14"/>
        <v>80</v>
      </c>
      <c r="Q6" s="25">
        <v>4</v>
      </c>
      <c r="R6" s="63">
        <f t="shared" ref="R6" si="25">(Q6/7)^0.5</f>
        <v>0.7559289460184544</v>
      </c>
      <c r="S6" s="63">
        <f t="shared" ref="S6" si="26">IF(Q6=7,1,((Q6+0.99)/7)^0.5)</f>
        <v>0.84430867747355465</v>
      </c>
      <c r="T6" s="27">
        <v>71960</v>
      </c>
      <c r="U6" s="27">
        <f t="shared" si="17"/>
        <v>1030</v>
      </c>
      <c r="V6" s="7">
        <v>18250</v>
      </c>
      <c r="W6" s="8">
        <f t="shared" ref="W6" si="27">T6/V6</f>
        <v>3.943013698630137</v>
      </c>
      <c r="X6" s="20">
        <v>0</v>
      </c>
      <c r="Y6" s="21">
        <f>14+9/16</f>
        <v>14.5625</v>
      </c>
      <c r="Z6" s="20">
        <v>5</v>
      </c>
      <c r="AA6" s="21">
        <f>5+2/5</f>
        <v>5.4</v>
      </c>
      <c r="AB6" s="20">
        <v>5</v>
      </c>
      <c r="AC6" s="21">
        <v>2</v>
      </c>
      <c r="AD6" s="20">
        <v>1</v>
      </c>
      <c r="AE6" s="9">
        <f>PLANNING!V4</f>
        <v>110</v>
      </c>
      <c r="AF6" s="9">
        <v>1966</v>
      </c>
      <c r="AG6" s="22">
        <f t="shared" ref="AG6" ca="1" si="28">(AD6+1+(LOG(I6)*4/3)+N6)*(Q6/7)^0.5</f>
        <v>2.5492993929025753</v>
      </c>
      <c r="AH6" s="22">
        <f t="shared" ref="AH6" ca="1" si="29">(AD6+1+N6+(LOG(I6)*4/3))*(IF(Q6=7, (Q6/7)^0.5, ((Q6+1)/7)^0.5))</f>
        <v>2.8502033687645523</v>
      </c>
      <c r="AI6" s="22">
        <f t="shared" ref="AI6" ca="1" si="30">(Z6+N6+(LOG(I6)*4/3))</f>
        <v>6.3724061055340773</v>
      </c>
      <c r="AJ6" s="68">
        <f t="shared" ref="AJ6" ca="1" si="31">(Z6+N6+(LOG(I6)*4/3))*(Q6/7)^0.5</f>
        <v>4.8170862309579388</v>
      </c>
      <c r="AK6" s="68">
        <f t="shared" ref="AK6" ca="1" si="32">(Z6+N6+(LOG(I6)*4/3))*(IF(Q6=7, (Q6/7)^0.5, ((Q6+1)/7)^0.5))</f>
        <v>5.3856661329501021</v>
      </c>
      <c r="AL6" s="8">
        <f t="shared" ref="AL6" ca="1" si="33">(((Y6+LOG(I6)*4/3+N6)+(AB6+LOG(I6)*4/3+N6)*2)/8)*(Q6/7)^0.5</f>
        <v>2.7099786548969105</v>
      </c>
      <c r="AM6" s="8">
        <f t="shared" ref="AM6" ca="1" si="34">(AD6+LOG(I6)*4/3+N6)*0.7+(AC6+LOG(I6)*4/3+N6)*0.3</f>
        <v>2.6724061055340771</v>
      </c>
      <c r="AN6" s="8">
        <f t="shared" ref="AN6" ca="1" si="35">(0.5*(AC6+LOG(I6)*4/3+N6)+ 0.3*(AD6+LOG(I6)*4/3+N6))/10</f>
        <v>0.23979248844272619</v>
      </c>
      <c r="AO6" s="8">
        <f t="shared" ref="AO6" ca="1" si="36">(0.4*(Y6+LOG(I6)*4/3+N6)+0.3*(AD6+LOG(I6)*4/3+N6))/10</f>
        <v>0.70856842738738535</v>
      </c>
      <c r="AP6" s="71">
        <f t="shared" ref="AP6" si="37">IF(AR6=4,IF(AS6=0,0.137+0.0697,0.137+0.02),IF(AR6=3,IF(AS6=0,0.0958+0.0697,0.0958+0.02),IF(AR6=2,IF(AS6=0,0.0415+0.0697,0.0415+0.02),IF(AR6=1,IF(AS6=0,0.0294+0.0697,0.0294+0.02),IF(AR6=0,IF(AS6=0,0.0063+0.0697,0.0063+0.02))))))</f>
        <v>6.1499999999999999E-2</v>
      </c>
      <c r="AQ6" s="19">
        <v>1</v>
      </c>
      <c r="AR6" s="19">
        <v>2</v>
      </c>
      <c r="AS6" s="19">
        <v>1</v>
      </c>
      <c r="AT6" s="27">
        <v>70930</v>
      </c>
    </row>
    <row r="7" spans="1:46" x14ac:dyDescent="0.25">
      <c r="A7" s="15" t="s">
        <v>33</v>
      </c>
      <c r="B7" s="15" t="s">
        <v>241</v>
      </c>
      <c r="C7" s="69">
        <f t="shared" ca="1" si="10"/>
        <v>11.732142857142858</v>
      </c>
      <c r="D7" s="111" t="s">
        <v>353</v>
      </c>
      <c r="E7" s="16">
        <v>22</v>
      </c>
      <c r="F7" s="2">
        <f ca="1">$D$2-$D$1-1102-17-112-112</f>
        <v>30</v>
      </c>
      <c r="G7" s="17"/>
      <c r="H7" s="4">
        <v>4</v>
      </c>
      <c r="I7" s="26">
        <v>3.6</v>
      </c>
      <c r="J7" s="21">
        <f>LOG(I7)*4/3</f>
        <v>0.74173666768971636</v>
      </c>
      <c r="K7" s="6">
        <f>(H7)*(H7)*(I7)</f>
        <v>57.6</v>
      </c>
      <c r="L7" s="6">
        <f>(H7+1)*(H7+1)*I7</f>
        <v>90</v>
      </c>
      <c r="M7" s="72">
        <v>43410</v>
      </c>
      <c r="N7" s="73">
        <f t="shared" ca="1" si="0"/>
        <v>0.78678220658129916</v>
      </c>
      <c r="O7" s="18">
        <v>6.7</v>
      </c>
      <c r="P7" s="19">
        <f>O7*10+19</f>
        <v>86</v>
      </c>
      <c r="Q7" s="25">
        <v>5</v>
      </c>
      <c r="R7" s="63">
        <f>(Q7/7)^0.5</f>
        <v>0.84515425472851657</v>
      </c>
      <c r="S7" s="63">
        <f>IF(Q7=7,1,((Q7+0.99)/7)^0.5)</f>
        <v>0.92504826128926143</v>
      </c>
      <c r="T7" s="27">
        <v>83660</v>
      </c>
      <c r="U7" s="27">
        <f>T7-AT7</f>
        <v>810</v>
      </c>
      <c r="V7" s="27">
        <v>19870</v>
      </c>
      <c r="W7" s="8">
        <f>T7/V7</f>
        <v>4.2103673880221439</v>
      </c>
      <c r="X7" s="20">
        <v>0</v>
      </c>
      <c r="Y7" s="21">
        <f>14+8/16</f>
        <v>14.5</v>
      </c>
      <c r="Z7" s="20">
        <v>5</v>
      </c>
      <c r="AA7" s="21">
        <v>7</v>
      </c>
      <c r="AB7" s="20">
        <v>5</v>
      </c>
      <c r="AC7" s="21">
        <v>1</v>
      </c>
      <c r="AD7" s="20">
        <v>0</v>
      </c>
      <c r="AE7" s="9">
        <f>PLANNING!V6</f>
        <v>113.5</v>
      </c>
      <c r="AF7" s="9">
        <v>2023</v>
      </c>
      <c r="AG7" s="22">
        <f t="shared" ref="AG7" ca="1" si="38">(AD7+1+(LOG(I7)*4/3)+N7)*(Q7/7)^0.5</f>
        <v>2.1369884847515079</v>
      </c>
      <c r="AH7" s="22">
        <f t="shared" ref="AH7" ca="1" si="39">(AD7+1+N7+(LOG(I7)*4/3))*(IF(Q7=7, (Q7/7)^0.5, ((Q7+1)/7)^0.5))</f>
        <v>2.3409535964543711</v>
      </c>
      <c r="AI7" s="22">
        <f t="shared" ref="AI7" ca="1" si="40">(Z7+N7+(LOG(I7)*4/3))</f>
        <v>6.5285188742710156</v>
      </c>
      <c r="AJ7" s="68">
        <f t="shared" ref="AJ7" ca="1" si="41">(Z7+N7+(LOG(I7)*4/3))*(Q7/7)^0.5</f>
        <v>5.5176055036655738</v>
      </c>
      <c r="AK7" s="68">
        <f t="shared" ref="AK7" ca="1" si="42">(Z7+N7+(LOG(I7)*4/3))*(IF(Q7=7, (Q7/7)^0.5, ((Q7+1)/7)^0.5))</f>
        <v>6.0442339955445767</v>
      </c>
      <c r="AL7" s="8">
        <f t="shared" ref="AL7" ca="1" si="43">(((Y7+LOG(I7)*4/3+N7)+(AB7+LOG(I7)*4/3+N7)*2)/8)*(Q7/7)^0.5</f>
        <v>3.0727227413647036</v>
      </c>
      <c r="AM7" s="8">
        <f t="shared" ref="AM7" ca="1" si="44">(AD7+LOG(I7)*4/3+N7)*0.7+(AC7+LOG(I7)*4/3+N7)*0.3</f>
        <v>1.8285188742710154</v>
      </c>
      <c r="AN7" s="8">
        <f t="shared" ref="AN7" ca="1" si="45">(0.5*(AC7+LOG(I7)*4/3+N7)+ 0.3*(AD7+LOG(I7)*4/3+N7))/10</f>
        <v>0.17228150994168126</v>
      </c>
      <c r="AO7" s="8">
        <f t="shared" ref="AO7" ca="1" si="46">(0.4*(Y7+LOG(I7)*4/3+N7)+0.3*(AD7+LOG(I7)*4/3+N7))/10</f>
        <v>0.68699632119897114</v>
      </c>
      <c r="AP7" s="71">
        <f>IF(AR7=4,IF(AS7=0,0.137+0.0697,0.137+0.02),IF(AR7=3,IF(AS7=0,0.0958+0.0697,0.0958+0.02),IF(AR7=2,IF(AS7=0,0.0415+0.0697,0.0415+0.02),IF(AR7=1,IF(AS7=0,0.0294+0.0697,0.0294+0.02),IF(AR7=0,IF(AS7=0,0.0063+0.0697,0.0063+0.02))))))</f>
        <v>6.1499999999999999E-2</v>
      </c>
      <c r="AQ7" s="19">
        <v>3</v>
      </c>
      <c r="AR7" s="19">
        <v>2</v>
      </c>
      <c r="AS7" s="19">
        <v>2</v>
      </c>
      <c r="AT7" s="27">
        <v>82850</v>
      </c>
    </row>
    <row r="8" spans="1:46" x14ac:dyDescent="0.25">
      <c r="A8" s="15" t="s">
        <v>38</v>
      </c>
      <c r="B8" s="15" t="s">
        <v>241</v>
      </c>
      <c r="C8" s="69">
        <f t="shared" ca="1" si="10"/>
        <v>11.285714285714286</v>
      </c>
      <c r="D8" s="111" t="s">
        <v>348</v>
      </c>
      <c r="E8" s="16">
        <v>22</v>
      </c>
      <c r="F8" s="2">
        <f ca="1">$D$2-$D$1-1069-112-112</f>
        <v>80</v>
      </c>
      <c r="G8" s="17"/>
      <c r="H8" s="4">
        <v>1</v>
      </c>
      <c r="I8" s="26">
        <v>3.8</v>
      </c>
      <c r="J8" s="21">
        <f>LOG(I8)*4/3</f>
        <v>0.77304479548908012</v>
      </c>
      <c r="K8" s="6">
        <f>(H8)*(H8)*(I8)</f>
        <v>3.8</v>
      </c>
      <c r="L8" s="6">
        <f>(H8+1)*(H8+1)*I8</f>
        <v>15.2</v>
      </c>
      <c r="M8" s="72">
        <v>43383</v>
      </c>
      <c r="N8" s="73">
        <f t="shared" ca="1" si="0"/>
        <v>0.8444607609722582</v>
      </c>
      <c r="O8" s="18">
        <v>6</v>
      </c>
      <c r="P8" s="19">
        <f>O8*10+19</f>
        <v>79</v>
      </c>
      <c r="Q8" s="25">
        <v>5</v>
      </c>
      <c r="R8" s="63">
        <f>(Q8/7)^0.5</f>
        <v>0.84515425472851657</v>
      </c>
      <c r="S8" s="63">
        <f>IF(Q8=7,1,((Q8+0.99)/7)^0.5)</f>
        <v>0.92504826128926143</v>
      </c>
      <c r="T8" s="27">
        <v>73230</v>
      </c>
      <c r="U8" s="27">
        <f>T8-AT8</f>
        <v>10840</v>
      </c>
      <c r="V8" s="27">
        <v>5710</v>
      </c>
      <c r="W8" s="8">
        <f>T8/V8</f>
        <v>12.824868651488616</v>
      </c>
      <c r="X8" s="20">
        <v>0</v>
      </c>
      <c r="Y8" s="21">
        <f>12+5/11</f>
        <v>12.454545454545455</v>
      </c>
      <c r="Z8" s="20">
        <v>3</v>
      </c>
      <c r="AA8" s="21">
        <f>7+0.1+0.1</f>
        <v>7.1999999999999993</v>
      </c>
      <c r="AB8" s="20">
        <v>10</v>
      </c>
      <c r="AC8" s="21">
        <v>3</v>
      </c>
      <c r="AD8" s="20">
        <v>2</v>
      </c>
      <c r="AE8" s="9">
        <f>PLANNING!V5</f>
        <v>106.5</v>
      </c>
      <c r="AF8" s="9">
        <v>1910</v>
      </c>
      <c r="AG8" s="22">
        <f ca="1">(AD8+1+(LOG(I8)*4/3)+N8)*(Q8/7)^0.5</f>
        <v>3.9025044672758664</v>
      </c>
      <c r="AH8" s="22">
        <f ca="1">(AD8+1+N8+(LOG(I8)*4/3))*(IF(Q8=7, (Q8/7)^0.5, ((Q8+1)/7)^0.5))</f>
        <v>4.2749794549833471</v>
      </c>
      <c r="AI8" s="22">
        <f ca="1">(Z8+N8+(LOG(I8)*4/3))</f>
        <v>4.6175055564613388</v>
      </c>
      <c r="AJ8" s="68">
        <f ca="1">(Z8+N8+(LOG(I8)*4/3))*(Q8/7)^0.5</f>
        <v>3.9025044672758669</v>
      </c>
      <c r="AK8" s="68">
        <f ca="1">(Z8+N8+(LOG(I8)*4/3))*(IF(Q8=7, (Q8/7)^0.5, ((Q8+1)/7)^0.5))</f>
        <v>4.2749794549833471</v>
      </c>
      <c r="AL8" s="8">
        <f ca="1">(((Y8+LOG(I8)*4/3+N8)+(AB8+LOG(I8)*4/3+N8)*2)/8)*(Q8/7)^0.5</f>
        <v>3.9412777856825101</v>
      </c>
      <c r="AM8" s="8">
        <f ca="1">(AD8+LOG(I8)*4/3+N8)*0.7+(AC8+LOG(I8)*4/3+N8)*0.3</f>
        <v>3.9175055564613377</v>
      </c>
      <c r="AN8" s="8">
        <f ca="1">(0.5*(AC8+LOG(I8)*4/3+N8)+ 0.3*(AD8+LOG(I8)*4/3+N8))/10</f>
        <v>0.33940044451690704</v>
      </c>
      <c r="AO8" s="8">
        <f ca="1">(0.4*(Y8+LOG(I8)*4/3+N8)+0.3*(AD8+LOG(I8)*4/3+N8))/10</f>
        <v>0.67140720713411173</v>
      </c>
      <c r="AP8" s="71">
        <f>IF(AR8=4,IF(AS8=0,0.137+0.0697,0.137+0.02),IF(AR8=3,IF(AS8=0,0.0958+0.0697,0.0958+0.02),IF(AR8=2,IF(AS8=0,0.0415+0.0697,0.0415+0.02),IF(AR8=1,IF(AS8=0,0.0294+0.0697,0.0294+0.02),IF(AR8=0,IF(AS8=0,0.0063+0.0697,0.0063+0.02))))))</f>
        <v>0.1158</v>
      </c>
      <c r="AQ8" s="19">
        <v>0</v>
      </c>
      <c r="AR8" s="19">
        <v>3</v>
      </c>
      <c r="AS8" s="19">
        <v>2</v>
      </c>
      <c r="AT8" s="27">
        <v>62390</v>
      </c>
    </row>
    <row r="9" spans="1:46" x14ac:dyDescent="0.25">
      <c r="A9" s="15" t="s">
        <v>31</v>
      </c>
      <c r="B9" s="15" t="s">
        <v>241</v>
      </c>
      <c r="C9" s="69">
        <f t="shared" ca="1" si="10"/>
        <v>11.419642857142858</v>
      </c>
      <c r="D9" s="111" t="s">
        <v>357</v>
      </c>
      <c r="E9" s="1">
        <v>22</v>
      </c>
      <c r="F9" s="2">
        <f ca="1">$D$2-$D$1-880+55-112-112-14-21-112-112</f>
        <v>65</v>
      </c>
      <c r="G9" s="3"/>
      <c r="H9" s="4">
        <v>4</v>
      </c>
      <c r="I9" s="5">
        <v>4.4000000000000004</v>
      </c>
      <c r="J9" s="21">
        <f t="shared" si="11"/>
        <v>0.85793690198158323</v>
      </c>
      <c r="K9" s="6">
        <f t="shared" si="12"/>
        <v>70.400000000000006</v>
      </c>
      <c r="L9" s="6">
        <f t="shared" si="13"/>
        <v>110.00000000000001</v>
      </c>
      <c r="M9" s="72">
        <v>43419</v>
      </c>
      <c r="N9" s="73">
        <f t="shared" ca="1" si="0"/>
        <v>0.76702366970655766</v>
      </c>
      <c r="O9" s="24">
        <v>6.5</v>
      </c>
      <c r="P9" s="19">
        <f t="shared" si="14"/>
        <v>84</v>
      </c>
      <c r="Q9" s="25">
        <v>6</v>
      </c>
      <c r="R9" s="63">
        <f t="shared" si="15"/>
        <v>0.92582009977255142</v>
      </c>
      <c r="S9" s="63">
        <f t="shared" si="16"/>
        <v>0.99928545900129484</v>
      </c>
      <c r="T9" s="27">
        <v>80610</v>
      </c>
      <c r="U9" s="27">
        <f t="shared" si="17"/>
        <v>4190</v>
      </c>
      <c r="V9" s="7">
        <v>6250</v>
      </c>
      <c r="W9" s="8">
        <f t="shared" si="18"/>
        <v>12.897600000000001</v>
      </c>
      <c r="X9" s="20">
        <v>0</v>
      </c>
      <c r="Y9" s="21">
        <f>10+3/9</f>
        <v>10.333333333333334</v>
      </c>
      <c r="Z9" s="20">
        <v>11</v>
      </c>
      <c r="AA9" s="21">
        <v>4</v>
      </c>
      <c r="AB9" s="20">
        <v>9</v>
      </c>
      <c r="AC9" s="21">
        <v>4</v>
      </c>
      <c r="AD9" s="20">
        <v>1</v>
      </c>
      <c r="AE9" s="9">
        <f>PLANNING!V7</f>
        <v>111.5</v>
      </c>
      <c r="AF9" s="9">
        <v>2011</v>
      </c>
      <c r="AG9" s="22">
        <f ca="1">(AD9+1+(LOG(I9)*4/3)+N9)*(Q9/7)^0.5</f>
        <v>3.3560613581518797</v>
      </c>
      <c r="AH9" s="22">
        <f ca="1">(AD9+1+N9+(LOG(I9)*4/3))*(IF(Q9=7, (Q9/7)^0.5, ((Q9+1)/7)^0.5))</f>
        <v>3.624960571688141</v>
      </c>
      <c r="AI9" s="22">
        <f ca="1">(Z9+N9+(LOG(I9)*4/3))</f>
        <v>12.62496057168814</v>
      </c>
      <c r="AJ9" s="68">
        <f ca="1">(Z9+N9+(LOG(I9)*4/3))*(Q9/7)^0.5</f>
        <v>11.688442256104842</v>
      </c>
      <c r="AK9" s="68">
        <f ca="1">(Z9+N9+(LOG(I9)*4/3))*(IF(Q9=7, (Q9/7)^0.5, ((Q9+1)/7)^0.5))</f>
        <v>12.62496057168814</v>
      </c>
      <c r="AL9" s="8">
        <f ca="1">(((Y9+LOG(I9)*4/3+N9)+(AB9+LOG(I9)*4/3+N9)*2)/8)*(Q9/7)^0.5</f>
        <v>3.8431041211719941</v>
      </c>
      <c r="AM9" s="8">
        <f ca="1">(AD9+LOG(I9)*4/3+N9)*0.7+(AC9+LOG(I9)*4/3+N9)*0.3</f>
        <v>3.5249605716881409</v>
      </c>
      <c r="AN9" s="8">
        <f ca="1">(0.5*(AC9+LOG(I9)*4/3+N9)+ 0.3*(AD9+LOG(I9)*4/3+N9))/10</f>
        <v>0.35999684573505125</v>
      </c>
      <c r="AO9" s="8">
        <f ca="1">(0.4*(Y9+LOG(I9)*4/3+N9)+0.3*(AD9+LOG(I9)*4/3+N9))/10</f>
        <v>0.55708057335150329</v>
      </c>
      <c r="AP9" s="71">
        <f t="shared" si="21"/>
        <v>6.1499999999999999E-2</v>
      </c>
      <c r="AQ9" s="19">
        <v>0</v>
      </c>
      <c r="AR9" s="19">
        <v>2</v>
      </c>
      <c r="AS9" s="19">
        <v>2</v>
      </c>
      <c r="AT9" s="27">
        <v>76420</v>
      </c>
    </row>
    <row r="10" spans="1:46" x14ac:dyDescent="0.25">
      <c r="A10" s="15" t="s">
        <v>196</v>
      </c>
      <c r="B10" s="15" t="s">
        <v>113</v>
      </c>
      <c r="C10" s="69">
        <f t="shared" ca="1" si="10"/>
        <v>11.633928571428571</v>
      </c>
      <c r="D10" s="122" t="s">
        <v>194</v>
      </c>
      <c r="E10" s="1">
        <v>22</v>
      </c>
      <c r="F10" s="2">
        <f ca="1">$D$2-$D$1-880-4-112-112-112-112</f>
        <v>41</v>
      </c>
      <c r="G10" s="3" t="s">
        <v>192</v>
      </c>
      <c r="H10" s="4">
        <v>3</v>
      </c>
      <c r="I10" s="5">
        <v>2.2000000000000002</v>
      </c>
      <c r="J10" s="21">
        <f>LOG(I10)*4/3</f>
        <v>0.45656357442960838</v>
      </c>
      <c r="K10" s="6">
        <f>(H10)*(H10)*(I10)</f>
        <v>19.8</v>
      </c>
      <c r="L10" s="6">
        <f>(H10+1)*(H10+1)*I10</f>
        <v>35.200000000000003</v>
      </c>
      <c r="M10" s="72">
        <v>43045</v>
      </c>
      <c r="N10" s="73">
        <f ca="1">IF((TODAY()-M10)&gt;335,1,((TODAY()-M10)^0.64)/(336^0.64))</f>
        <v>1</v>
      </c>
      <c r="O10" s="24">
        <v>5.0999999999999996</v>
      </c>
      <c r="P10" s="19">
        <f>O10*10+19</f>
        <v>70</v>
      </c>
      <c r="Q10" s="25">
        <v>5</v>
      </c>
      <c r="R10" s="63">
        <f>(Q10/7)^0.5</f>
        <v>0.84515425472851657</v>
      </c>
      <c r="S10" s="63">
        <f>IF(Q10=7,1,((Q10+0.99)/7)^0.5)</f>
        <v>0.92504826128926143</v>
      </c>
      <c r="T10" s="27">
        <v>3260</v>
      </c>
      <c r="U10" s="27">
        <f>T10-AT10</f>
        <v>180</v>
      </c>
      <c r="V10" s="7">
        <v>450</v>
      </c>
      <c r="W10" s="8">
        <f>T10/V10</f>
        <v>7.2444444444444445</v>
      </c>
      <c r="X10" s="20">
        <v>0</v>
      </c>
      <c r="Y10" s="21">
        <v>6</v>
      </c>
      <c r="Z10" s="20">
        <v>3</v>
      </c>
      <c r="AA10" s="21">
        <f>6.15</f>
        <v>6.15</v>
      </c>
      <c r="AB10" s="20">
        <v>3</v>
      </c>
      <c r="AC10" s="21">
        <f>3.73+1/15+1/15+1/15+1/15+1/15+1/15+1/15+1/15+1/15+1/15+1/15+1/15+1/15+1/15</f>
        <v>4.6633333333333322</v>
      </c>
      <c r="AD10" s="20">
        <v>3</v>
      </c>
      <c r="AE10" s="9">
        <f>10+12+3+2+7+1+0.5+4</f>
        <v>39.5</v>
      </c>
      <c r="AF10" s="9"/>
      <c r="AG10" s="22">
        <f ca="1">(AD10+1+(LOG(I10)*4/3)+N10)*(Q10/7)^0.5</f>
        <v>4.6116379211258263</v>
      </c>
      <c r="AH10" s="22">
        <f ca="1">(AD10+1+N10+(LOG(I10)*4/3))*(IF(Q10=7, (Q10/7)^0.5, ((Q10+1)/7)^0.5))</f>
        <v>5.0517962328936905</v>
      </c>
      <c r="AI10" s="22">
        <f ca="1">(Z10+N10+(LOG(I10)*4/3))</f>
        <v>4.4565635744296088</v>
      </c>
      <c r="AJ10" s="68">
        <f ca="1">(Z10+N10+(LOG(I10)*4/3))*(Q10/7)^0.5</f>
        <v>3.7664836663973098</v>
      </c>
      <c r="AK10" s="68">
        <f ca="1">(Z10+N10+(LOG(I10)*4/3))*(IF(Q10=7, (Q10/7)^0.5, ((Q10+1)/7)^0.5))</f>
        <v>4.1259761331211386</v>
      </c>
      <c r="AL10" s="8">
        <f ca="1">(((Y10+LOG(I10)*4/3+N10)+(AB10+LOG(I10)*4/3+N10)*2)/8)*(Q10/7)^0.5</f>
        <v>1.7293642204221849</v>
      </c>
      <c r="AM10" s="8">
        <f ca="1">(AD10+LOG(I10)*4/3+N10)*0.7+(AC10+LOG(I10)*4/3+N10)*0.3</f>
        <v>4.9555635744296085</v>
      </c>
      <c r="AN10" s="8">
        <f ca="1">(0.5*(AC10+LOG(I10)*4/3+N10)+ 0.3*(AD10+LOG(I10)*4/3+N10))/10</f>
        <v>0.43969175262103527</v>
      </c>
      <c r="AO10" s="8">
        <f ca="1">(0.4*(Y10+LOG(I10)*4/3+N10)+0.3*(AD10+LOG(I10)*4/3+N10))/10</f>
        <v>0.43195945021007259</v>
      </c>
      <c r="AP10" s="71">
        <f>IF(AR10=4,IF(AS10=0,0.137+0.0697,0.137+0.02),IF(AR10=3,IF(AS10=0,0.0958+0.0697,0.0958+0.02),IF(AR10=2,IF(AS10=0,0.0415+0.0697,0.0415+0.02),IF(AR10=1,IF(AS10=0,0.0294+0.0697,0.0294+0.02),IF(AR10=0,IF(AS10=0,0.0063+0.0697,0.0063+0.02))))))</f>
        <v>4.9399999999999999E-2</v>
      </c>
      <c r="AQ10" s="19">
        <v>3</v>
      </c>
      <c r="AR10" s="19">
        <v>1</v>
      </c>
      <c r="AS10" s="19">
        <v>2</v>
      </c>
      <c r="AT10" s="27">
        <v>3080</v>
      </c>
    </row>
    <row r="11" spans="1:46" x14ac:dyDescent="0.25">
      <c r="A11" s="15" t="s">
        <v>42</v>
      </c>
      <c r="B11" s="15" t="s">
        <v>371</v>
      </c>
      <c r="C11" s="69">
        <f t="shared" ca="1" si="10"/>
        <v>11.598214285714286</v>
      </c>
      <c r="D11" s="111" t="s">
        <v>249</v>
      </c>
      <c r="E11" s="1">
        <v>22</v>
      </c>
      <c r="F11" s="2">
        <f ca="1">$D$2-$D$1-880-112-112-112-112</f>
        <v>45</v>
      </c>
      <c r="G11" s="3" t="s">
        <v>192</v>
      </c>
      <c r="H11" s="107">
        <v>5</v>
      </c>
      <c r="I11" s="5">
        <v>4.0999999999999996</v>
      </c>
      <c r="J11" s="21">
        <f t="shared" ref="J11:J13" si="47">LOG(I11)*4/3</f>
        <v>0.81704514229298064</v>
      </c>
      <c r="K11" s="6">
        <f t="shared" ref="K11:K13" si="48">(H11)*(H11)*(I11)</f>
        <v>102.49999999999999</v>
      </c>
      <c r="L11" s="6">
        <f t="shared" ref="L11:L13" si="49">(H11+1)*(H11+1)*I11</f>
        <v>147.6</v>
      </c>
      <c r="M11" s="72">
        <v>43137</v>
      </c>
      <c r="N11" s="73">
        <f t="shared" ref="N11:N17" ca="1" si="50">IF((TODAY()-M11)&gt;335,1,((TODAY()-M11)^0.64)/(336^0.64))</f>
        <v>1</v>
      </c>
      <c r="O11" s="24">
        <v>5.8</v>
      </c>
      <c r="P11" s="19">
        <f t="shared" ref="P11:P13" si="51">O11*10+19</f>
        <v>77</v>
      </c>
      <c r="Q11" s="25">
        <v>7</v>
      </c>
      <c r="R11" s="63">
        <f t="shared" ref="R11:R13" si="52">(Q11/7)^0.5</f>
        <v>1</v>
      </c>
      <c r="S11" s="63">
        <f t="shared" ref="S11:S13" si="53">IF(Q11=7,1,((Q11+0.99)/7)^0.5)</f>
        <v>1</v>
      </c>
      <c r="T11" s="27">
        <v>99640</v>
      </c>
      <c r="U11" s="27">
        <f t="shared" ref="U11:U13" si="54">T11-AT11</f>
        <v>2650</v>
      </c>
      <c r="V11" s="7">
        <v>8650</v>
      </c>
      <c r="W11" s="8">
        <f t="shared" ref="W11:W13" si="55">T11/V11</f>
        <v>11.519075144508671</v>
      </c>
      <c r="X11" s="20">
        <v>0</v>
      </c>
      <c r="Y11" s="21">
        <f>11+6/9</f>
        <v>11.666666666666666</v>
      </c>
      <c r="Z11" s="20">
        <v>4</v>
      </c>
      <c r="AA11" s="21">
        <f>12+4/6</f>
        <v>12.666666666666666</v>
      </c>
      <c r="AB11" s="20">
        <f>4+0.25</f>
        <v>4.25</v>
      </c>
      <c r="AC11" s="21">
        <f>5.25+0.25+0.25+0.25+0.25+0.25+0.25+0.25</f>
        <v>7</v>
      </c>
      <c r="AD11" s="20">
        <v>3</v>
      </c>
      <c r="AE11" s="9">
        <f>PLANNING!V9</f>
        <v>121.5</v>
      </c>
      <c r="AF11" s="9">
        <v>2048</v>
      </c>
      <c r="AG11" s="22">
        <f t="shared" ref="AG11:AG13" ca="1" si="56">(AD11+1+(LOG(I11)*4/3)+N11)*(Q11/7)^0.5</f>
        <v>5.8170451422929803</v>
      </c>
      <c r="AH11" s="22">
        <f t="shared" ref="AH11:AH13" ca="1" si="57">(AD11+1+N11+(LOG(I11)*4/3))*(IF(Q11=7, (Q11/7)^0.5, ((Q11+1)/7)^0.5))</f>
        <v>5.8170451422929803</v>
      </c>
      <c r="AI11" s="22">
        <f t="shared" ref="AI11:AI13" ca="1" si="58">(Z11+N11+(LOG(I11)*4/3))</f>
        <v>5.8170451422929803</v>
      </c>
      <c r="AJ11" s="68">
        <f t="shared" ref="AJ11:AJ13" ca="1" si="59">(Z11+N11+(LOG(I11)*4/3))*(Q11/7)^0.5</f>
        <v>5.8170451422929803</v>
      </c>
      <c r="AK11" s="68">
        <f t="shared" ref="AK11:AK13" ca="1" si="60">(Z11+N11+(LOG(I11)*4/3))*(IF(Q11=7, (Q11/7)^0.5, ((Q11+1)/7)^0.5))</f>
        <v>5.8170451422929803</v>
      </c>
      <c r="AL11" s="8">
        <f t="shared" ref="AL11:AL13" ca="1" si="61">(((Y11+LOG(I11)*4/3+N11)+(AB11+LOG(I11)*4/3+N11)*2)/8)*(Q11/7)^0.5</f>
        <v>3.2022252616932008</v>
      </c>
      <c r="AM11" s="8">
        <f t="shared" ref="AM11:AM13" ca="1" si="62">(AD11+LOG(I11)*4/3+N11)*0.7+(AC11+LOG(I11)*4/3+N11)*0.3</f>
        <v>6.0170451422929805</v>
      </c>
      <c r="AN11" s="8">
        <f t="shared" ref="AN11:AN13" ca="1" si="63">(0.5*(AC11+LOG(I11)*4/3+N11)+ 0.3*(AD11+LOG(I11)*4/3+N11))/10</f>
        <v>0.5853636113834384</v>
      </c>
      <c r="AO11" s="8">
        <f t="shared" ref="AO11:AO13" ca="1" si="64">(0.4*(Y11+LOG(I11)*4/3+N11)+0.3*(AD11+LOG(I11)*4/3+N11))/10</f>
        <v>0.68385982662717537</v>
      </c>
      <c r="AP11" s="71">
        <f t="shared" ref="AP11:AP13" si="65">IF(AR11=4,IF(AS11=0,0.137+0.0697,0.137+0.02),IF(AR11=3,IF(AS11=0,0.0958+0.0697,0.0958+0.02),IF(AR11=2,IF(AS11=0,0.0415+0.0697,0.0415+0.02),IF(AR11=1,IF(AS11=0,0.0294+0.0697,0.0294+0.02),IF(AR11=0,IF(AS11=0,0.0063+0.0697,0.0063+0.02))))))</f>
        <v>6.1499999999999999E-2</v>
      </c>
      <c r="AQ11" s="19">
        <v>1</v>
      </c>
      <c r="AR11" s="19">
        <v>2</v>
      </c>
      <c r="AS11" s="19">
        <v>3</v>
      </c>
      <c r="AT11" s="27">
        <v>96990</v>
      </c>
    </row>
    <row r="12" spans="1:46" x14ac:dyDescent="0.25">
      <c r="A12" s="15" t="s">
        <v>32</v>
      </c>
      <c r="B12" s="15" t="s">
        <v>371</v>
      </c>
      <c r="C12" s="69">
        <f t="shared" ca="1" si="10"/>
        <v>11.946428571428571</v>
      </c>
      <c r="D12" s="111" t="s">
        <v>248</v>
      </c>
      <c r="E12" s="1">
        <v>22</v>
      </c>
      <c r="F12" s="2">
        <f ca="1">$D$2-$D$1-1367</f>
        <v>6</v>
      </c>
      <c r="G12" s="3" t="s">
        <v>44</v>
      </c>
      <c r="H12" s="4">
        <v>3</v>
      </c>
      <c r="I12" s="5">
        <v>4.2</v>
      </c>
      <c r="J12" s="21">
        <f t="shared" si="47"/>
        <v>0.8309990538638673</v>
      </c>
      <c r="K12" s="6">
        <f t="shared" si="48"/>
        <v>37.800000000000004</v>
      </c>
      <c r="L12" s="6">
        <f t="shared" si="49"/>
        <v>67.2</v>
      </c>
      <c r="M12" s="72">
        <v>43122</v>
      </c>
      <c r="N12" s="73">
        <f t="shared" ca="1" si="50"/>
        <v>1</v>
      </c>
      <c r="O12" s="24">
        <v>5.7</v>
      </c>
      <c r="P12" s="19">
        <f t="shared" si="51"/>
        <v>76</v>
      </c>
      <c r="Q12" s="25">
        <v>5</v>
      </c>
      <c r="R12" s="63">
        <f t="shared" si="52"/>
        <v>0.84515425472851657</v>
      </c>
      <c r="S12" s="63">
        <f t="shared" si="53"/>
        <v>0.92504826128926143</v>
      </c>
      <c r="T12" s="27">
        <v>85150</v>
      </c>
      <c r="U12" s="27">
        <f t="shared" si="54"/>
        <v>-3350</v>
      </c>
      <c r="V12" s="7">
        <v>9290</v>
      </c>
      <c r="W12" s="8">
        <f t="shared" si="55"/>
        <v>9.1657696447793331</v>
      </c>
      <c r="X12" s="20">
        <v>0</v>
      </c>
      <c r="Y12" s="21">
        <f>10+5/7</f>
        <v>10.714285714285714</v>
      </c>
      <c r="Z12" s="20">
        <v>3</v>
      </c>
      <c r="AA12" s="21">
        <v>13</v>
      </c>
      <c r="AB12" s="20">
        <v>7</v>
      </c>
      <c r="AC12" s="21">
        <f>4.25+0.25+0.25+0.25+0.25+0.25+0.25+0.25+0.25+0.25+0.25+0.25</f>
        <v>7</v>
      </c>
      <c r="AD12" s="20">
        <v>3</v>
      </c>
      <c r="AE12" s="9">
        <f>PLANNING!V14</f>
        <v>115.5</v>
      </c>
      <c r="AF12" s="9">
        <v>2164</v>
      </c>
      <c r="AG12" s="22">
        <f t="shared" ca="1" si="56"/>
        <v>4.9280936596910019</v>
      </c>
      <c r="AH12" s="22">
        <f t="shared" ca="1" si="57"/>
        <v>5.398456125821899</v>
      </c>
      <c r="AI12" s="22">
        <f t="shared" ca="1" si="58"/>
        <v>4.8309990538638674</v>
      </c>
      <c r="AJ12" s="68">
        <f t="shared" ca="1" si="59"/>
        <v>4.0829394049624854</v>
      </c>
      <c r="AK12" s="68">
        <f t="shared" ca="1" si="60"/>
        <v>4.4726360260493472</v>
      </c>
      <c r="AL12" s="8">
        <f t="shared" ca="1" si="61"/>
        <v>3.1912267057919461</v>
      </c>
      <c r="AM12" s="8">
        <f t="shared" ca="1" si="62"/>
        <v>6.0309990538638676</v>
      </c>
      <c r="AN12" s="8">
        <f t="shared" ca="1" si="63"/>
        <v>0.58647992430910934</v>
      </c>
      <c r="AO12" s="8">
        <f t="shared" ca="1" si="64"/>
        <v>0.64674136234189927</v>
      </c>
      <c r="AP12" s="71">
        <f t="shared" si="65"/>
        <v>2.63E-2</v>
      </c>
      <c r="AQ12" s="19">
        <v>2</v>
      </c>
      <c r="AR12" s="19">
        <v>0</v>
      </c>
      <c r="AS12" s="19">
        <v>2</v>
      </c>
      <c r="AT12" s="27">
        <v>88500</v>
      </c>
    </row>
    <row r="13" spans="1:46" x14ac:dyDescent="0.25">
      <c r="A13" s="15" t="s">
        <v>40</v>
      </c>
      <c r="B13" s="15" t="s">
        <v>371</v>
      </c>
      <c r="C13" s="69">
        <f t="shared" ca="1" si="10"/>
        <v>11.598214285714286</v>
      </c>
      <c r="D13" s="111" t="s">
        <v>195</v>
      </c>
      <c r="E13" s="16">
        <v>22</v>
      </c>
      <c r="F13" s="2">
        <f ca="1">$D$2-$D$1-880-112-112-112-112</f>
        <v>45</v>
      </c>
      <c r="G13" s="17" t="s">
        <v>192</v>
      </c>
      <c r="H13" s="35">
        <v>6</v>
      </c>
      <c r="I13" s="26">
        <v>4.2</v>
      </c>
      <c r="J13" s="21">
        <f t="shared" si="47"/>
        <v>0.8309990538638673</v>
      </c>
      <c r="K13" s="6">
        <f t="shared" si="48"/>
        <v>151.20000000000002</v>
      </c>
      <c r="L13" s="6">
        <f t="shared" si="49"/>
        <v>205.8</v>
      </c>
      <c r="M13" s="72">
        <v>43051</v>
      </c>
      <c r="N13" s="73">
        <f t="shared" ca="1" si="50"/>
        <v>1</v>
      </c>
      <c r="O13" s="18">
        <v>5.0999999999999996</v>
      </c>
      <c r="P13" s="19">
        <f t="shared" si="51"/>
        <v>70</v>
      </c>
      <c r="Q13" s="25">
        <v>4</v>
      </c>
      <c r="R13" s="63">
        <f t="shared" si="52"/>
        <v>0.7559289460184544</v>
      </c>
      <c r="S13" s="63">
        <f t="shared" si="53"/>
        <v>0.84430867747355465</v>
      </c>
      <c r="T13" s="27">
        <v>57020</v>
      </c>
      <c r="U13" s="27">
        <f t="shared" si="54"/>
        <v>2540</v>
      </c>
      <c r="V13" s="27">
        <v>5690</v>
      </c>
      <c r="W13" s="8">
        <f t="shared" si="55"/>
        <v>10.021089630931458</v>
      </c>
      <c r="X13" s="20">
        <v>0</v>
      </c>
      <c r="Y13" s="21">
        <f>10+2/7</f>
        <v>10.285714285714286</v>
      </c>
      <c r="Z13" s="20">
        <v>3</v>
      </c>
      <c r="AA13" s="21">
        <v>12</v>
      </c>
      <c r="AB13" s="20">
        <f>5.4+0.2+0.2+0.2</f>
        <v>6.0000000000000009</v>
      </c>
      <c r="AC13" s="21">
        <f>3.34+0.34+0.33+0.33+0.33+0.33+0.33+0.33+0.33+0.26+0.25+0.25+0.25+0.25</f>
        <v>7.25</v>
      </c>
      <c r="AD13" s="20">
        <v>3</v>
      </c>
      <c r="AE13" s="9">
        <f>PLANNING!V10</f>
        <v>102.5</v>
      </c>
      <c r="AF13" s="9">
        <v>1961</v>
      </c>
      <c r="AG13" s="22">
        <f t="shared" ca="1" si="56"/>
        <v>4.4078209690219179</v>
      </c>
      <c r="AH13" s="22">
        <f t="shared" ca="1" si="57"/>
        <v>4.9280936596910019</v>
      </c>
      <c r="AI13" s="22">
        <f t="shared" ca="1" si="58"/>
        <v>4.8309990538638674</v>
      </c>
      <c r="AJ13" s="68">
        <f t="shared" ca="1" si="59"/>
        <v>3.6518920230034637</v>
      </c>
      <c r="AK13" s="68">
        <f t="shared" ca="1" si="60"/>
        <v>4.0829394049624854</v>
      </c>
      <c r="AL13" s="8">
        <f t="shared" ca="1" si="61"/>
        <v>2.624841508264089</v>
      </c>
      <c r="AM13" s="8">
        <f t="shared" ca="1" si="62"/>
        <v>6.1059990538638669</v>
      </c>
      <c r="AN13" s="8">
        <f t="shared" ca="1" si="63"/>
        <v>0.5989799243091094</v>
      </c>
      <c r="AO13" s="8">
        <f t="shared" ca="1" si="64"/>
        <v>0.62959850519904215</v>
      </c>
      <c r="AP13" s="71">
        <f t="shared" si="65"/>
        <v>6.1499999999999999E-2</v>
      </c>
      <c r="AQ13" s="19">
        <v>2</v>
      </c>
      <c r="AR13" s="19">
        <v>2</v>
      </c>
      <c r="AS13" s="19">
        <v>1</v>
      </c>
      <c r="AT13" s="27">
        <v>54480</v>
      </c>
    </row>
    <row r="14" spans="1:46" x14ac:dyDescent="0.25">
      <c r="A14" s="15" t="s">
        <v>30</v>
      </c>
      <c r="B14" s="15" t="s">
        <v>371</v>
      </c>
      <c r="C14" s="69">
        <f t="shared" ca="1" si="10"/>
        <v>11.633928571428571</v>
      </c>
      <c r="D14" s="111" t="s">
        <v>190</v>
      </c>
      <c r="E14" s="16">
        <v>22</v>
      </c>
      <c r="F14" s="2">
        <f ca="1">$D$2-$D$1-880-4-112-112-112-112</f>
        <v>41</v>
      </c>
      <c r="G14" s="17" t="s">
        <v>44</v>
      </c>
      <c r="H14" s="4">
        <v>1</v>
      </c>
      <c r="I14" s="26">
        <v>4.5999999999999996</v>
      </c>
      <c r="J14" s="21">
        <f>LOG(I14)*4/3</f>
        <v>0.8836771089087655</v>
      </c>
      <c r="K14" s="6">
        <f>(H14)*(H14)*(I14)</f>
        <v>4.5999999999999996</v>
      </c>
      <c r="L14" s="6">
        <f>(H14+1)*(H14+1)*I14</f>
        <v>18.399999999999999</v>
      </c>
      <c r="M14" s="72">
        <v>43046</v>
      </c>
      <c r="N14" s="73">
        <v>1.5</v>
      </c>
      <c r="O14" s="18">
        <v>6</v>
      </c>
      <c r="P14" s="19">
        <f>O14*10+19</f>
        <v>79</v>
      </c>
      <c r="Q14" s="19">
        <v>6</v>
      </c>
      <c r="R14" s="63">
        <f>(Q14/7)^0.5</f>
        <v>0.92582009977255142</v>
      </c>
      <c r="S14" s="63">
        <f>IF(Q14=7,1,((Q14+0.99)/7)^0.5)</f>
        <v>0.99928545900129484</v>
      </c>
      <c r="T14" s="27">
        <v>101280</v>
      </c>
      <c r="U14" s="27">
        <f>T14-AT14</f>
        <v>-2050</v>
      </c>
      <c r="V14" s="27">
        <v>13450</v>
      </c>
      <c r="W14" s="8">
        <f>T14/V14</f>
        <v>7.5301115241635692</v>
      </c>
      <c r="X14" s="20">
        <v>0</v>
      </c>
      <c r="Y14" s="21">
        <f>8+4/5</f>
        <v>8.8000000000000007</v>
      </c>
      <c r="Z14" s="20">
        <v>5.7</v>
      </c>
      <c r="AA14" s="21">
        <f>12+0.2+0.2+0.2+0.2+0.2+(7/7)+(1/8)</f>
        <v>14.124999999999996</v>
      </c>
      <c r="AB14" s="20">
        <v>6</v>
      </c>
      <c r="AC14" s="21">
        <f>4.25+0.34+0.33+0.33+0.25+0.25+0.25+0.25+0.25+0.25+0.25+0.25+0.25</f>
        <v>7.5</v>
      </c>
      <c r="AD14" s="20">
        <v>5</v>
      </c>
      <c r="AE14" s="9">
        <f>PLANNING!V13</f>
        <v>113</v>
      </c>
      <c r="AF14" s="9">
        <v>2073</v>
      </c>
      <c r="AG14" s="22">
        <f>(AD14+1+(LOG(I14)*4/3)+N14)*(Q14/7)^0.5</f>
        <v>7.761776777430768</v>
      </c>
      <c r="AH14" s="22">
        <f>(AD14+1+N14+(LOG(I14)*4/3))*(IF(Q14=7, (Q14/7)^0.5, ((Q14+1)/7)^0.5))</f>
        <v>8.3836771089087652</v>
      </c>
      <c r="AI14" s="22">
        <f>(Z14+N14+(LOG(I14)*4/3))</f>
        <v>8.0836771089087662</v>
      </c>
      <c r="AJ14" s="68">
        <f>(Z14+N14+(LOG(I14)*4/3))*(Q14/7)^0.5</f>
        <v>7.4840307474990038</v>
      </c>
      <c r="AK14" s="68">
        <f>(Z14+N14+(LOG(I14)*4/3))*(IF(Q14=7, (Q14/7)^0.5, ((Q14+1)/7)^0.5))</f>
        <v>8.0836771089087662</v>
      </c>
      <c r="AL14" s="8">
        <f>(((Y14+LOG(I14)*4/3+N14)+(AB14+LOG(I14)*4/3+N14)*2)/8)*(Q14/7)^0.5</f>
        <v>3.2347033264569309</v>
      </c>
      <c r="AM14" s="8">
        <f>(AD14+LOG(I14)*4/3+N14)*0.7+(AC14+LOG(I14)*4/3+N14)*0.3</f>
        <v>8.1336771089087634</v>
      </c>
      <c r="AN14" s="8">
        <f>(0.5*(AC14+LOG(I14)*4/3+N14)+ 0.3*(AD14+LOG(I14)*4/3+N14))/10</f>
        <v>0.7156941687127012</v>
      </c>
      <c r="AO14" s="8">
        <f>(0.4*(Y14+LOG(I14)*4/3+N14)+0.3*(AD14+LOG(I14)*4/3+N14))/10</f>
        <v>0.66885739762361363</v>
      </c>
      <c r="AP14" s="71">
        <f>IF(AR14=4,IF(AS14=0,0.137+0.0697,0.137+0.02),IF(AR14=3,IF(AS14=0,0.0958+0.0697,0.0958+0.02),IF(AR14=2,IF(AS14=0,0.0415+0.0697,0.0415+0.02),IF(AR14=1,IF(AS14=0,0.0294+0.0697,0.0294+0.02),IF(AR14=0,IF(AS14=0,0.0063+0.0697,0.0063+0.02))))))</f>
        <v>0.1158</v>
      </c>
      <c r="AQ14" s="19">
        <v>4</v>
      </c>
      <c r="AR14" s="19">
        <v>3</v>
      </c>
      <c r="AS14" s="19">
        <v>2</v>
      </c>
      <c r="AT14" s="27">
        <v>103330</v>
      </c>
    </row>
    <row r="15" spans="1:46" x14ac:dyDescent="0.25">
      <c r="A15" s="15" t="s">
        <v>35</v>
      </c>
      <c r="B15" s="15" t="s">
        <v>371</v>
      </c>
      <c r="C15" s="69">
        <f t="shared" ca="1" si="10"/>
        <v>11.633928571428571</v>
      </c>
      <c r="D15" s="111" t="s">
        <v>246</v>
      </c>
      <c r="E15" s="16">
        <v>22</v>
      </c>
      <c r="F15" s="2">
        <f ca="1">$D$2-$D$1-880-4-112-112-112-112</f>
        <v>41</v>
      </c>
      <c r="G15" s="17" t="s">
        <v>192</v>
      </c>
      <c r="H15" s="35">
        <v>6</v>
      </c>
      <c r="I15" s="26">
        <v>4</v>
      </c>
      <c r="J15" s="21">
        <f>LOG(I15)*4/3</f>
        <v>0.80274665510394982</v>
      </c>
      <c r="K15" s="6">
        <f>(H15)*(H15)*(I15)</f>
        <v>144</v>
      </c>
      <c r="L15" s="6">
        <f>(H15+1)*(H15+1)*I15</f>
        <v>196</v>
      </c>
      <c r="M15" s="72">
        <v>43054</v>
      </c>
      <c r="N15" s="73">
        <f ca="1">IF((TODAY()-M15)&gt;335,1,((TODAY()-M15)^0.64)/(336^0.64))</f>
        <v>1</v>
      </c>
      <c r="O15" s="18">
        <v>6</v>
      </c>
      <c r="P15" s="19">
        <f>O15*10+19</f>
        <v>79</v>
      </c>
      <c r="Q15" s="25">
        <v>5</v>
      </c>
      <c r="R15" s="63">
        <f>(Q15/7)^0.5</f>
        <v>0.84515425472851657</v>
      </c>
      <c r="S15" s="63">
        <f>IF(Q15=7,1,((Q15+0.99)/7)^0.5)</f>
        <v>0.92504826128926143</v>
      </c>
      <c r="T15" s="27">
        <v>77460</v>
      </c>
      <c r="U15" s="27">
        <f>T15-AT15</f>
        <v>2250</v>
      </c>
      <c r="V15" s="27">
        <v>9050</v>
      </c>
      <c r="W15" s="8">
        <f>T15/V15</f>
        <v>8.5591160220994471</v>
      </c>
      <c r="X15" s="20">
        <v>0</v>
      </c>
      <c r="Y15" s="21">
        <f>9+2/7</f>
        <v>9.2857142857142865</v>
      </c>
      <c r="Z15" s="20">
        <v>5</v>
      </c>
      <c r="AA15" s="21">
        <f>13+1.33/7</f>
        <v>13.19</v>
      </c>
      <c r="AB15" s="20">
        <f>4.5+0.25+0.25</f>
        <v>5</v>
      </c>
      <c r="AC15" s="21">
        <f>4.28+0.34+0.33+0.33+0.33*85/90+0.33+0.33+0.25+0.25+0.25+0.2+0.2+0.2+0.2</f>
        <v>7.8016666666666676</v>
      </c>
      <c r="AD15" s="20">
        <v>3</v>
      </c>
      <c r="AE15" s="9">
        <f>PLANNING!V15</f>
        <v>107.88</v>
      </c>
      <c r="AF15" s="9">
        <v>1975</v>
      </c>
      <c r="AG15" s="22">
        <f ca="1">(AD15+1+(LOG(I15)*4/3)+N15)*(Q15/7)^0.5</f>
        <v>4.9042160246727713</v>
      </c>
      <c r="AH15" s="22">
        <f ca="1">(AD15+1+N15+(LOG(I15)*4/3))*(IF(Q15=7, (Q15/7)^0.5, ((Q15+1)/7)^0.5))</f>
        <v>5.3722994871831782</v>
      </c>
      <c r="AI15" s="22">
        <f ca="1">(Z15+N15+(LOG(I15)*4/3))</f>
        <v>6.8027466551039497</v>
      </c>
      <c r="AJ15" s="68">
        <f ca="1">(Z15+N15+(LOG(I15)*4/3))*(Q15/7)^0.5</f>
        <v>5.7493702794012878</v>
      </c>
      <c r="AK15" s="68">
        <f ca="1">(Z15+N15+(LOG(I15)*4/3))*(IF(Q15=7, (Q15/7)^0.5, ((Q15+1)/7)^0.5))</f>
        <v>6.2981195869557292</v>
      </c>
      <c r="AL15" s="8">
        <f ca="1">(((Y15+LOG(I15)*4/3+N15)+(AB15+LOG(I15)*4/3+N15)*2)/8)*(Q15/7)^0.5</f>
        <v>2.6087750626657598</v>
      </c>
      <c r="AM15" s="8">
        <f ca="1">(AD15+LOG(I15)*4/3+N15)*0.7+(AC15+LOG(I15)*4/3+N15)*0.3</f>
        <v>6.2432466551039498</v>
      </c>
      <c r="AN15" s="8">
        <f ca="1">(0.5*(AC15+LOG(I15)*4/3+N15)+ 0.3*(AD15+LOG(I15)*4/3+N15))/10</f>
        <v>0.6243030657416494</v>
      </c>
      <c r="AO15" s="8">
        <f ca="1">(0.4*(Y15+LOG(I15)*4/3+N15)+0.3*(AD15+LOG(I15)*4/3+N15))/10</f>
        <v>0.58762083728584791</v>
      </c>
      <c r="AP15" s="71">
        <f>IF(AR15=4,IF(AS15=0,0.137+0.0697,0.137+0.02),IF(AR15=3,IF(AS15=0,0.0958+0.0697,0.0958+0.02),IF(AR15=2,IF(AS15=0,0.0415+0.0697,0.0415+0.02),IF(AR15=1,IF(AS15=0,0.0294+0.0697,0.0294+0.02),IF(AR15=0,IF(AS15=0,0.0063+0.0697,0.0063+0.02))))))</f>
        <v>6.1499999999999999E-2</v>
      </c>
      <c r="AQ15" s="19">
        <v>2</v>
      </c>
      <c r="AR15" s="19">
        <v>2</v>
      </c>
      <c r="AS15" s="19">
        <v>1</v>
      </c>
      <c r="AT15" s="27">
        <v>75210</v>
      </c>
    </row>
    <row r="16" spans="1:46" x14ac:dyDescent="0.25">
      <c r="A16" s="15" t="s">
        <v>39</v>
      </c>
      <c r="B16" s="15" t="s">
        <v>75</v>
      </c>
      <c r="C16" s="69">
        <f t="shared" ca="1" si="10"/>
        <v>3.9107142857142856</v>
      </c>
      <c r="D16" s="122" t="s">
        <v>369</v>
      </c>
      <c r="E16" s="16">
        <v>30</v>
      </c>
      <c r="F16" s="2">
        <f ca="1">$D$2-$D$1-880+25-112-112-60-112-112</f>
        <v>10</v>
      </c>
      <c r="G16" s="17" t="s">
        <v>101</v>
      </c>
      <c r="H16" s="4">
        <v>1</v>
      </c>
      <c r="I16" s="26">
        <v>7</v>
      </c>
      <c r="J16" s="21">
        <f t="shared" ref="J16:J21" si="66">LOG(I16)*4/3</f>
        <v>1.1267973866856758</v>
      </c>
      <c r="K16" s="6">
        <f t="shared" ref="K16:K17" si="67">(H16)*(H16)*(I16)</f>
        <v>7</v>
      </c>
      <c r="L16" s="6">
        <f t="shared" ref="L16:L17" si="68">(H16+1)*(H16+1)*I16</f>
        <v>28</v>
      </c>
      <c r="M16" s="72">
        <v>43409</v>
      </c>
      <c r="N16" s="73">
        <f t="shared" ca="1" si="50"/>
        <v>0.78896034082788147</v>
      </c>
      <c r="O16" s="18">
        <v>5.8</v>
      </c>
      <c r="P16" s="19">
        <f t="shared" ref="P16:P21" si="69">O16*10+19</f>
        <v>77</v>
      </c>
      <c r="Q16" s="25">
        <v>5</v>
      </c>
      <c r="R16" s="63">
        <f t="shared" ref="R16:R21" si="70">(Q16/7)^0.5</f>
        <v>0.84515425472851657</v>
      </c>
      <c r="S16" s="63">
        <f t="shared" ref="S16:S21" si="71">IF(Q16=7,1,((Q16+0.99)/7)^0.5)</f>
        <v>0.92504826128926143</v>
      </c>
      <c r="T16" s="27">
        <v>65380</v>
      </c>
      <c r="U16" s="27">
        <f t="shared" ref="U16:U21" si="72">T16-AT16</f>
        <v>-5290</v>
      </c>
      <c r="V16" s="27">
        <v>17100</v>
      </c>
      <c r="W16" s="8">
        <f t="shared" ref="W16:W21" si="73">T16/V16</f>
        <v>3.8233918128654971</v>
      </c>
      <c r="X16" s="20">
        <v>0</v>
      </c>
      <c r="Y16" s="21">
        <v>9</v>
      </c>
      <c r="Z16" s="20">
        <v>13</v>
      </c>
      <c r="AA16" s="21">
        <v>6</v>
      </c>
      <c r="AB16" s="20">
        <v>7</v>
      </c>
      <c r="AC16" s="21">
        <v>7</v>
      </c>
      <c r="AD16" s="20">
        <v>17</v>
      </c>
      <c r="AE16" s="9">
        <f>30+58+8.5+14+16+25</f>
        <v>151.5</v>
      </c>
      <c r="AF16" s="9"/>
      <c r="AG16" s="22">
        <f t="shared" ref="AG16:AG17" ca="1" si="74">(AD16+1+(LOG(I16)*4/3)+N16)*(Q16/7)^0.5</f>
        <v>16.831887379550416</v>
      </c>
      <c r="AH16" s="22">
        <f t="shared" ref="AH16:AH17" ca="1" si="75">(AD16+1+N16+(LOG(I16)*4/3))*(IF(Q16=7, (Q16/7)^0.5, ((Q16+1)/7)^0.5))</f>
        <v>18.438408806332564</v>
      </c>
      <c r="AI16" s="22">
        <f t="shared" ref="AI16:AI17" ca="1" si="76">(Z16+N16+(LOG(I16)*4/3))</f>
        <v>14.915757727513556</v>
      </c>
      <c r="AJ16" s="68">
        <f t="shared" ref="AJ16:AJ17" ca="1" si="77">(Z16+N16+(LOG(I16)*4/3))*(Q16/7)^0.5</f>
        <v>12.606116105907832</v>
      </c>
      <c r="AK16" s="68">
        <f t="shared" ref="AK16:AK17" ca="1" si="78">(Z16+N16+(LOG(I16)*4/3))*(IF(Q16=7, (Q16/7)^0.5, ((Q16+1)/7)^0.5))</f>
        <v>13.809308307469806</v>
      </c>
      <c r="AL16" s="8">
        <f t="shared" ref="AL16:AL17" ca="1" si="79">(((Y16+LOG(I16)*4/3+N16)+(AB16+LOG(I16)*4/3+N16)*2)/8)*(Q16/7)^0.5</f>
        <v>3.0369850302584034</v>
      </c>
      <c r="AM16" s="8">
        <f t="shared" ref="AM16:AM17" ca="1" si="80">(AD16+LOG(I16)*4/3+N16)*0.7+(AC16+LOG(I16)*4/3+N16)*0.3</f>
        <v>15.915757727513558</v>
      </c>
      <c r="AN16" s="8">
        <f t="shared" ref="AN16:AN17" ca="1" si="81">(0.5*(AC16+LOG(I16)*4/3+N16)+ 0.3*(AD16+LOG(I16)*4/3+N16))/10</f>
        <v>1.0132606182010846</v>
      </c>
      <c r="AO16" s="8">
        <f t="shared" ref="AO16:AO17" ca="1" si="82">(0.4*(Y16+LOG(I16)*4/3+N16)+0.3*(AD16+LOG(I16)*4/3+N16))/10</f>
        <v>1.004103040925949</v>
      </c>
      <c r="AP16" s="71">
        <f t="shared" ref="AP16:AP17" si="83">IF(AR16=4,IF(AS16=0,0.137+0.0697,0.137+0.02),IF(AR16=3,IF(AS16=0,0.0958+0.0697,0.0958+0.02),IF(AR16=2,IF(AS16=0,0.0415+0.0697,0.0415+0.02),IF(AR16=1,IF(AS16=0,0.0294+0.0697,0.0294+0.02),IF(AR16=0,IF(AS16=0,0.0063+0.0697,0.0063+0.02))))))</f>
        <v>6.1499999999999999E-2</v>
      </c>
      <c r="AQ16" s="19">
        <v>1</v>
      </c>
      <c r="AR16" s="19">
        <v>2</v>
      </c>
      <c r="AS16" s="19">
        <v>2</v>
      </c>
      <c r="AT16" s="27">
        <v>70670</v>
      </c>
    </row>
    <row r="17" spans="1:46" x14ac:dyDescent="0.25">
      <c r="A17" s="15" t="s">
        <v>240</v>
      </c>
      <c r="B17" s="23" t="s">
        <v>75</v>
      </c>
      <c r="C17" s="69">
        <f t="shared" ca="1" si="10"/>
        <v>2.8660714285714284</v>
      </c>
      <c r="D17" s="122" t="s">
        <v>355</v>
      </c>
      <c r="E17" s="1">
        <v>31</v>
      </c>
      <c r="F17" s="2">
        <f ca="1">$D$2-$D$1-880+25-112-112-55-112-112</f>
        <v>15</v>
      </c>
      <c r="G17" s="3" t="s">
        <v>192</v>
      </c>
      <c r="H17" s="107">
        <v>5</v>
      </c>
      <c r="I17" s="5">
        <v>4.8</v>
      </c>
      <c r="J17" s="21">
        <f t="shared" si="66"/>
        <v>0.90832164983411623</v>
      </c>
      <c r="K17" s="6">
        <f t="shared" si="67"/>
        <v>120</v>
      </c>
      <c r="L17" s="6">
        <f t="shared" si="68"/>
        <v>172.79999999999998</v>
      </c>
      <c r="M17" s="72">
        <v>43415</v>
      </c>
      <c r="N17" s="73">
        <f t="shared" ca="1" si="50"/>
        <v>0.77584017284391016</v>
      </c>
      <c r="O17" s="24">
        <v>5.6</v>
      </c>
      <c r="P17" s="19">
        <f t="shared" si="69"/>
        <v>75</v>
      </c>
      <c r="Q17" s="25">
        <v>5</v>
      </c>
      <c r="R17" s="63">
        <f t="shared" si="70"/>
        <v>0.84515425472851657</v>
      </c>
      <c r="S17" s="63">
        <f t="shared" si="71"/>
        <v>0.92504826128926143</v>
      </c>
      <c r="T17" s="27">
        <v>11730</v>
      </c>
      <c r="U17" s="27">
        <f t="shared" si="72"/>
        <v>680</v>
      </c>
      <c r="V17" s="7">
        <v>5892</v>
      </c>
      <c r="W17" s="8">
        <f t="shared" si="73"/>
        <v>1.9908350305498981</v>
      </c>
      <c r="X17" s="20">
        <v>0</v>
      </c>
      <c r="Y17" s="21">
        <v>5</v>
      </c>
      <c r="Z17" s="20">
        <v>11</v>
      </c>
      <c r="AA17" s="21">
        <v>2</v>
      </c>
      <c r="AB17" s="20">
        <v>4</v>
      </c>
      <c r="AC17" s="21">
        <v>5</v>
      </c>
      <c r="AD17" s="20">
        <v>12</v>
      </c>
      <c r="AE17" s="9">
        <f>10+40+4+8+12</f>
        <v>74</v>
      </c>
      <c r="AF17" s="9"/>
      <c r="AG17" s="22">
        <f t="shared" ca="1" si="74"/>
        <v>12.410381841558383</v>
      </c>
      <c r="AH17" s="22">
        <f t="shared" ca="1" si="75"/>
        <v>13.594892163748062</v>
      </c>
      <c r="AI17" s="22">
        <f t="shared" ca="1" si="76"/>
        <v>12.684161822678027</v>
      </c>
      <c r="AJ17" s="68">
        <f t="shared" ca="1" si="77"/>
        <v>10.72007333210135</v>
      </c>
      <c r="AK17" s="68">
        <f t="shared" ca="1" si="78"/>
        <v>11.743251964202958</v>
      </c>
      <c r="AL17" s="8">
        <f t="shared" ca="1" si="79"/>
        <v>1.9071418627167147</v>
      </c>
      <c r="AM17" s="8">
        <f t="shared" ca="1" si="80"/>
        <v>11.584161822678025</v>
      </c>
      <c r="AN17" s="8">
        <f t="shared" ca="1" si="81"/>
        <v>0.7447329458142421</v>
      </c>
      <c r="AO17" s="8">
        <f t="shared" ca="1" si="82"/>
        <v>0.67789132758746184</v>
      </c>
      <c r="AP17" s="71">
        <f t="shared" si="83"/>
        <v>4.9399999999999999E-2</v>
      </c>
      <c r="AQ17" s="19">
        <v>2</v>
      </c>
      <c r="AR17" s="19">
        <v>1</v>
      </c>
      <c r="AS17" s="19">
        <v>1</v>
      </c>
      <c r="AT17" s="27">
        <v>11050</v>
      </c>
    </row>
    <row r="18" spans="1:46" x14ac:dyDescent="0.25">
      <c r="A18" s="15" t="s">
        <v>189</v>
      </c>
      <c r="B18" s="15" t="s">
        <v>75</v>
      </c>
      <c r="C18" s="69">
        <f t="shared" ca="1" si="10"/>
        <v>11.267857142857142</v>
      </c>
      <c r="D18" s="122" t="s">
        <v>191</v>
      </c>
      <c r="E18" s="16">
        <v>22</v>
      </c>
      <c r="F18" s="2">
        <f ca="1">$D$2-$D$1-880+37-112-112-112-112</f>
        <v>82</v>
      </c>
      <c r="G18" s="17" t="s">
        <v>192</v>
      </c>
      <c r="H18" s="4">
        <v>3</v>
      </c>
      <c r="I18" s="26">
        <v>2.5</v>
      </c>
      <c r="J18" s="21">
        <f>LOG(I18)*4/3</f>
        <v>0.53058667822938343</v>
      </c>
      <c r="K18" s="6">
        <f>(H18)*(H18)*(I18)</f>
        <v>22.5</v>
      </c>
      <c r="L18" s="6">
        <f>(H18+1)*(H18+1)*I18</f>
        <v>40</v>
      </c>
      <c r="M18" s="72">
        <v>43045</v>
      </c>
      <c r="N18" s="73">
        <f ca="1">IF((TODAY()-M18)&gt;335,1,((TODAY()-M18)^0.64)/(336^0.64))</f>
        <v>1</v>
      </c>
      <c r="O18" s="18">
        <v>5.0999999999999996</v>
      </c>
      <c r="P18" s="19">
        <f>O18*10+19</f>
        <v>70</v>
      </c>
      <c r="Q18" s="19">
        <v>5</v>
      </c>
      <c r="R18" s="63">
        <f>(Q18/7)^0.5</f>
        <v>0.84515425472851657</v>
      </c>
      <c r="S18" s="63">
        <f>IF(Q18=7,1,((Q18+0.99)/7)^0.5)</f>
        <v>0.92504826128926143</v>
      </c>
      <c r="T18" s="27">
        <v>3860</v>
      </c>
      <c r="U18" s="27">
        <f>T18-AT18</f>
        <v>10</v>
      </c>
      <c r="V18" s="27">
        <v>450</v>
      </c>
      <c r="W18" s="8">
        <f>T18/V18</f>
        <v>8.5777777777777775</v>
      </c>
      <c r="X18" s="20">
        <v>0</v>
      </c>
      <c r="Y18" s="21">
        <v>4</v>
      </c>
      <c r="Z18" s="20">
        <v>6</v>
      </c>
      <c r="AA18" s="21">
        <v>6</v>
      </c>
      <c r="AB18" s="20">
        <f>3.25+0.25+0.25+0.25+0.25</f>
        <v>4.25</v>
      </c>
      <c r="AC18" s="21">
        <f>4.22+0.33+0.33+1/17+1/17+1/17*79/90+0.33*11/90+1/17+1/17+1/17+1/17+1/17+1/17+1/17+1/17+1/17</f>
        <v>5.6190261437908475</v>
      </c>
      <c r="AD18" s="20">
        <v>3</v>
      </c>
      <c r="AE18" s="9">
        <f>6+12+8.5+6+9+1</f>
        <v>42.5</v>
      </c>
      <c r="AF18" s="9"/>
      <c r="AG18" s="22">
        <f ca="1">(AD18+1+(LOG(I18)*4/3)+N18)*(Q18/7)^0.5</f>
        <v>4.6741988622504165</v>
      </c>
      <c r="AH18" s="22">
        <f ca="1">(AD18+1+N18+(LOG(I18)*4/3))*(IF(Q18=7, (Q18/7)^0.5, ((Q18+1)/7)^0.5))</f>
        <v>5.1203283102390715</v>
      </c>
      <c r="AI18" s="22">
        <f ca="1">(Z18+N18+(LOG(I18)*4/3))</f>
        <v>7.5305866782293833</v>
      </c>
      <c r="AJ18" s="68">
        <f ca="1">(Z18+N18+(LOG(I18)*4/3))*(Q18/7)^0.5</f>
        <v>6.3645073717074494</v>
      </c>
      <c r="AK18" s="68">
        <f ca="1">(Z18+N18+(LOG(I18)*4/3))*(IF(Q18=7, (Q18/7)^0.5, ((Q18+1)/7)^0.5))</f>
        <v>6.9719685097841744</v>
      </c>
      <c r="AL18" s="8">
        <f ca="1">(((Y18+LOG(I18)*4/3+N18)+(AB18+LOG(I18)*4/3+N18)*2)/8)*(Q18/7)^0.5</f>
        <v>1.8056467142644386</v>
      </c>
      <c r="AM18" s="8">
        <f ca="1">(AD18+LOG(I18)*4/3+N18)*0.7+(AC18+LOG(I18)*4/3+N18)*0.3</f>
        <v>5.3162945213666379</v>
      </c>
      <c r="AN18" s="8">
        <f ca="1">(0.5*(AC18+LOG(I18)*4/3+N18)+ 0.3*(AD18+LOG(I18)*4/3+N18))/10</f>
        <v>0.49339824144789307</v>
      </c>
      <c r="AO18" s="8">
        <f ca="1">(0.4*(Y18+LOG(I18)*4/3+N18)+0.3*(AD18+LOG(I18)*4/3+N18))/10</f>
        <v>0.35714106747605684</v>
      </c>
      <c r="AP18" s="71">
        <f>IF(AR18=4,IF(AS18=0,0.137+0.0697,0.137+0.02),IF(AR18=3,IF(AS18=0,0.0958+0.0697,0.0958+0.02),IF(AR18=2,IF(AS18=0,0.0415+0.0697,0.0415+0.02),IF(AR18=1,IF(AS18=0,0.0294+0.0697,0.0294+0.02),IF(AR18=0,IF(AS18=0,0.0063+0.0697,0.0063+0.02))))))</f>
        <v>0.1158</v>
      </c>
      <c r="AQ18" s="19">
        <v>2</v>
      </c>
      <c r="AR18" s="19">
        <v>3</v>
      </c>
      <c r="AS18" s="19">
        <v>2</v>
      </c>
      <c r="AT18" s="27">
        <v>3850</v>
      </c>
    </row>
    <row r="19" spans="1:46" x14ac:dyDescent="0.25">
      <c r="A19" s="15" t="s">
        <v>340</v>
      </c>
      <c r="B19" s="15" t="s">
        <v>43</v>
      </c>
      <c r="C19" s="69">
        <f t="shared" ca="1" si="10"/>
        <v>2.9375</v>
      </c>
      <c r="D19" s="122" t="s">
        <v>362</v>
      </c>
      <c r="E19" s="16">
        <v>31</v>
      </c>
      <c r="F19" s="2">
        <f ca="1">$D$2-$D$1-880+25-112-3-112-60-112-112</f>
        <v>7</v>
      </c>
      <c r="G19" s="17" t="s">
        <v>44</v>
      </c>
      <c r="H19" s="4">
        <v>2</v>
      </c>
      <c r="I19" s="26">
        <v>6.6</v>
      </c>
      <c r="J19" s="21">
        <f>LOG(I19)*4/3</f>
        <v>1.0927252473891582</v>
      </c>
      <c r="K19" s="6">
        <f>(H19)*(H19)*(I19)</f>
        <v>26.4</v>
      </c>
      <c r="L19" s="6">
        <f>(H19+1)*(H19+1)*I19</f>
        <v>59.4</v>
      </c>
      <c r="M19" s="72">
        <v>43420</v>
      </c>
      <c r="N19" s="73">
        <f ca="1">IF((TODAY()-M19)&gt;335,1,((TODAY()-M19)^0.64)/(336^0.64))</f>
        <v>0.76481063373064673</v>
      </c>
      <c r="O19" s="18">
        <v>5.4</v>
      </c>
      <c r="P19" s="19">
        <f>O19*10+19</f>
        <v>73</v>
      </c>
      <c r="Q19" s="25">
        <v>4</v>
      </c>
      <c r="R19" s="63">
        <f>(Q19/7)^0.5</f>
        <v>0.7559289460184544</v>
      </c>
      <c r="S19" s="63">
        <f>IF(Q19=7,1,((Q19+0.99)/7)^0.5)</f>
        <v>0.84430867747355465</v>
      </c>
      <c r="T19" s="27">
        <v>7740</v>
      </c>
      <c r="U19" s="27">
        <f>T19-AT19</f>
        <v>-2770</v>
      </c>
      <c r="V19" s="27">
        <v>3072</v>
      </c>
      <c r="W19" s="8">
        <f>T19/V19</f>
        <v>2.51953125</v>
      </c>
      <c r="X19" s="20">
        <v>0</v>
      </c>
      <c r="Y19" s="21">
        <v>5</v>
      </c>
      <c r="Z19" s="20">
        <v>2</v>
      </c>
      <c r="AA19" s="21">
        <v>4</v>
      </c>
      <c r="AB19" s="20">
        <v>7</v>
      </c>
      <c r="AC19" s="21">
        <v>10</v>
      </c>
      <c r="AD19" s="20">
        <v>14</v>
      </c>
      <c r="AE19" s="9">
        <f>10+3.5+14+33+16</f>
        <v>76.5</v>
      </c>
      <c r="AF19" s="9"/>
      <c r="AG19" s="22">
        <f ca="1">(AD19+1+(LOG(I19)*4/3)+N19)*(Q19/7)^0.5</f>
        <v>12.743099331083171</v>
      </c>
      <c r="AH19" s="22">
        <f ca="1">(AD19+1+N19+(LOG(I19)*4/3))*(IF(Q19=7, (Q19/7)^0.5, ((Q19+1)/7)^0.5))</f>
        <v>14.247218174167037</v>
      </c>
      <c r="AI19" s="22">
        <f ca="1">(Z19+N19+(LOG(I19)*4/3))</f>
        <v>3.8575358811198051</v>
      </c>
      <c r="AJ19" s="68">
        <f ca="1">(Z19+N19+(LOG(I19)*4/3))*(Q19/7)^0.5</f>
        <v>2.9160230328432641</v>
      </c>
      <c r="AK19" s="68">
        <f ca="1">(Z19+N19+(LOG(I19)*4/3))*(IF(Q19=7, (Q19/7)^0.5, ((Q19+1)/7)^0.5))</f>
        <v>3.2602128626963203</v>
      </c>
      <c r="AL19" s="8">
        <f ca="1">(((Y19+LOG(I19)*4/3+N19)+(AB19+LOG(I19)*4/3+N19)*2)/8)*(Q19/7)^0.5</f>
        <v>2.3218931745962124</v>
      </c>
      <c r="AM19" s="8">
        <f ca="1">(AD19+LOG(I19)*4/3+N19)*0.7+(AC19+LOG(I19)*4/3+N19)*0.3</f>
        <v>14.657535881119804</v>
      </c>
      <c r="AN19" s="8">
        <f ca="1">(0.5*(AC19+LOG(I19)*4/3+N19)+ 0.3*(AD19+LOG(I19)*4/3+N19))/10</f>
        <v>1.0686028704895842</v>
      </c>
      <c r="AO19" s="8">
        <f ca="1">(0.4*(Y19+LOG(I19)*4/3+N19)+0.3*(AD19+LOG(I19)*4/3+N19))/10</f>
        <v>0.75002751167838633</v>
      </c>
      <c r="AP19" s="71">
        <f>IF(AR19=4,IF(AS19=0,0.137+0.0697,0.137+0.02),IF(AR19=3,IF(AS19=0,0.0958+0.0697,0.0958+0.02),IF(AR19=2,IF(AS19=0,0.0415+0.0697,0.0415+0.02),IF(AR19=1,IF(AS19=0,0.0294+0.0697,0.0294+0.02),IF(AR19=0,IF(AS19=0,0.0063+0.0697,0.0063+0.02))))))</f>
        <v>4.9399999999999999E-2</v>
      </c>
      <c r="AQ19" s="19">
        <v>2</v>
      </c>
      <c r="AR19" s="19">
        <v>1</v>
      </c>
      <c r="AS19" s="19">
        <v>1</v>
      </c>
      <c r="AT19" s="27">
        <v>10510</v>
      </c>
    </row>
    <row r="20" spans="1:46" x14ac:dyDescent="0.25">
      <c r="A20" s="15" t="s">
        <v>347</v>
      </c>
      <c r="B20" s="15" t="s">
        <v>43</v>
      </c>
      <c r="C20" s="69">
        <f t="shared" ca="1" si="10"/>
        <v>2.5982142857142856</v>
      </c>
      <c r="D20" s="122" t="s">
        <v>356</v>
      </c>
      <c r="E20" s="16">
        <v>31</v>
      </c>
      <c r="F20" s="2">
        <f ca="1">$D$2-$D$1-880+56-112-112+41-112+15-112-112</f>
        <v>45</v>
      </c>
      <c r="G20" s="17" t="s">
        <v>192</v>
      </c>
      <c r="H20" s="4">
        <v>4</v>
      </c>
      <c r="I20" s="26">
        <v>6.3</v>
      </c>
      <c r="J20" s="21">
        <f>LOG(I20)*4/3</f>
        <v>1.0657873992714422</v>
      </c>
      <c r="K20" s="6">
        <f>(H20)*(H20)*(I20)</f>
        <v>100.8</v>
      </c>
      <c r="L20" s="6">
        <f>(H20+1)*(H20+1)*I20</f>
        <v>157.5</v>
      </c>
      <c r="M20" s="72">
        <v>43417</v>
      </c>
      <c r="N20" s="73">
        <f ca="1">IF((TODAY()-M20)&gt;335,1,((TODAY()-M20)^0.64)/(336^0.64))</f>
        <v>0.77143900607023363</v>
      </c>
      <c r="O20" s="18">
        <v>5.3</v>
      </c>
      <c r="P20" s="19">
        <f>O20*10+19</f>
        <v>72</v>
      </c>
      <c r="Q20" s="19">
        <v>7</v>
      </c>
      <c r="R20" s="63">
        <f>(Q20/7)^0.5</f>
        <v>1</v>
      </c>
      <c r="S20" s="63">
        <f>IF(Q20=7,1,((Q20+0.99)/7)^0.5)</f>
        <v>1</v>
      </c>
      <c r="T20" s="27">
        <v>12750</v>
      </c>
      <c r="U20" s="27">
        <f>T20-AT20</f>
        <v>40</v>
      </c>
      <c r="V20" s="27">
        <v>2124</v>
      </c>
      <c r="W20" s="8">
        <f>T20/V20</f>
        <v>6.0028248587570623</v>
      </c>
      <c r="X20" s="20">
        <v>0</v>
      </c>
      <c r="Y20" s="21">
        <v>6</v>
      </c>
      <c r="Z20" s="20">
        <v>2</v>
      </c>
      <c r="AA20" s="21">
        <v>6</v>
      </c>
      <c r="AB20" s="20">
        <v>9</v>
      </c>
      <c r="AC20" s="21">
        <v>8.9499999999999993</v>
      </c>
      <c r="AD20" s="20">
        <v>13</v>
      </c>
      <c r="AE20" s="9">
        <f>14+8.5+23+27+14</f>
        <v>86.5</v>
      </c>
      <c r="AF20" s="9"/>
      <c r="AG20" s="22">
        <f ca="1">(AD20+1+(LOG(I20)*4/3)+N20)*(Q20/7)^0.5</f>
        <v>15.837226405341676</v>
      </c>
      <c r="AH20" s="22">
        <f ca="1">(AD20+1+N20+(LOG(I20)*4/3))*(IF(Q20=7, (Q20/7)^0.5, ((Q20+1)/7)^0.5))</f>
        <v>15.837226405341676</v>
      </c>
      <c r="AI20" s="22">
        <f ca="1">(Z20+N20+(LOG(I20)*4/3))</f>
        <v>3.837226405341676</v>
      </c>
      <c r="AJ20" s="68">
        <f ca="1">(Z20+N20+(LOG(I20)*4/3))*(Q20/7)^0.5</f>
        <v>3.837226405341676</v>
      </c>
      <c r="AK20" s="68">
        <f ca="1">(Z20+N20+(LOG(I20)*4/3))*(IF(Q20=7, (Q20/7)^0.5, ((Q20+1)/7)^0.5))</f>
        <v>3.837226405341676</v>
      </c>
      <c r="AL20" s="8">
        <f ca="1">(((Y20+LOG(I20)*4/3+N20)+(AB20+LOG(I20)*4/3+N20)*2)/8)*(Q20/7)^0.5</f>
        <v>3.6889599020031287</v>
      </c>
      <c r="AM20" s="8">
        <f ca="1">(AD20+LOG(I20)*4/3+N20)*0.7+(AC20+LOG(I20)*4/3+N20)*0.3</f>
        <v>13.622226405341676</v>
      </c>
      <c r="AN20" s="8">
        <f ca="1">(0.5*(AC20+LOG(I20)*4/3+N20)+ 0.3*(AD20+LOG(I20)*4/3+N20))/10</f>
        <v>0.98447811242733396</v>
      </c>
      <c r="AO20" s="8">
        <f ca="1">(0.4*(Y20+LOG(I20)*4/3+N20)+0.3*(AD20+LOG(I20)*4/3+N20))/10</f>
        <v>0.75860584837391731</v>
      </c>
      <c r="AP20" s="71">
        <f>IF(AR20=4,IF(AS20=0,0.137+0.0697,0.137+0.02),IF(AR20=3,IF(AS20=0,0.0958+0.0697,0.0958+0.02),IF(AR20=2,IF(AS20=0,0.0415+0.0697,0.0415+0.02),IF(AR20=1,IF(AS20=0,0.0294+0.0697,0.0294+0.02),IF(AR20=0,IF(AS20=0,0.0063+0.0697,0.0063+0.02))))))</f>
        <v>0.1158</v>
      </c>
      <c r="AQ20" s="19">
        <v>2</v>
      </c>
      <c r="AR20" s="19">
        <v>3</v>
      </c>
      <c r="AS20" s="19">
        <v>2</v>
      </c>
      <c r="AT20" s="27">
        <v>12710</v>
      </c>
    </row>
    <row r="21" spans="1:46" x14ac:dyDescent="0.25">
      <c r="A21" s="15" t="s">
        <v>352</v>
      </c>
      <c r="B21" s="15" t="s">
        <v>43</v>
      </c>
      <c r="C21" s="69">
        <f t="shared" ca="1" si="10"/>
        <v>3.8214285714285716</v>
      </c>
      <c r="D21" s="122" t="s">
        <v>370</v>
      </c>
      <c r="E21" s="16">
        <v>30</v>
      </c>
      <c r="F21" s="2">
        <f ca="1">$D$2-$D$1-1100+25-112-166</f>
        <v>20</v>
      </c>
      <c r="G21" s="17" t="s">
        <v>0</v>
      </c>
      <c r="H21" s="4">
        <v>3</v>
      </c>
      <c r="I21" s="26">
        <v>5.9</v>
      </c>
      <c r="J21" s="21">
        <f t="shared" si="66"/>
        <v>1.0278026821895256</v>
      </c>
      <c r="K21" s="6">
        <f t="shared" ref="K21" si="84">(H21)*(H21)*(I21)</f>
        <v>53.1</v>
      </c>
      <c r="L21" s="6">
        <f t="shared" ref="L21" si="85">(H21+1)*(H21+1)*I21</f>
        <v>94.4</v>
      </c>
      <c r="M21" s="72">
        <v>43417</v>
      </c>
      <c r="N21" s="73">
        <f ca="1">IF((TODAY()-M21)&gt;335,1,((TODAY()-M21)^0.64)/(336^0.64))</f>
        <v>0.77143900607023363</v>
      </c>
      <c r="O21" s="18">
        <v>4.9000000000000004</v>
      </c>
      <c r="P21" s="19">
        <f t="shared" si="69"/>
        <v>68</v>
      </c>
      <c r="Q21" s="25">
        <v>6</v>
      </c>
      <c r="R21" s="63">
        <f t="shared" si="70"/>
        <v>0.92582009977255142</v>
      </c>
      <c r="S21" s="63">
        <f t="shared" si="71"/>
        <v>0.99928545900129484</v>
      </c>
      <c r="T21" s="27">
        <v>39490</v>
      </c>
      <c r="U21" s="27">
        <f t="shared" si="72"/>
        <v>560</v>
      </c>
      <c r="V21" s="27">
        <v>8436</v>
      </c>
      <c r="W21" s="8">
        <f t="shared" si="73"/>
        <v>4.6811284969179709</v>
      </c>
      <c r="X21" s="20">
        <v>0</v>
      </c>
      <c r="Y21" s="21">
        <v>5</v>
      </c>
      <c r="Z21" s="20">
        <v>6</v>
      </c>
      <c r="AA21" s="21">
        <v>5</v>
      </c>
      <c r="AB21" s="20">
        <v>9</v>
      </c>
      <c r="AC21" s="21">
        <v>12</v>
      </c>
      <c r="AD21" s="20">
        <v>0</v>
      </c>
      <c r="AE21" s="9">
        <f>10+12+5.5+23+49</f>
        <v>99.5</v>
      </c>
      <c r="AF21" s="9"/>
      <c r="AG21" s="22">
        <f t="shared" ref="AG21" ca="1" si="86">(AD21+1+(LOG(I21)*4/3)+N21)*(Q21/7)^0.5</f>
        <v>2.5915942191121357</v>
      </c>
      <c r="AH21" s="22">
        <f t="shared" ref="AH21" ca="1" si="87">(AD21+1+N21+(LOG(I21)*4/3))*(IF(Q21=7, (Q21/7)^0.5, ((Q21+1)/7)^0.5))</f>
        <v>2.7992416882597593</v>
      </c>
      <c r="AI21" s="22">
        <f t="shared" ref="AI21" ca="1" si="88">(Z21+N21+(LOG(I21)*4/3))</f>
        <v>7.7992416882597588</v>
      </c>
      <c r="AJ21" s="68">
        <f t="shared" ref="AJ21" ca="1" si="89">(Z21+N21+(LOG(I21)*4/3))*(Q21/7)^0.5</f>
        <v>7.2206947179748919</v>
      </c>
      <c r="AK21" s="68">
        <f t="shared" ref="AK21" ca="1" si="90">(Z21+N21+(LOG(I21)*4/3))*(IF(Q21=7, (Q21/7)^0.5, ((Q21+1)/7)^0.5))</f>
        <v>7.7992416882597588</v>
      </c>
      <c r="AL21" s="8">
        <f t="shared" ref="AL21" ca="1" si="91">(((Y21+LOG(I21)*4/3+N21)+(AB21+LOG(I21)*4/3+N21)*2)/8)*(Q21/7)^0.5</f>
        <v>3.2863980815984291</v>
      </c>
      <c r="AM21" s="8">
        <f t="shared" ref="AM21" ca="1" si="92">(AD21+LOG(I21)*4/3+N21)*0.7+(AC21+LOG(I21)*4/3+N21)*0.3</f>
        <v>5.3992416882597594</v>
      </c>
      <c r="AN21" s="8">
        <f t="shared" ref="AN21" ca="1" si="93">(0.5*(AC21+LOG(I21)*4/3+N21)+ 0.3*(AD21+LOG(I21)*4/3+N21))/10</f>
        <v>0.74393933506078069</v>
      </c>
      <c r="AO21" s="8">
        <f t="shared" ref="AO21" ca="1" si="94">(0.4*(Y21+LOG(I21)*4/3+N21)+0.3*(AD21+LOG(I21)*4/3+N21))/10</f>
        <v>0.32594691817818316</v>
      </c>
      <c r="AP21" s="71">
        <f t="shared" ref="AP21" si="95">IF(AR21=4,IF(AS21=0,0.137+0.0697,0.137+0.02),IF(AR21=3,IF(AS21=0,0.0958+0.0697,0.0958+0.02),IF(AR21=2,IF(AS21=0,0.0415+0.0697,0.0415+0.02),IF(AR21=1,IF(AS21=0,0.0294+0.0697,0.0294+0.02),IF(AR21=0,IF(AS21=0,0.0063+0.0697,0.0063+0.02))))))</f>
        <v>0.1158</v>
      </c>
      <c r="AQ21" s="19">
        <v>3</v>
      </c>
      <c r="AR21" s="19">
        <v>3</v>
      </c>
      <c r="AS21" s="19">
        <v>2</v>
      </c>
      <c r="AT21" s="27">
        <v>38930</v>
      </c>
    </row>
    <row r="22" spans="1:46" x14ac:dyDescent="0.25">
      <c r="V22" s="49"/>
    </row>
    <row r="24" spans="1:46" x14ac:dyDescent="0.25">
      <c r="T24" s="49"/>
      <c r="V24" s="49"/>
    </row>
    <row r="25" spans="1:46" x14ac:dyDescent="0.25">
      <c r="AF25" s="49"/>
    </row>
    <row r="28" spans="1:46" x14ac:dyDescent="0.25">
      <c r="T28" s="49"/>
      <c r="V28" s="49"/>
    </row>
  </sheetData>
  <sortState ref="A5:AT21">
    <sortCondition descending="1" ref="AF5:AF21"/>
  </sortState>
  <conditionalFormatting sqref="U2">
    <cfRule type="dataBar" priority="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AF6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{C47240AB-C06C-4E01-8AC1-FE97A718F197}</x14:id>
        </ext>
      </extLst>
    </cfRule>
  </conditionalFormatting>
  <conditionalFormatting sqref="AP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:AP20">
    <cfRule type="colorScale" priority="5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1 W4:W5">
    <cfRule type="dataBar" priority="54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AF7:AF21 AF4:AF5">
    <cfRule type="dataBar" priority="5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{39454924-5FFD-4BA1-95CE-A7F67257BF61}</x14:id>
        </ext>
      </extLst>
    </cfRule>
  </conditionalFormatting>
  <conditionalFormatting sqref="C4:C21">
    <cfRule type="colorScale" priority="5507">
      <colorScale>
        <cfvo type="min"/>
        <cfvo type="max"/>
        <color rgb="FFFFEF9C"/>
        <color rgb="FF63BE7B"/>
      </colorScale>
    </cfRule>
  </conditionalFormatting>
  <conditionalFormatting sqref="T4:T21">
    <cfRule type="dataBar" priority="5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U4:U21">
    <cfRule type="dataBar" priority="5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{8A6F6FBC-D49C-4DBA-A001-836503F14D7E}</x14:id>
        </ext>
      </extLst>
    </cfRule>
  </conditionalFormatting>
  <conditionalFormatting sqref="V4:V21">
    <cfRule type="dataBar" priority="55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E4:AE21">
    <cfRule type="dataBar" priority="55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G4:AH21">
    <cfRule type="colorScale" priority="5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K21">
    <cfRule type="colorScale" priority="5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L21">
    <cfRule type="colorScale" priority="5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1">
    <cfRule type="colorScale" priority="5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O21">
    <cfRule type="colorScale" priority="5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1">
    <cfRule type="colorScale" priority="5531">
      <colorScale>
        <cfvo type="min"/>
        <cfvo type="max"/>
        <color rgb="FFFCFCFF"/>
        <color rgb="FFF8696B"/>
      </colorScale>
    </cfRule>
  </conditionalFormatting>
  <conditionalFormatting sqref="N4:N21">
    <cfRule type="colorScale" priority="5532">
      <colorScale>
        <cfvo type="min"/>
        <cfvo type="max"/>
        <color rgb="FFFFEF9C"/>
        <color rgb="FF63BE7B"/>
      </colorScale>
    </cfRule>
  </conditionalFormatting>
  <conditionalFormatting sqref="P4:P21">
    <cfRule type="colorScale" priority="5533">
      <colorScale>
        <cfvo type="min"/>
        <cfvo type="max"/>
        <color rgb="FFF8696B"/>
        <color rgb="FFFCFCFF"/>
      </colorScale>
    </cfRule>
  </conditionalFormatting>
  <conditionalFormatting sqref="AT4:AT2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{4817DBCB-A351-402E-9B49-DC2AEBA1BDA7}</x14:id>
        </ext>
      </extLst>
    </cfRule>
  </conditionalFormatting>
  <conditionalFormatting sqref="I4:I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C47240AB-C06C-4E01-8AC1-FE97A718F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W7:W21 W4:W5</xm:sqref>
        </x14:conditionalFormatting>
        <x14:conditionalFormatting xmlns:xm="http://schemas.microsoft.com/office/excel/2006/main">
          <x14:cfRule type="dataBar" id="{39454924-5FFD-4BA1-95CE-A7F67257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AF7:AF21 AF4:AF5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8A6F6FBC-D49C-4DBA-A001-836503F14D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4817DBCB-A351-402E-9B49-DC2AEBA1BD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AT4:AT21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S31"/>
  <sheetViews>
    <sheetView zoomScaleNormal="100" workbookViewId="0">
      <selection activeCell="L28" sqref="L28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8">
        <v>43062</v>
      </c>
      <c r="E1" s="91" t="s">
        <v>214</v>
      </c>
      <c r="F1" s="92" t="s">
        <v>215</v>
      </c>
      <c r="G1" s="93"/>
      <c r="H1" s="93"/>
      <c r="I1" s="94" t="s">
        <v>214</v>
      </c>
      <c r="J1" s="95" t="s">
        <v>215</v>
      </c>
      <c r="K1" s="52"/>
      <c r="P1" s="91" t="s">
        <v>214</v>
      </c>
      <c r="Q1" s="92" t="s">
        <v>215</v>
      </c>
      <c r="R1" s="91"/>
      <c r="S1" s="92"/>
    </row>
    <row r="2" spans="1:19" x14ac:dyDescent="0.25">
      <c r="A2" s="96" t="s">
        <v>3</v>
      </c>
      <c r="B2" s="96" t="s">
        <v>216</v>
      </c>
      <c r="C2" s="96" t="s">
        <v>217</v>
      </c>
      <c r="D2" s="96" t="s">
        <v>18</v>
      </c>
      <c r="E2" s="91" t="s">
        <v>8</v>
      </c>
      <c r="F2" s="92" t="s">
        <v>8</v>
      </c>
      <c r="G2" s="93" t="s">
        <v>7</v>
      </c>
      <c r="H2" s="93" t="s">
        <v>7</v>
      </c>
      <c r="I2" s="94" t="s">
        <v>218</v>
      </c>
      <c r="J2" s="95" t="s">
        <v>218</v>
      </c>
      <c r="K2" s="52"/>
      <c r="P2" s="91" t="s">
        <v>8</v>
      </c>
      <c r="Q2" s="92" t="s">
        <v>8</v>
      </c>
      <c r="R2" s="91" t="s">
        <v>7</v>
      </c>
      <c r="S2" s="92" t="s">
        <v>7</v>
      </c>
    </row>
    <row r="3" spans="1:19" x14ac:dyDescent="0.25">
      <c r="A3" s="97" t="str">
        <f>PLANTILLA!D4</f>
        <v>Cosme Fonteboa</v>
      </c>
      <c r="B3" s="98">
        <f>PLANTILLA!E4</f>
        <v>22</v>
      </c>
      <c r="C3" s="98">
        <f>PLANTILLA!H4</f>
        <v>4</v>
      </c>
      <c r="D3" s="99">
        <f>PLANTILLA!I4</f>
        <v>4.5999999999999996</v>
      </c>
      <c r="E3" s="100">
        <f>D3</f>
        <v>4.5999999999999996</v>
      </c>
      <c r="F3" s="100">
        <f>E3+0.1</f>
        <v>4.6999999999999993</v>
      </c>
      <c r="G3" s="100">
        <f>C3</f>
        <v>4</v>
      </c>
      <c r="H3" s="100">
        <f>G3+0.99</f>
        <v>4.99</v>
      </c>
      <c r="I3" s="101">
        <f>G3*G3*E3</f>
        <v>73.599999999999994</v>
      </c>
      <c r="J3" s="101">
        <f>H3*H3*F3</f>
        <v>117.03046999999999</v>
      </c>
      <c r="K3" s="102"/>
      <c r="N3" s="46" t="s">
        <v>218</v>
      </c>
      <c r="O3" t="str">
        <f>A12</f>
        <v>Valeri Gomis</v>
      </c>
      <c r="P3" s="103">
        <f>E12</f>
        <v>4.2</v>
      </c>
      <c r="Q3" s="103">
        <f t="shared" ref="Q3:S3" si="0">F12</f>
        <v>4.3</v>
      </c>
      <c r="R3" s="103">
        <f t="shared" si="0"/>
        <v>6</v>
      </c>
      <c r="S3" s="103">
        <f t="shared" si="0"/>
        <v>6.99</v>
      </c>
    </row>
    <row r="4" spans="1:19" x14ac:dyDescent="0.25">
      <c r="A4" s="97" t="str">
        <f>PLANTILLA!D5</f>
        <v>Nicolae Hornet</v>
      </c>
      <c r="B4" s="98">
        <f>PLANTILLA!E5</f>
        <v>22</v>
      </c>
      <c r="C4" s="98">
        <f>PLANTILLA!H5</f>
        <v>5</v>
      </c>
      <c r="D4" s="99">
        <f>PLANTILLA!I5</f>
        <v>1.4</v>
      </c>
      <c r="E4" s="100">
        <f t="shared" ref="E4:E20" si="1">D4</f>
        <v>1.4</v>
      </c>
      <c r="F4" s="100">
        <f t="shared" ref="F4:F20" si="2">E4+0.1</f>
        <v>1.5</v>
      </c>
      <c r="G4" s="100">
        <f t="shared" ref="G4:G20" si="3">C4</f>
        <v>5</v>
      </c>
      <c r="H4" s="100">
        <f t="shared" ref="H4:H20" si="4">G4+0.99</f>
        <v>5.99</v>
      </c>
      <c r="I4" s="101">
        <f t="shared" ref="I4:I20" si="5">G4*G4*E4</f>
        <v>35</v>
      </c>
      <c r="J4" s="101">
        <f t="shared" ref="J4:J20" si="6">H4*H4*F4</f>
        <v>53.820150000000012</v>
      </c>
      <c r="K4" s="102"/>
      <c r="O4" t="str">
        <f>A5</f>
        <v>Miguel Fernández</v>
      </c>
      <c r="P4" s="103">
        <f>E5</f>
        <v>2.6</v>
      </c>
      <c r="Q4" s="103">
        <f t="shared" ref="Q4:S4" si="7">F5</f>
        <v>2.7</v>
      </c>
      <c r="R4" s="103">
        <f t="shared" si="7"/>
        <v>5</v>
      </c>
      <c r="S4" s="103">
        <f t="shared" si="7"/>
        <v>5.99</v>
      </c>
    </row>
    <row r="5" spans="1:19" x14ac:dyDescent="0.25">
      <c r="A5" s="97" t="str">
        <f>PLANTILLA!D6</f>
        <v>Miguel Fernández</v>
      </c>
      <c r="B5" s="98">
        <f>PLANTILLA!E6</f>
        <v>22</v>
      </c>
      <c r="C5" s="98">
        <f>PLANTILLA!H6</f>
        <v>5</v>
      </c>
      <c r="D5" s="99">
        <f>PLANTILLA!I6</f>
        <v>2.6</v>
      </c>
      <c r="E5" s="100">
        <f t="shared" si="1"/>
        <v>2.6</v>
      </c>
      <c r="F5" s="100">
        <f t="shared" si="2"/>
        <v>2.7</v>
      </c>
      <c r="G5" s="100">
        <f t="shared" si="3"/>
        <v>5</v>
      </c>
      <c r="H5" s="100">
        <f t="shared" si="4"/>
        <v>5.99</v>
      </c>
      <c r="I5" s="101">
        <f t="shared" si="5"/>
        <v>65</v>
      </c>
      <c r="J5" s="101">
        <f t="shared" si="6"/>
        <v>96.876270000000019</v>
      </c>
      <c r="K5" s="102"/>
      <c r="L5" s="81"/>
      <c r="O5" t="str">
        <f>A3</f>
        <v>Cosme Fonteboa</v>
      </c>
      <c r="P5" s="103">
        <f>E3</f>
        <v>4.5999999999999996</v>
      </c>
      <c r="Q5" s="103">
        <f t="shared" ref="Q5:S5" si="8">F3</f>
        <v>4.6999999999999993</v>
      </c>
      <c r="R5" s="103">
        <f t="shared" si="8"/>
        <v>4</v>
      </c>
      <c r="S5" s="103">
        <f t="shared" si="8"/>
        <v>4.99</v>
      </c>
    </row>
    <row r="6" spans="1:19" x14ac:dyDescent="0.25">
      <c r="A6" s="97" t="str">
        <f>PLANTILLA!D7</f>
        <v>Iván Real Figueroa</v>
      </c>
      <c r="B6" s="98">
        <f>PLANTILLA!E7</f>
        <v>22</v>
      </c>
      <c r="C6" s="98">
        <f>PLANTILLA!H7</f>
        <v>4</v>
      </c>
      <c r="D6" s="99">
        <f>PLANTILLA!I7</f>
        <v>3.6</v>
      </c>
      <c r="E6" s="100">
        <f t="shared" si="1"/>
        <v>3.6</v>
      </c>
      <c r="F6" s="100">
        <f t="shared" si="2"/>
        <v>3.7</v>
      </c>
      <c r="G6" s="100">
        <f t="shared" si="3"/>
        <v>4</v>
      </c>
      <c r="H6" s="100">
        <f t="shared" si="4"/>
        <v>4.99</v>
      </c>
      <c r="I6" s="101">
        <f t="shared" si="5"/>
        <v>57.6</v>
      </c>
      <c r="J6" s="101">
        <f t="shared" si="6"/>
        <v>92.130370000000013</v>
      </c>
      <c r="K6" s="102"/>
      <c r="O6" t="str">
        <f>A7</f>
        <v>Berto Abandero</v>
      </c>
      <c r="P6" s="103">
        <f>E7</f>
        <v>3.8</v>
      </c>
      <c r="Q6" s="103">
        <f t="shared" ref="Q6:S6" si="9">F7</f>
        <v>3.9</v>
      </c>
      <c r="R6" s="103">
        <f t="shared" si="9"/>
        <v>1</v>
      </c>
      <c r="S6" s="103">
        <f t="shared" si="9"/>
        <v>1.99</v>
      </c>
    </row>
    <row r="7" spans="1:19" x14ac:dyDescent="0.25">
      <c r="A7" s="97" t="str">
        <f>PLANTILLA!D8</f>
        <v>Berto Abandero</v>
      </c>
      <c r="B7" s="98">
        <f>PLANTILLA!E8</f>
        <v>22</v>
      </c>
      <c r="C7" s="98">
        <f>PLANTILLA!H8</f>
        <v>1</v>
      </c>
      <c r="D7" s="99">
        <f>PLANTILLA!I8</f>
        <v>3.8</v>
      </c>
      <c r="E7" s="100">
        <f t="shared" si="1"/>
        <v>3.8</v>
      </c>
      <c r="F7" s="100">
        <f t="shared" si="2"/>
        <v>3.9</v>
      </c>
      <c r="G7" s="100">
        <f t="shared" si="3"/>
        <v>1</v>
      </c>
      <c r="H7" s="100">
        <f t="shared" si="4"/>
        <v>1.99</v>
      </c>
      <c r="I7" s="101">
        <f t="shared" si="5"/>
        <v>3.8</v>
      </c>
      <c r="J7" s="101">
        <f t="shared" si="6"/>
        <v>15.44439</v>
      </c>
      <c r="K7" s="102"/>
      <c r="O7" t="str">
        <f>A6</f>
        <v>Iván Real Figueroa</v>
      </c>
      <c r="P7" s="103">
        <f>E6</f>
        <v>3.6</v>
      </c>
      <c r="Q7" s="103">
        <f t="shared" ref="Q7:S7" si="10">F6</f>
        <v>3.7</v>
      </c>
      <c r="R7" s="103">
        <f t="shared" si="10"/>
        <v>4</v>
      </c>
      <c r="S7" s="103">
        <f t="shared" si="10"/>
        <v>4.99</v>
      </c>
    </row>
    <row r="8" spans="1:19" x14ac:dyDescent="0.25">
      <c r="A8" s="97" t="str">
        <f>PLANTILLA!D9</f>
        <v>Guillermo Pedrajas</v>
      </c>
      <c r="B8" s="98">
        <f>PLANTILLA!E9</f>
        <v>22</v>
      </c>
      <c r="C8" s="98">
        <f>PLANTILLA!H9</f>
        <v>4</v>
      </c>
      <c r="D8" s="99">
        <f>PLANTILLA!I9</f>
        <v>4.4000000000000004</v>
      </c>
      <c r="E8" s="100">
        <f t="shared" si="1"/>
        <v>4.4000000000000004</v>
      </c>
      <c r="F8" s="100">
        <f t="shared" si="2"/>
        <v>4.5</v>
      </c>
      <c r="G8" s="100">
        <f t="shared" si="3"/>
        <v>4</v>
      </c>
      <c r="H8" s="100">
        <f t="shared" si="4"/>
        <v>4.99</v>
      </c>
      <c r="I8" s="101">
        <f t="shared" si="5"/>
        <v>70.400000000000006</v>
      </c>
      <c r="J8" s="101">
        <f t="shared" si="6"/>
        <v>112.05045000000001</v>
      </c>
      <c r="K8" s="102"/>
      <c r="O8" t="str">
        <f>A10</f>
        <v>Francesc Añigas</v>
      </c>
      <c r="P8" s="103">
        <f>E10</f>
        <v>4.0999999999999996</v>
      </c>
      <c r="Q8" s="103">
        <f t="shared" ref="Q8:S8" si="11">F10</f>
        <v>4.1999999999999993</v>
      </c>
      <c r="R8" s="103">
        <f t="shared" si="11"/>
        <v>5</v>
      </c>
      <c r="S8" s="103">
        <f t="shared" si="11"/>
        <v>5.99</v>
      </c>
    </row>
    <row r="9" spans="1:19" x14ac:dyDescent="0.25">
      <c r="A9" s="97" t="str">
        <f>PLANTILLA!D10</f>
        <v>Eckardt Hägerling</v>
      </c>
      <c r="B9" s="98">
        <f>PLANTILLA!E10</f>
        <v>22</v>
      </c>
      <c r="C9" s="98">
        <f>PLANTILLA!H10</f>
        <v>3</v>
      </c>
      <c r="D9" s="99">
        <f>PLANTILLA!I10</f>
        <v>2.2000000000000002</v>
      </c>
      <c r="E9" s="100">
        <f t="shared" si="1"/>
        <v>2.2000000000000002</v>
      </c>
      <c r="F9" s="100">
        <f t="shared" si="2"/>
        <v>2.3000000000000003</v>
      </c>
      <c r="G9" s="100">
        <f t="shared" si="3"/>
        <v>3</v>
      </c>
      <c r="H9" s="100">
        <f t="shared" si="4"/>
        <v>3.99</v>
      </c>
      <c r="I9" s="101">
        <f t="shared" si="5"/>
        <v>19.8</v>
      </c>
      <c r="J9" s="101">
        <f t="shared" si="6"/>
        <v>36.616230000000009</v>
      </c>
      <c r="K9" s="102"/>
      <c r="O9" t="str">
        <f>A15</f>
        <v>David Garcia-Spiess</v>
      </c>
      <c r="P9" s="103">
        <f>E15</f>
        <v>7</v>
      </c>
      <c r="Q9" s="103">
        <f t="shared" ref="Q9:S9" si="12">F15</f>
        <v>7.1</v>
      </c>
      <c r="R9" s="103">
        <f t="shared" si="12"/>
        <v>1</v>
      </c>
      <c r="S9" s="103">
        <f t="shared" si="12"/>
        <v>1.99</v>
      </c>
    </row>
    <row r="10" spans="1:19" x14ac:dyDescent="0.25">
      <c r="A10" s="97" t="str">
        <f>PLANTILLA!D11</f>
        <v>Francesc Añigas</v>
      </c>
      <c r="B10" s="98">
        <f>PLANTILLA!E11</f>
        <v>22</v>
      </c>
      <c r="C10" s="98">
        <f>PLANTILLA!H11</f>
        <v>5</v>
      </c>
      <c r="D10" s="99">
        <f>PLANTILLA!I11</f>
        <v>4.0999999999999996</v>
      </c>
      <c r="E10" s="100">
        <f t="shared" si="1"/>
        <v>4.0999999999999996</v>
      </c>
      <c r="F10" s="100">
        <f t="shared" si="2"/>
        <v>4.1999999999999993</v>
      </c>
      <c r="G10" s="100">
        <f t="shared" si="3"/>
        <v>5</v>
      </c>
      <c r="H10" s="100">
        <f t="shared" si="4"/>
        <v>5.99</v>
      </c>
      <c r="I10" s="101">
        <f t="shared" si="5"/>
        <v>102.49999999999999</v>
      </c>
      <c r="J10" s="101">
        <f t="shared" si="6"/>
        <v>150.69641999999999</v>
      </c>
      <c r="K10" s="102"/>
      <c r="O10" t="str">
        <f>A14</f>
        <v>J. G. Peñuela</v>
      </c>
      <c r="P10" s="103">
        <f>E14</f>
        <v>4</v>
      </c>
      <c r="Q10" s="103">
        <f t="shared" ref="Q10:S10" si="13">F14</f>
        <v>4.0999999999999996</v>
      </c>
      <c r="R10" s="103">
        <f t="shared" si="13"/>
        <v>6</v>
      </c>
      <c r="S10" s="103">
        <f t="shared" si="13"/>
        <v>6.99</v>
      </c>
    </row>
    <row r="11" spans="1:19" x14ac:dyDescent="0.25">
      <c r="A11" s="97" t="str">
        <f>PLANTILLA!D12</f>
        <v>Will Duffill</v>
      </c>
      <c r="B11" s="98">
        <f>PLANTILLA!E12</f>
        <v>22</v>
      </c>
      <c r="C11" s="98">
        <f>PLANTILLA!H12</f>
        <v>3</v>
      </c>
      <c r="D11" s="99">
        <f>PLANTILLA!I12</f>
        <v>4.2</v>
      </c>
      <c r="E11" s="100">
        <f t="shared" si="1"/>
        <v>4.2</v>
      </c>
      <c r="F11" s="100">
        <f t="shared" si="2"/>
        <v>4.3</v>
      </c>
      <c r="G11" s="100">
        <f t="shared" si="3"/>
        <v>3</v>
      </c>
      <c r="H11" s="100">
        <f t="shared" si="4"/>
        <v>3.99</v>
      </c>
      <c r="I11" s="101">
        <f t="shared" si="5"/>
        <v>37.800000000000004</v>
      </c>
      <c r="J11" s="101">
        <f t="shared" si="6"/>
        <v>68.456429999999997</v>
      </c>
      <c r="K11" s="102"/>
      <c r="O11" t="str">
        <f>A13</f>
        <v>Enrique Cubas</v>
      </c>
      <c r="P11" s="103">
        <f>E13</f>
        <v>4.5999999999999996</v>
      </c>
      <c r="Q11" s="103">
        <f t="shared" ref="Q11:S11" si="14">F13</f>
        <v>4.6999999999999993</v>
      </c>
      <c r="R11" s="103">
        <f t="shared" si="14"/>
        <v>1</v>
      </c>
      <c r="S11" s="103">
        <f t="shared" si="14"/>
        <v>1.99</v>
      </c>
    </row>
    <row r="12" spans="1:19" x14ac:dyDescent="0.25">
      <c r="A12" s="97" t="str">
        <f>PLANTILLA!D13</f>
        <v>Valeri Gomis</v>
      </c>
      <c r="B12" s="98">
        <f>PLANTILLA!E13</f>
        <v>22</v>
      </c>
      <c r="C12" s="98">
        <f>PLANTILLA!H13</f>
        <v>6</v>
      </c>
      <c r="D12" s="99">
        <f>PLANTILLA!I13</f>
        <v>4.2</v>
      </c>
      <c r="E12" s="100">
        <f t="shared" si="1"/>
        <v>4.2</v>
      </c>
      <c r="F12" s="100">
        <f t="shared" si="2"/>
        <v>4.3</v>
      </c>
      <c r="G12" s="100">
        <f t="shared" si="3"/>
        <v>6</v>
      </c>
      <c r="H12" s="100">
        <f t="shared" si="4"/>
        <v>6.99</v>
      </c>
      <c r="I12" s="101">
        <f t="shared" si="5"/>
        <v>151.20000000000002</v>
      </c>
      <c r="J12" s="101">
        <f t="shared" si="6"/>
        <v>210.09843000000001</v>
      </c>
      <c r="K12" s="102"/>
      <c r="O12" t="str">
        <f>A20</f>
        <v>Leo Hilpinen</v>
      </c>
      <c r="P12" s="103">
        <f>E20</f>
        <v>5.9</v>
      </c>
      <c r="Q12" s="103">
        <f t="shared" ref="Q12:S12" si="15">F20</f>
        <v>6</v>
      </c>
      <c r="R12" s="103">
        <f t="shared" si="15"/>
        <v>3</v>
      </c>
      <c r="S12" s="103">
        <f t="shared" si="15"/>
        <v>3.99</v>
      </c>
    </row>
    <row r="13" spans="1:19" x14ac:dyDescent="0.25">
      <c r="A13" s="97" t="str">
        <f>PLANTILLA!D14</f>
        <v>Enrique Cubas</v>
      </c>
      <c r="B13" s="98">
        <f>PLANTILLA!E14</f>
        <v>22</v>
      </c>
      <c r="C13" s="98">
        <f>PLANTILLA!H14</f>
        <v>1</v>
      </c>
      <c r="D13" s="99">
        <f>PLANTILLA!I14</f>
        <v>4.5999999999999996</v>
      </c>
      <c r="E13" s="100">
        <f t="shared" si="1"/>
        <v>4.5999999999999996</v>
      </c>
      <c r="F13" s="100">
        <f t="shared" si="2"/>
        <v>4.6999999999999993</v>
      </c>
      <c r="G13" s="100">
        <f t="shared" si="3"/>
        <v>1</v>
      </c>
      <c r="H13" s="100">
        <f t="shared" si="4"/>
        <v>1.99</v>
      </c>
      <c r="I13" s="101">
        <f t="shared" si="5"/>
        <v>4.5999999999999996</v>
      </c>
      <c r="J13" s="101">
        <f t="shared" si="6"/>
        <v>18.612469999999998</v>
      </c>
      <c r="K13" s="102"/>
      <c r="O13" t="str">
        <f>A19</f>
        <v>Emilio Rojas</v>
      </c>
      <c r="P13" s="103">
        <f>E19</f>
        <v>6.3</v>
      </c>
      <c r="Q13" s="103">
        <f t="shared" ref="Q13:S13" si="16">F19</f>
        <v>6.3999999999999995</v>
      </c>
      <c r="R13" s="103">
        <f t="shared" si="16"/>
        <v>4</v>
      </c>
      <c r="S13" s="103">
        <f t="shared" si="16"/>
        <v>4.99</v>
      </c>
    </row>
    <row r="14" spans="1:19" x14ac:dyDescent="0.25">
      <c r="A14" s="97" t="str">
        <f>PLANTILLA!D15</f>
        <v>J. G. Peñuela</v>
      </c>
      <c r="B14" s="98">
        <f>PLANTILLA!E15</f>
        <v>22</v>
      </c>
      <c r="C14" s="98">
        <f>PLANTILLA!H15</f>
        <v>6</v>
      </c>
      <c r="D14" s="99">
        <f>PLANTILLA!I15</f>
        <v>4</v>
      </c>
      <c r="E14" s="100">
        <f t="shared" si="1"/>
        <v>4</v>
      </c>
      <c r="F14" s="100">
        <f t="shared" si="2"/>
        <v>4.0999999999999996</v>
      </c>
      <c r="G14" s="100">
        <f t="shared" si="3"/>
        <v>6</v>
      </c>
      <c r="H14" s="100">
        <f t="shared" si="4"/>
        <v>6.99</v>
      </c>
      <c r="I14" s="101">
        <f t="shared" si="5"/>
        <v>144</v>
      </c>
      <c r="J14" s="101">
        <f t="shared" si="6"/>
        <v>200.32640999999998</v>
      </c>
      <c r="K14" s="102"/>
      <c r="P14" s="32">
        <f>SUM(P4:P13)/10</f>
        <v>4.6499999999999995</v>
      </c>
      <c r="Q14" s="32">
        <f>SUM(Q4:Q13)/10</f>
        <v>4.7499999999999991</v>
      </c>
      <c r="R14" s="32"/>
      <c r="S14" s="32"/>
    </row>
    <row r="15" spans="1:19" x14ac:dyDescent="0.25">
      <c r="A15" s="97" t="str">
        <f>PLANTILLA!D16</f>
        <v>David Garcia-Spiess</v>
      </c>
      <c r="B15" s="98">
        <f>PLANTILLA!E16</f>
        <v>30</v>
      </c>
      <c r="C15" s="98">
        <f>PLANTILLA!H16</f>
        <v>1</v>
      </c>
      <c r="D15" s="99">
        <f>PLANTILLA!I16</f>
        <v>7</v>
      </c>
      <c r="E15" s="100">
        <f t="shared" si="1"/>
        <v>7</v>
      </c>
      <c r="F15" s="100">
        <f t="shared" si="2"/>
        <v>7.1</v>
      </c>
      <c r="G15" s="100">
        <f t="shared" si="3"/>
        <v>1</v>
      </c>
      <c r="H15" s="100">
        <f t="shared" si="4"/>
        <v>1.99</v>
      </c>
      <c r="I15" s="101">
        <f t="shared" si="5"/>
        <v>7</v>
      </c>
      <c r="J15" s="101">
        <f t="shared" si="6"/>
        <v>28.116710000000001</v>
      </c>
      <c r="K15" s="102"/>
    </row>
    <row r="16" spans="1:19" x14ac:dyDescent="0.25">
      <c r="A16" s="97" t="str">
        <f>PLANTILLA!D17</f>
        <v>Fabien Fabre</v>
      </c>
      <c r="B16" s="98">
        <f>PLANTILLA!E17</f>
        <v>31</v>
      </c>
      <c r="C16" s="98">
        <f>PLANTILLA!H17</f>
        <v>5</v>
      </c>
      <c r="D16" s="99">
        <f>PLANTILLA!I17</f>
        <v>4.8</v>
      </c>
      <c r="E16" s="100">
        <f t="shared" si="1"/>
        <v>4.8</v>
      </c>
      <c r="F16" s="100">
        <f t="shared" si="2"/>
        <v>4.8999999999999995</v>
      </c>
      <c r="G16" s="100">
        <f t="shared" si="3"/>
        <v>5</v>
      </c>
      <c r="H16" s="100">
        <f t="shared" si="4"/>
        <v>5.99</v>
      </c>
      <c r="I16" s="101">
        <f t="shared" si="5"/>
        <v>120</v>
      </c>
      <c r="J16" s="101">
        <f t="shared" si="6"/>
        <v>175.81249</v>
      </c>
      <c r="K16" s="102"/>
      <c r="L16" s="51" t="s">
        <v>219</v>
      </c>
      <c r="O16" t="s">
        <v>220</v>
      </c>
      <c r="P16" s="29">
        <f>SUM(P3:P13)</f>
        <v>50.699999999999996</v>
      </c>
      <c r="Q16" s="29">
        <f>SUM(Q3:Q13)</f>
        <v>51.800000000000004</v>
      </c>
      <c r="R16" s="29"/>
    </row>
    <row r="17" spans="1:18" x14ac:dyDescent="0.25">
      <c r="A17" s="97" t="str">
        <f>PLANTILLA!D18</f>
        <v>Fernando Gazón</v>
      </c>
      <c r="B17" s="98">
        <f>PLANTILLA!E18</f>
        <v>22</v>
      </c>
      <c r="C17" s="98">
        <f>PLANTILLA!H18</f>
        <v>3</v>
      </c>
      <c r="D17" s="99">
        <f>PLANTILLA!I18</f>
        <v>2.5</v>
      </c>
      <c r="E17" s="100">
        <f t="shared" si="1"/>
        <v>2.5</v>
      </c>
      <c r="F17" s="100">
        <f t="shared" si="2"/>
        <v>2.6</v>
      </c>
      <c r="G17" s="100">
        <f t="shared" si="3"/>
        <v>3</v>
      </c>
      <c r="H17" s="100">
        <f t="shared" si="4"/>
        <v>3.99</v>
      </c>
      <c r="I17" s="101">
        <f t="shared" si="5"/>
        <v>22.5</v>
      </c>
      <c r="J17" s="101">
        <f t="shared" si="6"/>
        <v>41.392260000000007</v>
      </c>
      <c r="K17" s="102"/>
      <c r="O17" t="s">
        <v>221</v>
      </c>
      <c r="P17" s="32">
        <f>P16/17</f>
        <v>2.9823529411764702</v>
      </c>
      <c r="Q17" s="32">
        <f>Q16/17</f>
        <v>3.047058823529412</v>
      </c>
      <c r="R17" s="32"/>
    </row>
    <row r="18" spans="1:18" x14ac:dyDescent="0.25">
      <c r="A18" s="97" t="str">
        <f>PLANTILLA!D19</f>
        <v>Miklós Gábriel</v>
      </c>
      <c r="B18" s="98">
        <f>PLANTILLA!E19</f>
        <v>31</v>
      </c>
      <c r="C18" s="98">
        <f>PLANTILLA!H19</f>
        <v>2</v>
      </c>
      <c r="D18" s="99">
        <f>PLANTILLA!I19</f>
        <v>6.6</v>
      </c>
      <c r="E18" s="100">
        <f t="shared" si="1"/>
        <v>6.6</v>
      </c>
      <c r="F18" s="100">
        <f t="shared" si="2"/>
        <v>6.6999999999999993</v>
      </c>
      <c r="G18" s="100">
        <f t="shared" si="3"/>
        <v>2</v>
      </c>
      <c r="H18" s="100">
        <f t="shared" si="4"/>
        <v>2.99</v>
      </c>
      <c r="I18" s="101">
        <f t="shared" si="5"/>
        <v>26.4</v>
      </c>
      <c r="J18" s="101">
        <f t="shared" si="6"/>
        <v>59.898670000000003</v>
      </c>
      <c r="K18" s="102"/>
      <c r="L18" s="51" t="s">
        <v>222</v>
      </c>
      <c r="O18" t="s">
        <v>223</v>
      </c>
      <c r="P18" s="29">
        <f>R3^2</f>
        <v>36</v>
      </c>
      <c r="Q18" s="29">
        <f>S3^2</f>
        <v>48.860100000000003</v>
      </c>
      <c r="R18" s="29"/>
    </row>
    <row r="19" spans="1:18" x14ac:dyDescent="0.25">
      <c r="A19" s="97" t="str">
        <f>PLANTILLA!D20</f>
        <v>Emilio Rojas</v>
      </c>
      <c r="B19" s="98">
        <f>PLANTILLA!E20</f>
        <v>31</v>
      </c>
      <c r="C19" s="98">
        <f>PLANTILLA!H20</f>
        <v>4</v>
      </c>
      <c r="D19" s="99">
        <f>PLANTILLA!I20</f>
        <v>6.3</v>
      </c>
      <c r="E19" s="100">
        <f t="shared" si="1"/>
        <v>6.3</v>
      </c>
      <c r="F19" s="100">
        <f t="shared" si="2"/>
        <v>6.3999999999999995</v>
      </c>
      <c r="G19" s="100">
        <f t="shared" si="3"/>
        <v>4</v>
      </c>
      <c r="H19" s="100">
        <f t="shared" si="4"/>
        <v>4.99</v>
      </c>
      <c r="I19" s="101">
        <f t="shared" si="5"/>
        <v>100.8</v>
      </c>
      <c r="J19" s="101">
        <f t="shared" si="6"/>
        <v>159.36063999999999</v>
      </c>
      <c r="K19" s="102"/>
      <c r="L19" s="51" t="s">
        <v>224</v>
      </c>
      <c r="O19" t="s">
        <v>225</v>
      </c>
      <c r="P19" s="29">
        <f>P18*P3</f>
        <v>151.20000000000002</v>
      </c>
      <c r="Q19" s="29">
        <f>Q18*Q3</f>
        <v>210.09843000000001</v>
      </c>
      <c r="R19" s="29"/>
    </row>
    <row r="20" spans="1:18" x14ac:dyDescent="0.25">
      <c r="A20" s="97" t="str">
        <f>PLANTILLA!D21</f>
        <v>Leo Hilpinen</v>
      </c>
      <c r="B20" s="98">
        <f>PLANTILLA!E21</f>
        <v>30</v>
      </c>
      <c r="C20" s="98">
        <f>PLANTILLA!H21</f>
        <v>3</v>
      </c>
      <c r="D20" s="99">
        <f>PLANTILLA!I21</f>
        <v>5.9</v>
      </c>
      <c r="E20" s="100">
        <f t="shared" si="1"/>
        <v>5.9</v>
      </c>
      <c r="F20" s="100">
        <f t="shared" si="2"/>
        <v>6</v>
      </c>
      <c r="G20" s="100">
        <f t="shared" si="3"/>
        <v>3</v>
      </c>
      <c r="H20" s="100">
        <f t="shared" si="4"/>
        <v>3.99</v>
      </c>
      <c r="I20" s="101">
        <f t="shared" si="5"/>
        <v>53.1</v>
      </c>
      <c r="J20" s="101">
        <f t="shared" si="6"/>
        <v>95.520600000000002</v>
      </c>
      <c r="K20" s="102"/>
      <c r="L20" s="51" t="s">
        <v>226</v>
      </c>
      <c r="O20" t="s">
        <v>227</v>
      </c>
      <c r="P20" s="32">
        <f>(P19^(2/3))/30</f>
        <v>0.94604821957262919</v>
      </c>
      <c r="Q20" s="32">
        <f>(Q19^(2/3))/30</f>
        <v>1.1780415722385855</v>
      </c>
      <c r="R20" s="32"/>
    </row>
    <row r="21" spans="1:18" x14ac:dyDescent="0.25">
      <c r="A21" s="97"/>
      <c r="B21" s="98"/>
      <c r="C21" s="98"/>
      <c r="D21" s="99"/>
      <c r="E21" s="100"/>
      <c r="F21" s="100"/>
      <c r="G21" s="100"/>
      <c r="H21" s="100"/>
      <c r="I21" s="101"/>
      <c r="J21" s="101"/>
      <c r="K21" s="102"/>
      <c r="L21" s="51" t="s">
        <v>228</v>
      </c>
      <c r="O21" s="60" t="s">
        <v>95</v>
      </c>
      <c r="P21" s="82">
        <f>P17+P20</f>
        <v>3.9284011607490994</v>
      </c>
      <c r="Q21" s="82">
        <f>Q17+Q20</f>
        <v>4.2251003957679973</v>
      </c>
    </row>
    <row r="22" spans="1:18" x14ac:dyDescent="0.25">
      <c r="A22" s="97"/>
      <c r="B22" s="98"/>
      <c r="C22" s="98"/>
      <c r="D22" s="99"/>
      <c r="E22" s="100"/>
      <c r="F22" s="100"/>
      <c r="G22" s="100"/>
      <c r="H22" s="100"/>
      <c r="I22" s="101"/>
      <c r="J22" s="101"/>
      <c r="K22" s="102"/>
      <c r="L22" t="s">
        <v>229</v>
      </c>
    </row>
    <row r="23" spans="1:18" x14ac:dyDescent="0.25">
      <c r="A23" s="97"/>
      <c r="B23" s="98"/>
      <c r="C23" s="98"/>
      <c r="D23" s="99"/>
      <c r="E23" s="100"/>
      <c r="F23" s="100"/>
      <c r="G23" s="100"/>
      <c r="H23" s="100"/>
      <c r="I23" s="101"/>
      <c r="J23" s="101"/>
      <c r="K23" s="102"/>
      <c r="O23" s="28"/>
    </row>
    <row r="24" spans="1:18" x14ac:dyDescent="0.25">
      <c r="A24" s="97"/>
      <c r="B24" s="98"/>
      <c r="C24" s="98"/>
      <c r="D24" s="99"/>
      <c r="E24" s="100"/>
      <c r="F24" s="100"/>
      <c r="G24" s="100"/>
      <c r="H24" s="100"/>
      <c r="I24" s="101"/>
      <c r="J24" s="101"/>
    </row>
    <row r="25" spans="1:18" x14ac:dyDescent="0.25">
      <c r="A25" s="97"/>
      <c r="B25" s="98"/>
      <c r="C25" s="98"/>
      <c r="D25" s="99"/>
      <c r="E25" s="100"/>
      <c r="F25" s="100"/>
      <c r="G25" s="100"/>
      <c r="H25" s="100"/>
      <c r="I25" s="101"/>
      <c r="J25" s="101"/>
    </row>
    <row r="26" spans="1:18" x14ac:dyDescent="0.25">
      <c r="A26" s="97"/>
      <c r="B26" s="98"/>
      <c r="C26" s="98"/>
      <c r="D26" s="99"/>
      <c r="E26" s="100"/>
      <c r="F26" s="100"/>
      <c r="G26" s="100"/>
      <c r="H26" s="100"/>
      <c r="I26" s="101"/>
      <c r="J26" s="101"/>
    </row>
    <row r="27" spans="1:18" x14ac:dyDescent="0.25">
      <c r="A27" s="97"/>
      <c r="B27" s="98"/>
      <c r="C27" s="98"/>
      <c r="D27" s="99"/>
      <c r="E27" s="100"/>
      <c r="F27" s="100"/>
      <c r="G27" s="100"/>
      <c r="H27" s="100"/>
      <c r="I27" s="101"/>
      <c r="J27" s="101"/>
    </row>
    <row r="28" spans="1:18" x14ac:dyDescent="0.25">
      <c r="A28" s="97"/>
      <c r="B28" s="98"/>
      <c r="C28" s="98"/>
      <c r="D28" s="99"/>
      <c r="E28" s="100"/>
      <c r="F28" s="100"/>
      <c r="G28" s="100"/>
      <c r="H28" s="100"/>
      <c r="I28" s="101"/>
      <c r="J28" s="101"/>
    </row>
    <row r="29" spans="1:18" x14ac:dyDescent="0.25">
      <c r="A29" s="97"/>
      <c r="B29" s="98"/>
      <c r="C29" s="98"/>
      <c r="D29" s="99"/>
      <c r="E29" s="100"/>
      <c r="F29" s="100"/>
      <c r="G29" s="100"/>
      <c r="H29" s="100"/>
      <c r="I29" s="101"/>
      <c r="J29" s="101"/>
    </row>
    <row r="30" spans="1:18" x14ac:dyDescent="0.25">
      <c r="A30" s="97"/>
      <c r="B30" s="98"/>
      <c r="C30" s="98"/>
      <c r="D30" s="99"/>
      <c r="E30" s="100"/>
      <c r="F30" s="100"/>
      <c r="G30" s="100"/>
      <c r="H30" s="100"/>
      <c r="I30" s="101"/>
      <c r="J30" s="101"/>
    </row>
    <row r="31" spans="1:18" x14ac:dyDescent="0.25">
      <c r="A31" s="97"/>
      <c r="B31" s="98"/>
      <c r="C31" s="98"/>
      <c r="D31" s="99"/>
      <c r="E31" s="100"/>
      <c r="F31" s="100"/>
      <c r="G31" s="100"/>
      <c r="H31" s="100"/>
      <c r="I31" s="101"/>
      <c r="J31" s="101"/>
    </row>
  </sheetData>
  <conditionalFormatting sqref="I3:J31">
    <cfRule type="cellIs" dxfId="8" priority="1" operator="between">
      <formula>70</formula>
      <formula>100</formula>
    </cfRule>
    <cfRule type="cellIs" dxfId="7" priority="2" operator="greaterThan">
      <formula>100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00B0F0"/>
  </sheetPr>
  <dimension ref="A1:CE29"/>
  <sheetViews>
    <sheetView workbookViewId="0">
      <pane xSplit="9" ySplit="2" topLeftCell="BE3" activePane="bottomRight" state="frozen"/>
      <selection pane="topRight" activeCell="J1" sqref="J1"/>
      <selection pane="bottomLeft" activeCell="A3" sqref="A3"/>
      <selection pane="bottomRight" activeCell="CC18" sqref="CC18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7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8"/>
      <c r="W1" t="s">
        <v>52</v>
      </c>
      <c r="Z1" t="s">
        <v>53</v>
      </c>
      <c r="AD1" t="s">
        <v>54</v>
      </c>
      <c r="AH1" t="s">
        <v>55</v>
      </c>
      <c r="AL1" t="s">
        <v>56</v>
      </c>
      <c r="AP1" t="s">
        <v>57</v>
      </c>
      <c r="AW1" t="s">
        <v>58</v>
      </c>
      <c r="BD1" t="s">
        <v>47</v>
      </c>
      <c r="BI1" t="s">
        <v>59</v>
      </c>
      <c r="BN1" t="s">
        <v>60</v>
      </c>
      <c r="BS1" t="s">
        <v>61</v>
      </c>
      <c r="BX1" t="s">
        <v>62</v>
      </c>
      <c r="CB1" t="s">
        <v>43</v>
      </c>
    </row>
    <row r="2" spans="1:83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65</v>
      </c>
      <c r="F2" s="44" t="s">
        <v>66</v>
      </c>
      <c r="G2" s="44" t="s">
        <v>78</v>
      </c>
      <c r="H2" s="44" t="s">
        <v>79</v>
      </c>
      <c r="I2" s="45" t="s">
        <v>80</v>
      </c>
      <c r="J2" s="37" t="s">
        <v>67</v>
      </c>
      <c r="K2" s="37" t="s">
        <v>27</v>
      </c>
      <c r="L2" s="37" t="s">
        <v>29</v>
      </c>
      <c r="M2" s="37" t="s">
        <v>68</v>
      </c>
      <c r="N2" s="37" t="s">
        <v>51</v>
      </c>
      <c r="O2" s="37" t="s">
        <v>69</v>
      </c>
      <c r="P2" s="37" t="s">
        <v>70</v>
      </c>
      <c r="Q2" s="37" t="s">
        <v>46</v>
      </c>
      <c r="R2" s="38" t="s">
        <v>21</v>
      </c>
      <c r="S2" s="38" t="s">
        <v>71</v>
      </c>
      <c r="T2" s="38" t="s">
        <v>72</v>
      </c>
      <c r="U2" s="38" t="s">
        <v>25</v>
      </c>
      <c r="V2" s="38" t="s">
        <v>26</v>
      </c>
      <c r="W2" s="39" t="s">
        <v>73</v>
      </c>
      <c r="X2" s="39" t="s">
        <v>74</v>
      </c>
      <c r="Y2" s="39" t="s">
        <v>73</v>
      </c>
      <c r="Z2" s="40" t="s">
        <v>73</v>
      </c>
      <c r="AA2" s="40" t="s">
        <v>74</v>
      </c>
      <c r="AB2" s="40" t="s">
        <v>73</v>
      </c>
      <c r="AC2" s="40" t="s">
        <v>75</v>
      </c>
      <c r="AD2" s="40" t="s">
        <v>73</v>
      </c>
      <c r="AE2" s="40" t="s">
        <v>74</v>
      </c>
      <c r="AF2" s="40" t="s">
        <v>73</v>
      </c>
      <c r="AG2" s="40" t="s">
        <v>75</v>
      </c>
      <c r="AH2" s="39" t="s">
        <v>73</v>
      </c>
      <c r="AI2" s="39" t="s">
        <v>74</v>
      </c>
      <c r="AJ2" s="39" t="s">
        <v>75</v>
      </c>
      <c r="AK2" s="39" t="s">
        <v>76</v>
      </c>
      <c r="AL2" s="39" t="s">
        <v>73</v>
      </c>
      <c r="AM2" s="39" t="s">
        <v>74</v>
      </c>
      <c r="AN2" s="39" t="s">
        <v>75</v>
      </c>
      <c r="AO2" s="39" t="s">
        <v>76</v>
      </c>
      <c r="AP2" s="39" t="s">
        <v>73</v>
      </c>
      <c r="AQ2" s="39" t="s">
        <v>74</v>
      </c>
      <c r="AR2" s="39" t="s">
        <v>73</v>
      </c>
      <c r="AS2" s="39" t="s">
        <v>75</v>
      </c>
      <c r="AT2" s="39" t="s">
        <v>76</v>
      </c>
      <c r="AU2" s="39" t="s">
        <v>77</v>
      </c>
      <c r="AV2" s="39" t="s">
        <v>76</v>
      </c>
      <c r="AW2" s="39" t="s">
        <v>73</v>
      </c>
      <c r="AX2" s="39" t="s">
        <v>74</v>
      </c>
      <c r="AY2" s="39" t="s">
        <v>73</v>
      </c>
      <c r="AZ2" s="39" t="s">
        <v>75</v>
      </c>
      <c r="BA2" s="39" t="s">
        <v>76</v>
      </c>
      <c r="BB2" s="39" t="s">
        <v>77</v>
      </c>
      <c r="BC2" s="39" t="s">
        <v>76</v>
      </c>
      <c r="BD2" s="40" t="s">
        <v>73</v>
      </c>
      <c r="BE2" s="40" t="s">
        <v>74</v>
      </c>
      <c r="BF2" s="40" t="s">
        <v>75</v>
      </c>
      <c r="BG2" s="40" t="s">
        <v>76</v>
      </c>
      <c r="BH2" s="40" t="s">
        <v>77</v>
      </c>
      <c r="BI2" s="40" t="s">
        <v>73</v>
      </c>
      <c r="BJ2" s="40" t="s">
        <v>74</v>
      </c>
      <c r="BK2" s="40" t="s">
        <v>75</v>
      </c>
      <c r="BL2" s="40" t="s">
        <v>76</v>
      </c>
      <c r="BM2" s="40" t="s">
        <v>77</v>
      </c>
      <c r="BN2" s="39" t="s">
        <v>73</v>
      </c>
      <c r="BO2" s="39" t="s">
        <v>74</v>
      </c>
      <c r="BP2" s="39" t="s">
        <v>75</v>
      </c>
      <c r="BQ2" s="39" t="s">
        <v>76</v>
      </c>
      <c r="BR2" s="39" t="s">
        <v>77</v>
      </c>
      <c r="BS2" s="39" t="s">
        <v>73</v>
      </c>
      <c r="BT2" s="39" t="s">
        <v>74</v>
      </c>
      <c r="BU2" s="39" t="s">
        <v>75</v>
      </c>
      <c r="BV2" s="39" t="s">
        <v>76</v>
      </c>
      <c r="BW2" s="39" t="s">
        <v>77</v>
      </c>
      <c r="BX2" s="40" t="s">
        <v>75</v>
      </c>
      <c r="BY2" s="40" t="s">
        <v>76</v>
      </c>
      <c r="BZ2" s="40" t="s">
        <v>77</v>
      </c>
      <c r="CA2" s="40" t="s">
        <v>76</v>
      </c>
      <c r="CB2" s="39" t="s">
        <v>76</v>
      </c>
      <c r="CC2" s="39" t="s">
        <v>77</v>
      </c>
      <c r="CD2" s="39" t="s">
        <v>76</v>
      </c>
      <c r="CE2" s="39" t="s">
        <v>75</v>
      </c>
    </row>
    <row r="3" spans="1:83" x14ac:dyDescent="0.25">
      <c r="A3" t="str">
        <f>PLANTILLA!D4</f>
        <v>Cosme Fonteboa</v>
      </c>
      <c r="B3">
        <f>PLANTILLA!E4</f>
        <v>22</v>
      </c>
      <c r="C3" s="30">
        <f ca="1">PLANTILLA!F4</f>
        <v>52</v>
      </c>
      <c r="D3" s="114">
        <f>PLANTILLA!G4</f>
        <v>0</v>
      </c>
      <c r="E3" s="28">
        <f>PLANTILLA!M4</f>
        <v>43415</v>
      </c>
      <c r="F3" s="42">
        <f>PLANTILLA!Q4</f>
        <v>3</v>
      </c>
      <c r="G3" s="43">
        <f t="shared" ref="G3" si="0">(F3/7)^0.5</f>
        <v>0.65465367070797709</v>
      </c>
      <c r="H3" s="43">
        <f t="shared" ref="H3" si="1">IF(F3=7,1,((F3+0.99)/7)^0.5)</f>
        <v>0.75498344352707503</v>
      </c>
      <c r="I3" s="140">
        <f ca="1">PLANTILLA!N4</f>
        <v>0.77584017284391016</v>
      </c>
      <c r="J3" s="34">
        <f>PLANTILLA!I4</f>
        <v>4.5999999999999996</v>
      </c>
      <c r="K3" s="41">
        <f>PLANTILLA!X4</f>
        <v>15</v>
      </c>
      <c r="L3" s="41">
        <f>PLANTILLA!Y4</f>
        <v>10.428571428571429</v>
      </c>
      <c r="M3" s="41">
        <f>PLANTILLA!Z4</f>
        <v>0</v>
      </c>
      <c r="N3" s="41">
        <f>PLANTILLA!AA4</f>
        <v>0</v>
      </c>
      <c r="O3" s="41">
        <f>PLANTILLA!AB4</f>
        <v>0</v>
      </c>
      <c r="P3" s="41">
        <f>PLANTILLA!AC4</f>
        <v>1</v>
      </c>
      <c r="Q3" s="41">
        <f>PLANTILLA!AD4</f>
        <v>1</v>
      </c>
      <c r="R3" s="41">
        <f t="shared" ref="R3" si="2">((2*(O3+1))+(L3+1))/8</f>
        <v>1.6785714285714286</v>
      </c>
      <c r="S3" s="41">
        <f t="shared" ref="S3" si="3">(0.5*P3+ 0.3*Q3)/10</f>
        <v>0.08</v>
      </c>
      <c r="T3" s="41">
        <f t="shared" ref="T3" si="4">(0.4*L3+0.3*Q3)/10</f>
        <v>0.44714285714285718</v>
      </c>
      <c r="U3" s="41">
        <f t="shared" ref="U3" ca="1" si="5">(Q3+I3+(LOG(J3)*4/3))*(F3/7)^0.5</f>
        <v>1.7410627508106904</v>
      </c>
      <c r="V3" s="41">
        <f t="shared" ref="V3" ca="1" si="6">IF(F3=7,U3,(Q3+I3+(LOG(J3)*4/3))*((F3+0.99)/7)^0.5)</f>
        <v>2.0078915154974011</v>
      </c>
      <c r="W3" s="32">
        <f t="shared" ref="W3" ca="1" si="7">((K3+I3+(LOG(J3)*4/3))*0.597)+((L3+I3+(LOG(J3)*4/3))*0.276)</f>
        <v>13.2820443012558</v>
      </c>
      <c r="X3" s="32">
        <f t="shared" ref="X3" ca="1" si="8">((K3+I3+(LOG(J3)*4/3))*0.866)+((L3+I3+(LOG(J3)*4/3))*0.425)</f>
        <v>19.564579667885564</v>
      </c>
      <c r="Y3" s="32">
        <f t="shared" ref="Y3" ca="1" si="9">W3</f>
        <v>13.2820443012558</v>
      </c>
      <c r="Z3" s="32">
        <f t="shared" ref="Z3" ca="1" si="10">((L3+I3+(LOG(J3)*4/3))*0.516)</f>
        <v>6.2374537745272383</v>
      </c>
      <c r="AA3" s="32">
        <f t="shared" ref="AA3" ca="1" si="11">((L3+I3+(LOG(J3)*4/3))*1)</f>
        <v>12.088088710324104</v>
      </c>
      <c r="AB3" s="32">
        <f t="shared" ref="AB3" ca="1" si="12">Z3/2</f>
        <v>3.1187268872636191</v>
      </c>
      <c r="AC3" s="32">
        <f t="shared" ref="AC3" ca="1" si="13">((M3+I3+(LOG(J3)*4/3))*0.238)</f>
        <v>0.39496511305713677</v>
      </c>
      <c r="AD3" s="32">
        <f t="shared" ref="AD3" ca="1" si="14">((L3+I3+(LOG(J3)*4/3))*0.378)</f>
        <v>4.5692975325025111</v>
      </c>
      <c r="AE3" s="32">
        <f t="shared" ref="AE3" ca="1" si="15">((L3+I3+(LOG(J3)*4/3))*0.723)</f>
        <v>8.7396881375643272</v>
      </c>
      <c r="AF3" s="32">
        <f t="shared" ref="AF3" ca="1" si="16">AD3/2</f>
        <v>2.2846487662512556</v>
      </c>
      <c r="AG3" s="32">
        <f t="shared" ref="AG3" ca="1" si="17">((M3+I3+(LOG(J3)*4/3))*0.385)</f>
        <v>0.63891415347478009</v>
      </c>
      <c r="AH3" s="32">
        <f t="shared" ref="AH3" ca="1" si="18">((L3+I3+(LOG(J3)*4/3))*0.92)</f>
        <v>11.121041613498177</v>
      </c>
      <c r="AI3" s="32">
        <f t="shared" ref="AI3" ca="1" si="19">((L3+I3+(LOG(J3)*4/3))*0.414)</f>
        <v>5.0044687260741787</v>
      </c>
      <c r="AJ3" s="32">
        <f t="shared" ref="AJ3" ca="1" si="20">((M3+I3+(LOG(J3)*4/3))*0.167)</f>
        <v>0.27713938605269683</v>
      </c>
      <c r="AK3" s="32">
        <f t="shared" ref="AK3" ca="1" si="21">((N3+I3+(LOG(J3)*4/3))*0.588)</f>
        <v>0.97579616167057315</v>
      </c>
      <c r="AL3" s="32">
        <f t="shared" ref="AL3" ca="1" si="22">((L3+I3+(LOG(J3)*4/3))*0.754)</f>
        <v>9.1144188875843746</v>
      </c>
      <c r="AM3" s="32">
        <f t="shared" ref="AM3" ca="1" si="23">((L3+I3+(LOG(J3)*4/3))*0.708)</f>
        <v>8.5583668069094649</v>
      </c>
      <c r="AN3" s="32">
        <f t="shared" ref="AN3" ca="1" si="24">((Q3+I3+(LOG(J3)*4/3))*0.167)</f>
        <v>0.44413938605269682</v>
      </c>
      <c r="AO3" s="32">
        <f t="shared" ref="AO3" ca="1" si="25">((R3+I3+(LOG(J3)*4/3))*0.288)</f>
        <v>0.961369548573342</v>
      </c>
      <c r="AP3" s="32">
        <f t="shared" ref="AP3" ca="1" si="26">((L3+I3+(LOG(J3)*4/3))*0.27)</f>
        <v>3.2637839517875085</v>
      </c>
      <c r="AQ3" s="32">
        <f t="shared" ref="AQ3" ca="1" si="27">((L3+I3+(LOG(J3)*4/3))*0.594)</f>
        <v>7.1803246939325174</v>
      </c>
      <c r="AR3" s="32">
        <f t="shared" ref="AR3" ca="1" si="28">AP3/2</f>
        <v>1.6318919758937542</v>
      </c>
      <c r="AS3" s="32">
        <f t="shared" ref="AS3" ca="1" si="29">((M3+I3+(LOG(J3)*4/3))*0.944)</f>
        <v>1.5665843139745257</v>
      </c>
      <c r="AT3" s="32">
        <f t="shared" ref="AT3" ca="1" si="30">((O3+I3+(LOG(J3)*4/3))*0.13)</f>
        <v>0.21573724662784782</v>
      </c>
      <c r="AU3" s="32">
        <f t="shared" ref="AU3" ca="1" si="31">((P3+I3+(LOG(J3)*4/3))*0.173)+((O3+I3+(LOG(J3)*4/3))*0.12)</f>
        <v>0.65923856355353383</v>
      </c>
      <c r="AV3" s="32">
        <f t="shared" ref="AV3" ca="1" si="32">AT3/2</f>
        <v>0.10786862331392391</v>
      </c>
      <c r="AW3" s="32">
        <f t="shared" ref="AW3" ca="1" si="33">((L3+I3+(LOG(J3)*4/3))*0.189)</f>
        <v>2.2846487662512556</v>
      </c>
      <c r="AX3" s="32">
        <f t="shared" ref="AX3" ca="1" si="34">((L3+I3+(LOG(J3)*4/3))*0.4)</f>
        <v>4.8352354841296421</v>
      </c>
      <c r="AY3" s="32">
        <f t="shared" ref="AY3" ca="1" si="35">AW3/2</f>
        <v>1.1423243831256278</v>
      </c>
      <c r="AZ3" s="32">
        <f t="shared" ref="AZ3" ca="1" si="36">((M3+I3+(LOG(J3)*4/3))*1)</f>
        <v>1.6595172817526755</v>
      </c>
      <c r="BA3" s="32">
        <f t="shared" ref="BA3" ca="1" si="37">((O3+I3+(LOG(J3)*4/3))*0.253)</f>
        <v>0.41985787228342691</v>
      </c>
      <c r="BB3" s="32">
        <f t="shared" ref="BB3" ca="1" si="38">((P3+I3+(LOG(J3)*4/3))*0.21)+((O3+I3+(LOG(J3)*4/3))*0.341)</f>
        <v>1.1243940222457243</v>
      </c>
      <c r="BC3" s="32">
        <f t="shared" ref="BC3" ca="1" si="39">BA3/2</f>
        <v>0.20992893614171346</v>
      </c>
      <c r="BD3" s="32">
        <f t="shared" ref="BD3" ca="1" si="40">((L3+I3+(LOG(J3)*4/3))*0.291)</f>
        <v>3.5176338147043142</v>
      </c>
      <c r="BE3" s="32">
        <f t="shared" ref="BE3" ca="1" si="41">((L3+I3+(LOG(J3)*4/3))*0.348)</f>
        <v>4.2066548711927885</v>
      </c>
      <c r="BF3" s="32">
        <f t="shared" ref="BF3" ca="1" si="42">((M3+I3+(LOG(J3)*4/3))*0.881)</f>
        <v>1.4620347252241073</v>
      </c>
      <c r="BG3" s="32">
        <f t="shared" ref="BG3" ca="1" si="43">((N3+I3+(LOG(J3)*4/3))*0.574)+((O3+I3+(LOG(J3)*4/3))*0.315)</f>
        <v>1.4753108634781285</v>
      </c>
      <c r="BH3" s="32">
        <f t="shared" ref="BH3" ca="1" si="44">((O3+I3+(LOG(J3)*4/3))*0.241)</f>
        <v>0.3999436649023948</v>
      </c>
      <c r="BI3" s="32">
        <f t="shared" ref="BI3" ca="1" si="45">((L3+I3+(LOG(J3)*4/3))*0.485)</f>
        <v>5.8627230245071908</v>
      </c>
      <c r="BJ3" s="32">
        <f t="shared" ref="BJ3" ca="1" si="46">((L3+I3+(LOG(J3)*4/3))*0.264)</f>
        <v>3.1912554195255636</v>
      </c>
      <c r="BK3" s="32">
        <f t="shared" ref="BK3" ca="1" si="47">((M3+I3+(LOG(J3)*4/3))*0.381)</f>
        <v>0.63227608434776938</v>
      </c>
      <c r="BL3" s="32">
        <f t="shared" ref="BL3" ca="1" si="48">((N3+I3+(LOG(J3)*4/3))*0.673)+((O3+I3+(LOG(J3)*4/3))*0.201)</f>
        <v>1.4504181042518385</v>
      </c>
      <c r="BM3" s="32">
        <f t="shared" ref="BM3" ca="1" si="49">((O3+I3+(LOG(J3)*4/3))*0.052)</f>
        <v>8.6294898651139124E-2</v>
      </c>
      <c r="BN3" s="32">
        <f t="shared" ref="BN3" ca="1" si="50">((L3+I3+(LOG(J3)*4/3))*0.18)</f>
        <v>2.1758559678583387</v>
      </c>
      <c r="BO3" s="32">
        <f t="shared" ref="BO3" ca="1" si="51">((L3+I3+(LOG(J3)*4/3))*0.068)</f>
        <v>0.82199003230203915</v>
      </c>
      <c r="BP3" s="32">
        <f t="shared" ref="BP3" ca="1" si="52">((M3+I3+(LOG(J3)*4/3))*0.305)</f>
        <v>0.50615277093456601</v>
      </c>
      <c r="BQ3" s="32">
        <f t="shared" ref="BQ3" ca="1" si="53">((N3+I3+(LOG(J3)*4/3))*1)+((O3+I3+(LOG(J3)*4/3))*0.286)</f>
        <v>2.1341392243339405</v>
      </c>
      <c r="BR3" s="32">
        <f t="shared" ref="BR3" ca="1" si="54">((O3+I3+(LOG(J3)*4/3))*0.135)</f>
        <v>0.2240348330366112</v>
      </c>
      <c r="BS3" s="32">
        <f t="shared" ref="BS3" ca="1" si="55">((L3+I3+(LOG(J3)*4/3))*0.284)</f>
        <v>3.4330171937320455</v>
      </c>
      <c r="BT3" s="32">
        <f t="shared" ref="BT3" ca="1" si="56">((L3+I3+(LOG(J3)*4/3))*0.244)</f>
        <v>2.9494936453190812</v>
      </c>
      <c r="BU3" s="32">
        <f t="shared" ref="BU3" ca="1" si="57">((M3+I3+(LOG(J3)*4/3))*0.631)</f>
        <v>1.0471554047859384</v>
      </c>
      <c r="BV3" s="32">
        <f t="shared" ref="BV3" ca="1" si="58">((N3+I3+(LOG(J3)*4/3))*0.702)+((O3+I3+(LOG(J3)*4/3))*0.193)</f>
        <v>1.4852679671686446</v>
      </c>
      <c r="BW3" s="32">
        <f t="shared" ref="BW3" ca="1" si="59">((O3+I3+(LOG(J3)*4/3))*0.148)</f>
        <v>0.24560855769939596</v>
      </c>
      <c r="BX3" s="32">
        <f t="shared" ref="BX3" ca="1" si="60">((M3+I3+(LOG(J3)*4/3))*0.406)</f>
        <v>0.67376401639158634</v>
      </c>
      <c r="BY3" s="32">
        <f t="shared" ref="BY3" ca="1" si="61">IF(D3="TEC",((N3+I3+(LOG(J3)*4/3))*0.15)+((O3+I3+(LOG(J3)*4/3))*0.324)+((P3+I3+(LOG(J3)*4/3))*0.127),((N3+I3+(LOG(J3)*4/3))*0.144)+((O3+I3+(LOG(J3)*4/3))*0.25)+((P3+I3+(LOG(J3)*4/3))*0.127))</f>
        <v>0.99160850379314391</v>
      </c>
      <c r="BZ3" s="32">
        <f t="shared" ref="BZ3" ca="1" si="62">IF(D3="TEC",((O3+I3+(LOG(J3)*4/3))*0.543)+((P3+I3+(LOG(J3)*4/3))*0.583),((O3+I3+(LOG(J3)*4/3))*0.543)+((P3+I3+(LOG(J3)*4/3))*0.583))</f>
        <v>2.4516164592535126</v>
      </c>
      <c r="CA3" s="32">
        <f t="shared" ref="CA3" ca="1" si="63">BY3</f>
        <v>0.99160850379314391</v>
      </c>
      <c r="CB3" s="32">
        <f t="shared" ref="CB3" ca="1" si="64">((P3+I3+(LOG(J3)*4/3))*0.26)+((N3+I3+(LOG(J3)*4/3))*0.221)+((O3+I3+(LOG(J3)*4/3))*0.142)</f>
        <v>1.2938792665319168</v>
      </c>
      <c r="CC3" s="32">
        <f t="shared" ref="CC3" ca="1" si="65">((P3+I3+(LOG(J3)*4/3))*1)+((O3+I3+(LOG(J3)*4/3))*0.369)</f>
        <v>3.2718791587194129</v>
      </c>
      <c r="CD3" s="32">
        <f t="shared" ref="CD3" ca="1" si="66">CB3</f>
        <v>1.2938792665319168</v>
      </c>
      <c r="CE3" s="32">
        <f t="shared" ref="CE3" ca="1" si="67">((M3+I3+(LOG(J3)*4/3))*0.25)</f>
        <v>0.41487932043816889</v>
      </c>
    </row>
    <row r="4" spans="1:83" x14ac:dyDescent="0.25">
      <c r="A4" t="str">
        <f>PLANTILLA!D5</f>
        <v>Nicolae Hornet</v>
      </c>
      <c r="B4">
        <f>PLANTILLA!E5</f>
        <v>22</v>
      </c>
      <c r="C4" s="30">
        <f ca="1">PLANTILLA!F5</f>
        <v>77</v>
      </c>
      <c r="D4" s="134">
        <f>PLANTILLA!G5</f>
        <v>0</v>
      </c>
      <c r="E4" s="28">
        <f>PLANTILLA!M5</f>
        <v>43190</v>
      </c>
      <c r="F4" s="42">
        <f>PLANTILLA!Q5</f>
        <v>6</v>
      </c>
      <c r="G4" s="43">
        <f t="shared" ref="G4:G18" si="68">(F4/7)^0.5</f>
        <v>0.92582009977255142</v>
      </c>
      <c r="H4" s="43">
        <f t="shared" ref="H4:H18" si="69">IF(F4=7,1,((F4+0.99)/7)^0.5)</f>
        <v>0.99928545900129484</v>
      </c>
      <c r="I4" s="140">
        <f ca="1">PLANTILLA!N5</f>
        <v>1</v>
      </c>
      <c r="J4" s="34">
        <f>PLANTILLA!I5</f>
        <v>1.4</v>
      </c>
      <c r="K4" s="41">
        <f>PLANTILLA!X5</f>
        <v>6</v>
      </c>
      <c r="L4" s="41">
        <f>PLANTILLA!Y5</f>
        <v>4</v>
      </c>
      <c r="M4" s="41">
        <f>PLANTILLA!Z5</f>
        <v>0</v>
      </c>
      <c r="N4" s="41">
        <f>PLANTILLA!AA5</f>
        <v>3</v>
      </c>
      <c r="O4" s="41">
        <f>PLANTILLA!AB5</f>
        <v>0</v>
      </c>
      <c r="P4" s="41">
        <f>PLANTILLA!AC5</f>
        <v>1</v>
      </c>
      <c r="Q4" s="41">
        <f>PLANTILLA!AD5</f>
        <v>1</v>
      </c>
      <c r="R4" s="41">
        <f t="shared" ref="R4:R20" si="70">((2*(O4+1))+(L4+1))/8</f>
        <v>0.875</v>
      </c>
      <c r="S4" s="41">
        <f t="shared" ref="S4:S20" si="71">(0.5*P4+ 0.3*Q4)/10</f>
        <v>0.08</v>
      </c>
      <c r="T4" s="41">
        <f t="shared" ref="T4:T20" si="72">(0.4*L4+0.3*Q4)/10</f>
        <v>0.19</v>
      </c>
      <c r="U4" s="41">
        <f t="shared" ref="U4:U20" ca="1" si="73">(Q4+I4+(LOG(J4)*4/3))*(F4/7)^0.5</f>
        <v>2.0320245629733606</v>
      </c>
      <c r="V4" s="41">
        <f t="shared" ref="V4:V20" ca="1" si="74">IF(F4=7,U4,(Q4+I4+(LOG(J4)*4/3))*((F4+0.99)/7)^0.5)</f>
        <v>2.1932690796101708</v>
      </c>
      <c r="W4" s="32">
        <f t="shared" ref="W4:W20" ca="1" si="75">((K4+I4+(LOG(J4)*4/3))*0.597)+((L4+I4+(LOG(J4)*4/3))*0.276)</f>
        <v>5.7290930335294696</v>
      </c>
      <c r="X4" s="32">
        <f t="shared" ref="X4:X20" ca="1" si="76">((K4+I4+(LOG(J4)*4/3))*0.866)+((L4+I4+(LOG(J4)*4/3))*0.425)</f>
        <v>8.4385350587474743</v>
      </c>
      <c r="Y4" s="32">
        <f t="shared" ref="Y4:Y20" ca="1" si="77">W4</f>
        <v>5.7290930335294696</v>
      </c>
      <c r="Z4" s="32">
        <f t="shared" ref="Z4:Z20" ca="1" si="78">((L4+I4+(LOG(J4)*4/3))*0.516)</f>
        <v>2.6805360885466278</v>
      </c>
      <c r="AA4" s="32">
        <f t="shared" ref="AA4:AA20" ca="1" si="79">((L4+I4+(LOG(J4)*4/3))*1)</f>
        <v>5.1948373809043176</v>
      </c>
      <c r="AB4" s="32">
        <f t="shared" ref="AB4:AB20" ca="1" si="80">Z4/2</f>
        <v>1.3402680442733139</v>
      </c>
      <c r="AC4" s="32">
        <f t="shared" ref="AC4:AC20" ca="1" si="81">((M4+I4+(LOG(J4)*4/3))*0.238)</f>
        <v>0.28437129665522753</v>
      </c>
      <c r="AD4" s="32">
        <f t="shared" ref="AD4:AD20" ca="1" si="82">((L4+I4+(LOG(J4)*4/3))*0.378)</f>
        <v>1.963648529981832</v>
      </c>
      <c r="AE4" s="32">
        <f t="shared" ref="AE4:AE20" ca="1" si="83">((L4+I4+(LOG(J4)*4/3))*0.723)</f>
        <v>3.7558674263938214</v>
      </c>
      <c r="AF4" s="32">
        <f t="shared" ref="AF4:AF20" ca="1" si="84">AD4/2</f>
        <v>0.98182426499091602</v>
      </c>
      <c r="AG4" s="32">
        <f t="shared" ref="AG4:AG20" ca="1" si="85">((M4+I4+(LOG(J4)*4/3))*0.385)</f>
        <v>0.46001239164816221</v>
      </c>
      <c r="AH4" s="32">
        <f t="shared" ref="AH4:AH20" ca="1" si="86">((L4+I4+(LOG(J4)*4/3))*0.92)</f>
        <v>4.7792503904319723</v>
      </c>
      <c r="AI4" s="32">
        <f t="shared" ref="AI4:AI20" ca="1" si="87">((L4+I4+(LOG(J4)*4/3))*0.414)</f>
        <v>2.1506626756943872</v>
      </c>
      <c r="AJ4" s="32">
        <f t="shared" ref="AJ4:AJ20" ca="1" si="88">((M4+I4+(LOG(J4)*4/3))*0.167)</f>
        <v>0.199537842611021</v>
      </c>
      <c r="AK4" s="32">
        <f t="shared" ref="AK4:AK20" ca="1" si="89">((N4+I4+(LOG(J4)*4/3))*0.588)</f>
        <v>2.4665643799717385</v>
      </c>
      <c r="AL4" s="32">
        <f t="shared" ref="AL4:AL20" ca="1" si="90">((L4+I4+(LOG(J4)*4/3))*0.754)</f>
        <v>3.9169073852018554</v>
      </c>
      <c r="AM4" s="32">
        <f t="shared" ref="AM4:AM20" ca="1" si="91">((L4+I4+(LOG(J4)*4/3))*0.708)</f>
        <v>3.6779448656802565</v>
      </c>
      <c r="AN4" s="32">
        <f t="shared" ref="AN4:AN20" ca="1" si="92">((Q4+I4+(LOG(J4)*4/3))*0.167)</f>
        <v>0.36653784261102107</v>
      </c>
      <c r="AO4" s="32">
        <f t="shared" ref="AO4:AO20" ca="1" si="93">((R4+I4+(LOG(J4)*4/3))*0.288)</f>
        <v>0.59611316570044337</v>
      </c>
      <c r="AP4" s="32">
        <f t="shared" ref="AP4:AP20" ca="1" si="94">((L4+I4+(LOG(J4)*4/3))*0.27)</f>
        <v>1.4026060928441659</v>
      </c>
      <c r="AQ4" s="32">
        <f t="shared" ref="AQ4:AQ20" ca="1" si="95">((L4+I4+(LOG(J4)*4/3))*0.594)</f>
        <v>3.0857334042571645</v>
      </c>
      <c r="AR4" s="32">
        <f t="shared" ref="AR4:AR20" ca="1" si="96">AP4/2</f>
        <v>0.70130304642208297</v>
      </c>
      <c r="AS4" s="32">
        <f t="shared" ref="AS4:AS20" ca="1" si="97">((M4+I4+(LOG(J4)*4/3))*0.944)</f>
        <v>1.1279264875736754</v>
      </c>
      <c r="AT4" s="32">
        <f t="shared" ref="AT4:AT20" ca="1" si="98">((O4+I4+(LOG(J4)*4/3))*0.13)</f>
        <v>0.15532885951756126</v>
      </c>
      <c r="AU4" s="32">
        <f t="shared" ref="AU4:AU20" ca="1" si="99">((P4+I4+(LOG(J4)*4/3))*0.173)+((O4+I4+(LOG(J4)*4/3))*0.12)</f>
        <v>0.52308735260496497</v>
      </c>
      <c r="AV4" s="32">
        <f t="shared" ref="AV4:AV20" ca="1" si="100">AT4/2</f>
        <v>7.7664429758780629E-2</v>
      </c>
      <c r="AW4" s="32">
        <f t="shared" ref="AW4:AW20" ca="1" si="101">((L4+I4+(LOG(J4)*4/3))*0.189)</f>
        <v>0.98182426499091602</v>
      </c>
      <c r="AX4" s="32">
        <f t="shared" ref="AX4:AX20" ca="1" si="102">((L4+I4+(LOG(J4)*4/3))*0.4)</f>
        <v>2.0779349523617272</v>
      </c>
      <c r="AY4" s="32">
        <f t="shared" ref="AY4:AY20" ca="1" si="103">AW4/2</f>
        <v>0.49091213249545801</v>
      </c>
      <c r="AZ4" s="32">
        <f t="shared" ref="AZ4:AZ20" ca="1" si="104">((M4+I4+(LOG(J4)*4/3))*1)</f>
        <v>1.1948373809043173</v>
      </c>
      <c r="BA4" s="32">
        <f t="shared" ref="BA4:BA20" ca="1" si="105">((O4+I4+(LOG(J4)*4/3))*0.253)</f>
        <v>0.30229385736879227</v>
      </c>
      <c r="BB4" s="32">
        <f t="shared" ref="BB4:BB20" ca="1" si="106">((P4+I4+(LOG(J4)*4/3))*0.21)+((O4+I4+(LOG(J4)*4/3))*0.341)</f>
        <v>0.8683553968782789</v>
      </c>
      <c r="BC4" s="32">
        <f t="shared" ref="BC4:BC20" ca="1" si="107">BA4/2</f>
        <v>0.15114692868439614</v>
      </c>
      <c r="BD4" s="32">
        <f t="shared" ref="BD4:BD20" ca="1" si="108">((L4+I4+(LOG(J4)*4/3))*0.291)</f>
        <v>1.5116976778431563</v>
      </c>
      <c r="BE4" s="32">
        <f t="shared" ref="BE4:BE20" ca="1" si="109">((L4+I4+(LOG(J4)*4/3))*0.348)</f>
        <v>1.8078034085547023</v>
      </c>
      <c r="BF4" s="32">
        <f t="shared" ref="BF4:BF20" ca="1" si="110">((M4+I4+(LOG(J4)*4/3))*0.881)</f>
        <v>1.0526517325767035</v>
      </c>
      <c r="BG4" s="32">
        <f t="shared" ref="BG4:BG20" ca="1" si="111">((N4+I4+(LOG(J4)*4/3))*0.574)+((O4+I4+(LOG(J4)*4/3))*0.315)</f>
        <v>2.7842104316239382</v>
      </c>
      <c r="BH4" s="32">
        <f t="shared" ref="BH4:BH20" ca="1" si="112">((O4+I4+(LOG(J4)*4/3))*0.241)</f>
        <v>0.28795580879794047</v>
      </c>
      <c r="BI4" s="32">
        <f t="shared" ref="BI4:BI20" ca="1" si="113">((L4+I4+(LOG(J4)*4/3))*0.485)</f>
        <v>2.5194961297385938</v>
      </c>
      <c r="BJ4" s="32">
        <f t="shared" ref="BJ4:BJ20" ca="1" si="114">((L4+I4+(LOG(J4)*4/3))*0.264)</f>
        <v>1.3714370685587398</v>
      </c>
      <c r="BK4" s="32">
        <f t="shared" ref="BK4:BK20" ca="1" si="115">((M4+I4+(LOG(J4)*4/3))*0.381)</f>
        <v>0.45523304212454491</v>
      </c>
      <c r="BL4" s="32">
        <f t="shared" ref="BL4:BL20" ca="1" si="116">((N4+I4+(LOG(J4)*4/3))*0.673)+((O4+I4+(LOG(J4)*4/3))*0.201)</f>
        <v>3.0632878709103739</v>
      </c>
      <c r="BM4" s="32">
        <f t="shared" ref="BM4:BM20" ca="1" si="117">((O4+I4+(LOG(J4)*4/3))*0.052)</f>
        <v>6.21315438070245E-2</v>
      </c>
      <c r="BN4" s="32">
        <f t="shared" ref="BN4:BN20" ca="1" si="118">((L4+I4+(LOG(J4)*4/3))*0.18)</f>
        <v>0.93507072856277718</v>
      </c>
      <c r="BO4" s="32">
        <f t="shared" ref="BO4:BO20" ca="1" si="119">((L4+I4+(LOG(J4)*4/3))*0.068)</f>
        <v>0.35324894190149364</v>
      </c>
      <c r="BP4" s="32">
        <f t="shared" ref="BP4:BP20" ca="1" si="120">((M4+I4+(LOG(J4)*4/3))*0.305)</f>
        <v>0.36442540117581679</v>
      </c>
      <c r="BQ4" s="32">
        <f t="shared" ref="BQ4:BQ20" ca="1" si="121">((N4+I4+(LOG(J4)*4/3))*1)+((O4+I4+(LOG(J4)*4/3))*0.286)</f>
        <v>4.5365608718429522</v>
      </c>
      <c r="BR4" s="32">
        <f t="shared" ref="BR4:BR20" ca="1" si="122">((O4+I4+(LOG(J4)*4/3))*0.135)</f>
        <v>0.16130304642208285</v>
      </c>
      <c r="BS4" s="32">
        <f t="shared" ref="BS4:BS20" ca="1" si="123">((L4+I4+(LOG(J4)*4/3))*0.284)</f>
        <v>1.4753338161768261</v>
      </c>
      <c r="BT4" s="32">
        <f t="shared" ref="BT4:BT20" ca="1" si="124">((L4+I4+(LOG(J4)*4/3))*0.244)</f>
        <v>1.2675403209406535</v>
      </c>
      <c r="BU4" s="32">
        <f t="shared" ref="BU4:BU20" ca="1" si="125">((M4+I4+(LOG(J4)*4/3))*0.631)</f>
        <v>0.75394238735062424</v>
      </c>
      <c r="BV4" s="32">
        <f t="shared" ref="BV4:BV20" ca="1" si="126">((N4+I4+(LOG(J4)*4/3))*0.702)+((O4+I4+(LOG(J4)*4/3))*0.193)</f>
        <v>3.175379455909364</v>
      </c>
      <c r="BW4" s="32">
        <f t="shared" ref="BW4:BW20" ca="1" si="127">((O4+I4+(LOG(J4)*4/3))*0.148)</f>
        <v>0.17683593237383896</v>
      </c>
      <c r="BX4" s="32">
        <f t="shared" ref="BX4:BX20" ca="1" si="128">((M4+I4+(LOG(J4)*4/3))*0.406)</f>
        <v>0.48510397664715288</v>
      </c>
      <c r="BY4" s="32">
        <f t="shared" ref="BY4:BY20" ca="1" si="129">IF(D4="TEC",((N4+I4+(LOG(J4)*4/3))*0.15)+((O4+I4+(LOG(J4)*4/3))*0.324)+((P4+I4+(LOG(J4)*4/3))*0.127),((N4+I4+(LOG(J4)*4/3))*0.144)+((O4+I4+(LOG(J4)*4/3))*0.25)+((P4+I4+(LOG(J4)*4/3))*0.127))</f>
        <v>1.1815102754511493</v>
      </c>
      <c r="BZ4" s="32">
        <f t="shared" ref="BZ4:BZ20" ca="1" si="130">IF(D4="TEC",((O4+I4+(LOG(J4)*4/3))*0.543)+((P4+I4+(LOG(J4)*4/3))*0.583),((O4+I4+(LOG(J4)*4/3))*0.543)+((P4+I4+(LOG(J4)*4/3))*0.583))</f>
        <v>1.9283868908982615</v>
      </c>
      <c r="CA4" s="32">
        <f t="shared" ref="CA4:CA20" ca="1" si="131">BY4</f>
        <v>1.1815102754511493</v>
      </c>
      <c r="CB4" s="32">
        <f t="shared" ref="CB4:CB20" ca="1" si="132">((P4+I4+(LOG(J4)*4/3))*0.26)+((N4+I4+(LOG(J4)*4/3))*0.221)+((O4+I4+(LOG(J4)*4/3))*0.142)</f>
        <v>1.6673836883033897</v>
      </c>
      <c r="CC4" s="32">
        <f t="shared" ref="CC4:CC20" ca="1" si="133">((P4+I4+(LOG(J4)*4/3))*1)+((O4+I4+(LOG(J4)*4/3))*0.369)</f>
        <v>2.6357323744580108</v>
      </c>
      <c r="CD4" s="32">
        <f t="shared" ref="CD4:CD20" ca="1" si="134">CB4</f>
        <v>1.6673836883033897</v>
      </c>
      <c r="CE4" s="32">
        <f t="shared" ref="CE4:CE20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22</v>
      </c>
      <c r="C5" s="30">
        <f ca="1">PLANTILLA!F6</f>
        <v>49</v>
      </c>
      <c r="D5" s="134">
        <f>PLANTILLA!G6</f>
        <v>0</v>
      </c>
      <c r="E5" s="28">
        <f>PLANTILLA!M6</f>
        <v>43395</v>
      </c>
      <c r="F5" s="42">
        <f>PLANTILLA!Q6</f>
        <v>4</v>
      </c>
      <c r="G5" s="43">
        <f t="shared" si="68"/>
        <v>0.7559289460184544</v>
      </c>
      <c r="H5" s="43">
        <f t="shared" si="69"/>
        <v>0.84430867747355465</v>
      </c>
      <c r="I5" s="140">
        <f ca="1">PLANTILLA!N6</f>
        <v>0.81910830823965308</v>
      </c>
      <c r="J5" s="34">
        <f>PLANTILLA!I6</f>
        <v>2.6</v>
      </c>
      <c r="K5" s="41">
        <f>PLANTILLA!X6</f>
        <v>0</v>
      </c>
      <c r="L5" s="41">
        <f>PLANTILLA!Y6</f>
        <v>14.5625</v>
      </c>
      <c r="M5" s="41">
        <f>PLANTILLA!Z6</f>
        <v>5</v>
      </c>
      <c r="N5" s="41">
        <f>PLANTILLA!AA6</f>
        <v>5.4</v>
      </c>
      <c r="O5" s="41">
        <f>PLANTILLA!AB6</f>
        <v>5</v>
      </c>
      <c r="P5" s="41">
        <f>PLANTILLA!AC6</f>
        <v>2</v>
      </c>
      <c r="Q5" s="41">
        <f>PLANTILLA!AD6</f>
        <v>1</v>
      </c>
      <c r="R5" s="41">
        <f t="shared" si="70"/>
        <v>3.4453125</v>
      </c>
      <c r="S5" s="41">
        <f t="shared" si="71"/>
        <v>0.13</v>
      </c>
      <c r="T5" s="41">
        <f t="shared" si="72"/>
        <v>0.61250000000000004</v>
      </c>
      <c r="U5" s="41">
        <f t="shared" ca="1" si="73"/>
        <v>1.7933704468841212</v>
      </c>
      <c r="V5" s="41">
        <f t="shared" ca="1" si="74"/>
        <v>2.0030430613936629</v>
      </c>
      <c r="W5" s="32">
        <f t="shared" ca="1" si="75"/>
        <v>5.2173605301312493</v>
      </c>
      <c r="X5" s="32">
        <f t="shared" ca="1" si="76"/>
        <v>7.960838782244493</v>
      </c>
      <c r="Y5" s="32">
        <f t="shared" ca="1" si="77"/>
        <v>5.2173605301312493</v>
      </c>
      <c r="Z5" s="32">
        <f t="shared" ca="1" si="78"/>
        <v>8.2224115504555826</v>
      </c>
      <c r="AA5" s="32">
        <f t="shared" ca="1" si="79"/>
        <v>15.934906105534075</v>
      </c>
      <c r="AB5" s="32">
        <f t="shared" ca="1" si="80"/>
        <v>4.1112057752277913</v>
      </c>
      <c r="AC5" s="32">
        <f t="shared" ca="1" si="81"/>
        <v>1.5166326531171104</v>
      </c>
      <c r="AD5" s="32">
        <f t="shared" ca="1" si="82"/>
        <v>6.0233945078918802</v>
      </c>
      <c r="AE5" s="32">
        <f t="shared" ca="1" si="83"/>
        <v>11.520937114301136</v>
      </c>
      <c r="AF5" s="32">
        <f t="shared" ca="1" si="84"/>
        <v>3.0116972539459401</v>
      </c>
      <c r="AG5" s="32">
        <f t="shared" ca="1" si="85"/>
        <v>2.4533763506306197</v>
      </c>
      <c r="AH5" s="32">
        <f t="shared" ca="1" si="86"/>
        <v>14.66011361709135</v>
      </c>
      <c r="AI5" s="32">
        <f t="shared" ca="1" si="87"/>
        <v>6.597051127691107</v>
      </c>
      <c r="AJ5" s="32">
        <f t="shared" ca="1" si="88"/>
        <v>1.0641918196241911</v>
      </c>
      <c r="AK5" s="32">
        <f t="shared" ca="1" si="89"/>
        <v>3.9821747900540374</v>
      </c>
      <c r="AL5" s="32">
        <f t="shared" ca="1" si="90"/>
        <v>12.014919203572694</v>
      </c>
      <c r="AM5" s="32">
        <f t="shared" ca="1" si="91"/>
        <v>11.281913522718124</v>
      </c>
      <c r="AN5" s="32">
        <f t="shared" ca="1" si="92"/>
        <v>0.39619181962419092</v>
      </c>
      <c r="AO5" s="32">
        <f t="shared" ca="1" si="93"/>
        <v>1.3875029583938141</v>
      </c>
      <c r="AP5" s="32">
        <f t="shared" ca="1" si="94"/>
        <v>4.3024246484942008</v>
      </c>
      <c r="AQ5" s="32">
        <f t="shared" ca="1" si="95"/>
        <v>9.46533422668724</v>
      </c>
      <c r="AR5" s="32">
        <f t="shared" ca="1" si="96"/>
        <v>2.1512123242471004</v>
      </c>
      <c r="AS5" s="32">
        <f t="shared" ca="1" si="97"/>
        <v>6.0155513636241684</v>
      </c>
      <c r="AT5" s="32">
        <f t="shared" ca="1" si="98"/>
        <v>0.82841279371943011</v>
      </c>
      <c r="AU5" s="32">
        <f t="shared" ca="1" si="99"/>
        <v>1.3481149889214845</v>
      </c>
      <c r="AV5" s="32">
        <f t="shared" ca="1" si="100"/>
        <v>0.41420639685971505</v>
      </c>
      <c r="AW5" s="32">
        <f t="shared" ca="1" si="101"/>
        <v>3.0116972539459401</v>
      </c>
      <c r="AX5" s="32">
        <f t="shared" ca="1" si="102"/>
        <v>6.3739624422136307</v>
      </c>
      <c r="AY5" s="32">
        <f t="shared" ca="1" si="103"/>
        <v>1.5058486269729701</v>
      </c>
      <c r="AZ5" s="32">
        <f t="shared" ca="1" si="104"/>
        <v>6.3724061055340773</v>
      </c>
      <c r="BA5" s="32">
        <f t="shared" ca="1" si="105"/>
        <v>1.6122187447001215</v>
      </c>
      <c r="BB5" s="32">
        <f t="shared" ca="1" si="106"/>
        <v>2.8811957641492767</v>
      </c>
      <c r="BC5" s="32">
        <f t="shared" ca="1" si="107"/>
        <v>0.80610937235006075</v>
      </c>
      <c r="BD5" s="32">
        <f t="shared" ca="1" si="108"/>
        <v>4.6370576767104152</v>
      </c>
      <c r="BE5" s="32">
        <f t="shared" ca="1" si="109"/>
        <v>5.5453473247258582</v>
      </c>
      <c r="BF5" s="32">
        <f t="shared" ca="1" si="110"/>
        <v>5.6140897789755222</v>
      </c>
      <c r="BG5" s="32">
        <f t="shared" ca="1" si="111"/>
        <v>5.8946690278197948</v>
      </c>
      <c r="BH5" s="32">
        <f t="shared" ca="1" si="112"/>
        <v>1.5357498714337126</v>
      </c>
      <c r="BI5" s="32">
        <f t="shared" ca="1" si="113"/>
        <v>7.7284294611840263</v>
      </c>
      <c r="BJ5" s="32">
        <f t="shared" ca="1" si="114"/>
        <v>4.2068152118609961</v>
      </c>
      <c r="BK5" s="32">
        <f t="shared" ca="1" si="115"/>
        <v>2.4278867262084836</v>
      </c>
      <c r="BL5" s="32">
        <f t="shared" ca="1" si="116"/>
        <v>5.8386829362367845</v>
      </c>
      <c r="BM5" s="32">
        <f t="shared" ca="1" si="117"/>
        <v>0.33136511748777198</v>
      </c>
      <c r="BN5" s="32">
        <f t="shared" ca="1" si="118"/>
        <v>2.8682830989961334</v>
      </c>
      <c r="BO5" s="32">
        <f t="shared" ca="1" si="119"/>
        <v>1.0835736151763171</v>
      </c>
      <c r="BP5" s="32">
        <f t="shared" ca="1" si="120"/>
        <v>1.9435838621878936</v>
      </c>
      <c r="BQ5" s="32">
        <f t="shared" ca="1" si="121"/>
        <v>8.5949142517168227</v>
      </c>
      <c r="BR5" s="32">
        <f t="shared" ca="1" si="122"/>
        <v>0.86027482424710044</v>
      </c>
      <c r="BS5" s="32">
        <f t="shared" ca="1" si="123"/>
        <v>4.5255133339716771</v>
      </c>
      <c r="BT5" s="32">
        <f t="shared" ca="1" si="124"/>
        <v>3.8881170897503141</v>
      </c>
      <c r="BU5" s="32">
        <f t="shared" ca="1" si="125"/>
        <v>4.0209882525920024</v>
      </c>
      <c r="BV5" s="32">
        <f t="shared" ca="1" si="126"/>
        <v>5.9841034644529989</v>
      </c>
      <c r="BW5" s="32">
        <f t="shared" ca="1" si="127"/>
        <v>0.94311610361904341</v>
      </c>
      <c r="BX5" s="32">
        <f t="shared" ca="1" si="128"/>
        <v>2.5871968788468354</v>
      </c>
      <c r="BY5" s="32">
        <f t="shared" ca="1" si="129"/>
        <v>2.9966235809832544</v>
      </c>
      <c r="BZ5" s="32">
        <f t="shared" ca="1" si="130"/>
        <v>5.426329274831371</v>
      </c>
      <c r="CA5" s="32">
        <f t="shared" ca="1" si="131"/>
        <v>2.9966235809832544</v>
      </c>
      <c r="CB5" s="32">
        <f t="shared" ca="1" si="132"/>
        <v>3.2784090037477305</v>
      </c>
      <c r="CC5" s="32">
        <f t="shared" ca="1" si="133"/>
        <v>5.7238239584761512</v>
      </c>
      <c r="CD5" s="32">
        <f t="shared" ca="1" si="134"/>
        <v>3.2784090037477305</v>
      </c>
      <c r="CE5" s="32">
        <f t="shared" ca="1" si="135"/>
        <v>1.5931015263835193</v>
      </c>
    </row>
    <row r="6" spans="1:83" x14ac:dyDescent="0.25">
      <c r="A6" t="str">
        <f>PLANTILLA!D7</f>
        <v>Iván Real Figueroa</v>
      </c>
      <c r="B6">
        <f>PLANTILLA!E7</f>
        <v>22</v>
      </c>
      <c r="C6" s="30">
        <f ca="1">PLANTILLA!F7</f>
        <v>30</v>
      </c>
      <c r="D6" s="134">
        <f>PLANTILLA!G7</f>
        <v>0</v>
      </c>
      <c r="E6" s="28">
        <f>PLANTILLA!M7</f>
        <v>43410</v>
      </c>
      <c r="F6" s="42">
        <f>PLANTILLA!Q7</f>
        <v>5</v>
      </c>
      <c r="G6" s="43">
        <f t="shared" si="68"/>
        <v>0.84515425472851657</v>
      </c>
      <c r="H6" s="43">
        <f t="shared" si="69"/>
        <v>0.92504826128926143</v>
      </c>
      <c r="I6" s="140">
        <f ca="1">PLANTILLA!N7</f>
        <v>0.78678220658129916</v>
      </c>
      <c r="J6" s="34">
        <f>PLANTILLA!I7</f>
        <v>3.6</v>
      </c>
      <c r="K6" s="41">
        <f>PLANTILLA!X7</f>
        <v>0</v>
      </c>
      <c r="L6" s="41">
        <f>PLANTILLA!Y7</f>
        <v>14.5</v>
      </c>
      <c r="M6" s="41">
        <f>PLANTILLA!Z7</f>
        <v>5</v>
      </c>
      <c r="N6" s="41">
        <f>PLANTILLA!AA7</f>
        <v>7</v>
      </c>
      <c r="O6" s="41">
        <f>PLANTILLA!AB7</f>
        <v>5</v>
      </c>
      <c r="P6" s="41">
        <f>PLANTILLA!AC7</f>
        <v>1</v>
      </c>
      <c r="Q6" s="41">
        <f>PLANTILLA!AD7</f>
        <v>0</v>
      </c>
      <c r="R6" s="41">
        <f t="shared" si="70"/>
        <v>3.4375</v>
      </c>
      <c r="S6" s="41">
        <f t="shared" si="71"/>
        <v>0.05</v>
      </c>
      <c r="T6" s="41">
        <f t="shared" si="72"/>
        <v>0.58000000000000007</v>
      </c>
      <c r="U6" s="41">
        <f t="shared" ca="1" si="73"/>
        <v>1.2918342300229912</v>
      </c>
      <c r="V6" s="41">
        <f t="shared" ca="1" si="74"/>
        <v>1.4139537269922222</v>
      </c>
      <c r="W6" s="32">
        <f t="shared" ca="1" si="75"/>
        <v>5.3363969772385973</v>
      </c>
      <c r="X6" s="32">
        <f t="shared" ca="1" si="76"/>
        <v>8.1358178666838814</v>
      </c>
      <c r="Y6" s="32">
        <f t="shared" ca="1" si="77"/>
        <v>5.3363969772385973</v>
      </c>
      <c r="Z6" s="32">
        <f t="shared" ca="1" si="78"/>
        <v>8.2707157391238439</v>
      </c>
      <c r="AA6" s="32">
        <f t="shared" ca="1" si="79"/>
        <v>16.028518874271015</v>
      </c>
      <c r="AB6" s="32">
        <f t="shared" ca="1" si="80"/>
        <v>4.135357869561922</v>
      </c>
      <c r="AC6" s="32">
        <f t="shared" ca="1" si="81"/>
        <v>1.5537874920765016</v>
      </c>
      <c r="AD6" s="32">
        <f t="shared" ca="1" si="82"/>
        <v>6.0587801344744436</v>
      </c>
      <c r="AE6" s="32">
        <f t="shared" ca="1" si="83"/>
        <v>11.588619146097944</v>
      </c>
      <c r="AF6" s="32">
        <f t="shared" ca="1" si="84"/>
        <v>3.0293900672372218</v>
      </c>
      <c r="AG6" s="32">
        <f t="shared" ca="1" si="85"/>
        <v>2.5134797665943411</v>
      </c>
      <c r="AH6" s="32">
        <f t="shared" ca="1" si="86"/>
        <v>14.746237364329334</v>
      </c>
      <c r="AI6" s="32">
        <f t="shared" ca="1" si="87"/>
        <v>6.6358068139482</v>
      </c>
      <c r="AJ6" s="32">
        <f t="shared" ca="1" si="88"/>
        <v>1.0902626520032597</v>
      </c>
      <c r="AK6" s="32">
        <f t="shared" ca="1" si="89"/>
        <v>5.0147690980713566</v>
      </c>
      <c r="AL6" s="32">
        <f t="shared" ca="1" si="90"/>
        <v>12.085503231200345</v>
      </c>
      <c r="AM6" s="32">
        <f t="shared" ca="1" si="91"/>
        <v>11.348191362983878</v>
      </c>
      <c r="AN6" s="32">
        <f t="shared" ca="1" si="92"/>
        <v>0.25526265200325965</v>
      </c>
      <c r="AO6" s="32">
        <f t="shared" ca="1" si="93"/>
        <v>1.4302134357900524</v>
      </c>
      <c r="AP6" s="32">
        <f t="shared" ca="1" si="94"/>
        <v>4.3277000960531744</v>
      </c>
      <c r="AQ6" s="32">
        <f t="shared" ca="1" si="95"/>
        <v>9.520940211316983</v>
      </c>
      <c r="AR6" s="32">
        <f t="shared" ca="1" si="96"/>
        <v>2.1638500480265872</v>
      </c>
      <c r="AS6" s="32">
        <f t="shared" ca="1" si="97"/>
        <v>6.1629218173118385</v>
      </c>
      <c r="AT6" s="32">
        <f t="shared" ca="1" si="98"/>
        <v>0.84870745365523204</v>
      </c>
      <c r="AU6" s="32">
        <f t="shared" ca="1" si="99"/>
        <v>1.2208560301614075</v>
      </c>
      <c r="AV6" s="32">
        <f t="shared" ca="1" si="100"/>
        <v>0.42435372682761602</v>
      </c>
      <c r="AW6" s="32">
        <f t="shared" ca="1" si="101"/>
        <v>3.0293900672372218</v>
      </c>
      <c r="AX6" s="32">
        <f t="shared" ca="1" si="102"/>
        <v>6.4114075497084064</v>
      </c>
      <c r="AY6" s="32">
        <f t="shared" ca="1" si="103"/>
        <v>1.5146950336186109</v>
      </c>
      <c r="AZ6" s="32">
        <f t="shared" ca="1" si="104"/>
        <v>6.5285188742710156</v>
      </c>
      <c r="BA6" s="32">
        <f t="shared" ca="1" si="105"/>
        <v>1.651715275190567</v>
      </c>
      <c r="BB6" s="32">
        <f t="shared" ca="1" si="106"/>
        <v>2.7572138997233298</v>
      </c>
      <c r="BC6" s="32">
        <f t="shared" ca="1" si="107"/>
        <v>0.82585763759528352</v>
      </c>
      <c r="BD6" s="32">
        <f t="shared" ca="1" si="108"/>
        <v>4.6642989924128653</v>
      </c>
      <c r="BE6" s="32">
        <f t="shared" ca="1" si="109"/>
        <v>5.5779245682463126</v>
      </c>
      <c r="BF6" s="32">
        <f t="shared" ca="1" si="110"/>
        <v>5.7516251282327646</v>
      </c>
      <c r="BG6" s="32">
        <f t="shared" ca="1" si="111"/>
        <v>6.9518532792269312</v>
      </c>
      <c r="BH6" s="32">
        <f t="shared" ca="1" si="112"/>
        <v>1.5733730486993147</v>
      </c>
      <c r="BI6" s="32">
        <f t="shared" ca="1" si="113"/>
        <v>7.7738316540214418</v>
      </c>
      <c r="BJ6" s="32">
        <f t="shared" ca="1" si="114"/>
        <v>4.2315289828075482</v>
      </c>
      <c r="BK6" s="32">
        <f t="shared" ca="1" si="115"/>
        <v>2.4873656910972568</v>
      </c>
      <c r="BL6" s="32">
        <f t="shared" ca="1" si="116"/>
        <v>7.0519254961128679</v>
      </c>
      <c r="BM6" s="32">
        <f t="shared" ca="1" si="117"/>
        <v>0.33948298146209277</v>
      </c>
      <c r="BN6" s="32">
        <f t="shared" ca="1" si="118"/>
        <v>2.8851333973687825</v>
      </c>
      <c r="BO6" s="32">
        <f t="shared" ca="1" si="119"/>
        <v>1.0899392834504291</v>
      </c>
      <c r="BP6" s="32">
        <f t="shared" ca="1" si="120"/>
        <v>1.9911982566526598</v>
      </c>
      <c r="BQ6" s="32">
        <f t="shared" ca="1" si="121"/>
        <v>10.395675272312525</v>
      </c>
      <c r="BR6" s="32">
        <f t="shared" ca="1" si="122"/>
        <v>0.88135004802658712</v>
      </c>
      <c r="BS6" s="32">
        <f t="shared" ca="1" si="123"/>
        <v>4.552099360292968</v>
      </c>
      <c r="BT6" s="32">
        <f t="shared" ca="1" si="124"/>
        <v>3.9109586053221275</v>
      </c>
      <c r="BU6" s="32">
        <f t="shared" ca="1" si="125"/>
        <v>4.1194954096650109</v>
      </c>
      <c r="BV6" s="32">
        <f t="shared" ca="1" si="126"/>
        <v>7.2470243924725573</v>
      </c>
      <c r="BW6" s="32">
        <f t="shared" ca="1" si="127"/>
        <v>0.96622079339211031</v>
      </c>
      <c r="BX6" s="32">
        <f t="shared" ca="1" si="128"/>
        <v>2.6505786629540324</v>
      </c>
      <c r="BY6" s="32">
        <f t="shared" ca="1" si="129"/>
        <v>3.1813583334951989</v>
      </c>
      <c r="BZ6" s="32">
        <f t="shared" ca="1" si="130"/>
        <v>5.0191122524291636</v>
      </c>
      <c r="CA6" s="32">
        <f t="shared" ca="1" si="131"/>
        <v>3.1813583334951989</v>
      </c>
      <c r="CB6" s="32">
        <f t="shared" ca="1" si="132"/>
        <v>3.4692672586708424</v>
      </c>
      <c r="CC6" s="32">
        <f t="shared" ca="1" si="133"/>
        <v>4.9375423388770203</v>
      </c>
      <c r="CD6" s="32">
        <f t="shared" ca="1" si="134"/>
        <v>3.4692672586708424</v>
      </c>
      <c r="CE6" s="32">
        <f t="shared" ca="1" si="135"/>
        <v>1.6321297185677539</v>
      </c>
    </row>
    <row r="7" spans="1:83" x14ac:dyDescent="0.25">
      <c r="A7" t="str">
        <f>PLANTILLA!D8</f>
        <v>Berto Abandero</v>
      </c>
      <c r="B7">
        <f>PLANTILLA!E8</f>
        <v>22</v>
      </c>
      <c r="C7" s="30">
        <f ca="1">PLANTILLA!F8</f>
        <v>80</v>
      </c>
      <c r="D7" s="134">
        <f>PLANTILLA!G8</f>
        <v>0</v>
      </c>
      <c r="E7" s="28">
        <f>PLANTILLA!M8</f>
        <v>43383</v>
      </c>
      <c r="F7" s="42">
        <f>PLANTILLA!Q8</f>
        <v>5</v>
      </c>
      <c r="G7" s="43">
        <f t="shared" si="68"/>
        <v>0.84515425472851657</v>
      </c>
      <c r="H7" s="43">
        <f t="shared" si="69"/>
        <v>0.92504826128926143</v>
      </c>
      <c r="I7" s="140">
        <f ca="1">PLANTILLA!N8</f>
        <v>0.8444607609722582</v>
      </c>
      <c r="J7" s="34">
        <f>PLANTILLA!I8</f>
        <v>3.8</v>
      </c>
      <c r="K7" s="41">
        <f>PLANTILLA!X8</f>
        <v>0</v>
      </c>
      <c r="L7" s="41">
        <f>PLANTILLA!Y8</f>
        <v>12.454545454545455</v>
      </c>
      <c r="M7" s="41">
        <f>PLANTILLA!Z8</f>
        <v>3</v>
      </c>
      <c r="N7" s="41">
        <f>PLANTILLA!AA8</f>
        <v>7.1999999999999993</v>
      </c>
      <c r="O7" s="41">
        <f>PLANTILLA!AB8</f>
        <v>10</v>
      </c>
      <c r="P7" s="41">
        <f>PLANTILLA!AC8</f>
        <v>3</v>
      </c>
      <c r="Q7" s="41">
        <f>PLANTILLA!AD8</f>
        <v>2</v>
      </c>
      <c r="R7" s="41">
        <f t="shared" si="70"/>
        <v>4.4318181818181817</v>
      </c>
      <c r="S7" s="41">
        <f t="shared" si="71"/>
        <v>0.21000000000000002</v>
      </c>
      <c r="T7" s="41">
        <f t="shared" si="72"/>
        <v>0.55818181818181822</v>
      </c>
      <c r="U7" s="41">
        <f t="shared" ca="1" si="73"/>
        <v>3.05735021254735</v>
      </c>
      <c r="V7" s="41">
        <f t="shared" ca="1" si="74"/>
        <v>3.346367225208803</v>
      </c>
      <c r="W7" s="32">
        <f t="shared" ca="1" si="75"/>
        <v>4.8495368962452936</v>
      </c>
      <c r="X7" s="32">
        <f t="shared" ca="1" si="76"/>
        <v>7.3813814915734053</v>
      </c>
      <c r="Y7" s="32">
        <f t="shared" ca="1" si="77"/>
        <v>4.8495368962452936</v>
      </c>
      <c r="Z7" s="32">
        <f t="shared" ca="1" si="78"/>
        <v>7.2611783216795045</v>
      </c>
      <c r="AA7" s="32">
        <f t="shared" ca="1" si="79"/>
        <v>14.072051011006792</v>
      </c>
      <c r="AB7" s="32">
        <f t="shared" ca="1" si="80"/>
        <v>3.6305891608397522</v>
      </c>
      <c r="AC7" s="32">
        <f t="shared" ca="1" si="81"/>
        <v>1.0989663224377986</v>
      </c>
      <c r="AD7" s="32">
        <f t="shared" ca="1" si="82"/>
        <v>5.3192352821605677</v>
      </c>
      <c r="AE7" s="32">
        <f t="shared" ca="1" si="83"/>
        <v>10.174092880957911</v>
      </c>
      <c r="AF7" s="32">
        <f t="shared" ca="1" si="84"/>
        <v>2.6596176410802839</v>
      </c>
      <c r="AG7" s="32">
        <f t="shared" ca="1" si="85"/>
        <v>1.7777396392376155</v>
      </c>
      <c r="AH7" s="32">
        <f t="shared" ca="1" si="86"/>
        <v>12.946286930126249</v>
      </c>
      <c r="AI7" s="32">
        <f t="shared" ca="1" si="87"/>
        <v>5.8258291185568112</v>
      </c>
      <c r="AJ7" s="32">
        <f t="shared" ca="1" si="88"/>
        <v>0.77112342792904365</v>
      </c>
      <c r="AK7" s="32">
        <f t="shared" ca="1" si="89"/>
        <v>5.1846932671992656</v>
      </c>
      <c r="AL7" s="32">
        <f t="shared" ca="1" si="90"/>
        <v>10.61032646229912</v>
      </c>
      <c r="AM7" s="32">
        <f t="shared" ca="1" si="91"/>
        <v>9.9630121157928091</v>
      </c>
      <c r="AN7" s="32">
        <f t="shared" ca="1" si="92"/>
        <v>0.6041234279290435</v>
      </c>
      <c r="AO7" s="32">
        <f t="shared" ca="1" si="93"/>
        <v>1.7422052366245018</v>
      </c>
      <c r="AP7" s="32">
        <f t="shared" ca="1" si="94"/>
        <v>3.7994537729718343</v>
      </c>
      <c r="AQ7" s="32">
        <f t="shared" ca="1" si="95"/>
        <v>8.3587983005380337</v>
      </c>
      <c r="AR7" s="32">
        <f t="shared" ca="1" si="96"/>
        <v>1.8997268864859171</v>
      </c>
      <c r="AS7" s="32">
        <f t="shared" ca="1" si="97"/>
        <v>4.3589252452995035</v>
      </c>
      <c r="AT7" s="32">
        <f t="shared" ca="1" si="98"/>
        <v>1.5102757223399739</v>
      </c>
      <c r="AU7" s="32">
        <f t="shared" ca="1" si="99"/>
        <v>2.192929128043172</v>
      </c>
      <c r="AV7" s="32">
        <f t="shared" ca="1" si="100"/>
        <v>0.75513786116998693</v>
      </c>
      <c r="AW7" s="32">
        <f t="shared" ca="1" si="101"/>
        <v>2.6596176410802839</v>
      </c>
      <c r="AX7" s="32">
        <f t="shared" ca="1" si="102"/>
        <v>5.6288204044027168</v>
      </c>
      <c r="AY7" s="32">
        <f t="shared" ca="1" si="103"/>
        <v>1.3298088205401419</v>
      </c>
      <c r="AZ7" s="32">
        <f t="shared" ca="1" si="104"/>
        <v>4.6175055564613388</v>
      </c>
      <c r="BA7" s="32">
        <f t="shared" ca="1" si="105"/>
        <v>2.9392289057847183</v>
      </c>
      <c r="BB7" s="32">
        <f t="shared" ca="1" si="106"/>
        <v>4.9312455616101971</v>
      </c>
      <c r="BC7" s="32">
        <f t="shared" ca="1" si="107"/>
        <v>1.4696144528923591</v>
      </c>
      <c r="BD7" s="32">
        <f t="shared" ca="1" si="108"/>
        <v>4.0949668442029763</v>
      </c>
      <c r="BE7" s="32">
        <f t="shared" ca="1" si="109"/>
        <v>4.8970737518303631</v>
      </c>
      <c r="BF7" s="32">
        <f t="shared" ca="1" si="110"/>
        <v>4.0680223952424397</v>
      </c>
      <c r="BG7" s="32">
        <f t="shared" ca="1" si="111"/>
        <v>8.720762439694127</v>
      </c>
      <c r="BH7" s="32">
        <f t="shared" ca="1" si="112"/>
        <v>2.7998188391071821</v>
      </c>
      <c r="BI7" s="32">
        <f t="shared" ca="1" si="113"/>
        <v>6.8249447403382941</v>
      </c>
      <c r="BJ7" s="32">
        <f t="shared" ca="1" si="114"/>
        <v>3.7150214669057933</v>
      </c>
      <c r="BK7" s="32">
        <f t="shared" ca="1" si="115"/>
        <v>1.7592696170117701</v>
      </c>
      <c r="BL7" s="32">
        <f t="shared" ca="1" si="116"/>
        <v>8.2692998563472084</v>
      </c>
      <c r="BM7" s="32">
        <f t="shared" ca="1" si="117"/>
        <v>0.6041102889359895</v>
      </c>
      <c r="BN7" s="32">
        <f t="shared" ca="1" si="118"/>
        <v>2.5329691819812226</v>
      </c>
      <c r="BO7" s="32">
        <f t="shared" ca="1" si="119"/>
        <v>0.95689946874846188</v>
      </c>
      <c r="BP7" s="32">
        <f t="shared" ca="1" si="120"/>
        <v>1.4083391947207082</v>
      </c>
      <c r="BQ7" s="32">
        <f t="shared" ca="1" si="121"/>
        <v>12.140112145609278</v>
      </c>
      <c r="BR7" s="32">
        <f t="shared" ca="1" si="122"/>
        <v>1.5683632501222806</v>
      </c>
      <c r="BS7" s="32">
        <f t="shared" ca="1" si="123"/>
        <v>3.9964624871259287</v>
      </c>
      <c r="BT7" s="32">
        <f t="shared" ca="1" si="124"/>
        <v>3.433580446685657</v>
      </c>
      <c r="BU7" s="32">
        <f t="shared" ca="1" si="125"/>
        <v>2.9136460061271046</v>
      </c>
      <c r="BV7" s="32">
        <f t="shared" ca="1" si="126"/>
        <v>8.4320674730328946</v>
      </c>
      <c r="BW7" s="32">
        <f t="shared" ca="1" si="127"/>
        <v>1.7193908223562777</v>
      </c>
      <c r="BX7" s="32">
        <f t="shared" ca="1" si="128"/>
        <v>1.8747072559233036</v>
      </c>
      <c r="BY7" s="32">
        <f t="shared" ca="1" si="129"/>
        <v>4.7605203949163561</v>
      </c>
      <c r="BZ7" s="32">
        <f t="shared" ca="1" si="130"/>
        <v>9.0003112565754666</v>
      </c>
      <c r="CA7" s="32">
        <f t="shared" ca="1" si="131"/>
        <v>4.7605203949163561</v>
      </c>
      <c r="CB7" s="32">
        <f t="shared" ca="1" si="132"/>
        <v>4.7989059616754135</v>
      </c>
      <c r="CC7" s="32">
        <f t="shared" ca="1" si="133"/>
        <v>8.9043651067955718</v>
      </c>
      <c r="CD7" s="32">
        <f t="shared" ca="1" si="134"/>
        <v>4.7989059616754135</v>
      </c>
      <c r="CE7" s="32">
        <f t="shared" ca="1" si="135"/>
        <v>1.1543763891153347</v>
      </c>
    </row>
    <row r="8" spans="1:83" x14ac:dyDescent="0.25">
      <c r="A8" t="str">
        <f>PLANTILLA!D9</f>
        <v>Guillermo Pedrajas</v>
      </c>
      <c r="B8">
        <f>PLANTILLA!E9</f>
        <v>22</v>
      </c>
      <c r="C8" s="30">
        <f ca="1">PLANTILLA!F9</f>
        <v>65</v>
      </c>
      <c r="D8" s="134">
        <f>PLANTILLA!G9</f>
        <v>0</v>
      </c>
      <c r="E8" s="28">
        <f>PLANTILLA!M9</f>
        <v>43419</v>
      </c>
      <c r="F8" s="42">
        <f>PLANTILLA!Q9</f>
        <v>6</v>
      </c>
      <c r="G8" s="43">
        <f t="shared" si="68"/>
        <v>0.92582009977255142</v>
      </c>
      <c r="H8" s="43">
        <f t="shared" si="69"/>
        <v>0.99928545900129484</v>
      </c>
      <c r="I8" s="140">
        <f ca="1">PLANTILLA!N9</f>
        <v>0.76702366970655766</v>
      </c>
      <c r="J8" s="34">
        <f>PLANTILLA!I9</f>
        <v>4.4000000000000004</v>
      </c>
      <c r="K8" s="41">
        <f>PLANTILLA!X9</f>
        <v>0</v>
      </c>
      <c r="L8" s="41">
        <f>PLANTILLA!Y9</f>
        <v>10.333333333333334</v>
      </c>
      <c r="M8" s="41">
        <f>PLANTILLA!Z9</f>
        <v>11</v>
      </c>
      <c r="N8" s="41">
        <f>PLANTILLA!AA9</f>
        <v>4</v>
      </c>
      <c r="O8" s="41">
        <f>PLANTILLA!AB9</f>
        <v>9</v>
      </c>
      <c r="P8" s="41">
        <f>PLANTILLA!AC9</f>
        <v>4</v>
      </c>
      <c r="Q8" s="41">
        <f>PLANTILLA!AD9</f>
        <v>1</v>
      </c>
      <c r="R8" s="41">
        <f t="shared" si="70"/>
        <v>3.916666666666667</v>
      </c>
      <c r="S8" s="41">
        <f t="shared" si="71"/>
        <v>0.22999999999999998</v>
      </c>
      <c r="T8" s="41">
        <f t="shared" si="72"/>
        <v>0.44333333333333336</v>
      </c>
      <c r="U8" s="41">
        <f t="shared" ca="1" si="73"/>
        <v>2.4302412583793283</v>
      </c>
      <c r="V8" s="41">
        <f t="shared" ca="1" si="74"/>
        <v>2.6230849297396852</v>
      </c>
      <c r="W8" s="32">
        <f t="shared" ca="1" si="75"/>
        <v>4.2705905790837475</v>
      </c>
      <c r="X8" s="32">
        <f t="shared" ca="1" si="76"/>
        <v>6.4894907647160558</v>
      </c>
      <c r="Y8" s="32">
        <f t="shared" ca="1" si="77"/>
        <v>4.2705905790837475</v>
      </c>
      <c r="Z8" s="32">
        <f t="shared" ca="1" si="78"/>
        <v>6.1704796549910812</v>
      </c>
      <c r="AA8" s="32">
        <f t="shared" ca="1" si="79"/>
        <v>11.958293905021474</v>
      </c>
      <c r="AB8" s="32">
        <f t="shared" ca="1" si="80"/>
        <v>3.0852398274955406</v>
      </c>
      <c r="AC8" s="32">
        <f t="shared" ca="1" si="81"/>
        <v>3.0047406160617771</v>
      </c>
      <c r="AD8" s="32">
        <f t="shared" ca="1" si="82"/>
        <v>4.5202350960981175</v>
      </c>
      <c r="AE8" s="32">
        <f t="shared" ca="1" si="83"/>
        <v>8.6458464933305255</v>
      </c>
      <c r="AF8" s="32">
        <f t="shared" ca="1" si="84"/>
        <v>2.2601175480490587</v>
      </c>
      <c r="AG8" s="32">
        <f t="shared" ca="1" si="85"/>
        <v>4.8606098200999339</v>
      </c>
      <c r="AH8" s="32">
        <f t="shared" ca="1" si="86"/>
        <v>11.001630392619756</v>
      </c>
      <c r="AI8" s="32">
        <f t="shared" ca="1" si="87"/>
        <v>4.9507336766788903</v>
      </c>
      <c r="AJ8" s="32">
        <f t="shared" ca="1" si="88"/>
        <v>2.1083684154719196</v>
      </c>
      <c r="AK8" s="32">
        <f t="shared" ca="1" si="89"/>
        <v>3.3074768161526267</v>
      </c>
      <c r="AL8" s="32">
        <f t="shared" ca="1" si="90"/>
        <v>9.0165536043861909</v>
      </c>
      <c r="AM8" s="32">
        <f t="shared" ca="1" si="91"/>
        <v>8.4664720847552033</v>
      </c>
      <c r="AN8" s="32">
        <f t="shared" ca="1" si="92"/>
        <v>0.43836841547191957</v>
      </c>
      <c r="AO8" s="32">
        <f t="shared" ca="1" si="93"/>
        <v>1.5959886446461846</v>
      </c>
      <c r="AP8" s="32">
        <f t="shared" ca="1" si="94"/>
        <v>3.2287393543557981</v>
      </c>
      <c r="AQ8" s="32">
        <f t="shared" ca="1" si="95"/>
        <v>7.1032265795827554</v>
      </c>
      <c r="AR8" s="32">
        <f t="shared" ca="1" si="96"/>
        <v>1.614369677177899</v>
      </c>
      <c r="AS8" s="32">
        <f t="shared" ca="1" si="97"/>
        <v>11.917962779673603</v>
      </c>
      <c r="AT8" s="32">
        <f t="shared" ca="1" si="98"/>
        <v>1.3812448743194583</v>
      </c>
      <c r="AU8" s="32">
        <f t="shared" ca="1" si="99"/>
        <v>2.2481134475046249</v>
      </c>
      <c r="AV8" s="32">
        <f t="shared" ca="1" si="100"/>
        <v>0.69062243715972915</v>
      </c>
      <c r="AW8" s="32">
        <f t="shared" ca="1" si="101"/>
        <v>2.2601175480490587</v>
      </c>
      <c r="AX8" s="32">
        <f t="shared" ca="1" si="102"/>
        <v>4.7833175620085902</v>
      </c>
      <c r="AY8" s="32">
        <f t="shared" ca="1" si="103"/>
        <v>1.1300587740245294</v>
      </c>
      <c r="AZ8" s="32">
        <f t="shared" ca="1" si="104"/>
        <v>12.62496057168814</v>
      </c>
      <c r="BA8" s="32">
        <f t="shared" ca="1" si="105"/>
        <v>2.6881150246370993</v>
      </c>
      <c r="BB8" s="32">
        <f t="shared" ca="1" si="106"/>
        <v>4.8043532750001656</v>
      </c>
      <c r="BC8" s="32">
        <f t="shared" ca="1" si="107"/>
        <v>1.3440575123185496</v>
      </c>
      <c r="BD8" s="32">
        <f t="shared" ca="1" si="108"/>
        <v>3.4798635263612487</v>
      </c>
      <c r="BE8" s="32">
        <f t="shared" ca="1" si="109"/>
        <v>4.1614862789474723</v>
      </c>
      <c r="BF8" s="32">
        <f t="shared" ca="1" si="110"/>
        <v>11.122590263657251</v>
      </c>
      <c r="BG8" s="32">
        <f t="shared" ca="1" si="111"/>
        <v>6.5755899482307569</v>
      </c>
      <c r="BH8" s="32">
        <f t="shared" ca="1" si="112"/>
        <v>2.5606154977768418</v>
      </c>
      <c r="BI8" s="32">
        <f t="shared" ca="1" si="113"/>
        <v>5.7997725439354149</v>
      </c>
      <c r="BJ8" s="32">
        <f t="shared" ca="1" si="114"/>
        <v>3.1569895909256691</v>
      </c>
      <c r="BK8" s="32">
        <f t="shared" ca="1" si="115"/>
        <v>4.8101099778131813</v>
      </c>
      <c r="BL8" s="32">
        <f t="shared" ca="1" si="116"/>
        <v>5.9212155396554351</v>
      </c>
      <c r="BM8" s="32">
        <f t="shared" ca="1" si="117"/>
        <v>0.55249794972778321</v>
      </c>
      <c r="BN8" s="32">
        <f t="shared" ca="1" si="118"/>
        <v>2.1524929029038651</v>
      </c>
      <c r="BO8" s="32">
        <f t="shared" ca="1" si="119"/>
        <v>0.8131639855414603</v>
      </c>
      <c r="BP8" s="32">
        <f t="shared" ca="1" si="120"/>
        <v>3.8506129743648825</v>
      </c>
      <c r="BQ8" s="32">
        <f t="shared" ca="1" si="121"/>
        <v>8.6636992951909484</v>
      </c>
      <c r="BR8" s="32">
        <f t="shared" ca="1" si="122"/>
        <v>1.4343696771778991</v>
      </c>
      <c r="BS8" s="32">
        <f t="shared" ca="1" si="123"/>
        <v>3.3961554690260982</v>
      </c>
      <c r="BT8" s="32">
        <f t="shared" ca="1" si="124"/>
        <v>2.9178237128252396</v>
      </c>
      <c r="BU8" s="32">
        <f t="shared" ca="1" si="125"/>
        <v>7.9663501207352168</v>
      </c>
      <c r="BV8" s="32">
        <f t="shared" ca="1" si="126"/>
        <v>5.9993397116608858</v>
      </c>
      <c r="BW8" s="32">
        <f t="shared" ca="1" si="127"/>
        <v>1.5724941646098447</v>
      </c>
      <c r="BX8" s="32">
        <f t="shared" ca="1" si="128"/>
        <v>5.1257339921053848</v>
      </c>
      <c r="BY8" s="32">
        <f t="shared" ca="1" si="129"/>
        <v>4.1806044578495216</v>
      </c>
      <c r="BZ8" s="32">
        <f t="shared" ca="1" si="130"/>
        <v>9.0487056037208458</v>
      </c>
      <c r="CA8" s="32">
        <f t="shared" ca="1" si="131"/>
        <v>4.1806044578495216</v>
      </c>
      <c r="CB8" s="32">
        <f t="shared" ca="1" si="132"/>
        <v>4.2143504361617117</v>
      </c>
      <c r="CC8" s="32">
        <f t="shared" ca="1" si="133"/>
        <v>9.5455710226410648</v>
      </c>
      <c r="CD8" s="32">
        <f t="shared" ca="1" si="134"/>
        <v>4.2143504361617117</v>
      </c>
      <c r="CE8" s="32">
        <f t="shared" ca="1" si="135"/>
        <v>3.156240142922035</v>
      </c>
    </row>
    <row r="9" spans="1:83" x14ac:dyDescent="0.25">
      <c r="A9" t="str">
        <f>PLANTILLA!D10</f>
        <v>Eckardt Hägerling</v>
      </c>
      <c r="B9">
        <f>PLANTILLA!E10</f>
        <v>22</v>
      </c>
      <c r="C9" s="30">
        <f ca="1">PLANTILLA!F10</f>
        <v>41</v>
      </c>
      <c r="D9" s="134" t="str">
        <f>PLANTILLA!G10</f>
        <v>IMP</v>
      </c>
      <c r="E9" s="28">
        <f>PLANTILLA!M10</f>
        <v>43045</v>
      </c>
      <c r="F9" s="42">
        <f>PLANTILLA!Q10</f>
        <v>5</v>
      </c>
      <c r="G9" s="43">
        <f t="shared" si="68"/>
        <v>0.84515425472851657</v>
      </c>
      <c r="H9" s="43">
        <f t="shared" si="69"/>
        <v>0.92504826128926143</v>
      </c>
      <c r="I9" s="140">
        <f ca="1">PLANTILLA!N10</f>
        <v>1</v>
      </c>
      <c r="J9" s="34">
        <f>PLANTILLA!I10</f>
        <v>2.2000000000000002</v>
      </c>
      <c r="K9" s="41">
        <f>PLANTILLA!X10</f>
        <v>0</v>
      </c>
      <c r="L9" s="41">
        <f>PLANTILLA!Y10</f>
        <v>6</v>
      </c>
      <c r="M9" s="41">
        <f>PLANTILLA!Z10</f>
        <v>3</v>
      </c>
      <c r="N9" s="41">
        <f>PLANTILLA!AA10</f>
        <v>6.15</v>
      </c>
      <c r="O9" s="41">
        <f>PLANTILLA!AB10</f>
        <v>3</v>
      </c>
      <c r="P9" s="41">
        <f>PLANTILLA!AC10</f>
        <v>4.6633333333333322</v>
      </c>
      <c r="Q9" s="41">
        <f>PLANTILLA!AD10</f>
        <v>3</v>
      </c>
      <c r="R9" s="41">
        <f t="shared" si="70"/>
        <v>1.875</v>
      </c>
      <c r="S9" s="41">
        <f t="shared" si="71"/>
        <v>0.3231666666666666</v>
      </c>
      <c r="T9" s="41">
        <f t="shared" si="72"/>
        <v>0.33</v>
      </c>
      <c r="U9" s="41">
        <f t="shared" ca="1" si="73"/>
        <v>3.7664836663973098</v>
      </c>
      <c r="V9" s="41">
        <f t="shared" ca="1" si="74"/>
        <v>4.1225363858511654</v>
      </c>
      <c r="W9" s="32">
        <f t="shared" ca="1" si="75"/>
        <v>2.9275800004770485</v>
      </c>
      <c r="X9" s="32">
        <f t="shared" ca="1" si="76"/>
        <v>4.4304235745886249</v>
      </c>
      <c r="Y9" s="32">
        <f t="shared" ca="1" si="77"/>
        <v>2.9275800004770485</v>
      </c>
      <c r="Z9" s="32">
        <f t="shared" ca="1" si="78"/>
        <v>3.8475868044056782</v>
      </c>
      <c r="AA9" s="32">
        <f t="shared" ca="1" si="79"/>
        <v>7.4565635744296088</v>
      </c>
      <c r="AB9" s="32">
        <f t="shared" ca="1" si="80"/>
        <v>1.9237934022028391</v>
      </c>
      <c r="AC9" s="32">
        <f t="shared" ca="1" si="81"/>
        <v>1.0606621307142468</v>
      </c>
      <c r="AD9" s="32">
        <f t="shared" ca="1" si="82"/>
        <v>2.818581031134392</v>
      </c>
      <c r="AE9" s="32">
        <f t="shared" ca="1" si="83"/>
        <v>5.391095464312607</v>
      </c>
      <c r="AF9" s="32">
        <f t="shared" ca="1" si="84"/>
        <v>1.409290515567196</v>
      </c>
      <c r="AG9" s="32">
        <f t="shared" ca="1" si="85"/>
        <v>1.7157769761553994</v>
      </c>
      <c r="AH9" s="32">
        <f t="shared" ca="1" si="86"/>
        <v>6.8600384884752401</v>
      </c>
      <c r="AI9" s="32">
        <f t="shared" ca="1" si="87"/>
        <v>3.087017319813858</v>
      </c>
      <c r="AJ9" s="32">
        <f t="shared" ca="1" si="88"/>
        <v>0.74424611692974474</v>
      </c>
      <c r="AK9" s="32">
        <f t="shared" ca="1" si="89"/>
        <v>4.4726593817646103</v>
      </c>
      <c r="AL9" s="32">
        <f t="shared" ca="1" si="90"/>
        <v>5.6222489351199254</v>
      </c>
      <c r="AM9" s="32">
        <f t="shared" ca="1" si="91"/>
        <v>5.2792470106961629</v>
      </c>
      <c r="AN9" s="32">
        <f t="shared" ca="1" si="92"/>
        <v>0.74424611692974474</v>
      </c>
      <c r="AO9" s="32">
        <f t="shared" ca="1" si="93"/>
        <v>0.95949030943572711</v>
      </c>
      <c r="AP9" s="32">
        <f t="shared" ca="1" si="94"/>
        <v>2.0132721650959944</v>
      </c>
      <c r="AQ9" s="32">
        <f t="shared" ca="1" si="95"/>
        <v>4.4291987632111871</v>
      </c>
      <c r="AR9" s="32">
        <f t="shared" ca="1" si="96"/>
        <v>1.0066360825479972</v>
      </c>
      <c r="AS9" s="32">
        <f t="shared" ca="1" si="97"/>
        <v>4.2069960142615503</v>
      </c>
      <c r="AT9" s="32">
        <f t="shared" ca="1" si="98"/>
        <v>0.57935326467584913</v>
      </c>
      <c r="AU9" s="32">
        <f t="shared" ca="1" si="99"/>
        <v>1.5935297939745419</v>
      </c>
      <c r="AV9" s="32">
        <f t="shared" ca="1" si="100"/>
        <v>0.28967663233792457</v>
      </c>
      <c r="AW9" s="32">
        <f t="shared" ca="1" si="101"/>
        <v>1.409290515567196</v>
      </c>
      <c r="AX9" s="32">
        <f t="shared" ca="1" si="102"/>
        <v>2.9826254297718435</v>
      </c>
      <c r="AY9" s="32">
        <f t="shared" ca="1" si="103"/>
        <v>0.70464525778359799</v>
      </c>
      <c r="AZ9" s="32">
        <f t="shared" ca="1" si="104"/>
        <v>4.4565635744296088</v>
      </c>
      <c r="BA9" s="32">
        <f t="shared" ca="1" si="105"/>
        <v>1.127510584330691</v>
      </c>
      <c r="BB9" s="32">
        <f t="shared" ca="1" si="106"/>
        <v>2.8048665295107145</v>
      </c>
      <c r="BC9" s="32">
        <f t="shared" ca="1" si="107"/>
        <v>0.56375529216534548</v>
      </c>
      <c r="BD9" s="32">
        <f t="shared" ca="1" si="108"/>
        <v>2.1698600001590158</v>
      </c>
      <c r="BE9" s="32">
        <f t="shared" ca="1" si="109"/>
        <v>2.5948841239015037</v>
      </c>
      <c r="BF9" s="32">
        <f t="shared" ca="1" si="110"/>
        <v>3.9262325090724852</v>
      </c>
      <c r="BG9" s="32">
        <f t="shared" ca="1" si="111"/>
        <v>5.7699850176679215</v>
      </c>
      <c r="BH9" s="32">
        <f t="shared" ca="1" si="112"/>
        <v>1.0740318214375357</v>
      </c>
      <c r="BI9" s="32">
        <f t="shared" ca="1" si="113"/>
        <v>3.6164333335983603</v>
      </c>
      <c r="BJ9" s="32">
        <f t="shared" ca="1" si="114"/>
        <v>1.9685327836494169</v>
      </c>
      <c r="BK9" s="32">
        <f t="shared" ca="1" si="115"/>
        <v>1.697950721857681</v>
      </c>
      <c r="BL9" s="32">
        <f t="shared" ca="1" si="116"/>
        <v>6.0149865640514788</v>
      </c>
      <c r="BM9" s="32">
        <f t="shared" ca="1" si="117"/>
        <v>0.23174130587033964</v>
      </c>
      <c r="BN9" s="32">
        <f t="shared" ca="1" si="118"/>
        <v>1.3421814433973296</v>
      </c>
      <c r="BO9" s="32">
        <f t="shared" ca="1" si="119"/>
        <v>0.50704632306121344</v>
      </c>
      <c r="BP9" s="32">
        <f t="shared" ca="1" si="120"/>
        <v>1.3592518902010307</v>
      </c>
      <c r="BQ9" s="32">
        <f t="shared" ca="1" si="121"/>
        <v>8.8811407567164764</v>
      </c>
      <c r="BR9" s="32">
        <f t="shared" ca="1" si="122"/>
        <v>0.60163608254799728</v>
      </c>
      <c r="BS9" s="32">
        <f t="shared" ca="1" si="123"/>
        <v>2.1176640551380088</v>
      </c>
      <c r="BT9" s="32">
        <f t="shared" ca="1" si="124"/>
        <v>1.8194015121608245</v>
      </c>
      <c r="BU9" s="32">
        <f t="shared" ca="1" si="125"/>
        <v>2.812091615465083</v>
      </c>
      <c r="BV9" s="32">
        <f t="shared" ca="1" si="126"/>
        <v>6.1999243991144999</v>
      </c>
      <c r="BW9" s="32">
        <f t="shared" ca="1" si="127"/>
        <v>0.65957140901558209</v>
      </c>
      <c r="BX9" s="32">
        <f t="shared" ca="1" si="128"/>
        <v>1.8093648112184213</v>
      </c>
      <c r="BY9" s="32">
        <f t="shared" ca="1" si="129"/>
        <v>2.9867129556111589</v>
      </c>
      <c r="BZ9" s="32">
        <f t="shared" ca="1" si="130"/>
        <v>5.9878139181410717</v>
      </c>
      <c r="CA9" s="32">
        <f t="shared" ca="1" si="131"/>
        <v>2.9867129556111589</v>
      </c>
      <c r="CB9" s="32">
        <f t="shared" ca="1" si="132"/>
        <v>3.9050557735363132</v>
      </c>
      <c r="CC9" s="32">
        <f t="shared" ca="1" si="133"/>
        <v>7.7643688667274668</v>
      </c>
      <c r="CD9" s="32">
        <f t="shared" ca="1" si="134"/>
        <v>3.9050557735363132</v>
      </c>
      <c r="CE9" s="32">
        <f t="shared" ca="1" si="135"/>
        <v>1.1141408936074022</v>
      </c>
    </row>
    <row r="10" spans="1:83" x14ac:dyDescent="0.25">
      <c r="A10" t="str">
        <f>PLANTILLA!D11</f>
        <v>Francesc Añigas</v>
      </c>
      <c r="B10">
        <f>PLANTILLA!E11</f>
        <v>22</v>
      </c>
      <c r="C10" s="30">
        <f ca="1">PLANTILLA!F11</f>
        <v>45</v>
      </c>
      <c r="D10" s="134" t="str">
        <f>PLANTILLA!G11</f>
        <v>IMP</v>
      </c>
      <c r="E10" s="28">
        <f>PLANTILLA!M11</f>
        <v>43137</v>
      </c>
      <c r="F10" s="42">
        <f>PLANTILLA!Q11</f>
        <v>7</v>
      </c>
      <c r="G10" s="43">
        <f t="shared" si="68"/>
        <v>1</v>
      </c>
      <c r="H10" s="43">
        <f t="shared" si="69"/>
        <v>1</v>
      </c>
      <c r="I10" s="140">
        <f ca="1">PLANTILLA!N11</f>
        <v>1</v>
      </c>
      <c r="J10" s="34">
        <f>PLANTILLA!I11</f>
        <v>4.0999999999999996</v>
      </c>
      <c r="K10" s="41">
        <f>PLANTILLA!X11</f>
        <v>0</v>
      </c>
      <c r="L10" s="41">
        <f>PLANTILLA!Y11</f>
        <v>11.666666666666666</v>
      </c>
      <c r="M10" s="41">
        <f>PLANTILLA!Z11</f>
        <v>4</v>
      </c>
      <c r="N10" s="41">
        <f>PLANTILLA!AA11</f>
        <v>12.666666666666666</v>
      </c>
      <c r="O10" s="41">
        <f>PLANTILLA!AB11</f>
        <v>4.25</v>
      </c>
      <c r="P10" s="41">
        <f>PLANTILLA!AC11</f>
        <v>7</v>
      </c>
      <c r="Q10" s="41">
        <f>PLANTILLA!AD11</f>
        <v>3</v>
      </c>
      <c r="R10" s="41">
        <f t="shared" si="70"/>
        <v>2.895833333333333</v>
      </c>
      <c r="S10" s="41">
        <f t="shared" si="71"/>
        <v>0.44000000000000006</v>
      </c>
      <c r="T10" s="41">
        <f t="shared" si="72"/>
        <v>0.55666666666666664</v>
      </c>
      <c r="U10" s="41">
        <f t="shared" ca="1" si="73"/>
        <v>4.8170451422929803</v>
      </c>
      <c r="V10" s="41">
        <f t="shared" ca="1" si="74"/>
        <v>4.8170451422929803</v>
      </c>
      <c r="W10" s="32">
        <f t="shared" ca="1" si="75"/>
        <v>4.8062804092217721</v>
      </c>
      <c r="X10" s="32">
        <f t="shared" ca="1" si="76"/>
        <v>7.3041386120335714</v>
      </c>
      <c r="Y10" s="32">
        <f t="shared" ca="1" si="77"/>
        <v>4.8062804092217721</v>
      </c>
      <c r="Z10" s="32">
        <f t="shared" ca="1" si="78"/>
        <v>6.9575952934231786</v>
      </c>
      <c r="AA10" s="32">
        <f t="shared" ca="1" si="79"/>
        <v>13.483711808959647</v>
      </c>
      <c r="AB10" s="32">
        <f t="shared" ca="1" si="80"/>
        <v>3.4787976467115893</v>
      </c>
      <c r="AC10" s="32">
        <f t="shared" ca="1" si="81"/>
        <v>1.3844567438657291</v>
      </c>
      <c r="AD10" s="32">
        <f t="shared" ca="1" si="82"/>
        <v>5.0968430637867463</v>
      </c>
      <c r="AE10" s="32">
        <f t="shared" ca="1" si="83"/>
        <v>9.7487236378778253</v>
      </c>
      <c r="AF10" s="32">
        <f t="shared" ca="1" si="84"/>
        <v>2.5484215318933732</v>
      </c>
      <c r="AG10" s="32">
        <f t="shared" ca="1" si="85"/>
        <v>2.2395623797827975</v>
      </c>
      <c r="AH10" s="32">
        <f t="shared" ca="1" si="86"/>
        <v>12.405014864242876</v>
      </c>
      <c r="AI10" s="32">
        <f t="shared" ca="1" si="87"/>
        <v>5.5822566889092933</v>
      </c>
      <c r="AJ10" s="32">
        <f t="shared" ca="1" si="88"/>
        <v>0.97144653876292775</v>
      </c>
      <c r="AK10" s="32">
        <f t="shared" ca="1" si="89"/>
        <v>8.5164225436682717</v>
      </c>
      <c r="AL10" s="32">
        <f t="shared" ca="1" si="90"/>
        <v>10.166718703955574</v>
      </c>
      <c r="AM10" s="32">
        <f t="shared" ca="1" si="91"/>
        <v>9.5464679607434295</v>
      </c>
      <c r="AN10" s="32">
        <f t="shared" ca="1" si="92"/>
        <v>0.80444653876292771</v>
      </c>
      <c r="AO10" s="32">
        <f t="shared" ca="1" si="93"/>
        <v>1.3573090009803781</v>
      </c>
      <c r="AP10" s="32">
        <f t="shared" ca="1" si="94"/>
        <v>3.6406021884191051</v>
      </c>
      <c r="AQ10" s="32">
        <f t="shared" ca="1" si="95"/>
        <v>8.0093248145220297</v>
      </c>
      <c r="AR10" s="32">
        <f t="shared" ca="1" si="96"/>
        <v>1.8203010942095526</v>
      </c>
      <c r="AS10" s="32">
        <f t="shared" ca="1" si="97"/>
        <v>5.4912906143245728</v>
      </c>
      <c r="AT10" s="32">
        <f t="shared" ca="1" si="98"/>
        <v>0.7887158684980875</v>
      </c>
      <c r="AU10" s="32">
        <f t="shared" ca="1" si="99"/>
        <v>2.2533942266918432</v>
      </c>
      <c r="AV10" s="32">
        <f t="shared" ca="1" si="100"/>
        <v>0.39435793424904375</v>
      </c>
      <c r="AW10" s="32">
        <f t="shared" ca="1" si="101"/>
        <v>2.5484215318933732</v>
      </c>
      <c r="AX10" s="32">
        <f t="shared" ca="1" si="102"/>
        <v>5.3934847235838594</v>
      </c>
      <c r="AY10" s="32">
        <f t="shared" ca="1" si="103"/>
        <v>1.2742107659466866</v>
      </c>
      <c r="AZ10" s="32">
        <f t="shared" ca="1" si="104"/>
        <v>5.8170451422929803</v>
      </c>
      <c r="BA10" s="32">
        <f t="shared" ca="1" si="105"/>
        <v>1.534962421000124</v>
      </c>
      <c r="BB10" s="32">
        <f t="shared" ca="1" si="106"/>
        <v>3.9204418734034325</v>
      </c>
      <c r="BC10" s="32">
        <f t="shared" ca="1" si="107"/>
        <v>0.76748121050006202</v>
      </c>
      <c r="BD10" s="32">
        <f t="shared" ca="1" si="108"/>
        <v>3.9237601364072572</v>
      </c>
      <c r="BE10" s="32">
        <f t="shared" ca="1" si="109"/>
        <v>4.6923317095179566</v>
      </c>
      <c r="BF10" s="32">
        <f t="shared" ca="1" si="110"/>
        <v>5.1248167703601153</v>
      </c>
      <c r="BG10" s="32">
        <f t="shared" ca="1" si="111"/>
        <v>10.224769798165127</v>
      </c>
      <c r="BH10" s="32">
        <f t="shared" ca="1" si="112"/>
        <v>1.4621578792926082</v>
      </c>
      <c r="BI10" s="32">
        <f t="shared" ca="1" si="113"/>
        <v>6.5396002273454288</v>
      </c>
      <c r="BJ10" s="32">
        <f t="shared" ca="1" si="114"/>
        <v>3.559699917565347</v>
      </c>
      <c r="BK10" s="32">
        <f t="shared" ca="1" si="115"/>
        <v>2.2162941992136256</v>
      </c>
      <c r="BL10" s="32">
        <f t="shared" ca="1" si="116"/>
        <v>10.967014121030733</v>
      </c>
      <c r="BM10" s="32">
        <f t="shared" ca="1" si="117"/>
        <v>0.31548634739923498</v>
      </c>
      <c r="BN10" s="32">
        <f t="shared" ca="1" si="118"/>
        <v>2.4270681256127364</v>
      </c>
      <c r="BO10" s="32">
        <f t="shared" ca="1" si="119"/>
        <v>0.91689240300925612</v>
      </c>
      <c r="BP10" s="32">
        <f t="shared" ca="1" si="120"/>
        <v>1.774198768399359</v>
      </c>
      <c r="BQ10" s="32">
        <f t="shared" ca="1" si="121"/>
        <v>16.21888671965544</v>
      </c>
      <c r="BR10" s="32">
        <f t="shared" ca="1" si="122"/>
        <v>0.81905109420955235</v>
      </c>
      <c r="BS10" s="32">
        <f t="shared" ca="1" si="123"/>
        <v>3.8293741537445394</v>
      </c>
      <c r="BT10" s="32">
        <f t="shared" ca="1" si="124"/>
        <v>3.2900256813861537</v>
      </c>
      <c r="BU10" s="32">
        <f t="shared" ca="1" si="125"/>
        <v>3.6705554847868704</v>
      </c>
      <c r="BV10" s="32">
        <f t="shared" ca="1" si="126"/>
        <v>11.338505402352217</v>
      </c>
      <c r="BW10" s="32">
        <f t="shared" ca="1" si="127"/>
        <v>0.89792268105936102</v>
      </c>
      <c r="BX10" s="32">
        <f t="shared" ca="1" si="128"/>
        <v>2.36172032777095</v>
      </c>
      <c r="BY10" s="32">
        <f t="shared" ca="1" si="129"/>
        <v>4.7221805191346427</v>
      </c>
      <c r="BZ10" s="32">
        <f t="shared" ca="1" si="130"/>
        <v>8.4347428302218965</v>
      </c>
      <c r="CA10" s="32">
        <f t="shared" ca="1" si="131"/>
        <v>4.7221805191346427</v>
      </c>
      <c r="CB10" s="32">
        <f t="shared" ca="1" si="132"/>
        <v>6.3548524569818605</v>
      </c>
      <c r="CC10" s="32">
        <f t="shared" ca="1" si="133"/>
        <v>11.055784799799092</v>
      </c>
      <c r="CD10" s="32">
        <f t="shared" ca="1" si="134"/>
        <v>6.3548524569818605</v>
      </c>
      <c r="CE10" s="32">
        <f t="shared" ca="1" si="135"/>
        <v>1.4542612855732451</v>
      </c>
    </row>
    <row r="11" spans="1:83" x14ac:dyDescent="0.25">
      <c r="A11" t="str">
        <f>PLANTILLA!D12</f>
        <v>Will Duffill</v>
      </c>
      <c r="B11">
        <f>PLANTILLA!E12</f>
        <v>22</v>
      </c>
      <c r="C11" s="30">
        <f ca="1">PLANTILLA!F12</f>
        <v>6</v>
      </c>
      <c r="D11" s="134" t="str">
        <f>PLANTILLA!G12</f>
        <v>RAP</v>
      </c>
      <c r="E11" s="28">
        <f>PLANTILLA!M12</f>
        <v>43122</v>
      </c>
      <c r="F11" s="42">
        <f>PLANTILLA!Q12</f>
        <v>5</v>
      </c>
      <c r="G11" s="43">
        <f t="shared" si="68"/>
        <v>0.84515425472851657</v>
      </c>
      <c r="H11" s="43">
        <f t="shared" si="69"/>
        <v>0.92504826128926143</v>
      </c>
      <c r="I11" s="140">
        <f ca="1">PLANTILLA!N12</f>
        <v>1</v>
      </c>
      <c r="J11" s="34">
        <f>PLANTILLA!I12</f>
        <v>4.2</v>
      </c>
      <c r="K11" s="41">
        <f>PLANTILLA!X12</f>
        <v>0</v>
      </c>
      <c r="L11" s="41">
        <f>PLANTILLA!Y12</f>
        <v>10.714285714285714</v>
      </c>
      <c r="M11" s="41">
        <f>PLANTILLA!Z12</f>
        <v>3</v>
      </c>
      <c r="N11" s="41">
        <f>PLANTILLA!AA12</f>
        <v>13</v>
      </c>
      <c r="O11" s="41">
        <f>PLANTILLA!AB12</f>
        <v>7</v>
      </c>
      <c r="P11" s="41">
        <f>PLANTILLA!AC12</f>
        <v>7</v>
      </c>
      <c r="Q11" s="41">
        <f>PLANTILLA!AD12</f>
        <v>3</v>
      </c>
      <c r="R11" s="41">
        <f t="shared" si="70"/>
        <v>3.4642857142857144</v>
      </c>
      <c r="S11" s="41">
        <f t="shared" si="71"/>
        <v>0.44000000000000006</v>
      </c>
      <c r="T11" s="41">
        <f t="shared" si="72"/>
        <v>0.51857142857142846</v>
      </c>
      <c r="U11" s="41">
        <f t="shared" ca="1" si="73"/>
        <v>4.0829394049624854</v>
      </c>
      <c r="V11" s="41">
        <f t="shared" ca="1" si="74"/>
        <v>4.4689072750668375</v>
      </c>
      <c r="W11" s="32">
        <f t="shared" ca="1" si="75"/>
        <v>4.5556050311660128</v>
      </c>
      <c r="X11" s="32">
        <f t="shared" ca="1" si="76"/>
        <v>6.9173912071096808</v>
      </c>
      <c r="Y11" s="32">
        <f t="shared" ca="1" si="77"/>
        <v>4.5556050311660128</v>
      </c>
      <c r="Z11" s="32">
        <f t="shared" ca="1" si="78"/>
        <v>6.4733669403651835</v>
      </c>
      <c r="AA11" s="32">
        <f t="shared" ca="1" si="79"/>
        <v>12.54528476814958</v>
      </c>
      <c r="AB11" s="32">
        <f t="shared" ca="1" si="80"/>
        <v>3.2366834701825917</v>
      </c>
      <c r="AC11" s="32">
        <f t="shared" ca="1" si="81"/>
        <v>1.1497777748196003</v>
      </c>
      <c r="AD11" s="32">
        <f t="shared" ca="1" si="82"/>
        <v>4.7421176423605411</v>
      </c>
      <c r="AE11" s="32">
        <f t="shared" ca="1" si="83"/>
        <v>9.0702408873721456</v>
      </c>
      <c r="AF11" s="32">
        <f t="shared" ca="1" si="84"/>
        <v>2.3710588211802706</v>
      </c>
      <c r="AG11" s="32">
        <f t="shared" ca="1" si="85"/>
        <v>1.859934635737589</v>
      </c>
      <c r="AH11" s="32">
        <f t="shared" ca="1" si="86"/>
        <v>11.541661986697614</v>
      </c>
      <c r="AI11" s="32">
        <f t="shared" ca="1" si="87"/>
        <v>5.1937478940139261</v>
      </c>
      <c r="AJ11" s="32">
        <f t="shared" ca="1" si="88"/>
        <v>0.80677684199526589</v>
      </c>
      <c r="AK11" s="32">
        <f t="shared" ca="1" si="89"/>
        <v>8.7206274436719529</v>
      </c>
      <c r="AL11" s="32">
        <f t="shared" ca="1" si="90"/>
        <v>9.4591447151847827</v>
      </c>
      <c r="AM11" s="32">
        <f t="shared" ca="1" si="91"/>
        <v>8.8820616158499028</v>
      </c>
      <c r="AN11" s="32">
        <f t="shared" ca="1" si="92"/>
        <v>0.80677684199526589</v>
      </c>
      <c r="AO11" s="32">
        <f t="shared" ca="1" si="93"/>
        <v>1.5250420132270794</v>
      </c>
      <c r="AP11" s="32">
        <f t="shared" ca="1" si="94"/>
        <v>3.387226887400387</v>
      </c>
      <c r="AQ11" s="32">
        <f t="shared" ca="1" si="95"/>
        <v>7.4518991522808502</v>
      </c>
      <c r="AR11" s="32">
        <f t="shared" ca="1" si="96"/>
        <v>1.6936134437001935</v>
      </c>
      <c r="AS11" s="32">
        <f t="shared" ca="1" si="97"/>
        <v>4.5604631068474903</v>
      </c>
      <c r="AT11" s="32">
        <f t="shared" ca="1" si="98"/>
        <v>1.1480298770023027</v>
      </c>
      <c r="AU11" s="32">
        <f t="shared" ca="1" si="99"/>
        <v>2.5874827227821129</v>
      </c>
      <c r="AV11" s="32">
        <f t="shared" ca="1" si="100"/>
        <v>0.57401493850115137</v>
      </c>
      <c r="AW11" s="32">
        <f t="shared" ca="1" si="101"/>
        <v>2.3710588211802706</v>
      </c>
      <c r="AX11" s="32">
        <f t="shared" ca="1" si="102"/>
        <v>5.0181139072598322</v>
      </c>
      <c r="AY11" s="32">
        <f t="shared" ca="1" si="103"/>
        <v>1.1855294105901353</v>
      </c>
      <c r="AZ11" s="32">
        <f t="shared" ca="1" si="104"/>
        <v>4.8309990538638674</v>
      </c>
      <c r="BA11" s="32">
        <f t="shared" ca="1" si="105"/>
        <v>2.2342427606275583</v>
      </c>
      <c r="BB11" s="32">
        <f t="shared" ca="1" si="106"/>
        <v>4.8658804786789904</v>
      </c>
      <c r="BC11" s="32">
        <f t="shared" ca="1" si="107"/>
        <v>1.1171213803137792</v>
      </c>
      <c r="BD11" s="32">
        <f t="shared" ca="1" si="108"/>
        <v>3.6506778675315275</v>
      </c>
      <c r="BE11" s="32">
        <f t="shared" ca="1" si="109"/>
        <v>4.3657590993160538</v>
      </c>
      <c r="BF11" s="32">
        <f t="shared" ca="1" si="110"/>
        <v>4.256110166454067</v>
      </c>
      <c r="BG11" s="32">
        <f t="shared" ca="1" si="111"/>
        <v>11.294758158884976</v>
      </c>
      <c r="BH11" s="32">
        <f t="shared" ca="1" si="112"/>
        <v>2.128270771981192</v>
      </c>
      <c r="BI11" s="32">
        <f t="shared" ca="1" si="113"/>
        <v>6.0844631125525463</v>
      </c>
      <c r="BJ11" s="32">
        <f t="shared" ca="1" si="114"/>
        <v>3.3119551787914894</v>
      </c>
      <c r="BK11" s="32">
        <f t="shared" ca="1" si="115"/>
        <v>1.8406106395221336</v>
      </c>
      <c r="BL11" s="32">
        <f t="shared" ca="1" si="116"/>
        <v>11.756293173077021</v>
      </c>
      <c r="BM11" s="32">
        <f t="shared" ca="1" si="117"/>
        <v>0.45921195080092103</v>
      </c>
      <c r="BN11" s="32">
        <f t="shared" ca="1" si="118"/>
        <v>2.2581512582669245</v>
      </c>
      <c r="BO11" s="32">
        <f t="shared" ca="1" si="119"/>
        <v>0.85307936423417152</v>
      </c>
      <c r="BP11" s="32">
        <f t="shared" ca="1" si="120"/>
        <v>1.4734547114284795</v>
      </c>
      <c r="BQ11" s="32">
        <f t="shared" ca="1" si="121"/>
        <v>17.356664783268933</v>
      </c>
      <c r="BR11" s="32">
        <f t="shared" ca="1" si="122"/>
        <v>1.192184872271622</v>
      </c>
      <c r="BS11" s="32">
        <f t="shared" ca="1" si="123"/>
        <v>3.5628608741544805</v>
      </c>
      <c r="BT11" s="32">
        <f t="shared" ca="1" si="124"/>
        <v>3.0610494834284974</v>
      </c>
      <c r="BU11" s="32">
        <f t="shared" ca="1" si="125"/>
        <v>3.0483604029881004</v>
      </c>
      <c r="BV11" s="32">
        <f t="shared" ca="1" si="126"/>
        <v>12.11574415320816</v>
      </c>
      <c r="BW11" s="32">
        <f t="shared" ca="1" si="127"/>
        <v>1.3069878599718521</v>
      </c>
      <c r="BX11" s="32">
        <f t="shared" ca="1" si="128"/>
        <v>1.9613856158687304</v>
      </c>
      <c r="BY11" s="32">
        <f t="shared" ca="1" si="129"/>
        <v>5.4649505070630742</v>
      </c>
      <c r="BZ11" s="32">
        <f t="shared" ca="1" si="130"/>
        <v>9.9437049346507145</v>
      </c>
      <c r="CA11" s="32">
        <f t="shared" ca="1" si="131"/>
        <v>5.4649505070630742</v>
      </c>
      <c r="CB11" s="32">
        <f t="shared" ca="1" si="132"/>
        <v>6.8277124105571891</v>
      </c>
      <c r="CC11" s="32">
        <f t="shared" ca="1" si="133"/>
        <v>12.089637704739634</v>
      </c>
      <c r="CD11" s="32">
        <f t="shared" ca="1" si="134"/>
        <v>6.8277124105571891</v>
      </c>
      <c r="CE11" s="32">
        <f t="shared" ca="1" si="135"/>
        <v>1.2077497634659669</v>
      </c>
    </row>
    <row r="12" spans="1:83" x14ac:dyDescent="0.25">
      <c r="A12" t="str">
        <f>PLANTILLA!D13</f>
        <v>Valeri Gomis</v>
      </c>
      <c r="B12">
        <f>PLANTILLA!E13</f>
        <v>22</v>
      </c>
      <c r="C12" s="30">
        <f ca="1">PLANTILLA!F13</f>
        <v>45</v>
      </c>
      <c r="D12" s="134" t="str">
        <f>PLANTILLA!G13</f>
        <v>IMP</v>
      </c>
      <c r="E12" s="28">
        <f>PLANTILLA!M13</f>
        <v>43051</v>
      </c>
      <c r="F12" s="42">
        <f>PLANTILLA!Q13</f>
        <v>4</v>
      </c>
      <c r="G12" s="43">
        <f t="shared" si="68"/>
        <v>0.7559289460184544</v>
      </c>
      <c r="H12" s="43">
        <f t="shared" si="69"/>
        <v>0.84430867747355465</v>
      </c>
      <c r="I12" s="140">
        <f ca="1">PLANTILLA!N13</f>
        <v>1</v>
      </c>
      <c r="J12" s="34">
        <f>PLANTILLA!I13</f>
        <v>4.2</v>
      </c>
      <c r="K12" s="41">
        <f>PLANTILLA!X13</f>
        <v>0</v>
      </c>
      <c r="L12" s="41">
        <f>PLANTILLA!Y13</f>
        <v>10.285714285714286</v>
      </c>
      <c r="M12" s="41">
        <f>PLANTILLA!Z13</f>
        <v>3</v>
      </c>
      <c r="N12" s="41">
        <f>PLANTILLA!AA13</f>
        <v>12</v>
      </c>
      <c r="O12" s="41">
        <f>PLANTILLA!AB13</f>
        <v>6.0000000000000009</v>
      </c>
      <c r="P12" s="41">
        <f>PLANTILLA!AC13</f>
        <v>7.25</v>
      </c>
      <c r="Q12" s="41">
        <f>PLANTILLA!AD13</f>
        <v>3</v>
      </c>
      <c r="R12" s="41">
        <f t="shared" si="70"/>
        <v>3.160714285714286</v>
      </c>
      <c r="S12" s="41">
        <f t="shared" si="71"/>
        <v>0.45250000000000001</v>
      </c>
      <c r="T12" s="41">
        <f t="shared" si="72"/>
        <v>0.50142857142857145</v>
      </c>
      <c r="U12" s="41">
        <f t="shared" ca="1" si="73"/>
        <v>3.6518920230034637</v>
      </c>
      <c r="V12" s="41">
        <f t="shared" ca="1" si="74"/>
        <v>4.0788544220437961</v>
      </c>
      <c r="W12" s="32">
        <f t="shared" ca="1" si="75"/>
        <v>4.4373193168802993</v>
      </c>
      <c r="X12" s="32">
        <f t="shared" ca="1" si="76"/>
        <v>6.7352483499668239</v>
      </c>
      <c r="Y12" s="32">
        <f t="shared" ca="1" si="77"/>
        <v>4.4373193168802993</v>
      </c>
      <c r="Z12" s="32">
        <f t="shared" ca="1" si="78"/>
        <v>6.2522240832223268</v>
      </c>
      <c r="AA12" s="32">
        <f t="shared" ca="1" si="79"/>
        <v>12.116713339578153</v>
      </c>
      <c r="AB12" s="32">
        <f t="shared" ca="1" si="80"/>
        <v>3.1261120416111634</v>
      </c>
      <c r="AC12" s="32">
        <f t="shared" ca="1" si="81"/>
        <v>1.1497777748196003</v>
      </c>
      <c r="AD12" s="32">
        <f t="shared" ca="1" si="82"/>
        <v>4.5801176423605421</v>
      </c>
      <c r="AE12" s="32">
        <f t="shared" ca="1" si="83"/>
        <v>8.7603837445150035</v>
      </c>
      <c r="AF12" s="32">
        <f t="shared" ca="1" si="84"/>
        <v>2.290058821180271</v>
      </c>
      <c r="AG12" s="32">
        <f t="shared" ca="1" si="85"/>
        <v>1.859934635737589</v>
      </c>
      <c r="AH12" s="32">
        <f t="shared" ca="1" si="86"/>
        <v>11.147376272411901</v>
      </c>
      <c r="AI12" s="32">
        <f t="shared" ca="1" si="87"/>
        <v>5.0163193225853551</v>
      </c>
      <c r="AJ12" s="32">
        <f t="shared" ca="1" si="88"/>
        <v>0.80677684199526589</v>
      </c>
      <c r="AK12" s="32">
        <f t="shared" ca="1" si="89"/>
        <v>8.1326274436719537</v>
      </c>
      <c r="AL12" s="32">
        <f t="shared" ca="1" si="90"/>
        <v>9.1360018580419275</v>
      </c>
      <c r="AM12" s="32">
        <f t="shared" ca="1" si="91"/>
        <v>8.5786330444213323</v>
      </c>
      <c r="AN12" s="32">
        <f t="shared" ca="1" si="92"/>
        <v>0.80677684199526589</v>
      </c>
      <c r="AO12" s="32">
        <f t="shared" ca="1" si="93"/>
        <v>1.4376134417985083</v>
      </c>
      <c r="AP12" s="32">
        <f t="shared" ca="1" si="94"/>
        <v>3.2715126016861014</v>
      </c>
      <c r="AQ12" s="32">
        <f t="shared" ca="1" si="95"/>
        <v>7.1973277237094226</v>
      </c>
      <c r="AR12" s="32">
        <f t="shared" ca="1" si="96"/>
        <v>1.6357563008430507</v>
      </c>
      <c r="AS12" s="32">
        <f t="shared" ca="1" si="97"/>
        <v>4.5604631068474903</v>
      </c>
      <c r="AT12" s="32">
        <f t="shared" ca="1" si="98"/>
        <v>1.0180298770023029</v>
      </c>
      <c r="AU12" s="32">
        <f t="shared" ca="1" si="99"/>
        <v>2.5107327227821128</v>
      </c>
      <c r="AV12" s="32">
        <f t="shared" ca="1" si="100"/>
        <v>0.50901493850115143</v>
      </c>
      <c r="AW12" s="32">
        <f t="shared" ca="1" si="101"/>
        <v>2.290058821180271</v>
      </c>
      <c r="AX12" s="32">
        <f t="shared" ca="1" si="102"/>
        <v>4.8466853358312614</v>
      </c>
      <c r="AY12" s="32">
        <f t="shared" ca="1" si="103"/>
        <v>1.1450294105901355</v>
      </c>
      <c r="AZ12" s="32">
        <f t="shared" ca="1" si="104"/>
        <v>4.8309990538638674</v>
      </c>
      <c r="BA12" s="32">
        <f t="shared" ca="1" si="105"/>
        <v>1.9812427606275587</v>
      </c>
      <c r="BB12" s="32">
        <f t="shared" ca="1" si="106"/>
        <v>4.5773804786789913</v>
      </c>
      <c r="BC12" s="32">
        <f t="shared" ca="1" si="107"/>
        <v>0.99062138031377933</v>
      </c>
      <c r="BD12" s="32">
        <f t="shared" ca="1" si="108"/>
        <v>3.5259635818172423</v>
      </c>
      <c r="BE12" s="32">
        <f t="shared" ca="1" si="109"/>
        <v>4.2166162421731972</v>
      </c>
      <c r="BF12" s="32">
        <f t="shared" ca="1" si="110"/>
        <v>4.256110166454067</v>
      </c>
      <c r="BG12" s="32">
        <f t="shared" ca="1" si="111"/>
        <v>10.405758158884979</v>
      </c>
      <c r="BH12" s="32">
        <f t="shared" ca="1" si="112"/>
        <v>1.8872707719811923</v>
      </c>
      <c r="BI12" s="32">
        <f t="shared" ca="1" si="113"/>
        <v>5.8766059696954036</v>
      </c>
      <c r="BJ12" s="32">
        <f t="shared" ca="1" si="114"/>
        <v>3.1988123216486324</v>
      </c>
      <c r="BK12" s="32">
        <f t="shared" ca="1" si="115"/>
        <v>1.8406106395221336</v>
      </c>
      <c r="BL12" s="32">
        <f t="shared" ca="1" si="116"/>
        <v>10.882293173077022</v>
      </c>
      <c r="BM12" s="32">
        <f t="shared" ca="1" si="117"/>
        <v>0.40721195080092115</v>
      </c>
      <c r="BN12" s="32">
        <f t="shared" ca="1" si="118"/>
        <v>2.1810084011240676</v>
      </c>
      <c r="BO12" s="32">
        <f t="shared" ca="1" si="119"/>
        <v>0.8239365070913145</v>
      </c>
      <c r="BP12" s="32">
        <f t="shared" ca="1" si="120"/>
        <v>1.4734547114284795</v>
      </c>
      <c r="BQ12" s="32">
        <f t="shared" ca="1" si="121"/>
        <v>16.070664783268931</v>
      </c>
      <c r="BR12" s="32">
        <f t="shared" ca="1" si="122"/>
        <v>1.0571848722716224</v>
      </c>
      <c r="BS12" s="32">
        <f t="shared" ca="1" si="123"/>
        <v>3.4411465884401951</v>
      </c>
      <c r="BT12" s="32">
        <f t="shared" ca="1" si="124"/>
        <v>2.9564780548570693</v>
      </c>
      <c r="BU12" s="32">
        <f t="shared" ca="1" si="125"/>
        <v>3.0483604029881004</v>
      </c>
      <c r="BV12" s="32">
        <f t="shared" ca="1" si="126"/>
        <v>11.220744153208161</v>
      </c>
      <c r="BW12" s="32">
        <f t="shared" ca="1" si="127"/>
        <v>1.1589878599718524</v>
      </c>
      <c r="BX12" s="32">
        <f t="shared" ca="1" si="128"/>
        <v>1.9613856158687304</v>
      </c>
      <c r="BY12" s="32">
        <f t="shared" ca="1" si="129"/>
        <v>5.1027005070630747</v>
      </c>
      <c r="BZ12" s="32">
        <f t="shared" ca="1" si="130"/>
        <v>9.5464549346507148</v>
      </c>
      <c r="CA12" s="32">
        <f t="shared" ca="1" si="131"/>
        <v>5.1027005070630747</v>
      </c>
      <c r="CB12" s="32">
        <f t="shared" ca="1" si="132"/>
        <v>6.5297124105571891</v>
      </c>
      <c r="CC12" s="32">
        <f t="shared" ca="1" si="133"/>
        <v>11.970637704739634</v>
      </c>
      <c r="CD12" s="32">
        <f t="shared" ca="1" si="134"/>
        <v>6.5297124105571891</v>
      </c>
      <c r="CE12" s="32">
        <f t="shared" ca="1" si="135"/>
        <v>1.2077497634659669</v>
      </c>
    </row>
    <row r="13" spans="1:83" x14ac:dyDescent="0.25">
      <c r="A13" t="str">
        <f>PLANTILLA!D14</f>
        <v>Enrique Cubas</v>
      </c>
      <c r="B13">
        <f>PLANTILLA!E14</f>
        <v>22</v>
      </c>
      <c r="C13" s="30">
        <f ca="1">PLANTILLA!F14</f>
        <v>41</v>
      </c>
      <c r="D13" s="134" t="str">
        <f>PLANTILLA!G14</f>
        <v>RAP</v>
      </c>
      <c r="E13" s="28">
        <f>PLANTILLA!M14</f>
        <v>43046</v>
      </c>
      <c r="F13" s="42">
        <f>PLANTILLA!Q14</f>
        <v>6</v>
      </c>
      <c r="G13" s="43">
        <f t="shared" si="68"/>
        <v>0.92582009977255142</v>
      </c>
      <c r="H13" s="43">
        <f t="shared" si="69"/>
        <v>0.99928545900129484</v>
      </c>
      <c r="I13" s="140">
        <f>PLANTILLA!N14</f>
        <v>1.5</v>
      </c>
      <c r="J13" s="34">
        <f>PLANTILLA!I14</f>
        <v>4.5999999999999996</v>
      </c>
      <c r="K13" s="41">
        <f>PLANTILLA!X14</f>
        <v>0</v>
      </c>
      <c r="L13" s="41">
        <f>PLANTILLA!Y14</f>
        <v>8.8000000000000007</v>
      </c>
      <c r="M13" s="41">
        <f>PLANTILLA!Z14</f>
        <v>5.7</v>
      </c>
      <c r="N13" s="41">
        <f>PLANTILLA!AA14</f>
        <v>14.124999999999996</v>
      </c>
      <c r="O13" s="41">
        <f>PLANTILLA!AB14</f>
        <v>6</v>
      </c>
      <c r="P13" s="41">
        <f>PLANTILLA!AC14</f>
        <v>7.5</v>
      </c>
      <c r="Q13" s="41">
        <f>PLANTILLA!AD14</f>
        <v>5</v>
      </c>
      <c r="R13" s="41">
        <f t="shared" si="70"/>
        <v>2.9750000000000001</v>
      </c>
      <c r="S13" s="41">
        <f t="shared" si="71"/>
        <v>0.52500000000000002</v>
      </c>
      <c r="T13" s="41">
        <f t="shared" si="72"/>
        <v>0.502</v>
      </c>
      <c r="U13" s="41">
        <f t="shared" si="73"/>
        <v>6.835956677658217</v>
      </c>
      <c r="V13" s="41">
        <f t="shared" si="74"/>
        <v>7.3784011688932489</v>
      </c>
      <c r="W13" s="32">
        <f t="shared" si="75"/>
        <v>4.5097501160773525</v>
      </c>
      <c r="X13" s="32">
        <f t="shared" si="76"/>
        <v>6.8173271476012154</v>
      </c>
      <c r="Y13" s="32">
        <f t="shared" si="77"/>
        <v>4.5097501160773525</v>
      </c>
      <c r="Z13" s="32">
        <f t="shared" si="78"/>
        <v>5.7707773881969233</v>
      </c>
      <c r="AA13" s="32">
        <f t="shared" si="79"/>
        <v>11.183677108908766</v>
      </c>
      <c r="AB13" s="32">
        <f t="shared" si="80"/>
        <v>2.8853886940984617</v>
      </c>
      <c r="AC13" s="32">
        <f t="shared" si="81"/>
        <v>1.9239151519202862</v>
      </c>
      <c r="AD13" s="32">
        <f t="shared" si="82"/>
        <v>4.2274299471675132</v>
      </c>
      <c r="AE13" s="32">
        <f t="shared" si="83"/>
        <v>8.0857985497410372</v>
      </c>
      <c r="AF13" s="32">
        <f t="shared" si="84"/>
        <v>2.1137149735837566</v>
      </c>
      <c r="AG13" s="32">
        <f t="shared" si="85"/>
        <v>3.1122156869298752</v>
      </c>
      <c r="AH13" s="32">
        <f t="shared" si="86"/>
        <v>10.288982940196066</v>
      </c>
      <c r="AI13" s="32">
        <f t="shared" si="87"/>
        <v>4.6300423230882286</v>
      </c>
      <c r="AJ13" s="32">
        <f t="shared" si="88"/>
        <v>1.349974077187764</v>
      </c>
      <c r="AK13" s="32">
        <f t="shared" si="89"/>
        <v>9.7071021400383515</v>
      </c>
      <c r="AL13" s="32">
        <f t="shared" si="90"/>
        <v>8.4324925401172095</v>
      </c>
      <c r="AM13" s="32">
        <f t="shared" si="91"/>
        <v>7.9180433931074061</v>
      </c>
      <c r="AN13" s="32">
        <f t="shared" si="92"/>
        <v>1.233074077187764</v>
      </c>
      <c r="AO13" s="32">
        <f t="shared" si="93"/>
        <v>1.5432990073657242</v>
      </c>
      <c r="AP13" s="32">
        <f t="shared" si="94"/>
        <v>3.0195928194053669</v>
      </c>
      <c r="AQ13" s="32">
        <f t="shared" si="95"/>
        <v>6.6431042026918066</v>
      </c>
      <c r="AR13" s="32">
        <f t="shared" si="96"/>
        <v>1.5097964097026835</v>
      </c>
      <c r="AS13" s="32">
        <f t="shared" si="97"/>
        <v>7.6309911908098753</v>
      </c>
      <c r="AT13" s="32">
        <f t="shared" si="98"/>
        <v>1.0898780241581396</v>
      </c>
      <c r="AU13" s="32">
        <f t="shared" si="99"/>
        <v>2.715917392910268</v>
      </c>
      <c r="AV13" s="32">
        <f t="shared" si="100"/>
        <v>0.54493901207906981</v>
      </c>
      <c r="AW13" s="32">
        <f t="shared" si="101"/>
        <v>2.1137149735837566</v>
      </c>
      <c r="AX13" s="32">
        <f t="shared" si="102"/>
        <v>4.4734708435635069</v>
      </c>
      <c r="AY13" s="32">
        <f t="shared" si="103"/>
        <v>1.0568574867918783</v>
      </c>
      <c r="AZ13" s="32">
        <f t="shared" si="104"/>
        <v>8.0836771089087662</v>
      </c>
      <c r="BA13" s="32">
        <f t="shared" si="105"/>
        <v>2.1210703085539175</v>
      </c>
      <c r="BB13" s="32">
        <f t="shared" si="106"/>
        <v>4.9344060870087301</v>
      </c>
      <c r="BC13" s="32">
        <f t="shared" si="107"/>
        <v>1.0605351542769588</v>
      </c>
      <c r="BD13" s="32">
        <f t="shared" si="108"/>
        <v>3.2544500386924509</v>
      </c>
      <c r="BE13" s="32">
        <f t="shared" si="109"/>
        <v>3.8919196339002502</v>
      </c>
      <c r="BF13" s="32">
        <f t="shared" si="110"/>
        <v>7.1217195329486227</v>
      </c>
      <c r="BG13" s="32">
        <f t="shared" si="111"/>
        <v>12.11683894981989</v>
      </c>
      <c r="BH13" s="32">
        <f t="shared" si="112"/>
        <v>2.0204661832470125</v>
      </c>
      <c r="BI13" s="32">
        <f t="shared" si="113"/>
        <v>5.424083397820751</v>
      </c>
      <c r="BJ13" s="32">
        <f t="shared" si="114"/>
        <v>2.9524907567519145</v>
      </c>
      <c r="BK13" s="32">
        <f t="shared" si="115"/>
        <v>3.07988097849424</v>
      </c>
      <c r="BL13" s="32">
        <f t="shared" si="116"/>
        <v>12.79545879318626</v>
      </c>
      <c r="BM13" s="32">
        <f t="shared" si="117"/>
        <v>0.43595120966325579</v>
      </c>
      <c r="BN13" s="32">
        <f t="shared" si="118"/>
        <v>2.013061879603578</v>
      </c>
      <c r="BO13" s="32">
        <f t="shared" si="119"/>
        <v>0.76049004340579618</v>
      </c>
      <c r="BP13" s="32">
        <f t="shared" si="120"/>
        <v>2.4655215182171735</v>
      </c>
      <c r="BQ13" s="32">
        <f t="shared" si="121"/>
        <v>18.906408762056671</v>
      </c>
      <c r="BR13" s="32">
        <f t="shared" si="122"/>
        <v>1.1317964097026834</v>
      </c>
      <c r="BS13" s="32">
        <f t="shared" si="123"/>
        <v>3.1761642989300891</v>
      </c>
      <c r="BT13" s="32">
        <f t="shared" si="124"/>
        <v>2.7288172145737386</v>
      </c>
      <c r="BU13" s="32">
        <f t="shared" si="125"/>
        <v>5.1008002557214311</v>
      </c>
      <c r="BV13" s="32">
        <f t="shared" si="126"/>
        <v>13.207141012473343</v>
      </c>
      <c r="BW13" s="32">
        <f t="shared" si="127"/>
        <v>1.2407842121184971</v>
      </c>
      <c r="BX13" s="32">
        <f t="shared" si="128"/>
        <v>3.2819729062169594</v>
      </c>
      <c r="BY13" s="32">
        <f t="shared" si="129"/>
        <v>5.7283957737414655</v>
      </c>
      <c r="BZ13" s="32">
        <f t="shared" si="130"/>
        <v>10.314520424631269</v>
      </c>
      <c r="CA13" s="32">
        <f t="shared" si="131"/>
        <v>5.7283957737414655</v>
      </c>
      <c r="CB13" s="32">
        <f t="shared" si="132"/>
        <v>7.4086558388501604</v>
      </c>
      <c r="CC13" s="32">
        <f t="shared" si="133"/>
        <v>12.9772539620961</v>
      </c>
      <c r="CD13" s="32">
        <f t="shared" si="134"/>
        <v>7.4086558388501604</v>
      </c>
      <c r="CE13" s="32">
        <f t="shared" si="135"/>
        <v>2.0209192772271916</v>
      </c>
    </row>
    <row r="14" spans="1:83" x14ac:dyDescent="0.25">
      <c r="A14" t="str">
        <f>PLANTILLA!D15</f>
        <v>J. G. Peñuela</v>
      </c>
      <c r="B14">
        <f>PLANTILLA!E15</f>
        <v>22</v>
      </c>
      <c r="C14" s="30">
        <f ca="1">PLANTILLA!F15</f>
        <v>41</v>
      </c>
      <c r="D14" s="134" t="str">
        <f>PLANTILLA!G15</f>
        <v>IMP</v>
      </c>
      <c r="E14" s="28">
        <f>PLANTILLA!M15</f>
        <v>43054</v>
      </c>
      <c r="F14" s="42">
        <f>PLANTILLA!Q15</f>
        <v>5</v>
      </c>
      <c r="G14" s="43">
        <f t="shared" si="68"/>
        <v>0.84515425472851657</v>
      </c>
      <c r="H14" s="43">
        <f t="shared" si="69"/>
        <v>0.92504826128926143</v>
      </c>
      <c r="I14" s="140">
        <f ca="1">PLANTILLA!N15</f>
        <v>1</v>
      </c>
      <c r="J14" s="34">
        <f>PLANTILLA!I15</f>
        <v>4</v>
      </c>
      <c r="K14" s="41">
        <f>PLANTILLA!X15</f>
        <v>0</v>
      </c>
      <c r="L14" s="41">
        <f>PLANTILLA!Y15</f>
        <v>9.2857142857142865</v>
      </c>
      <c r="M14" s="41">
        <f>PLANTILLA!Z15</f>
        <v>5</v>
      </c>
      <c r="N14" s="41">
        <f>PLANTILLA!AA15</f>
        <v>13.19</v>
      </c>
      <c r="O14" s="41">
        <f>PLANTILLA!AB15</f>
        <v>5</v>
      </c>
      <c r="P14" s="41">
        <f>PLANTILLA!AC15</f>
        <v>7.8016666666666676</v>
      </c>
      <c r="Q14" s="41">
        <f>PLANTILLA!AD15</f>
        <v>3</v>
      </c>
      <c r="R14" s="41">
        <f t="shared" si="70"/>
        <v>2.7857142857142856</v>
      </c>
      <c r="S14" s="41">
        <f t="shared" si="71"/>
        <v>0.48008333333333331</v>
      </c>
      <c r="T14" s="41">
        <f t="shared" si="72"/>
        <v>0.46142857142857147</v>
      </c>
      <c r="U14" s="41">
        <f t="shared" ca="1" si="73"/>
        <v>4.0590617699442548</v>
      </c>
      <c r="V14" s="41">
        <f t="shared" ca="1" si="74"/>
        <v>4.4427724427167252</v>
      </c>
      <c r="W14" s="32">
        <f t="shared" ca="1" si="75"/>
        <v>4.1366549727628916</v>
      </c>
      <c r="X14" s="32">
        <f t="shared" ca="1" si="76"/>
        <v>6.273774503167771</v>
      </c>
      <c r="Y14" s="32">
        <f t="shared" ca="1" si="77"/>
        <v>4.1366549727628916</v>
      </c>
      <c r="Z14" s="32">
        <f t="shared" ca="1" si="78"/>
        <v>5.7216458454622101</v>
      </c>
      <c r="AA14" s="32">
        <f t="shared" ca="1" si="79"/>
        <v>11.088460940818237</v>
      </c>
      <c r="AB14" s="32">
        <f t="shared" ca="1" si="80"/>
        <v>2.8608229227311051</v>
      </c>
      <c r="AC14" s="32">
        <f t="shared" ca="1" si="81"/>
        <v>1.6190537039147399</v>
      </c>
      <c r="AD14" s="32">
        <f t="shared" ca="1" si="82"/>
        <v>4.1914382356292936</v>
      </c>
      <c r="AE14" s="32">
        <f t="shared" ca="1" si="83"/>
        <v>8.0169572602115853</v>
      </c>
      <c r="AF14" s="32">
        <f t="shared" ca="1" si="84"/>
        <v>2.0957191178146468</v>
      </c>
      <c r="AG14" s="32">
        <f t="shared" ca="1" si="85"/>
        <v>2.6190574622150207</v>
      </c>
      <c r="AH14" s="32">
        <f t="shared" ca="1" si="86"/>
        <v>10.201384065552778</v>
      </c>
      <c r="AI14" s="32">
        <f t="shared" ca="1" si="87"/>
        <v>4.5906228294987503</v>
      </c>
      <c r="AJ14" s="32">
        <f t="shared" ca="1" si="88"/>
        <v>1.1360586914023596</v>
      </c>
      <c r="AK14" s="32">
        <f t="shared" ca="1" si="89"/>
        <v>8.815735033201122</v>
      </c>
      <c r="AL14" s="32">
        <f t="shared" ca="1" si="90"/>
        <v>8.3606995493769514</v>
      </c>
      <c r="AM14" s="32">
        <f t="shared" ca="1" si="91"/>
        <v>7.8506303460993117</v>
      </c>
      <c r="AN14" s="32">
        <f t="shared" ca="1" si="92"/>
        <v>0.80205869140235964</v>
      </c>
      <c r="AO14" s="32">
        <f t="shared" ca="1" si="93"/>
        <v>1.3214767509556518</v>
      </c>
      <c r="AP14" s="32">
        <f t="shared" ca="1" si="94"/>
        <v>2.9938844540209244</v>
      </c>
      <c r="AQ14" s="32">
        <f t="shared" ca="1" si="95"/>
        <v>6.5865457988460321</v>
      </c>
      <c r="AR14" s="32">
        <f t="shared" ca="1" si="96"/>
        <v>1.4969422270104622</v>
      </c>
      <c r="AS14" s="32">
        <f t="shared" ca="1" si="97"/>
        <v>6.4217928424181281</v>
      </c>
      <c r="AT14" s="32">
        <f t="shared" ca="1" si="98"/>
        <v>0.88435706516351353</v>
      </c>
      <c r="AU14" s="32">
        <f t="shared" ca="1" si="99"/>
        <v>2.4778931032787908</v>
      </c>
      <c r="AV14" s="32">
        <f t="shared" ca="1" si="100"/>
        <v>0.44217853258175677</v>
      </c>
      <c r="AW14" s="32">
        <f t="shared" ca="1" si="101"/>
        <v>2.0957191178146468</v>
      </c>
      <c r="AX14" s="32">
        <f t="shared" ca="1" si="102"/>
        <v>4.4353843763272947</v>
      </c>
      <c r="AY14" s="32">
        <f t="shared" ca="1" si="103"/>
        <v>1.0478595589073234</v>
      </c>
      <c r="AZ14" s="32">
        <f t="shared" ca="1" si="104"/>
        <v>6.8027466551039497</v>
      </c>
      <c r="BA14" s="32">
        <f t="shared" ca="1" si="105"/>
        <v>1.7210949037412993</v>
      </c>
      <c r="BB14" s="32">
        <f t="shared" ca="1" si="106"/>
        <v>4.3366634069622769</v>
      </c>
      <c r="BC14" s="32">
        <f t="shared" ca="1" si="107"/>
        <v>0.86054745187064963</v>
      </c>
      <c r="BD14" s="32">
        <f t="shared" ca="1" si="108"/>
        <v>3.2267421337781066</v>
      </c>
      <c r="BE14" s="32">
        <f t="shared" ca="1" si="109"/>
        <v>3.8587844074047464</v>
      </c>
      <c r="BF14" s="32">
        <f t="shared" ca="1" si="110"/>
        <v>5.9932198031465793</v>
      </c>
      <c r="BG14" s="32">
        <f t="shared" ca="1" si="111"/>
        <v>10.748701776387412</v>
      </c>
      <c r="BH14" s="32">
        <f t="shared" ca="1" si="112"/>
        <v>1.6394619438800517</v>
      </c>
      <c r="BI14" s="32">
        <f t="shared" ca="1" si="113"/>
        <v>5.3779035562968449</v>
      </c>
      <c r="BJ14" s="32">
        <f t="shared" ca="1" si="114"/>
        <v>2.9273536883760145</v>
      </c>
      <c r="BK14" s="32">
        <f t="shared" ca="1" si="115"/>
        <v>2.5918464755946049</v>
      </c>
      <c r="BL14" s="32">
        <f t="shared" ca="1" si="116"/>
        <v>11.457470576560853</v>
      </c>
      <c r="BM14" s="32">
        <f t="shared" ca="1" si="117"/>
        <v>0.35374282606540536</v>
      </c>
      <c r="BN14" s="32">
        <f t="shared" ca="1" si="118"/>
        <v>1.9959229693472826</v>
      </c>
      <c r="BO14" s="32">
        <f t="shared" ca="1" si="119"/>
        <v>0.75401534397564018</v>
      </c>
      <c r="BP14" s="32">
        <f t="shared" ca="1" si="120"/>
        <v>2.0748377298067044</v>
      </c>
      <c r="BQ14" s="32">
        <f t="shared" ca="1" si="121"/>
        <v>16.93833219846368</v>
      </c>
      <c r="BR14" s="32">
        <f t="shared" ca="1" si="122"/>
        <v>0.91837079843903324</v>
      </c>
      <c r="BS14" s="32">
        <f t="shared" ca="1" si="123"/>
        <v>3.1491229071923792</v>
      </c>
      <c r="BT14" s="32">
        <f t="shared" ca="1" si="124"/>
        <v>2.7055844695596498</v>
      </c>
      <c r="BU14" s="32">
        <f t="shared" ca="1" si="125"/>
        <v>4.2925331393705921</v>
      </c>
      <c r="BV14" s="32">
        <f t="shared" ca="1" si="126"/>
        <v>11.837838256318035</v>
      </c>
      <c r="BW14" s="32">
        <f t="shared" ca="1" si="127"/>
        <v>1.0068065049553845</v>
      </c>
      <c r="BX14" s="32">
        <f t="shared" ca="1" si="128"/>
        <v>2.7619151419722039</v>
      </c>
      <c r="BY14" s="32">
        <f t="shared" ca="1" si="129"/>
        <v>5.0794026739758245</v>
      </c>
      <c r="BZ14" s="32">
        <f t="shared" ca="1" si="130"/>
        <v>9.2932644003137153</v>
      </c>
      <c r="CA14" s="32">
        <f t="shared" ca="1" si="131"/>
        <v>5.0794026739758245</v>
      </c>
      <c r="CB14" s="32">
        <f t="shared" ca="1" si="132"/>
        <v>6.7765344994630947</v>
      </c>
      <c r="CC14" s="32">
        <f t="shared" ca="1" si="133"/>
        <v>12.114626837503977</v>
      </c>
      <c r="CD14" s="32">
        <f t="shared" ca="1" si="134"/>
        <v>6.7765344994630947</v>
      </c>
      <c r="CE14" s="32">
        <f t="shared" ca="1" si="135"/>
        <v>1.7006866637759874</v>
      </c>
    </row>
    <row r="15" spans="1:83" x14ac:dyDescent="0.25">
      <c r="A15" t="str">
        <f>PLANTILLA!D16</f>
        <v>David Garcia-Spiess</v>
      </c>
      <c r="B15">
        <f>PLANTILLA!E16</f>
        <v>30</v>
      </c>
      <c r="C15" s="30">
        <f ca="1">PLANTILLA!F16</f>
        <v>10</v>
      </c>
      <c r="D15" s="134" t="str">
        <f>PLANTILLA!G16</f>
        <v>POT</v>
      </c>
      <c r="E15" s="28">
        <f>PLANTILLA!M16</f>
        <v>43409</v>
      </c>
      <c r="F15" s="42">
        <f>PLANTILLA!Q16</f>
        <v>5</v>
      </c>
      <c r="G15" s="43">
        <f t="shared" si="68"/>
        <v>0.84515425472851657</v>
      </c>
      <c r="H15" s="43">
        <f t="shared" si="69"/>
        <v>0.92504826128926143</v>
      </c>
      <c r="I15" s="140">
        <f ca="1">PLANTILLA!N16</f>
        <v>0.78896034082788147</v>
      </c>
      <c r="J15" s="34">
        <f>PLANTILLA!I16</f>
        <v>7</v>
      </c>
      <c r="K15" s="41">
        <f>PLANTILLA!X16</f>
        <v>0</v>
      </c>
      <c r="L15" s="41">
        <f>PLANTILLA!Y16</f>
        <v>9</v>
      </c>
      <c r="M15" s="41">
        <f>PLANTILLA!Z16</f>
        <v>13</v>
      </c>
      <c r="N15" s="41">
        <f>PLANTILLA!AA16</f>
        <v>6</v>
      </c>
      <c r="O15" s="41">
        <f>PLANTILLA!AB16</f>
        <v>7</v>
      </c>
      <c r="P15" s="41">
        <f>PLANTILLA!AC16</f>
        <v>7</v>
      </c>
      <c r="Q15" s="41">
        <f>PLANTILLA!AD16</f>
        <v>17</v>
      </c>
      <c r="R15" s="41">
        <f t="shared" si="70"/>
        <v>3.25</v>
      </c>
      <c r="S15" s="41">
        <f t="shared" si="71"/>
        <v>0.86</v>
      </c>
      <c r="T15" s="41">
        <f t="shared" si="72"/>
        <v>0.86999999999999988</v>
      </c>
      <c r="U15" s="41">
        <f t="shared" ca="1" si="73"/>
        <v>15.9867331248219</v>
      </c>
      <c r="V15" s="41">
        <f t="shared" ca="1" si="74"/>
        <v>17.497988796805327</v>
      </c>
      <c r="W15" s="32">
        <f t="shared" ca="1" si="75"/>
        <v>4.1564564961193353</v>
      </c>
      <c r="X15" s="32">
        <f t="shared" ca="1" si="76"/>
        <v>6.2982432262200012</v>
      </c>
      <c r="Y15" s="32">
        <f t="shared" ca="1" si="77"/>
        <v>4.1564564961193353</v>
      </c>
      <c r="Z15" s="32">
        <f t="shared" ca="1" si="78"/>
        <v>5.6325309873969953</v>
      </c>
      <c r="AA15" s="32">
        <f t="shared" ca="1" si="79"/>
        <v>10.915757727513556</v>
      </c>
      <c r="AB15" s="32">
        <f t="shared" ca="1" si="80"/>
        <v>2.8162654936984977</v>
      </c>
      <c r="AC15" s="32">
        <f t="shared" ca="1" si="81"/>
        <v>3.5499503391482263</v>
      </c>
      <c r="AD15" s="32">
        <f t="shared" ca="1" si="82"/>
        <v>4.1261564210001245</v>
      </c>
      <c r="AE15" s="32">
        <f t="shared" ca="1" si="83"/>
        <v>7.8920928369923011</v>
      </c>
      <c r="AF15" s="32">
        <f t="shared" ca="1" si="84"/>
        <v>2.0630782105000622</v>
      </c>
      <c r="AG15" s="32">
        <f t="shared" ca="1" si="85"/>
        <v>5.7425667250927193</v>
      </c>
      <c r="AH15" s="32">
        <f t="shared" ca="1" si="86"/>
        <v>10.042497109312473</v>
      </c>
      <c r="AI15" s="32">
        <f t="shared" ca="1" si="87"/>
        <v>4.5191236991906116</v>
      </c>
      <c r="AJ15" s="32">
        <f t="shared" ca="1" si="88"/>
        <v>2.4909315404947638</v>
      </c>
      <c r="AK15" s="32">
        <f t="shared" ca="1" si="89"/>
        <v>4.6544655437779721</v>
      </c>
      <c r="AL15" s="32">
        <f t="shared" ca="1" si="90"/>
        <v>8.2304813265452221</v>
      </c>
      <c r="AM15" s="32">
        <f t="shared" ca="1" si="91"/>
        <v>7.7283564710795973</v>
      </c>
      <c r="AN15" s="32">
        <f t="shared" ca="1" si="92"/>
        <v>3.1589315404947644</v>
      </c>
      <c r="AO15" s="32">
        <f t="shared" ca="1" si="93"/>
        <v>1.4877382255239047</v>
      </c>
      <c r="AP15" s="32">
        <f t="shared" ca="1" si="94"/>
        <v>2.9472545864286603</v>
      </c>
      <c r="AQ15" s="32">
        <f t="shared" ca="1" si="95"/>
        <v>6.4839600901430519</v>
      </c>
      <c r="AR15" s="32">
        <f t="shared" ca="1" si="96"/>
        <v>1.4736272932143302</v>
      </c>
      <c r="AS15" s="32">
        <f t="shared" ca="1" si="97"/>
        <v>14.080475294772796</v>
      </c>
      <c r="AT15" s="32">
        <f t="shared" ca="1" si="98"/>
        <v>1.1590485045767627</v>
      </c>
      <c r="AU15" s="32">
        <f t="shared" ca="1" si="99"/>
        <v>2.612317014161472</v>
      </c>
      <c r="AV15" s="32">
        <f t="shared" ca="1" si="100"/>
        <v>0.57952425228838134</v>
      </c>
      <c r="AW15" s="32">
        <f t="shared" ca="1" si="101"/>
        <v>2.0630782105000622</v>
      </c>
      <c r="AX15" s="32">
        <f t="shared" ca="1" si="102"/>
        <v>4.366303091005423</v>
      </c>
      <c r="AY15" s="32">
        <f t="shared" ca="1" si="103"/>
        <v>1.0315391052500311</v>
      </c>
      <c r="AZ15" s="32">
        <f t="shared" ca="1" si="104"/>
        <v>14.915757727513556</v>
      </c>
      <c r="BA15" s="32">
        <f t="shared" ca="1" si="105"/>
        <v>2.2556867050609304</v>
      </c>
      <c r="BB15" s="32">
        <f t="shared" ca="1" si="106"/>
        <v>4.9125825078599705</v>
      </c>
      <c r="BC15" s="32">
        <f t="shared" ca="1" si="107"/>
        <v>1.1278433525304652</v>
      </c>
      <c r="BD15" s="32">
        <f t="shared" ca="1" si="108"/>
        <v>3.1764854987064446</v>
      </c>
      <c r="BE15" s="32">
        <f t="shared" ca="1" si="109"/>
        <v>3.7986836891747173</v>
      </c>
      <c r="BF15" s="32">
        <f t="shared" ca="1" si="110"/>
        <v>13.140782557939444</v>
      </c>
      <c r="BG15" s="32">
        <f t="shared" ca="1" si="111"/>
        <v>7.3521086197595533</v>
      </c>
      <c r="BH15" s="32">
        <f t="shared" ca="1" si="112"/>
        <v>2.1486976123307673</v>
      </c>
      <c r="BI15" s="32">
        <f t="shared" ca="1" si="113"/>
        <v>5.2941424978440743</v>
      </c>
      <c r="BJ15" s="32">
        <f t="shared" ca="1" si="114"/>
        <v>2.881760040063579</v>
      </c>
      <c r="BK15" s="32">
        <f t="shared" ca="1" si="115"/>
        <v>5.6829036941826647</v>
      </c>
      <c r="BL15" s="32">
        <f t="shared" ca="1" si="116"/>
        <v>7.1193722538468505</v>
      </c>
      <c r="BM15" s="32">
        <f t="shared" ca="1" si="117"/>
        <v>0.46361940183070499</v>
      </c>
      <c r="BN15" s="32">
        <f t="shared" ca="1" si="118"/>
        <v>1.96483639095244</v>
      </c>
      <c r="BO15" s="32">
        <f t="shared" ca="1" si="119"/>
        <v>0.7422715254709219</v>
      </c>
      <c r="BP15" s="32">
        <f t="shared" ca="1" si="120"/>
        <v>4.5493061068916347</v>
      </c>
      <c r="BQ15" s="32">
        <f t="shared" ca="1" si="121"/>
        <v>10.465664437582436</v>
      </c>
      <c r="BR15" s="32">
        <f t="shared" ca="1" si="122"/>
        <v>1.2036272932143304</v>
      </c>
      <c r="BS15" s="32">
        <f t="shared" ca="1" si="123"/>
        <v>3.1000751946138498</v>
      </c>
      <c r="BT15" s="32">
        <f t="shared" ca="1" si="124"/>
        <v>2.6634448855133077</v>
      </c>
      <c r="BU15" s="32">
        <f t="shared" ca="1" si="125"/>
        <v>9.4118431260610542</v>
      </c>
      <c r="BV15" s="32">
        <f t="shared" ca="1" si="126"/>
        <v>7.2776031661246332</v>
      </c>
      <c r="BW15" s="32">
        <f t="shared" ca="1" si="127"/>
        <v>1.3195321436720064</v>
      </c>
      <c r="BX15" s="32">
        <f t="shared" ca="1" si="128"/>
        <v>6.055797637370504</v>
      </c>
      <c r="BY15" s="32">
        <f t="shared" ca="1" si="129"/>
        <v>4.5011097760345633</v>
      </c>
      <c r="BZ15" s="32">
        <f t="shared" ca="1" si="130"/>
        <v>10.039143201180266</v>
      </c>
      <c r="CA15" s="32">
        <f t="shared" ca="1" si="131"/>
        <v>4.5011097760345633</v>
      </c>
      <c r="CB15" s="32">
        <f t="shared" ca="1" si="132"/>
        <v>5.3335170642409473</v>
      </c>
      <c r="CC15" s="32">
        <f t="shared" ca="1" si="133"/>
        <v>12.205672328966061</v>
      </c>
      <c r="CD15" s="32">
        <f t="shared" ca="1" si="134"/>
        <v>5.3335170642409473</v>
      </c>
      <c r="CE15" s="32">
        <f t="shared" ca="1" si="135"/>
        <v>3.7289394318783891</v>
      </c>
    </row>
    <row r="16" spans="1:83" x14ac:dyDescent="0.25">
      <c r="A16" t="str">
        <f>PLANTILLA!D17</f>
        <v>Fabien Fabre</v>
      </c>
      <c r="B16">
        <f>PLANTILLA!E17</f>
        <v>31</v>
      </c>
      <c r="C16" s="30">
        <f ca="1">PLANTILLA!F17</f>
        <v>15</v>
      </c>
      <c r="D16" s="134" t="str">
        <f>PLANTILLA!G17</f>
        <v>IMP</v>
      </c>
      <c r="E16" s="28">
        <f>PLANTILLA!M17</f>
        <v>43415</v>
      </c>
      <c r="F16" s="42">
        <f>PLANTILLA!Q17</f>
        <v>5</v>
      </c>
      <c r="G16" s="43">
        <f t="shared" si="68"/>
        <v>0.84515425472851657</v>
      </c>
      <c r="H16" s="43">
        <f t="shared" si="69"/>
        <v>0.92504826128926143</v>
      </c>
      <c r="I16" s="140">
        <f ca="1">PLANTILLA!N17</f>
        <v>0.77584017284391016</v>
      </c>
      <c r="J16" s="34">
        <f>PLANTILLA!I17</f>
        <v>4.8</v>
      </c>
      <c r="K16" s="41">
        <f>PLANTILLA!X17</f>
        <v>0</v>
      </c>
      <c r="L16" s="41">
        <f>PLANTILLA!Y17</f>
        <v>5</v>
      </c>
      <c r="M16" s="41">
        <f>PLANTILLA!Z17</f>
        <v>11</v>
      </c>
      <c r="N16" s="41">
        <f>PLANTILLA!AA17</f>
        <v>2</v>
      </c>
      <c r="O16" s="41">
        <f>PLANTILLA!AB17</f>
        <v>4</v>
      </c>
      <c r="P16" s="41">
        <f>PLANTILLA!AC17</f>
        <v>5</v>
      </c>
      <c r="Q16" s="41">
        <f>PLANTILLA!AD17</f>
        <v>12</v>
      </c>
      <c r="R16" s="41">
        <f t="shared" si="70"/>
        <v>2</v>
      </c>
      <c r="S16" s="41">
        <f t="shared" si="71"/>
        <v>0.61</v>
      </c>
      <c r="T16" s="41">
        <f t="shared" si="72"/>
        <v>0.55999999999999994</v>
      </c>
      <c r="U16" s="41">
        <f t="shared" ca="1" si="73"/>
        <v>11.565227586829867</v>
      </c>
      <c r="V16" s="41">
        <f t="shared" ca="1" si="74"/>
        <v>12.658510101269199</v>
      </c>
      <c r="W16" s="32">
        <f t="shared" ca="1" si="75"/>
        <v>2.8502732711979171</v>
      </c>
      <c r="X16" s="32">
        <f t="shared" ca="1" si="76"/>
        <v>4.299252913077332</v>
      </c>
      <c r="Y16" s="32">
        <f t="shared" ca="1" si="77"/>
        <v>2.8502732711979171</v>
      </c>
      <c r="Z16" s="32">
        <f t="shared" ca="1" si="78"/>
        <v>3.4490275005018618</v>
      </c>
      <c r="AA16" s="32">
        <f t="shared" ca="1" si="79"/>
        <v>6.6841618226780266</v>
      </c>
      <c r="AB16" s="32">
        <f t="shared" ca="1" si="80"/>
        <v>1.7245137502509309</v>
      </c>
      <c r="AC16" s="32">
        <f t="shared" ca="1" si="81"/>
        <v>3.0188305137973703</v>
      </c>
      <c r="AD16" s="32">
        <f t="shared" ca="1" si="82"/>
        <v>2.5266131689722942</v>
      </c>
      <c r="AE16" s="32">
        <f t="shared" ca="1" si="83"/>
        <v>4.8326489977962135</v>
      </c>
      <c r="AF16" s="32">
        <f t="shared" ca="1" si="84"/>
        <v>1.2633065844861471</v>
      </c>
      <c r="AG16" s="32">
        <f t="shared" ca="1" si="85"/>
        <v>4.8834023017310404</v>
      </c>
      <c r="AH16" s="32">
        <f t="shared" ca="1" si="86"/>
        <v>6.1494288768637846</v>
      </c>
      <c r="AI16" s="32">
        <f t="shared" ca="1" si="87"/>
        <v>2.7672429945887029</v>
      </c>
      <c r="AJ16" s="32">
        <f t="shared" ca="1" si="88"/>
        <v>2.1182550243872305</v>
      </c>
      <c r="AK16" s="32">
        <f t="shared" ca="1" si="89"/>
        <v>2.1662871517346796</v>
      </c>
      <c r="AL16" s="32">
        <f t="shared" ca="1" si="90"/>
        <v>5.0398580142992317</v>
      </c>
      <c r="AM16" s="32">
        <f t="shared" ca="1" si="91"/>
        <v>4.7323865704560424</v>
      </c>
      <c r="AN16" s="32">
        <f t="shared" ca="1" si="92"/>
        <v>2.2852550243872307</v>
      </c>
      <c r="AO16" s="32">
        <f t="shared" ca="1" si="93"/>
        <v>1.0610386049312717</v>
      </c>
      <c r="AP16" s="32">
        <f t="shared" ca="1" si="94"/>
        <v>1.8047236921230674</v>
      </c>
      <c r="AQ16" s="32">
        <f t="shared" ca="1" si="95"/>
        <v>3.9703921226707477</v>
      </c>
      <c r="AR16" s="32">
        <f t="shared" ca="1" si="96"/>
        <v>0.90236184606153369</v>
      </c>
      <c r="AS16" s="32">
        <f t="shared" ca="1" si="97"/>
        <v>11.973848760608057</v>
      </c>
      <c r="AT16" s="32">
        <f t="shared" ca="1" si="98"/>
        <v>0.7389410369481435</v>
      </c>
      <c r="AU16" s="32">
        <f t="shared" ca="1" si="99"/>
        <v>1.8384594140446617</v>
      </c>
      <c r="AV16" s="32">
        <f t="shared" ca="1" si="100"/>
        <v>0.36947051847407175</v>
      </c>
      <c r="AW16" s="32">
        <f t="shared" ca="1" si="101"/>
        <v>1.2633065844861471</v>
      </c>
      <c r="AX16" s="32">
        <f t="shared" ca="1" si="102"/>
        <v>2.673664729071211</v>
      </c>
      <c r="AY16" s="32">
        <f t="shared" ca="1" si="103"/>
        <v>0.63165329224307354</v>
      </c>
      <c r="AZ16" s="32">
        <f t="shared" ca="1" si="104"/>
        <v>12.684161822678027</v>
      </c>
      <c r="BA16" s="32">
        <f t="shared" ca="1" si="105"/>
        <v>1.4380929411375407</v>
      </c>
      <c r="BB16" s="32">
        <f t="shared" ca="1" si="106"/>
        <v>3.3419731642955925</v>
      </c>
      <c r="BC16" s="32">
        <f t="shared" ca="1" si="107"/>
        <v>0.71904647056877036</v>
      </c>
      <c r="BD16" s="32">
        <f t="shared" ca="1" si="108"/>
        <v>1.9450910903993057</v>
      </c>
      <c r="BE16" s="32">
        <f t="shared" ca="1" si="109"/>
        <v>2.3260883142919533</v>
      </c>
      <c r="BF16" s="32">
        <f t="shared" ca="1" si="110"/>
        <v>11.174746565779342</v>
      </c>
      <c r="BG16" s="32">
        <f t="shared" ca="1" si="111"/>
        <v>3.9052198603607655</v>
      </c>
      <c r="BH16" s="32">
        <f t="shared" ca="1" si="112"/>
        <v>1.3698829992654045</v>
      </c>
      <c r="BI16" s="32">
        <f t="shared" ca="1" si="113"/>
        <v>3.2418184839988426</v>
      </c>
      <c r="BJ16" s="32">
        <f t="shared" ca="1" si="114"/>
        <v>1.764618721186999</v>
      </c>
      <c r="BK16" s="32">
        <f t="shared" ca="1" si="115"/>
        <v>4.8326656544403281</v>
      </c>
      <c r="BL16" s="32">
        <f t="shared" ca="1" si="116"/>
        <v>3.6219574330205955</v>
      </c>
      <c r="BM16" s="32">
        <f t="shared" ca="1" si="117"/>
        <v>0.29557641477925739</v>
      </c>
      <c r="BN16" s="32">
        <f t="shared" ca="1" si="118"/>
        <v>1.2031491280820448</v>
      </c>
      <c r="BO16" s="32">
        <f t="shared" ca="1" si="119"/>
        <v>0.45452300394210582</v>
      </c>
      <c r="BP16" s="32">
        <f t="shared" ca="1" si="120"/>
        <v>3.8686693559167979</v>
      </c>
      <c r="BQ16" s="32">
        <f t="shared" ca="1" si="121"/>
        <v>5.3098321039639416</v>
      </c>
      <c r="BR16" s="32">
        <f t="shared" ca="1" si="122"/>
        <v>0.76736184606153368</v>
      </c>
      <c r="BS16" s="32">
        <f t="shared" ca="1" si="123"/>
        <v>1.8983019576405593</v>
      </c>
      <c r="BT16" s="32">
        <f t="shared" ca="1" si="124"/>
        <v>1.6309354847334385</v>
      </c>
      <c r="BU16" s="32">
        <f t="shared" ca="1" si="125"/>
        <v>8.0037061101098352</v>
      </c>
      <c r="BV16" s="32">
        <f t="shared" ca="1" si="126"/>
        <v>3.6833248312968339</v>
      </c>
      <c r="BW16" s="32">
        <f t="shared" ca="1" si="127"/>
        <v>0.84125594975634788</v>
      </c>
      <c r="BX16" s="32">
        <f t="shared" ca="1" si="128"/>
        <v>5.1497697000072788</v>
      </c>
      <c r="BY16" s="32">
        <f t="shared" ca="1" si="129"/>
        <v>2.8004483096152519</v>
      </c>
      <c r="BZ16" s="32">
        <f t="shared" ca="1" si="130"/>
        <v>6.9833662123354578</v>
      </c>
      <c r="CA16" s="32">
        <f t="shared" ca="1" si="131"/>
        <v>2.8004483096152519</v>
      </c>
      <c r="CB16" s="32">
        <f t="shared" ca="1" si="132"/>
        <v>3.3592328155284106</v>
      </c>
      <c r="CC16" s="32">
        <f t="shared" ca="1" si="133"/>
        <v>8.7816175352462178</v>
      </c>
      <c r="CD16" s="32">
        <f t="shared" ca="1" si="134"/>
        <v>3.3592328155284106</v>
      </c>
      <c r="CE16" s="32">
        <f t="shared" ca="1" si="135"/>
        <v>3.1710404556695067</v>
      </c>
    </row>
    <row r="17" spans="1:83" x14ac:dyDescent="0.25">
      <c r="A17" t="str">
        <f>PLANTILLA!D18</f>
        <v>Fernando Gazón</v>
      </c>
      <c r="B17">
        <f>PLANTILLA!E18</f>
        <v>22</v>
      </c>
      <c r="C17" s="30">
        <f ca="1">PLANTILLA!F18</f>
        <v>82</v>
      </c>
      <c r="D17" s="134" t="str">
        <f>PLANTILLA!G18</f>
        <v>IMP</v>
      </c>
      <c r="E17" s="28">
        <f>PLANTILLA!M18</f>
        <v>43045</v>
      </c>
      <c r="F17" s="42">
        <f>PLANTILLA!Q18</f>
        <v>5</v>
      </c>
      <c r="G17" s="43">
        <f t="shared" si="68"/>
        <v>0.84515425472851657</v>
      </c>
      <c r="H17" s="43">
        <f t="shared" si="69"/>
        <v>0.92504826128926143</v>
      </c>
      <c r="I17" s="140">
        <f ca="1">PLANTILLA!N18</f>
        <v>1</v>
      </c>
      <c r="J17" s="34">
        <f>PLANTILLA!I18</f>
        <v>2.5</v>
      </c>
      <c r="K17" s="41">
        <f>PLANTILLA!X18</f>
        <v>0</v>
      </c>
      <c r="L17" s="41">
        <f>PLANTILLA!Y18</f>
        <v>4</v>
      </c>
      <c r="M17" s="41">
        <f>PLANTILLA!Z18</f>
        <v>6</v>
      </c>
      <c r="N17" s="41">
        <f>PLANTILLA!AA18</f>
        <v>6</v>
      </c>
      <c r="O17" s="41">
        <f>PLANTILLA!AB18</f>
        <v>4.25</v>
      </c>
      <c r="P17" s="41">
        <f>PLANTILLA!AC18</f>
        <v>5.6190261437908475</v>
      </c>
      <c r="Q17" s="41">
        <f>PLANTILLA!AD18</f>
        <v>3</v>
      </c>
      <c r="R17" s="41">
        <f t="shared" si="70"/>
        <v>1.9375</v>
      </c>
      <c r="S17" s="41">
        <f t="shared" si="71"/>
        <v>0.37095130718954239</v>
      </c>
      <c r="T17" s="41">
        <f t="shared" si="72"/>
        <v>0.25</v>
      </c>
      <c r="U17" s="41">
        <f t="shared" ca="1" si="73"/>
        <v>3.8290446075219</v>
      </c>
      <c r="V17" s="41">
        <f t="shared" ca="1" si="74"/>
        <v>4.1910113293163818</v>
      </c>
      <c r="W17" s="32">
        <f t="shared" ca="1" si="75"/>
        <v>2.4402021700942518</v>
      </c>
      <c r="X17" s="32">
        <f t="shared" ca="1" si="76"/>
        <v>3.6759874015941341</v>
      </c>
      <c r="Y17" s="32">
        <f t="shared" ca="1" si="77"/>
        <v>2.4402021700942518</v>
      </c>
      <c r="Z17" s="32">
        <f t="shared" ca="1" si="78"/>
        <v>2.853782725966362</v>
      </c>
      <c r="AA17" s="32">
        <f t="shared" ca="1" si="79"/>
        <v>5.5305866782293833</v>
      </c>
      <c r="AB17" s="32">
        <f t="shared" ca="1" si="80"/>
        <v>1.426891362983181</v>
      </c>
      <c r="AC17" s="32">
        <f t="shared" ca="1" si="81"/>
        <v>1.7922796294185932</v>
      </c>
      <c r="AD17" s="32">
        <f t="shared" ca="1" si="82"/>
        <v>2.0905617643707068</v>
      </c>
      <c r="AE17" s="32">
        <f t="shared" ca="1" si="83"/>
        <v>3.9986141683598442</v>
      </c>
      <c r="AF17" s="32">
        <f t="shared" ca="1" si="84"/>
        <v>1.0452808821853534</v>
      </c>
      <c r="AG17" s="32">
        <f t="shared" ca="1" si="85"/>
        <v>2.8992758711183129</v>
      </c>
      <c r="AH17" s="32">
        <f t="shared" ca="1" si="86"/>
        <v>5.0881397439710332</v>
      </c>
      <c r="AI17" s="32">
        <f t="shared" ca="1" si="87"/>
        <v>2.2896628847869644</v>
      </c>
      <c r="AJ17" s="32">
        <f t="shared" ca="1" si="88"/>
        <v>1.257607975264307</v>
      </c>
      <c r="AK17" s="32">
        <f t="shared" ca="1" si="89"/>
        <v>4.4279849667988769</v>
      </c>
      <c r="AL17" s="32">
        <f t="shared" ca="1" si="90"/>
        <v>4.170062355384955</v>
      </c>
      <c r="AM17" s="32">
        <f t="shared" ca="1" si="91"/>
        <v>3.9156553681864033</v>
      </c>
      <c r="AN17" s="32">
        <f t="shared" ca="1" si="92"/>
        <v>0.75660797526430701</v>
      </c>
      <c r="AO17" s="32">
        <f t="shared" ca="1" si="93"/>
        <v>0.9988089633300623</v>
      </c>
      <c r="AP17" s="32">
        <f t="shared" ca="1" si="94"/>
        <v>1.4932584031219336</v>
      </c>
      <c r="AQ17" s="32">
        <f t="shared" ca="1" si="95"/>
        <v>3.2851684868682534</v>
      </c>
      <c r="AR17" s="32">
        <f t="shared" ca="1" si="96"/>
        <v>0.74662920156096679</v>
      </c>
      <c r="AS17" s="32">
        <f t="shared" ca="1" si="97"/>
        <v>7.1088738242485379</v>
      </c>
      <c r="AT17" s="32">
        <f t="shared" ca="1" si="98"/>
        <v>0.75147626816981983</v>
      </c>
      <c r="AU17" s="32">
        <f t="shared" ca="1" si="99"/>
        <v>1.9305534195970258</v>
      </c>
      <c r="AV17" s="32">
        <f t="shared" ca="1" si="100"/>
        <v>0.37573813408490991</v>
      </c>
      <c r="AW17" s="32">
        <f t="shared" ca="1" si="101"/>
        <v>1.0452808821853534</v>
      </c>
      <c r="AX17" s="32">
        <f t="shared" ca="1" si="102"/>
        <v>2.2122346712917533</v>
      </c>
      <c r="AY17" s="32">
        <f t="shared" ca="1" si="103"/>
        <v>0.52264044109267671</v>
      </c>
      <c r="AZ17" s="32">
        <f t="shared" ca="1" si="104"/>
        <v>7.5305866782293833</v>
      </c>
      <c r="BA17" s="32">
        <f t="shared" ca="1" si="105"/>
        <v>1.462488429592034</v>
      </c>
      <c r="BB17" s="32">
        <f t="shared" ca="1" si="106"/>
        <v>3.4725987499004685</v>
      </c>
      <c r="BC17" s="32">
        <f t="shared" ca="1" si="107"/>
        <v>0.73124421479601698</v>
      </c>
      <c r="BD17" s="32">
        <f t="shared" ca="1" si="108"/>
        <v>1.6094007233647505</v>
      </c>
      <c r="BE17" s="32">
        <f t="shared" ca="1" si="109"/>
        <v>1.9246441640238252</v>
      </c>
      <c r="BF17" s="32">
        <f t="shared" ca="1" si="110"/>
        <v>6.6344468635200871</v>
      </c>
      <c r="BG17" s="32">
        <f t="shared" ca="1" si="111"/>
        <v>6.1434415569459215</v>
      </c>
      <c r="BH17" s="32">
        <f t="shared" ca="1" si="112"/>
        <v>1.3931213894532812</v>
      </c>
      <c r="BI17" s="32">
        <f t="shared" ca="1" si="113"/>
        <v>2.6823345389412507</v>
      </c>
      <c r="BJ17" s="32">
        <f t="shared" ca="1" si="114"/>
        <v>1.4600748830525572</v>
      </c>
      <c r="BK17" s="32">
        <f t="shared" ca="1" si="115"/>
        <v>2.869153524405395</v>
      </c>
      <c r="BL17" s="32">
        <f t="shared" ca="1" si="116"/>
        <v>6.2299827567724808</v>
      </c>
      <c r="BM17" s="32">
        <f t="shared" ca="1" si="117"/>
        <v>0.30059050726792791</v>
      </c>
      <c r="BN17" s="32">
        <f t="shared" ca="1" si="118"/>
        <v>0.99550560208128891</v>
      </c>
      <c r="BO17" s="32">
        <f t="shared" ca="1" si="119"/>
        <v>0.37607989411959808</v>
      </c>
      <c r="BP17" s="32">
        <f t="shared" ca="1" si="120"/>
        <v>2.2968289368599617</v>
      </c>
      <c r="BQ17" s="32">
        <f t="shared" ca="1" si="121"/>
        <v>9.1838344682029867</v>
      </c>
      <c r="BR17" s="32">
        <f t="shared" ca="1" si="122"/>
        <v>0.78037920156096685</v>
      </c>
      <c r="BS17" s="32">
        <f t="shared" ca="1" si="123"/>
        <v>1.5706866166171447</v>
      </c>
      <c r="BT17" s="32">
        <f t="shared" ca="1" si="124"/>
        <v>1.3494631494879694</v>
      </c>
      <c r="BU17" s="32">
        <f t="shared" ca="1" si="125"/>
        <v>4.7518001939627412</v>
      </c>
      <c r="BV17" s="32">
        <f t="shared" ca="1" si="126"/>
        <v>6.402125077015298</v>
      </c>
      <c r="BW17" s="32">
        <f t="shared" ca="1" si="127"/>
        <v>0.85552682837794869</v>
      </c>
      <c r="BX17" s="32">
        <f t="shared" ca="1" si="128"/>
        <v>3.0574181913611298</v>
      </c>
      <c r="BY17" s="32">
        <f t="shared" ca="1" si="129"/>
        <v>3.4375519796189464</v>
      </c>
      <c r="BZ17" s="32">
        <f t="shared" ca="1" si="130"/>
        <v>7.3070828415163502</v>
      </c>
      <c r="CA17" s="32">
        <f t="shared" ca="1" si="131"/>
        <v>3.4375519796189464</v>
      </c>
      <c r="CB17" s="32">
        <f t="shared" ca="1" si="132"/>
        <v>4.3440022979225263</v>
      </c>
      <c r="CC17" s="32">
        <f t="shared" ca="1" si="133"/>
        <v>9.2826493062868742</v>
      </c>
      <c r="CD17" s="32">
        <f t="shared" ca="1" si="134"/>
        <v>4.3440022979225263</v>
      </c>
      <c r="CE17" s="32">
        <f t="shared" ca="1" si="135"/>
        <v>1.8826466695573458</v>
      </c>
    </row>
    <row r="18" spans="1:83" x14ac:dyDescent="0.25">
      <c r="A18" t="str">
        <f>PLANTILLA!D19</f>
        <v>Miklós Gábriel</v>
      </c>
      <c r="B18">
        <f>PLANTILLA!E19</f>
        <v>31</v>
      </c>
      <c r="C18" s="30">
        <f ca="1">PLANTILLA!F19</f>
        <v>7</v>
      </c>
      <c r="D18" s="134" t="str">
        <f>PLANTILLA!G19</f>
        <v>RAP</v>
      </c>
      <c r="E18" s="28">
        <f>PLANTILLA!M19</f>
        <v>43420</v>
      </c>
      <c r="F18" s="42">
        <f>PLANTILLA!Q19</f>
        <v>4</v>
      </c>
      <c r="G18" s="43">
        <f t="shared" si="68"/>
        <v>0.7559289460184544</v>
      </c>
      <c r="H18" s="43">
        <f t="shared" si="69"/>
        <v>0.84430867747355465</v>
      </c>
      <c r="I18" s="140">
        <f ca="1">PLANTILLA!N19</f>
        <v>0.76481063373064673</v>
      </c>
      <c r="J18" s="34">
        <f>PLANTILLA!I19</f>
        <v>6.6</v>
      </c>
      <c r="K18" s="41">
        <f>PLANTILLA!X19</f>
        <v>0</v>
      </c>
      <c r="L18" s="41">
        <f>PLANTILLA!Y19</f>
        <v>5</v>
      </c>
      <c r="M18" s="41">
        <f>PLANTILLA!Z19</f>
        <v>2</v>
      </c>
      <c r="N18" s="41">
        <f>PLANTILLA!AA19</f>
        <v>4</v>
      </c>
      <c r="O18" s="41">
        <f>PLANTILLA!AB19</f>
        <v>7</v>
      </c>
      <c r="P18" s="41">
        <f>PLANTILLA!AC19</f>
        <v>10</v>
      </c>
      <c r="Q18" s="41">
        <f>PLANTILLA!AD19</f>
        <v>14</v>
      </c>
      <c r="R18" s="41">
        <f t="shared" si="70"/>
        <v>2.75</v>
      </c>
      <c r="S18" s="41">
        <f t="shared" si="71"/>
        <v>0.91999999999999993</v>
      </c>
      <c r="T18" s="41">
        <f t="shared" si="72"/>
        <v>0.62</v>
      </c>
      <c r="U18" s="41">
        <f t="shared" ca="1" si="73"/>
        <v>11.987170385064717</v>
      </c>
      <c r="V18" s="41">
        <f t="shared" ca="1" si="74"/>
        <v>13.388655147777701</v>
      </c>
      <c r="W18" s="32">
        <f t="shared" ca="1" si="75"/>
        <v>3.0016288242175899</v>
      </c>
      <c r="X18" s="32">
        <f t="shared" ca="1" si="76"/>
        <v>4.5230788225256688</v>
      </c>
      <c r="Y18" s="32">
        <f t="shared" ca="1" si="77"/>
        <v>3.0016288242175899</v>
      </c>
      <c r="Z18" s="32">
        <f t="shared" ca="1" si="78"/>
        <v>3.5384885146578196</v>
      </c>
      <c r="AA18" s="32">
        <f t="shared" ca="1" si="79"/>
        <v>6.8575358811198051</v>
      </c>
      <c r="AB18" s="32">
        <f t="shared" ca="1" si="80"/>
        <v>1.7692442573289098</v>
      </c>
      <c r="AC18" s="32">
        <f t="shared" ca="1" si="81"/>
        <v>0.91809353970651353</v>
      </c>
      <c r="AD18" s="32">
        <f t="shared" ca="1" si="82"/>
        <v>2.5921485630632861</v>
      </c>
      <c r="AE18" s="32">
        <f t="shared" ca="1" si="83"/>
        <v>4.957998442049619</v>
      </c>
      <c r="AF18" s="32">
        <f t="shared" ca="1" si="84"/>
        <v>1.2960742815316431</v>
      </c>
      <c r="AG18" s="32">
        <f t="shared" ca="1" si="85"/>
        <v>1.485151314231125</v>
      </c>
      <c r="AH18" s="32">
        <f t="shared" ca="1" si="86"/>
        <v>6.3089330106302208</v>
      </c>
      <c r="AI18" s="32">
        <f t="shared" ca="1" si="87"/>
        <v>2.839019854783599</v>
      </c>
      <c r="AJ18" s="32">
        <f t="shared" ca="1" si="88"/>
        <v>0.64420849214700748</v>
      </c>
      <c r="AK18" s="32">
        <f t="shared" ca="1" si="89"/>
        <v>3.4442310980984452</v>
      </c>
      <c r="AL18" s="32">
        <f t="shared" ca="1" si="90"/>
        <v>5.170582054364333</v>
      </c>
      <c r="AM18" s="32">
        <f t="shared" ca="1" si="91"/>
        <v>4.855135403832822</v>
      </c>
      <c r="AN18" s="32">
        <f t="shared" ca="1" si="92"/>
        <v>2.6482084921470075</v>
      </c>
      <c r="AO18" s="32">
        <f t="shared" ca="1" si="93"/>
        <v>1.3269703337625038</v>
      </c>
      <c r="AP18" s="32">
        <f t="shared" ca="1" si="94"/>
        <v>1.8515346879023475</v>
      </c>
      <c r="AQ18" s="32">
        <f t="shared" ca="1" si="95"/>
        <v>4.0733763133851637</v>
      </c>
      <c r="AR18" s="32">
        <f t="shared" ca="1" si="96"/>
        <v>0.92576734395117377</v>
      </c>
      <c r="AS18" s="32">
        <f t="shared" ca="1" si="97"/>
        <v>3.6415138717770956</v>
      </c>
      <c r="AT18" s="32">
        <f t="shared" ca="1" si="98"/>
        <v>1.1514796645455747</v>
      </c>
      <c r="AU18" s="32">
        <f t="shared" ca="1" si="99"/>
        <v>3.1142580131681026</v>
      </c>
      <c r="AV18" s="32">
        <f t="shared" ca="1" si="100"/>
        <v>0.57573983227278736</v>
      </c>
      <c r="AW18" s="32">
        <f t="shared" ca="1" si="101"/>
        <v>1.2960742815316431</v>
      </c>
      <c r="AX18" s="32">
        <f t="shared" ca="1" si="102"/>
        <v>2.743014352447922</v>
      </c>
      <c r="AY18" s="32">
        <f t="shared" ca="1" si="103"/>
        <v>0.64803714076582153</v>
      </c>
      <c r="AZ18" s="32">
        <f t="shared" ca="1" si="104"/>
        <v>3.8575358811198051</v>
      </c>
      <c r="BA18" s="32">
        <f t="shared" ca="1" si="105"/>
        <v>2.2409565779233107</v>
      </c>
      <c r="BB18" s="32">
        <f t="shared" ca="1" si="106"/>
        <v>5.5105022704970121</v>
      </c>
      <c r="BC18" s="32">
        <f t="shared" ca="1" si="107"/>
        <v>1.1204782889616554</v>
      </c>
      <c r="BD18" s="32">
        <f t="shared" ca="1" si="108"/>
        <v>1.9955429414058632</v>
      </c>
      <c r="BE18" s="32">
        <f t="shared" ca="1" si="109"/>
        <v>2.3864224866296921</v>
      </c>
      <c r="BF18" s="32">
        <f t="shared" ca="1" si="110"/>
        <v>3.3984891112665481</v>
      </c>
      <c r="BG18" s="32">
        <f t="shared" ca="1" si="111"/>
        <v>6.152349398315506</v>
      </c>
      <c r="BH18" s="32">
        <f t="shared" ca="1" si="112"/>
        <v>2.1346661473498729</v>
      </c>
      <c r="BI18" s="32">
        <f t="shared" ca="1" si="113"/>
        <v>3.3259049023431055</v>
      </c>
      <c r="BJ18" s="32">
        <f t="shared" ca="1" si="114"/>
        <v>1.8103894726156287</v>
      </c>
      <c r="BK18" s="32">
        <f t="shared" ca="1" si="115"/>
        <v>1.4697211707066458</v>
      </c>
      <c r="BL18" s="32">
        <f t="shared" ca="1" si="116"/>
        <v>5.7224863600987099</v>
      </c>
      <c r="BM18" s="32">
        <f t="shared" ca="1" si="117"/>
        <v>0.46059186581822986</v>
      </c>
      <c r="BN18" s="32">
        <f t="shared" ca="1" si="118"/>
        <v>1.234356458601565</v>
      </c>
      <c r="BO18" s="32">
        <f t="shared" ca="1" si="119"/>
        <v>0.46631243991614679</v>
      </c>
      <c r="BP18" s="32">
        <f t="shared" ca="1" si="120"/>
        <v>1.1765484437415406</v>
      </c>
      <c r="BQ18" s="32">
        <f t="shared" ca="1" si="121"/>
        <v>8.3907911431200688</v>
      </c>
      <c r="BR18" s="32">
        <f t="shared" ca="1" si="122"/>
        <v>1.1957673439511738</v>
      </c>
      <c r="BS18" s="32">
        <f t="shared" ca="1" si="123"/>
        <v>1.9475401902380245</v>
      </c>
      <c r="BT18" s="32">
        <f t="shared" ca="1" si="124"/>
        <v>1.6732387549932324</v>
      </c>
      <c r="BU18" s="32">
        <f t="shared" ca="1" si="125"/>
        <v>2.4341051409865968</v>
      </c>
      <c r="BV18" s="32">
        <f t="shared" ca="1" si="126"/>
        <v>5.8214946136022254</v>
      </c>
      <c r="BW18" s="32">
        <f t="shared" ca="1" si="127"/>
        <v>1.3109153104057312</v>
      </c>
      <c r="BX18" s="32">
        <f t="shared" ca="1" si="128"/>
        <v>1.5661595677346409</v>
      </c>
      <c r="BY18" s="32">
        <f t="shared" ca="1" si="129"/>
        <v>4.5637761940634185</v>
      </c>
      <c r="BZ18" s="32">
        <f t="shared" ca="1" si="130"/>
        <v>11.722585402140901</v>
      </c>
      <c r="CA18" s="32">
        <f t="shared" ca="1" si="131"/>
        <v>4.5637761940634185</v>
      </c>
      <c r="CB18" s="32">
        <f t="shared" ca="1" si="132"/>
        <v>5.6352448539376381</v>
      </c>
      <c r="CC18" s="32">
        <f t="shared" ca="1" si="133"/>
        <v>15.125966621253013</v>
      </c>
      <c r="CD18" s="32">
        <f t="shared" ca="1" si="134"/>
        <v>5.6352448539376381</v>
      </c>
      <c r="CE18" s="32">
        <f t="shared" ca="1" si="135"/>
        <v>0.96438397027995126</v>
      </c>
    </row>
    <row r="19" spans="1:83" x14ac:dyDescent="0.25">
      <c r="A19" t="str">
        <f>PLANTILLA!D20</f>
        <v>Emilio Rojas</v>
      </c>
      <c r="B19">
        <f>PLANTILLA!E20</f>
        <v>31</v>
      </c>
      <c r="C19" s="30">
        <f ca="1">PLANTILLA!F20</f>
        <v>45</v>
      </c>
      <c r="D19" s="134" t="str">
        <f>PLANTILLA!G20</f>
        <v>IMP</v>
      </c>
      <c r="E19" s="28">
        <f>PLANTILLA!M20</f>
        <v>43417</v>
      </c>
      <c r="F19" s="42">
        <f>PLANTILLA!Q20</f>
        <v>7</v>
      </c>
      <c r="G19" s="43">
        <f t="shared" ref="G19" si="136">(F19/7)^0.5</f>
        <v>1</v>
      </c>
      <c r="H19" s="43">
        <f t="shared" ref="H19" si="137">IF(F19=7,1,((F19+0.99)/7)^0.5)</f>
        <v>1</v>
      </c>
      <c r="I19" s="140">
        <f ca="1">PLANTILLA!N20</f>
        <v>0.77143900607023363</v>
      </c>
      <c r="J19" s="34">
        <f>PLANTILLA!I20</f>
        <v>6.3</v>
      </c>
      <c r="K19" s="41">
        <f>PLANTILLA!X20</f>
        <v>0</v>
      </c>
      <c r="L19" s="41">
        <f>PLANTILLA!Y20</f>
        <v>6</v>
      </c>
      <c r="M19" s="41">
        <f>PLANTILLA!Z20</f>
        <v>2</v>
      </c>
      <c r="N19" s="41">
        <f>PLANTILLA!AA20</f>
        <v>6</v>
      </c>
      <c r="O19" s="41">
        <f>PLANTILLA!AB20</f>
        <v>9</v>
      </c>
      <c r="P19" s="41">
        <f>PLANTILLA!AC20</f>
        <v>8.9499999999999993</v>
      </c>
      <c r="Q19" s="41">
        <f>PLANTILLA!AD20</f>
        <v>13</v>
      </c>
      <c r="R19" s="41">
        <f t="shared" si="70"/>
        <v>3.375</v>
      </c>
      <c r="S19" s="41">
        <f t="shared" si="71"/>
        <v>0.83750000000000002</v>
      </c>
      <c r="T19" s="41">
        <f t="shared" si="72"/>
        <v>0.63000000000000012</v>
      </c>
      <c r="U19" s="41">
        <f t="shared" ca="1" si="73"/>
        <v>14.837226405341676</v>
      </c>
      <c r="V19" s="41">
        <f t="shared" ca="1" si="74"/>
        <v>14.837226405341676</v>
      </c>
      <c r="W19" s="32">
        <f t="shared" ca="1" si="75"/>
        <v>3.2598986518632831</v>
      </c>
      <c r="X19" s="32">
        <f t="shared" ca="1" si="76"/>
        <v>4.9218592892961031</v>
      </c>
      <c r="Y19" s="32">
        <f t="shared" ca="1" si="77"/>
        <v>3.2598986518632831</v>
      </c>
      <c r="Z19" s="32">
        <f t="shared" ca="1" si="78"/>
        <v>4.0440088251563049</v>
      </c>
      <c r="AA19" s="32">
        <f t="shared" ca="1" si="79"/>
        <v>7.8372264053416751</v>
      </c>
      <c r="AB19" s="32">
        <f t="shared" ca="1" si="80"/>
        <v>2.0220044125781524</v>
      </c>
      <c r="AC19" s="32">
        <f t="shared" ca="1" si="81"/>
        <v>0.91325988447131889</v>
      </c>
      <c r="AD19" s="32">
        <f t="shared" ca="1" si="82"/>
        <v>2.9624715812191531</v>
      </c>
      <c r="AE19" s="32">
        <f t="shared" ca="1" si="83"/>
        <v>5.6663146910620306</v>
      </c>
      <c r="AF19" s="32">
        <f t="shared" ca="1" si="84"/>
        <v>1.4812357906095766</v>
      </c>
      <c r="AG19" s="32">
        <f t="shared" ca="1" si="85"/>
        <v>1.4773321660565453</v>
      </c>
      <c r="AH19" s="32">
        <f t="shared" ca="1" si="86"/>
        <v>7.2102482929143417</v>
      </c>
      <c r="AI19" s="32">
        <f t="shared" ca="1" si="87"/>
        <v>3.2446117318114531</v>
      </c>
      <c r="AJ19" s="32">
        <f t="shared" ca="1" si="88"/>
        <v>0.6408168096920599</v>
      </c>
      <c r="AK19" s="32">
        <f t="shared" ca="1" si="89"/>
        <v>4.6082891263409049</v>
      </c>
      <c r="AL19" s="32">
        <f t="shared" ca="1" si="90"/>
        <v>5.9092687096276233</v>
      </c>
      <c r="AM19" s="32">
        <f t="shared" ca="1" si="91"/>
        <v>5.5487562949819056</v>
      </c>
      <c r="AN19" s="32">
        <f t="shared" ca="1" si="92"/>
        <v>2.4778168096920599</v>
      </c>
      <c r="AO19" s="32">
        <f t="shared" ca="1" si="93"/>
        <v>1.5011212047384024</v>
      </c>
      <c r="AP19" s="32">
        <f t="shared" ca="1" si="94"/>
        <v>2.1160511294422526</v>
      </c>
      <c r="AQ19" s="32">
        <f t="shared" ca="1" si="95"/>
        <v>4.6553124847729546</v>
      </c>
      <c r="AR19" s="32">
        <f t="shared" ca="1" si="96"/>
        <v>1.0580255647211263</v>
      </c>
      <c r="AS19" s="32">
        <f t="shared" ca="1" si="97"/>
        <v>3.6223417266425422</v>
      </c>
      <c r="AT19" s="32">
        <f t="shared" ca="1" si="98"/>
        <v>1.408839432694418</v>
      </c>
      <c r="AU19" s="32">
        <f t="shared" ca="1" si="99"/>
        <v>3.1666573367651107</v>
      </c>
      <c r="AV19" s="32">
        <f t="shared" ca="1" si="100"/>
        <v>0.70441971634720901</v>
      </c>
      <c r="AW19" s="32">
        <f t="shared" ca="1" si="101"/>
        <v>1.4812357906095766</v>
      </c>
      <c r="AX19" s="32">
        <f t="shared" ca="1" si="102"/>
        <v>3.1348905621366701</v>
      </c>
      <c r="AY19" s="32">
        <f t="shared" ca="1" si="103"/>
        <v>0.74061789530478828</v>
      </c>
      <c r="AZ19" s="32">
        <f t="shared" ca="1" si="104"/>
        <v>3.837226405341676</v>
      </c>
      <c r="BA19" s="32">
        <f t="shared" ca="1" si="105"/>
        <v>2.7418182805514442</v>
      </c>
      <c r="BB19" s="32">
        <f t="shared" ca="1" si="106"/>
        <v>5.9608117493432635</v>
      </c>
      <c r="BC19" s="32">
        <f t="shared" ca="1" si="107"/>
        <v>1.3709091402757221</v>
      </c>
      <c r="BD19" s="32">
        <f t="shared" ca="1" si="108"/>
        <v>2.2806328839544272</v>
      </c>
      <c r="BE19" s="32">
        <f t="shared" ca="1" si="109"/>
        <v>2.7273547890589027</v>
      </c>
      <c r="BF19" s="32">
        <f t="shared" ca="1" si="110"/>
        <v>3.3805964631060168</v>
      </c>
      <c r="BG19" s="32">
        <f t="shared" ca="1" si="111"/>
        <v>7.9122942743487492</v>
      </c>
      <c r="BH19" s="32">
        <f t="shared" ca="1" si="112"/>
        <v>2.611771563687344</v>
      </c>
      <c r="BI19" s="32">
        <f t="shared" ca="1" si="113"/>
        <v>3.8010548065907122</v>
      </c>
      <c r="BJ19" s="32">
        <f t="shared" ca="1" si="114"/>
        <v>2.0690277710102025</v>
      </c>
      <c r="BK19" s="32">
        <f t="shared" ca="1" si="115"/>
        <v>1.4619832604351786</v>
      </c>
      <c r="BL19" s="32">
        <f t="shared" ca="1" si="116"/>
        <v>7.4527358782686246</v>
      </c>
      <c r="BM19" s="32">
        <f t="shared" ca="1" si="117"/>
        <v>0.56353577307776714</v>
      </c>
      <c r="BN19" s="32">
        <f t="shared" ca="1" si="118"/>
        <v>1.4107007529615014</v>
      </c>
      <c r="BO19" s="32">
        <f t="shared" ca="1" si="119"/>
        <v>0.53293139556323399</v>
      </c>
      <c r="BP19" s="32">
        <f t="shared" ca="1" si="120"/>
        <v>1.1703540536292112</v>
      </c>
      <c r="BQ19" s="32">
        <f t="shared" ca="1" si="121"/>
        <v>10.936673157269395</v>
      </c>
      <c r="BR19" s="32">
        <f t="shared" ca="1" si="122"/>
        <v>1.4630255647211263</v>
      </c>
      <c r="BS19" s="32">
        <f t="shared" ca="1" si="123"/>
        <v>2.2257722991170357</v>
      </c>
      <c r="BT19" s="32">
        <f t="shared" ca="1" si="124"/>
        <v>1.9122832429033687</v>
      </c>
      <c r="BU19" s="32">
        <f t="shared" ca="1" si="125"/>
        <v>2.4212898617705978</v>
      </c>
      <c r="BV19" s="32">
        <f t="shared" ca="1" si="126"/>
        <v>7.5933176327807992</v>
      </c>
      <c r="BW19" s="32">
        <f t="shared" ca="1" si="127"/>
        <v>1.6039095079905679</v>
      </c>
      <c r="BX19" s="32">
        <f t="shared" ca="1" si="128"/>
        <v>1.5579139205687205</v>
      </c>
      <c r="BY19" s="32">
        <f t="shared" ca="1" si="129"/>
        <v>5.2078449571830134</v>
      </c>
      <c r="BZ19" s="32">
        <f t="shared" ca="1" si="130"/>
        <v>12.173566932414726</v>
      </c>
      <c r="CA19" s="32">
        <f t="shared" ca="1" si="131"/>
        <v>5.2078449571830134</v>
      </c>
      <c r="CB19" s="32">
        <f t="shared" ca="1" si="132"/>
        <v>6.0755920505278631</v>
      </c>
      <c r="CC19" s="32">
        <f t="shared" ca="1" si="133"/>
        <v>14.786162948912754</v>
      </c>
      <c r="CD19" s="32">
        <f t="shared" ca="1" si="134"/>
        <v>6.0755920505278631</v>
      </c>
      <c r="CE19" s="32">
        <f t="shared" ca="1" si="135"/>
        <v>0.95930660133541901</v>
      </c>
    </row>
    <row r="20" spans="1:83" x14ac:dyDescent="0.25">
      <c r="A20" t="str">
        <f>PLANTILLA!D21</f>
        <v>Leo Hilpinen</v>
      </c>
      <c r="B20">
        <f>PLANTILLA!E21</f>
        <v>30</v>
      </c>
      <c r="C20" s="30">
        <f ca="1">PLANTILLA!F21</f>
        <v>20</v>
      </c>
      <c r="D20" s="134" t="str">
        <f>PLANTILLA!G21</f>
        <v>CAB</v>
      </c>
      <c r="E20" s="28">
        <f>PLANTILLA!M21</f>
        <v>43417</v>
      </c>
      <c r="F20" s="42">
        <f>PLANTILLA!Q21</f>
        <v>6</v>
      </c>
      <c r="G20" s="43">
        <f t="shared" ref="G20" si="138">(F20/7)^0.5</f>
        <v>0.92582009977255142</v>
      </c>
      <c r="H20" s="43">
        <f t="shared" ref="H20" si="139">IF(F20=7,1,((F20+0.99)/7)^0.5)</f>
        <v>0.99928545900129484</v>
      </c>
      <c r="I20" s="140">
        <f ca="1">PLANTILLA!N21</f>
        <v>0.77143900607023363</v>
      </c>
      <c r="J20" s="34">
        <f>PLANTILLA!I21</f>
        <v>5.9</v>
      </c>
      <c r="K20" s="41">
        <f>PLANTILLA!X21</f>
        <v>0</v>
      </c>
      <c r="L20" s="41">
        <f>PLANTILLA!Y21</f>
        <v>5</v>
      </c>
      <c r="M20" s="41">
        <f>PLANTILLA!Z21</f>
        <v>6</v>
      </c>
      <c r="N20" s="41">
        <f>PLANTILLA!AA21</f>
        <v>5</v>
      </c>
      <c r="O20" s="41">
        <f>PLANTILLA!AB21</f>
        <v>9</v>
      </c>
      <c r="P20" s="41">
        <f>PLANTILLA!AC21</f>
        <v>12</v>
      </c>
      <c r="Q20" s="41">
        <f>PLANTILLA!AD21</f>
        <v>0</v>
      </c>
      <c r="R20" s="41">
        <f t="shared" si="70"/>
        <v>3.25</v>
      </c>
      <c r="S20" s="41">
        <f t="shared" si="71"/>
        <v>0.6</v>
      </c>
      <c r="T20" s="41">
        <f t="shared" si="72"/>
        <v>0.2</v>
      </c>
      <c r="U20" s="41">
        <f t="shared" ca="1" si="73"/>
        <v>1.6657741193395841</v>
      </c>
      <c r="V20" s="41">
        <f t="shared" ca="1" si="74"/>
        <v>1.7979560563069181</v>
      </c>
      <c r="W20" s="32">
        <f t="shared" ca="1" si="75"/>
        <v>2.9507379938507698</v>
      </c>
      <c r="X20" s="32">
        <f t="shared" ca="1" si="76"/>
        <v>4.4478210195433494</v>
      </c>
      <c r="Y20" s="32">
        <f t="shared" ca="1" si="77"/>
        <v>2.9507379938507698</v>
      </c>
      <c r="Z20" s="32">
        <f t="shared" ca="1" si="78"/>
        <v>3.5084087111420357</v>
      </c>
      <c r="AA20" s="32">
        <f t="shared" ca="1" si="79"/>
        <v>6.7992416882597588</v>
      </c>
      <c r="AB20" s="32">
        <f t="shared" ca="1" si="80"/>
        <v>1.7542043555710178</v>
      </c>
      <c r="AC20" s="32">
        <f t="shared" ca="1" si="81"/>
        <v>1.8562195218058226</v>
      </c>
      <c r="AD20" s="32">
        <f t="shared" ca="1" si="82"/>
        <v>2.5701133581621889</v>
      </c>
      <c r="AE20" s="32">
        <f t="shared" ca="1" si="83"/>
        <v>4.9158517406118056</v>
      </c>
      <c r="AF20" s="32">
        <f t="shared" ca="1" si="84"/>
        <v>1.2850566790810944</v>
      </c>
      <c r="AG20" s="32">
        <f t="shared" ca="1" si="85"/>
        <v>3.0027080499800074</v>
      </c>
      <c r="AH20" s="32">
        <f t="shared" ca="1" si="86"/>
        <v>6.255302353198978</v>
      </c>
      <c r="AI20" s="32">
        <f t="shared" ca="1" si="87"/>
        <v>2.8148860589395399</v>
      </c>
      <c r="AJ20" s="32">
        <f t="shared" ca="1" si="88"/>
        <v>1.3024733619393798</v>
      </c>
      <c r="AK20" s="32">
        <f t="shared" ca="1" si="89"/>
        <v>3.9979541126967382</v>
      </c>
      <c r="AL20" s="32">
        <f t="shared" ca="1" si="90"/>
        <v>5.1266282329478585</v>
      </c>
      <c r="AM20" s="32">
        <f t="shared" ca="1" si="91"/>
        <v>4.8138631152879086</v>
      </c>
      <c r="AN20" s="32">
        <f t="shared" ca="1" si="92"/>
        <v>0.30047336193937979</v>
      </c>
      <c r="AO20" s="32">
        <f t="shared" ca="1" si="93"/>
        <v>1.4541816062188104</v>
      </c>
      <c r="AP20" s="32">
        <f t="shared" ca="1" si="94"/>
        <v>1.8357952558301349</v>
      </c>
      <c r="AQ20" s="32">
        <f t="shared" ca="1" si="95"/>
        <v>4.0387495628262968</v>
      </c>
      <c r="AR20" s="32">
        <f t="shared" ca="1" si="96"/>
        <v>0.91789762791506746</v>
      </c>
      <c r="AS20" s="32">
        <f t="shared" ca="1" si="97"/>
        <v>7.3624841537172117</v>
      </c>
      <c r="AT20" s="32">
        <f t="shared" ca="1" si="98"/>
        <v>1.4039014194737687</v>
      </c>
      <c r="AU20" s="32">
        <f t="shared" ca="1" si="99"/>
        <v>3.6831778146601089</v>
      </c>
      <c r="AV20" s="32">
        <f t="shared" ca="1" si="100"/>
        <v>0.70195070973688434</v>
      </c>
      <c r="AW20" s="32">
        <f t="shared" ca="1" si="101"/>
        <v>1.2850566790810944</v>
      </c>
      <c r="AX20" s="32">
        <f t="shared" ca="1" si="102"/>
        <v>2.7196966753039038</v>
      </c>
      <c r="AY20" s="32">
        <f t="shared" ca="1" si="103"/>
        <v>0.64252833954054722</v>
      </c>
      <c r="AZ20" s="32">
        <f t="shared" ca="1" si="104"/>
        <v>7.7992416882597588</v>
      </c>
      <c r="BA20" s="32">
        <f t="shared" ca="1" si="105"/>
        <v>2.732208147129719</v>
      </c>
      <c r="BB20" s="32">
        <f t="shared" ca="1" si="106"/>
        <v>6.5803821702311271</v>
      </c>
      <c r="BC20" s="32">
        <f t="shared" ca="1" si="107"/>
        <v>1.3661040735648595</v>
      </c>
      <c r="BD20" s="32">
        <f t="shared" ca="1" si="108"/>
        <v>1.9785793312835898</v>
      </c>
      <c r="BE20" s="32">
        <f t="shared" ca="1" si="109"/>
        <v>2.3661361075143961</v>
      </c>
      <c r="BF20" s="32">
        <f t="shared" ca="1" si="110"/>
        <v>6.8711319273568474</v>
      </c>
      <c r="BG20" s="32">
        <f t="shared" ca="1" si="111"/>
        <v>7.3045258608629258</v>
      </c>
      <c r="BH20" s="32">
        <f t="shared" ca="1" si="112"/>
        <v>2.6026172468706017</v>
      </c>
      <c r="BI20" s="32">
        <f t="shared" ca="1" si="113"/>
        <v>3.2976322188059828</v>
      </c>
      <c r="BJ20" s="32">
        <f t="shared" ca="1" si="114"/>
        <v>1.7949998057005765</v>
      </c>
      <c r="BK20" s="32">
        <f t="shared" ca="1" si="115"/>
        <v>2.971511083226968</v>
      </c>
      <c r="BL20" s="32">
        <f t="shared" ca="1" si="116"/>
        <v>6.7465372355390301</v>
      </c>
      <c r="BM20" s="32">
        <f t="shared" ca="1" si="117"/>
        <v>0.56156056778950747</v>
      </c>
      <c r="BN20" s="32">
        <f t="shared" ca="1" si="118"/>
        <v>1.2238635038867565</v>
      </c>
      <c r="BO20" s="32">
        <f t="shared" ca="1" si="119"/>
        <v>0.46234843480166365</v>
      </c>
      <c r="BP20" s="32">
        <f t="shared" ca="1" si="120"/>
        <v>2.3787687149192265</v>
      </c>
      <c r="BQ20" s="32">
        <f t="shared" ca="1" si="121"/>
        <v>9.8878248111020497</v>
      </c>
      <c r="BR20" s="32">
        <f t="shared" ca="1" si="122"/>
        <v>1.4578976279150675</v>
      </c>
      <c r="BS20" s="32">
        <f t="shared" ca="1" si="123"/>
        <v>1.9309846394657713</v>
      </c>
      <c r="BT20" s="32">
        <f t="shared" ca="1" si="124"/>
        <v>1.6590149719353811</v>
      </c>
      <c r="BU20" s="32">
        <f t="shared" ca="1" si="125"/>
        <v>4.9213215052919077</v>
      </c>
      <c r="BV20" s="32">
        <f t="shared" ca="1" si="126"/>
        <v>6.857321310992484</v>
      </c>
      <c r="BW20" s="32">
        <f t="shared" ca="1" si="127"/>
        <v>1.5982877698624443</v>
      </c>
      <c r="BX20" s="32">
        <f t="shared" ca="1" si="128"/>
        <v>3.1664921254334621</v>
      </c>
      <c r="BY20" s="32">
        <f t="shared" ca="1" si="129"/>
        <v>5.4314049195833345</v>
      </c>
      <c r="BZ20" s="32">
        <f t="shared" ca="1" si="130"/>
        <v>13.908946140980488</v>
      </c>
      <c r="CA20" s="32">
        <f t="shared" ca="1" si="131"/>
        <v>5.4314049195833345</v>
      </c>
      <c r="CB20" s="32">
        <f t="shared" ca="1" si="132"/>
        <v>6.6239275717858295</v>
      </c>
      <c r="CC20" s="32">
        <f t="shared" ca="1" si="133"/>
        <v>17.78416187122761</v>
      </c>
      <c r="CD20" s="32">
        <f t="shared" ca="1" si="134"/>
        <v>6.6239275717858295</v>
      </c>
      <c r="CE20" s="32">
        <f t="shared" ca="1" si="135"/>
        <v>1.9498104220649397</v>
      </c>
    </row>
    <row r="21" spans="1:83" x14ac:dyDescent="0.25">
      <c r="M21" s="32"/>
      <c r="N21" s="32"/>
      <c r="AH21" s="32"/>
      <c r="AI21" s="32"/>
    </row>
    <row r="22" spans="1:83" ht="18.75" x14ac:dyDescent="0.3">
      <c r="A22" s="53" t="s">
        <v>88</v>
      </c>
      <c r="B22" s="53" t="s">
        <v>89</v>
      </c>
      <c r="C22" s="53"/>
      <c r="D22" s="54"/>
      <c r="Z22" s="32"/>
      <c r="AA22" s="32"/>
      <c r="BV22" s="32"/>
      <c r="BW22" s="32"/>
    </row>
    <row r="23" spans="1:83" x14ac:dyDescent="0.25">
      <c r="A23" s="55" t="s">
        <v>90</v>
      </c>
      <c r="B23" s="56">
        <v>1</v>
      </c>
      <c r="C23" s="58">
        <v>0.624</v>
      </c>
      <c r="D23" s="59">
        <v>0.245</v>
      </c>
      <c r="AH23" s="32"/>
      <c r="AI23" s="32"/>
    </row>
    <row r="24" spans="1:83" x14ac:dyDescent="0.25">
      <c r="A24" s="55" t="s">
        <v>91</v>
      </c>
      <c r="B24" s="56">
        <v>1</v>
      </c>
      <c r="C24" s="58">
        <v>1.002</v>
      </c>
      <c r="D24" s="59">
        <v>0.34</v>
      </c>
      <c r="AG24" s="64"/>
      <c r="AH24" s="65"/>
    </row>
    <row r="25" spans="1:83" x14ac:dyDescent="0.25">
      <c r="A25" s="55" t="s">
        <v>92</v>
      </c>
      <c r="B25" s="56">
        <v>1</v>
      </c>
      <c r="C25" s="58">
        <v>0.46800000000000003</v>
      </c>
      <c r="D25" s="59">
        <v>0.125</v>
      </c>
      <c r="Z25" s="32"/>
      <c r="AA25" s="32"/>
      <c r="AH25" s="66"/>
      <c r="AI25" s="66"/>
      <c r="BV25" s="32"/>
      <c r="BW25" s="32"/>
    </row>
    <row r="26" spans="1:83" x14ac:dyDescent="0.25">
      <c r="A26" s="55" t="s">
        <v>93</v>
      </c>
      <c r="B26" s="56">
        <v>1</v>
      </c>
      <c r="C26" s="58">
        <v>0.877</v>
      </c>
      <c r="D26" s="59">
        <v>0.25</v>
      </c>
      <c r="W26" s="65"/>
    </row>
    <row r="27" spans="1:83" x14ac:dyDescent="0.25">
      <c r="A27" s="55" t="s">
        <v>94</v>
      </c>
      <c r="B27" s="56">
        <v>1</v>
      </c>
      <c r="C27" s="58">
        <v>0.59299999999999997</v>
      </c>
      <c r="D27" s="59">
        <v>0.19</v>
      </c>
      <c r="W27" s="65"/>
    </row>
    <row r="29" spans="1:83" x14ac:dyDescent="0.25">
      <c r="Z29" s="65"/>
      <c r="AA29" s="65"/>
      <c r="BV29" s="65"/>
      <c r="BW29" s="65"/>
    </row>
  </sheetData>
  <conditionalFormatting sqref="U3:V20">
    <cfRule type="cellIs" dxfId="6" priority="20" operator="greaterThan">
      <formula>15</formula>
    </cfRule>
  </conditionalFormatting>
  <conditionalFormatting sqref="R3:R20">
    <cfRule type="cellIs" dxfId="5" priority="19" operator="greaterThan">
      <formula>3.2</formula>
    </cfRule>
  </conditionalFormatting>
  <conditionalFormatting sqref="S3:T20">
    <cfRule type="cellIs" dxfId="4" priority="18" operator="greaterThan">
      <formula>0.6</formula>
    </cfRule>
  </conditionalFormatting>
  <conditionalFormatting sqref="W3:AI20 AK3:AM20 AO3:BD20 BF3:CE20">
    <cfRule type="cellIs" dxfId="3" priority="17" operator="greaterThan">
      <formula>12.5</formula>
    </cfRule>
  </conditionalFormatting>
  <conditionalFormatting sqref="J3:J20">
    <cfRule type="cellIs" dxfId="2" priority="14" operator="greaterThan">
      <formula>7</formula>
    </cfRule>
  </conditionalFormatting>
  <conditionalFormatting sqref="K3:Q20">
    <cfRule type="colorScale" priority="55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A18" sqref="A18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375</v>
      </c>
      <c r="L1" s="134"/>
      <c r="M1" s="134"/>
      <c r="N1" s="134"/>
      <c r="W1" s="47"/>
    </row>
    <row r="2" spans="1:23" x14ac:dyDescent="0.25">
      <c r="B2" s="28">
        <v>43636</v>
      </c>
      <c r="L2" s="134"/>
      <c r="M2" s="134"/>
      <c r="N2" s="134"/>
      <c r="U2" s="141"/>
      <c r="W2" s="47"/>
    </row>
    <row r="3" spans="1:23" x14ac:dyDescent="0.25">
      <c r="A3" s="10" t="s">
        <v>376</v>
      </c>
      <c r="B3" s="10" t="s">
        <v>3</v>
      </c>
      <c r="C3" s="10" t="s">
        <v>63</v>
      </c>
      <c r="D3" s="10" t="s">
        <v>5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42">
        <v>1</v>
      </c>
      <c r="M3" s="142">
        <v>0.5</v>
      </c>
      <c r="N3" s="10" t="s">
        <v>377</v>
      </c>
      <c r="O3" s="144" t="s">
        <v>378</v>
      </c>
      <c r="P3" s="144" t="s">
        <v>379</v>
      </c>
      <c r="Q3" s="144" t="s">
        <v>47</v>
      </c>
      <c r="R3" s="144" t="s">
        <v>380</v>
      </c>
      <c r="S3" s="143" t="s">
        <v>62</v>
      </c>
      <c r="T3" s="149" t="s">
        <v>381</v>
      </c>
      <c r="U3" s="74" t="s">
        <v>85</v>
      </c>
      <c r="W3" s="47"/>
    </row>
    <row r="4" spans="1:23" x14ac:dyDescent="0.25">
      <c r="A4" s="145" t="str">
        <f>PLANTILLA!A4</f>
        <v>#1</v>
      </c>
      <c r="B4" s="146" t="str">
        <f>PLANTILLA!D4</f>
        <v>Cosme Fonteboa</v>
      </c>
      <c r="C4" s="145">
        <f>PLANTILLA!E4</f>
        <v>22</v>
      </c>
      <c r="D4" s="148">
        <f ca="1">PLANTILLA!F4</f>
        <v>52</v>
      </c>
      <c r="E4" s="41">
        <f>PLANTILLA!X4</f>
        <v>15</v>
      </c>
      <c r="F4" s="41">
        <f>PLANTILLA!Y4</f>
        <v>10.428571428571429</v>
      </c>
      <c r="G4" s="41">
        <f>PLANTILLA!Z4</f>
        <v>0</v>
      </c>
      <c r="H4" s="41">
        <f>PLANTILLA!AA4</f>
        <v>0</v>
      </c>
      <c r="I4" s="41">
        <f>PLANTILLA!AB4</f>
        <v>0</v>
      </c>
      <c r="J4" s="41">
        <f>PLANTILLA!AC4</f>
        <v>1</v>
      </c>
      <c r="K4" s="41">
        <f>PLANTILLA!AD4</f>
        <v>1</v>
      </c>
      <c r="L4" s="147"/>
      <c r="M4" s="147"/>
      <c r="N4" s="147"/>
      <c r="O4" s="67"/>
      <c r="P4" s="67"/>
      <c r="Q4" s="67"/>
      <c r="R4" s="67"/>
      <c r="S4" s="67"/>
      <c r="T4" s="67"/>
      <c r="U4" s="67"/>
      <c r="W4" s="47"/>
    </row>
    <row r="5" spans="1:23" x14ac:dyDescent="0.25">
      <c r="A5" s="145" t="str">
        <f>PLANTILLA!A5</f>
        <v>#19</v>
      </c>
      <c r="B5" s="146" t="str">
        <f>PLANTILLA!D5</f>
        <v>Nicolae Hornet</v>
      </c>
      <c r="C5" s="145">
        <f>PLANTILLA!E5</f>
        <v>22</v>
      </c>
      <c r="D5" s="148">
        <f ca="1">PLANTILLA!F5</f>
        <v>77</v>
      </c>
      <c r="E5" s="41">
        <f>PLANTILLA!X5</f>
        <v>6</v>
      </c>
      <c r="F5" s="41">
        <f>PLANTILLA!Y5</f>
        <v>4</v>
      </c>
      <c r="G5" s="41">
        <f>PLANTILLA!Z5</f>
        <v>0</v>
      </c>
      <c r="H5" s="41">
        <f>PLANTILLA!AA5</f>
        <v>3</v>
      </c>
      <c r="I5" s="41">
        <f>PLANTILLA!AB5</f>
        <v>0</v>
      </c>
      <c r="J5" s="41">
        <f>PLANTILLA!AC5</f>
        <v>1</v>
      </c>
      <c r="K5" s="41">
        <f>PLANTILLA!AD5</f>
        <v>1</v>
      </c>
      <c r="L5" s="147"/>
      <c r="M5" s="147"/>
      <c r="N5" s="147"/>
      <c r="O5" s="67"/>
      <c r="P5" s="67"/>
      <c r="Q5" s="67"/>
      <c r="R5" s="67"/>
      <c r="S5" s="67"/>
      <c r="T5" s="67"/>
      <c r="U5" s="67"/>
      <c r="W5" s="47"/>
    </row>
    <row r="6" spans="1:23" x14ac:dyDescent="0.25">
      <c r="A6" s="145" t="str">
        <f>PLANTILLA!A6</f>
        <v>#2</v>
      </c>
      <c r="B6" s="146" t="str">
        <f>PLANTILLA!D6</f>
        <v>Miguel Fernández</v>
      </c>
      <c r="C6" s="145">
        <f>PLANTILLA!E6</f>
        <v>22</v>
      </c>
      <c r="D6" s="148">
        <f ca="1">PLANTILLA!F6</f>
        <v>49</v>
      </c>
      <c r="E6" s="41">
        <f>PLANTILLA!X6</f>
        <v>0</v>
      </c>
      <c r="F6" s="41">
        <f>PLANTILLA!Y6</f>
        <v>14.5625</v>
      </c>
      <c r="G6" s="41">
        <f>PLANTILLA!Z6</f>
        <v>5</v>
      </c>
      <c r="H6" s="41">
        <f>PLANTILLA!AA6</f>
        <v>5.4</v>
      </c>
      <c r="I6" s="41">
        <f>PLANTILLA!AB6</f>
        <v>5</v>
      </c>
      <c r="J6" s="41">
        <f>PLANTILLA!AC6</f>
        <v>2</v>
      </c>
      <c r="K6" s="41">
        <f>PLANTILLA!AD6</f>
        <v>1</v>
      </c>
      <c r="L6" s="147">
        <f>1/3</f>
        <v>0.33333333333333331</v>
      </c>
      <c r="M6" s="147">
        <f t="shared" ref="M6:M15" si="0">L6/2</f>
        <v>0.16666666666666666</v>
      </c>
      <c r="N6" s="147">
        <f t="shared" ref="N6:N15" si="1">L6/8</f>
        <v>4.1666666666666664E-2</v>
      </c>
      <c r="O6" s="67">
        <f>L6*0.286</f>
        <v>9.5333333333333325E-2</v>
      </c>
      <c r="P6" s="67"/>
      <c r="Q6" s="67"/>
      <c r="R6" s="67"/>
      <c r="S6" s="67"/>
      <c r="T6" s="67"/>
      <c r="U6" s="67">
        <f t="shared" ref="U6:U9" si="2">MAX(O6:T6)</f>
        <v>9.5333333333333325E-2</v>
      </c>
      <c r="W6" s="47"/>
    </row>
    <row r="7" spans="1:23" x14ac:dyDescent="0.25">
      <c r="A7" s="145" t="str">
        <f>PLANTILLA!A7</f>
        <v>#13</v>
      </c>
      <c r="B7" s="146" t="str">
        <f>PLANTILLA!D7</f>
        <v>Iván Real Figueroa</v>
      </c>
      <c r="C7" s="145">
        <f>PLANTILLA!E7</f>
        <v>22</v>
      </c>
      <c r="D7" s="148">
        <f ca="1">PLANTILLA!F7</f>
        <v>30</v>
      </c>
      <c r="E7" s="41">
        <f>PLANTILLA!X7</f>
        <v>0</v>
      </c>
      <c r="F7" s="41">
        <f>PLANTILLA!Y7</f>
        <v>14.5</v>
      </c>
      <c r="G7" s="41">
        <f>PLANTILLA!Z7</f>
        <v>5</v>
      </c>
      <c r="H7" s="41">
        <f>PLANTILLA!AA7</f>
        <v>7</v>
      </c>
      <c r="I7" s="41">
        <f>PLANTILLA!AB7</f>
        <v>5</v>
      </c>
      <c r="J7" s="41">
        <f>PLANTILLA!AC7</f>
        <v>1</v>
      </c>
      <c r="K7" s="41">
        <f>PLANTILLA!AD7</f>
        <v>0</v>
      </c>
      <c r="L7" s="147">
        <f>1/4</f>
        <v>0.25</v>
      </c>
      <c r="M7" s="147">
        <f t="shared" si="0"/>
        <v>0.125</v>
      </c>
      <c r="N7" s="147">
        <f t="shared" si="1"/>
        <v>3.125E-2</v>
      </c>
      <c r="O7" s="67">
        <f>L7*0.286</f>
        <v>7.1499999999999994E-2</v>
      </c>
      <c r="P7" s="67"/>
      <c r="Q7" s="67"/>
      <c r="R7" s="67"/>
      <c r="S7" s="67"/>
      <c r="T7" s="67"/>
      <c r="U7" s="67">
        <f t="shared" si="2"/>
        <v>7.1499999999999994E-2</v>
      </c>
      <c r="W7" s="47"/>
    </row>
    <row r="8" spans="1:23" x14ac:dyDescent="0.25">
      <c r="A8" s="145" t="str">
        <f>PLANTILLA!A8</f>
        <v>#4</v>
      </c>
      <c r="B8" s="146" t="str">
        <f>PLANTILLA!D8</f>
        <v>Berto Abandero</v>
      </c>
      <c r="C8" s="145">
        <f>PLANTILLA!E8</f>
        <v>22</v>
      </c>
      <c r="D8" s="148">
        <f ca="1">PLANTILLA!F8</f>
        <v>80</v>
      </c>
      <c r="E8" s="41">
        <f>PLANTILLA!X8</f>
        <v>0</v>
      </c>
      <c r="F8" s="41">
        <f>PLANTILLA!Y8</f>
        <v>12.454545454545455</v>
      </c>
      <c r="G8" s="41">
        <f>PLANTILLA!Z8</f>
        <v>3</v>
      </c>
      <c r="H8" s="41">
        <f>PLANTILLA!AA8</f>
        <v>7.1999999999999993</v>
      </c>
      <c r="I8" s="41">
        <f>PLANTILLA!AB8</f>
        <v>10</v>
      </c>
      <c r="J8" s="41">
        <f>PLANTILLA!AC8</f>
        <v>3</v>
      </c>
      <c r="K8" s="41">
        <f>PLANTILLA!AD8</f>
        <v>2</v>
      </c>
      <c r="L8" s="147">
        <f>1/4</f>
        <v>0.25</v>
      </c>
      <c r="M8" s="147">
        <f t="shared" si="0"/>
        <v>0.125</v>
      </c>
      <c r="N8" s="147">
        <f t="shared" si="1"/>
        <v>3.125E-2</v>
      </c>
      <c r="O8" s="67">
        <f>L8*0.286</f>
        <v>7.1499999999999994E-2</v>
      </c>
      <c r="P8" s="67"/>
      <c r="Q8" s="67"/>
      <c r="R8" s="67"/>
      <c r="S8" s="67"/>
      <c r="T8" s="67"/>
      <c r="U8" s="67">
        <f t="shared" si="2"/>
        <v>7.1499999999999994E-2</v>
      </c>
      <c r="W8" s="47"/>
    </row>
    <row r="9" spans="1:23" x14ac:dyDescent="0.25">
      <c r="A9" s="145" t="str">
        <f>PLANTILLA!A9</f>
        <v>#2</v>
      </c>
      <c r="B9" s="146" t="str">
        <f>PLANTILLA!D9</f>
        <v>Guillermo Pedrajas</v>
      </c>
      <c r="C9" s="145">
        <f>PLANTILLA!E9</f>
        <v>22</v>
      </c>
      <c r="D9" s="148">
        <f ca="1">PLANTILLA!F9</f>
        <v>65</v>
      </c>
      <c r="E9" s="41">
        <f>PLANTILLA!X9</f>
        <v>0</v>
      </c>
      <c r="F9" s="41">
        <f>PLANTILLA!Y9</f>
        <v>10.333333333333334</v>
      </c>
      <c r="G9" s="41">
        <f>PLANTILLA!Z9</f>
        <v>11</v>
      </c>
      <c r="H9" s="41">
        <f>PLANTILLA!AA9</f>
        <v>4</v>
      </c>
      <c r="I9" s="41">
        <f>PLANTILLA!AB9</f>
        <v>9</v>
      </c>
      <c r="J9" s="41">
        <f>PLANTILLA!AC9</f>
        <v>4</v>
      </c>
      <c r="K9" s="41">
        <f>PLANTILLA!AD9</f>
        <v>1</v>
      </c>
      <c r="L9" s="147">
        <f>1/3</f>
        <v>0.33333333333333331</v>
      </c>
      <c r="M9" s="147">
        <f t="shared" si="0"/>
        <v>0.16666666666666666</v>
      </c>
      <c r="N9" s="147">
        <f t="shared" si="1"/>
        <v>4.1666666666666664E-2</v>
      </c>
      <c r="O9" s="67"/>
      <c r="P9" s="67"/>
      <c r="Q9" s="67"/>
      <c r="R9" s="67"/>
      <c r="S9" s="67"/>
      <c r="T9" s="67"/>
      <c r="U9" s="67">
        <f t="shared" si="2"/>
        <v>0</v>
      </c>
      <c r="W9" s="47"/>
    </row>
    <row r="10" spans="1:23" x14ac:dyDescent="0.25">
      <c r="A10" s="145" t="str">
        <f>PLANTILLA!A10</f>
        <v>#23</v>
      </c>
      <c r="B10" s="146" t="str">
        <f>PLANTILLA!D10</f>
        <v>Eckardt Hägerling</v>
      </c>
      <c r="C10" s="145">
        <f>PLANTILLA!E10</f>
        <v>22</v>
      </c>
      <c r="D10" s="148">
        <f ca="1">PLANTILLA!F10</f>
        <v>41</v>
      </c>
      <c r="E10" s="41">
        <f>PLANTILLA!X10</f>
        <v>0</v>
      </c>
      <c r="F10" s="41">
        <f>PLANTILLA!Y10</f>
        <v>6</v>
      </c>
      <c r="G10" s="41">
        <f>PLANTILLA!Z10</f>
        <v>3</v>
      </c>
      <c r="H10" s="41">
        <f>PLANTILLA!AA10</f>
        <v>6.15</v>
      </c>
      <c r="I10" s="41">
        <f>PLANTILLA!AB10</f>
        <v>3</v>
      </c>
      <c r="J10" s="41">
        <f>PLANTILLA!AC10</f>
        <v>4.6633333333333322</v>
      </c>
      <c r="K10" s="41">
        <f>PLANTILLA!AD10</f>
        <v>3</v>
      </c>
      <c r="L10" s="147"/>
      <c r="M10" s="147"/>
      <c r="N10" s="147"/>
      <c r="O10" s="67"/>
      <c r="P10" s="67"/>
      <c r="Q10" s="67"/>
      <c r="R10" s="67"/>
      <c r="S10" s="67"/>
      <c r="T10" s="67"/>
      <c r="U10" s="67"/>
      <c r="W10" s="47"/>
    </row>
    <row r="11" spans="1:23" x14ac:dyDescent="0.25">
      <c r="A11" s="145" t="str">
        <f>PLANTILLA!A11</f>
        <v>#9</v>
      </c>
      <c r="B11" s="146" t="str">
        <f>PLANTILLA!D11</f>
        <v>Francesc Añigas</v>
      </c>
      <c r="C11" s="145">
        <f>PLANTILLA!E11</f>
        <v>22</v>
      </c>
      <c r="D11" s="148">
        <f ca="1">PLANTILLA!F11</f>
        <v>45</v>
      </c>
      <c r="E11" s="41">
        <f>PLANTILLA!X11</f>
        <v>0</v>
      </c>
      <c r="F11" s="41">
        <f>PLANTILLA!Y11</f>
        <v>11.666666666666666</v>
      </c>
      <c r="G11" s="41">
        <f>PLANTILLA!Z11</f>
        <v>4</v>
      </c>
      <c r="H11" s="41">
        <f>PLANTILLA!AA11</f>
        <v>12.666666666666666</v>
      </c>
      <c r="I11" s="41">
        <f>PLANTILLA!AB11</f>
        <v>4.25</v>
      </c>
      <c r="J11" s="41">
        <f>PLANTILLA!AC11</f>
        <v>7</v>
      </c>
      <c r="K11" s="41">
        <f>PLANTILLA!AD11</f>
        <v>3</v>
      </c>
      <c r="L11" s="147">
        <f>1/7</f>
        <v>0.14285714285714285</v>
      </c>
      <c r="M11" s="147">
        <f t="shared" si="0"/>
        <v>7.1428571428571425E-2</v>
      </c>
      <c r="N11" s="147">
        <f t="shared" si="1"/>
        <v>1.7857142857142856E-2</v>
      </c>
      <c r="O11" s="67">
        <f>L11*0.286</f>
        <v>4.0857142857142849E-2</v>
      </c>
      <c r="P11" s="67">
        <f>L11*(0.588)</f>
        <v>8.3999999999999991E-2</v>
      </c>
      <c r="Q11" s="67">
        <f>L11*(0.574)</f>
        <v>8.199999999999999E-2</v>
      </c>
      <c r="R11" s="67">
        <f>L11*(0.864)</f>
        <v>0.12342857142857142</v>
      </c>
      <c r="S11" s="67">
        <f>L11*(0.144)</f>
        <v>2.057142857142857E-2</v>
      </c>
      <c r="T11" s="67">
        <f>L11*(0.607)</f>
        <v>8.6714285714285702E-2</v>
      </c>
      <c r="U11" s="67">
        <f>MAX(O11:T11)</f>
        <v>0.12342857142857142</v>
      </c>
      <c r="W11" s="47"/>
    </row>
    <row r="12" spans="1:23" x14ac:dyDescent="0.25">
      <c r="A12" s="145" t="str">
        <f>PLANTILLA!A12</f>
        <v>#3</v>
      </c>
      <c r="B12" s="146" t="str">
        <f>PLANTILLA!D12</f>
        <v>Will Duffill</v>
      </c>
      <c r="C12" s="145">
        <f>PLANTILLA!E12</f>
        <v>22</v>
      </c>
      <c r="D12" s="148">
        <f ca="1">PLANTILLA!F12</f>
        <v>6</v>
      </c>
      <c r="E12" s="41">
        <f>PLANTILLA!X12</f>
        <v>0</v>
      </c>
      <c r="F12" s="41">
        <f>PLANTILLA!Y12</f>
        <v>10.714285714285714</v>
      </c>
      <c r="G12" s="41">
        <f>PLANTILLA!Z12</f>
        <v>3</v>
      </c>
      <c r="H12" s="41">
        <f>PLANTILLA!AA12</f>
        <v>13</v>
      </c>
      <c r="I12" s="41">
        <f>PLANTILLA!AB12</f>
        <v>7</v>
      </c>
      <c r="J12" s="41">
        <f>PLANTILLA!AC12</f>
        <v>7</v>
      </c>
      <c r="K12" s="41">
        <f>PLANTILLA!AD12</f>
        <v>3</v>
      </c>
      <c r="L12" s="147">
        <f>1/8</f>
        <v>0.125</v>
      </c>
      <c r="M12" s="147">
        <f t="shared" si="0"/>
        <v>6.25E-2</v>
      </c>
      <c r="N12" s="147">
        <f t="shared" si="1"/>
        <v>1.5625E-2</v>
      </c>
      <c r="O12" s="67">
        <f>L12*0.286</f>
        <v>3.5749999999999997E-2</v>
      </c>
      <c r="P12" s="67">
        <f t="shared" ref="P12:P15" si="3">L12*(0.588)</f>
        <v>7.3499999999999996E-2</v>
      </c>
      <c r="Q12" s="67">
        <f t="shared" ref="Q12:Q15" si="4">L12*(0.574)</f>
        <v>7.1749999999999994E-2</v>
      </c>
      <c r="R12" s="67">
        <f t="shared" ref="R12:R15" si="5">L12*(0.864)</f>
        <v>0.108</v>
      </c>
      <c r="S12" s="67">
        <f t="shared" ref="S12:S15" si="6">L12*(0.144)</f>
        <v>1.7999999999999999E-2</v>
      </c>
      <c r="T12" s="67">
        <f t="shared" ref="T12:T15" si="7">L12*(0.607)</f>
        <v>7.5874999999999998E-2</v>
      </c>
      <c r="U12" s="67">
        <f t="shared" ref="U12:U15" si="8">MAX(O12:T12)</f>
        <v>0.108</v>
      </c>
      <c r="W12" s="47"/>
    </row>
    <row r="13" spans="1:23" x14ac:dyDescent="0.25">
      <c r="A13" s="145" t="str">
        <f>PLANTILLA!A13</f>
        <v>#5</v>
      </c>
      <c r="B13" s="146" t="str">
        <f>PLANTILLA!D13</f>
        <v>Valeri Gomis</v>
      </c>
      <c r="C13" s="145">
        <f>PLANTILLA!E13</f>
        <v>22</v>
      </c>
      <c r="D13" s="148">
        <f ca="1">PLANTILLA!F13</f>
        <v>45</v>
      </c>
      <c r="E13" s="41">
        <f>PLANTILLA!X13</f>
        <v>0</v>
      </c>
      <c r="F13" s="41">
        <f>PLANTILLA!Y13</f>
        <v>10.285714285714286</v>
      </c>
      <c r="G13" s="41">
        <f>PLANTILLA!Z13</f>
        <v>3</v>
      </c>
      <c r="H13" s="41">
        <f>PLANTILLA!AA13</f>
        <v>12</v>
      </c>
      <c r="I13" s="41">
        <f>PLANTILLA!AB13</f>
        <v>6.0000000000000009</v>
      </c>
      <c r="J13" s="41">
        <f>PLANTILLA!AC13</f>
        <v>7.25</v>
      </c>
      <c r="K13" s="41">
        <f>PLANTILLA!AD13</f>
        <v>3</v>
      </c>
      <c r="L13" s="147">
        <f>1/7</f>
        <v>0.14285714285714285</v>
      </c>
      <c r="M13" s="147">
        <f t="shared" si="0"/>
        <v>7.1428571428571425E-2</v>
      </c>
      <c r="N13" s="147">
        <f t="shared" si="1"/>
        <v>1.7857142857142856E-2</v>
      </c>
      <c r="O13" s="67">
        <f>L13*0.286</f>
        <v>4.0857142857142849E-2</v>
      </c>
      <c r="P13" s="67">
        <f t="shared" si="3"/>
        <v>8.3999999999999991E-2</v>
      </c>
      <c r="Q13" s="67">
        <f t="shared" si="4"/>
        <v>8.199999999999999E-2</v>
      </c>
      <c r="R13" s="67">
        <f t="shared" si="5"/>
        <v>0.12342857142857142</v>
      </c>
      <c r="S13" s="67">
        <f t="shared" si="6"/>
        <v>2.057142857142857E-2</v>
      </c>
      <c r="T13" s="67">
        <f t="shared" si="7"/>
        <v>8.6714285714285702E-2</v>
      </c>
      <c r="U13" s="67">
        <f t="shared" si="8"/>
        <v>0.12342857142857142</v>
      </c>
      <c r="W13" s="47"/>
    </row>
    <row r="14" spans="1:23" x14ac:dyDescent="0.25">
      <c r="A14" s="145" t="str">
        <f>PLANTILLA!A14</f>
        <v>#8</v>
      </c>
      <c r="B14" s="146" t="str">
        <f>PLANTILLA!D14</f>
        <v>Enrique Cubas</v>
      </c>
      <c r="C14" s="145">
        <f>PLANTILLA!E14</f>
        <v>22</v>
      </c>
      <c r="D14" s="148">
        <f ca="1">PLANTILLA!F14</f>
        <v>41</v>
      </c>
      <c r="E14" s="41">
        <f>PLANTILLA!X14</f>
        <v>0</v>
      </c>
      <c r="F14" s="41">
        <f>PLANTILLA!Y14</f>
        <v>8.8000000000000007</v>
      </c>
      <c r="G14" s="41">
        <f>PLANTILLA!Z14</f>
        <v>5.7</v>
      </c>
      <c r="H14" s="41">
        <f>PLANTILLA!AA14</f>
        <v>14.124999999999996</v>
      </c>
      <c r="I14" s="41">
        <f>PLANTILLA!AB14</f>
        <v>6</v>
      </c>
      <c r="J14" s="41">
        <f>PLANTILLA!AC14</f>
        <v>7.5</v>
      </c>
      <c r="K14" s="41">
        <f>PLANTILLA!AD14</f>
        <v>5</v>
      </c>
      <c r="L14" s="147">
        <f>1/9</f>
        <v>0.1111111111111111</v>
      </c>
      <c r="M14" s="147">
        <f t="shared" si="0"/>
        <v>5.5555555555555552E-2</v>
      </c>
      <c r="N14" s="147">
        <f t="shared" si="1"/>
        <v>1.3888888888888888E-2</v>
      </c>
      <c r="O14" s="67">
        <f>L14*0.286</f>
        <v>3.1777777777777773E-2</v>
      </c>
      <c r="P14" s="67">
        <f t="shared" si="3"/>
        <v>6.5333333333333327E-2</v>
      </c>
      <c r="Q14" s="67">
        <f t="shared" si="4"/>
        <v>6.3777777777777767E-2</v>
      </c>
      <c r="R14" s="67">
        <f t="shared" si="5"/>
        <v>9.5999999999999988E-2</v>
      </c>
      <c r="S14" s="67">
        <f t="shared" si="6"/>
        <v>1.5999999999999997E-2</v>
      </c>
      <c r="T14" s="67">
        <f t="shared" si="7"/>
        <v>6.7444444444444446E-2</v>
      </c>
      <c r="U14" s="67">
        <f t="shared" si="8"/>
        <v>9.5999999999999988E-2</v>
      </c>
      <c r="W14" s="47"/>
    </row>
    <row r="15" spans="1:23" x14ac:dyDescent="0.25">
      <c r="A15" s="145" t="str">
        <f>PLANTILLA!A15</f>
        <v>#11</v>
      </c>
      <c r="B15" s="146" t="str">
        <f>PLANTILLA!D15</f>
        <v>J. G. Peñuela</v>
      </c>
      <c r="C15" s="145">
        <f>PLANTILLA!E15</f>
        <v>22</v>
      </c>
      <c r="D15" s="148">
        <f ca="1">PLANTILLA!F15</f>
        <v>41</v>
      </c>
      <c r="E15" s="41">
        <f>PLANTILLA!X15</f>
        <v>0</v>
      </c>
      <c r="F15" s="41">
        <f>PLANTILLA!Y15</f>
        <v>9.2857142857142865</v>
      </c>
      <c r="G15" s="41">
        <f>PLANTILLA!Z15</f>
        <v>5</v>
      </c>
      <c r="H15" s="41">
        <f>PLANTILLA!AA15</f>
        <v>13.19</v>
      </c>
      <c r="I15" s="41">
        <f>PLANTILLA!AB15</f>
        <v>5</v>
      </c>
      <c r="J15" s="41">
        <f>PLANTILLA!AC15</f>
        <v>7.8016666666666676</v>
      </c>
      <c r="K15" s="41">
        <f>PLANTILLA!AD15</f>
        <v>3</v>
      </c>
      <c r="L15" s="147">
        <f>1/8</f>
        <v>0.125</v>
      </c>
      <c r="M15" s="147">
        <f t="shared" si="0"/>
        <v>6.25E-2</v>
      </c>
      <c r="N15" s="147">
        <f t="shared" si="1"/>
        <v>1.5625E-2</v>
      </c>
      <c r="O15" s="67">
        <f>L15*0.286</f>
        <v>3.5749999999999997E-2</v>
      </c>
      <c r="P15" s="67">
        <f t="shared" si="3"/>
        <v>7.3499999999999996E-2</v>
      </c>
      <c r="Q15" s="67">
        <f t="shared" si="4"/>
        <v>7.1749999999999994E-2</v>
      </c>
      <c r="R15" s="67">
        <f t="shared" si="5"/>
        <v>0.108</v>
      </c>
      <c r="S15" s="67">
        <f t="shared" si="6"/>
        <v>1.7999999999999999E-2</v>
      </c>
      <c r="T15" s="67">
        <f t="shared" si="7"/>
        <v>7.5874999999999998E-2</v>
      </c>
      <c r="U15" s="67">
        <f t="shared" si="8"/>
        <v>0.108</v>
      </c>
      <c r="W15" s="47"/>
    </row>
    <row r="16" spans="1:23" x14ac:dyDescent="0.25">
      <c r="A16" s="145" t="str">
        <f>PLANTILLA!A16</f>
        <v>#12</v>
      </c>
      <c r="B16" s="146" t="str">
        <f>PLANTILLA!D16</f>
        <v>David Garcia-Spiess</v>
      </c>
      <c r="C16" s="145">
        <f>PLANTILLA!E16</f>
        <v>30</v>
      </c>
      <c r="D16" s="148">
        <f ca="1">PLANTILLA!F16</f>
        <v>10</v>
      </c>
      <c r="E16" s="41">
        <f>PLANTILLA!X16</f>
        <v>0</v>
      </c>
      <c r="F16" s="41">
        <f>PLANTILLA!Y16</f>
        <v>9</v>
      </c>
      <c r="G16" s="41">
        <f>PLANTILLA!Z16</f>
        <v>13</v>
      </c>
      <c r="H16" s="41">
        <f>PLANTILLA!AA16</f>
        <v>6</v>
      </c>
      <c r="I16" s="41">
        <f>PLANTILLA!AB16</f>
        <v>7</v>
      </c>
      <c r="J16" s="41">
        <f>PLANTILLA!AC16</f>
        <v>7</v>
      </c>
      <c r="K16" s="41">
        <f>PLANTILLA!AD16</f>
        <v>17</v>
      </c>
      <c r="L16" s="147"/>
      <c r="M16" s="147"/>
      <c r="N16" s="147"/>
      <c r="O16" s="67"/>
      <c r="P16" s="67"/>
      <c r="Q16" s="67"/>
      <c r="R16" s="67"/>
      <c r="S16" s="67"/>
      <c r="T16" s="67"/>
      <c r="U16" s="67"/>
      <c r="W16" s="47"/>
    </row>
    <row r="17" spans="1:23" x14ac:dyDescent="0.25">
      <c r="A17" s="145" t="str">
        <f>PLANTILLA!A17</f>
        <v>#26</v>
      </c>
      <c r="B17" s="146" t="str">
        <f>PLANTILLA!D17</f>
        <v>Fabien Fabre</v>
      </c>
      <c r="C17" s="145">
        <f>PLANTILLA!E17</f>
        <v>31</v>
      </c>
      <c r="D17" s="148">
        <f ca="1">PLANTILLA!F17</f>
        <v>15</v>
      </c>
      <c r="E17" s="41">
        <f>PLANTILLA!X17</f>
        <v>0</v>
      </c>
      <c r="F17" s="41">
        <f>PLANTILLA!Y17</f>
        <v>5</v>
      </c>
      <c r="G17" s="41">
        <f>PLANTILLA!Z17</f>
        <v>11</v>
      </c>
      <c r="H17" s="41">
        <f>PLANTILLA!AA17</f>
        <v>2</v>
      </c>
      <c r="I17" s="41">
        <f>PLANTILLA!AB17</f>
        <v>4</v>
      </c>
      <c r="J17" s="41">
        <f>PLANTILLA!AC17</f>
        <v>5</v>
      </c>
      <c r="K17" s="41">
        <f>PLANTILLA!AD17</f>
        <v>12</v>
      </c>
      <c r="L17" s="147"/>
      <c r="M17" s="147"/>
      <c r="N17" s="147"/>
      <c r="O17" s="67"/>
      <c r="P17" s="67"/>
      <c r="Q17" s="67"/>
      <c r="R17" s="67"/>
      <c r="S17" s="67"/>
      <c r="T17" s="67"/>
      <c r="U17" s="67"/>
      <c r="W17" s="47"/>
    </row>
    <row r="18" spans="1:23" x14ac:dyDescent="0.25">
      <c r="A18" s="145" t="str">
        <f>PLANTILLA!A18</f>
        <v>#21</v>
      </c>
      <c r="B18" s="146" t="str">
        <f>PLANTILLA!D18</f>
        <v>Fernando Gazón</v>
      </c>
      <c r="C18" s="145">
        <f>PLANTILLA!E18</f>
        <v>22</v>
      </c>
      <c r="D18" s="148">
        <f ca="1">PLANTILLA!F18</f>
        <v>82</v>
      </c>
      <c r="E18" s="41">
        <f>PLANTILLA!X18</f>
        <v>0</v>
      </c>
      <c r="F18" s="41">
        <f>PLANTILLA!Y18</f>
        <v>4</v>
      </c>
      <c r="G18" s="41">
        <f>PLANTILLA!Z18</f>
        <v>6</v>
      </c>
      <c r="H18" s="41">
        <f>PLANTILLA!AA18</f>
        <v>6</v>
      </c>
      <c r="I18" s="41">
        <f>PLANTILLA!AB18</f>
        <v>4.25</v>
      </c>
      <c r="J18" s="41">
        <f>PLANTILLA!AC18</f>
        <v>5.6190261437908475</v>
      </c>
      <c r="K18" s="41">
        <f>PLANTILLA!AD18</f>
        <v>3</v>
      </c>
      <c r="L18" s="147"/>
      <c r="M18" s="147"/>
      <c r="N18" s="147"/>
      <c r="O18" s="67"/>
      <c r="P18" s="67"/>
      <c r="Q18" s="67"/>
      <c r="R18" s="67"/>
      <c r="S18" s="67"/>
      <c r="T18" s="67"/>
      <c r="U18" s="67"/>
      <c r="W18" s="47"/>
    </row>
    <row r="19" spans="1:23" x14ac:dyDescent="0.25">
      <c r="A19" s="145" t="str">
        <f>PLANTILLA!A19</f>
        <v>#36</v>
      </c>
      <c r="B19" s="146" t="str">
        <f>PLANTILLA!D19</f>
        <v>Miklós Gábriel</v>
      </c>
      <c r="C19" s="145">
        <f>PLANTILLA!E19</f>
        <v>31</v>
      </c>
      <c r="D19" s="148">
        <f ca="1">PLANTILLA!F19</f>
        <v>7</v>
      </c>
      <c r="E19" s="41">
        <f>PLANTILLA!X19</f>
        <v>0</v>
      </c>
      <c r="F19" s="41">
        <f>PLANTILLA!Y19</f>
        <v>5</v>
      </c>
      <c r="G19" s="41">
        <f>PLANTILLA!Z19</f>
        <v>2</v>
      </c>
      <c r="H19" s="41">
        <f>PLANTILLA!AA19</f>
        <v>4</v>
      </c>
      <c r="I19" s="41">
        <f>PLANTILLA!AB19</f>
        <v>7</v>
      </c>
      <c r="J19" s="41">
        <f>PLANTILLA!AC19</f>
        <v>10</v>
      </c>
      <c r="K19" s="41">
        <f>PLANTILLA!AD19</f>
        <v>14</v>
      </c>
      <c r="L19" s="147"/>
      <c r="M19" s="147"/>
      <c r="N19" s="147"/>
      <c r="O19" s="67"/>
      <c r="P19" s="67"/>
      <c r="Q19" s="67"/>
      <c r="R19" s="67"/>
      <c r="S19" s="67"/>
      <c r="T19" s="67"/>
      <c r="U19" s="67"/>
      <c r="W19" s="47"/>
    </row>
    <row r="20" spans="1:23" x14ac:dyDescent="0.25">
      <c r="A20" s="145" t="str">
        <f>PLANTILLA!A20</f>
        <v>#38</v>
      </c>
      <c r="B20" s="146" t="str">
        <f>PLANTILLA!D20</f>
        <v>Emilio Rojas</v>
      </c>
      <c r="C20" s="145">
        <f>PLANTILLA!E20</f>
        <v>31</v>
      </c>
      <c r="D20" s="148">
        <f ca="1">PLANTILLA!F20</f>
        <v>45</v>
      </c>
      <c r="E20" s="41">
        <f>PLANTILLA!X20</f>
        <v>0</v>
      </c>
      <c r="F20" s="41">
        <f>PLANTILLA!Y20</f>
        <v>6</v>
      </c>
      <c r="G20" s="41">
        <f>PLANTILLA!Z20</f>
        <v>2</v>
      </c>
      <c r="H20" s="41">
        <f>PLANTILLA!AA20</f>
        <v>6</v>
      </c>
      <c r="I20" s="41">
        <f>PLANTILLA!AB20</f>
        <v>9</v>
      </c>
      <c r="J20" s="41">
        <f>PLANTILLA!AC20</f>
        <v>8.9499999999999993</v>
      </c>
      <c r="K20" s="41">
        <f>PLANTILLA!AD20</f>
        <v>13</v>
      </c>
      <c r="L20" s="147"/>
      <c r="M20" s="147"/>
      <c r="N20" s="147"/>
      <c r="O20" s="67"/>
      <c r="P20" s="67"/>
      <c r="Q20" s="67"/>
      <c r="R20" s="67"/>
      <c r="S20" s="67"/>
      <c r="T20" s="67"/>
      <c r="U20" s="67"/>
      <c r="W20" s="47"/>
    </row>
    <row r="21" spans="1:23" x14ac:dyDescent="0.25">
      <c r="A21" s="145" t="str">
        <f>PLANTILLA!A21</f>
        <v>#25</v>
      </c>
      <c r="B21" s="146" t="str">
        <f>PLANTILLA!D21</f>
        <v>Leo Hilpinen</v>
      </c>
      <c r="C21" s="145">
        <f>PLANTILLA!E21</f>
        <v>30</v>
      </c>
      <c r="D21" s="148">
        <f ca="1">PLANTILLA!F21</f>
        <v>20</v>
      </c>
      <c r="E21" s="41">
        <f>PLANTILLA!X21</f>
        <v>0</v>
      </c>
      <c r="F21" s="41">
        <f>PLANTILLA!Y21</f>
        <v>5</v>
      </c>
      <c r="G21" s="41">
        <f>PLANTILLA!Z21</f>
        <v>6</v>
      </c>
      <c r="H21" s="41">
        <f>PLANTILLA!AA21</f>
        <v>5</v>
      </c>
      <c r="I21" s="41">
        <f>PLANTILLA!AB21</f>
        <v>9</v>
      </c>
      <c r="J21" s="41">
        <f>PLANTILLA!AC21</f>
        <v>12</v>
      </c>
      <c r="K21" s="41">
        <f>PLANTILLA!AD21</f>
        <v>0</v>
      </c>
      <c r="L21" s="147"/>
      <c r="M21" s="147"/>
      <c r="N21" s="147"/>
      <c r="O21" s="67"/>
      <c r="P21" s="67"/>
      <c r="Q21" s="67"/>
      <c r="R21" s="67"/>
      <c r="S21" s="67"/>
      <c r="T21" s="67"/>
      <c r="U21" s="67"/>
      <c r="W21" s="47"/>
    </row>
    <row r="22" spans="1:23" x14ac:dyDescent="0.25">
      <c r="C22" s="79"/>
      <c r="D22" s="60"/>
      <c r="G22" s="47"/>
      <c r="H22" s="46"/>
      <c r="J22" s="47"/>
      <c r="K22" s="47"/>
      <c r="M22" s="80"/>
      <c r="Q22" s="47"/>
      <c r="R22" s="47"/>
      <c r="S22" s="47"/>
      <c r="T22" s="134"/>
      <c r="U22" s="47"/>
      <c r="V22" s="47"/>
      <c r="W22" s="47"/>
    </row>
    <row r="23" spans="1:23" x14ac:dyDescent="0.25">
      <c r="C23" s="79"/>
      <c r="D23" s="60"/>
      <c r="G23" s="47"/>
      <c r="H23" s="46"/>
      <c r="J23" s="47"/>
      <c r="K23" s="47"/>
      <c r="M23" s="80"/>
      <c r="Q23" s="47"/>
      <c r="R23" s="47"/>
      <c r="S23" s="47"/>
      <c r="T23" s="134"/>
      <c r="U23" s="47"/>
      <c r="V23" s="47"/>
      <c r="W23" s="47"/>
    </row>
    <row r="24" spans="1:23" x14ac:dyDescent="0.25">
      <c r="C24" s="79"/>
      <c r="D24" s="60"/>
      <c r="G24" s="47"/>
      <c r="H24" s="46"/>
      <c r="J24" s="47"/>
      <c r="K24" s="47"/>
      <c r="M24" s="80"/>
      <c r="Q24" s="47"/>
      <c r="R24" s="47"/>
      <c r="S24" s="47"/>
      <c r="T24" s="134"/>
      <c r="U24" s="47"/>
      <c r="V24" s="47"/>
      <c r="W24" s="47"/>
    </row>
    <row r="25" spans="1:23" x14ac:dyDescent="0.25">
      <c r="C25" s="79"/>
      <c r="D25" s="60"/>
      <c r="G25" s="47"/>
      <c r="H25" s="46"/>
      <c r="J25" s="47"/>
      <c r="K25" s="47"/>
      <c r="M25" s="80"/>
      <c r="Q25" s="47"/>
      <c r="R25" s="47"/>
      <c r="S25" s="47"/>
      <c r="T25" s="134"/>
      <c r="U25" s="47"/>
      <c r="V25" s="47"/>
      <c r="W25" s="47"/>
    </row>
    <row r="26" spans="1:23" x14ac:dyDescent="0.25">
      <c r="C26" s="79"/>
      <c r="D26" s="60"/>
      <c r="G26" s="47"/>
      <c r="H26" s="46"/>
      <c r="J26" s="47"/>
      <c r="K26" s="47"/>
      <c r="M26" s="80"/>
      <c r="Q26" s="47"/>
      <c r="R26" s="47"/>
      <c r="S26" s="47"/>
      <c r="T26" s="134"/>
      <c r="U26" s="47"/>
      <c r="V26" s="47"/>
      <c r="W26" s="47"/>
    </row>
    <row r="27" spans="1:23" x14ac:dyDescent="0.25">
      <c r="C27" s="79"/>
      <c r="D27" s="60"/>
      <c r="G27" s="47"/>
      <c r="H27" s="46"/>
      <c r="J27" s="47"/>
      <c r="K27" s="47"/>
      <c r="M27" s="80"/>
      <c r="Q27" s="47"/>
      <c r="R27" s="47"/>
      <c r="S27" s="47"/>
      <c r="T27" s="134"/>
      <c r="U27" s="47"/>
      <c r="V27" s="47"/>
      <c r="W27" s="47"/>
    </row>
    <row r="28" spans="1:23" x14ac:dyDescent="0.25">
      <c r="C28" s="79"/>
      <c r="D28" s="60"/>
      <c r="G28" s="47"/>
      <c r="H28" s="46"/>
      <c r="J28" s="47"/>
      <c r="K28" s="47"/>
      <c r="M28" s="80"/>
      <c r="Q28" s="47"/>
      <c r="R28" s="47"/>
      <c r="S28" s="47"/>
      <c r="T28" s="134"/>
      <c r="U28" s="47"/>
      <c r="V28" s="47"/>
      <c r="W28" s="47"/>
    </row>
    <row r="29" spans="1:23" x14ac:dyDescent="0.25">
      <c r="C29" s="79"/>
      <c r="D29" s="60"/>
      <c r="G29" s="47"/>
      <c r="H29" s="46"/>
      <c r="J29" s="47"/>
      <c r="K29" s="47"/>
      <c r="M29" s="80"/>
      <c r="Q29" s="47"/>
      <c r="R29" s="47"/>
      <c r="S29" s="47"/>
      <c r="T29" s="134"/>
      <c r="U29" s="47"/>
      <c r="V29" s="47"/>
      <c r="W29" s="47"/>
    </row>
    <row r="30" spans="1:23" x14ac:dyDescent="0.25">
      <c r="C30" s="79"/>
      <c r="D30" s="60"/>
      <c r="G30" s="47"/>
      <c r="H30" s="46"/>
      <c r="J30" s="47"/>
      <c r="K30" s="47"/>
      <c r="M30" s="80"/>
      <c r="Q30" s="47"/>
      <c r="R30" s="47"/>
      <c r="S30" s="47"/>
      <c r="T30" s="134"/>
      <c r="U30" s="47"/>
      <c r="V30" s="47"/>
      <c r="W30" s="47"/>
    </row>
    <row r="31" spans="1:23" x14ac:dyDescent="0.25">
      <c r="C31" s="79"/>
      <c r="D31" s="60"/>
      <c r="G31" s="47"/>
      <c r="H31" s="46"/>
      <c r="J31" s="47"/>
      <c r="K31" s="47"/>
      <c r="M31" s="80"/>
      <c r="Q31" s="47"/>
      <c r="R31" s="47"/>
      <c r="S31" s="47"/>
      <c r="T31" s="134"/>
      <c r="U31" s="47"/>
      <c r="V31" s="47"/>
      <c r="W31" s="47"/>
    </row>
    <row r="32" spans="1:23" x14ac:dyDescent="0.25">
      <c r="C32" s="79"/>
      <c r="D32" s="60"/>
      <c r="G32" s="47"/>
      <c r="H32" s="46"/>
      <c r="J32" s="47"/>
      <c r="K32" s="47"/>
      <c r="M32" s="80"/>
      <c r="Q32" s="47"/>
      <c r="R32" s="47"/>
      <c r="S32" s="47"/>
      <c r="T32" s="134"/>
      <c r="U32" s="47"/>
      <c r="V32" s="47"/>
      <c r="W32" s="47"/>
    </row>
    <row r="33" spans="3:23" x14ac:dyDescent="0.25">
      <c r="C33" s="79"/>
      <c r="D33" s="60"/>
      <c r="G33" s="47"/>
      <c r="H33" s="46"/>
      <c r="J33" s="47"/>
      <c r="K33" s="47"/>
      <c r="M33" s="80"/>
      <c r="Q33" s="47"/>
      <c r="R33" s="47"/>
      <c r="S33" s="47"/>
      <c r="T33" s="134"/>
      <c r="U33" s="47"/>
      <c r="V33" s="47"/>
      <c r="W33" s="47"/>
    </row>
    <row r="34" spans="3:23" x14ac:dyDescent="0.25">
      <c r="C34" s="79"/>
      <c r="D34" s="60"/>
      <c r="G34" s="47"/>
      <c r="H34" s="46"/>
      <c r="J34" s="47"/>
      <c r="K34" s="47"/>
      <c r="M34" s="80"/>
      <c r="Q34" s="47"/>
      <c r="R34" s="47"/>
      <c r="S34" s="47"/>
      <c r="T34" s="134"/>
      <c r="U34" s="47"/>
      <c r="V34" s="47"/>
      <c r="W34" s="47"/>
    </row>
    <row r="35" spans="3:23" x14ac:dyDescent="0.25">
      <c r="C35" s="79"/>
      <c r="D35" s="60"/>
      <c r="G35" s="47"/>
      <c r="H35" s="46"/>
      <c r="J35" s="47"/>
      <c r="K35" s="47"/>
      <c r="M35" s="80"/>
      <c r="Q35" s="47"/>
      <c r="R35" s="47"/>
      <c r="S35" s="47"/>
      <c r="T35" s="134"/>
      <c r="U35" s="47"/>
      <c r="V35" s="47"/>
      <c r="W35" s="47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CambioENTRENADOR</vt:lpstr>
      <vt:lpstr>Hall_of_Fame</vt:lpstr>
      <vt:lpstr>CA_Calcutator</vt:lpstr>
      <vt:lpstr>PLANNING</vt:lpstr>
      <vt:lpstr>PLANTILLA</vt:lpstr>
      <vt:lpstr>CAPITAN</vt:lpstr>
      <vt:lpstr>Evaluacion Jugadores</vt:lpstr>
      <vt:lpstr>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2019-06-25T13:19:26Z</dcterms:modified>
</cp:coreProperties>
</file>