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6" i="32" l="1"/>
  <c r="F17" i="32"/>
  <c r="F12" i="32"/>
  <c r="F21" i="32"/>
  <c r="F10" i="32"/>
  <c r="F19" i="32"/>
  <c r="F5" i="32"/>
  <c r="F23" i="32"/>
  <c r="F9" i="32"/>
  <c r="F6" i="32"/>
  <c r="D12" i="111"/>
  <c r="F7" i="32"/>
  <c r="D15" i="111" s="1"/>
  <c r="F13" i="32"/>
  <c r="F11" i="32"/>
  <c r="F22" i="32"/>
  <c r="F15" i="32"/>
  <c r="F14" i="32"/>
  <c r="F18"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<sst xmlns="http://schemas.openxmlformats.org/spreadsheetml/2006/main" count="4181" uniqueCount="881">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</sst>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6720288"/>
        <c:axId val="286719112"/>
      </c:barChart>
      <c:catAx>
        <c:axId val="286720288"/>
        <c:scaling>
          <c:orientation val="minMax"/>
        </c:scaling>
        <c:delete val="0"/>
        <c:axPos val="b"/>
        <c:numFmt formatCode="General" sourceLinked="1"/>
        <c:majorTickMark val="out"/>
        <c:minorTickMark val="none"/>
        <c:tickLblPos val="nextTo"/>
        <c:crossAx val="286719112"/>
        <c:crosses val="autoZero"/>
        <c:auto val="1"/>
        <c:lblAlgn val="ctr"/>
        <c:lblOffset val="100"/>
        <c:noMultiLvlLbl val="0"/>
      </c:catAx>
      <c:valAx>
        <c:axId val="286719112"/>
        <c:scaling>
          <c:orientation val="minMax"/>
        </c:scaling>
        <c:delete val="0"/>
        <c:axPos val="l"/>
        <c:majorGridlines/>
        <c:numFmt formatCode="_-* #,##0\ [$€-C0A]_-;\-* #,##0\ [$€-C0A]_-;_-* &quot;-&quot;??\ [$€-C0A]_-;_-@_-" sourceLinked="1"/>
        <c:majorTickMark val="out"/>
        <c:minorTickMark val="none"/>
        <c:tickLblPos val="nextTo"/>
        <c:crossAx val="2867202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7714792"/>
        <c:axId val="307715184"/>
      </c:barChart>
      <c:catAx>
        <c:axId val="307714792"/>
        <c:scaling>
          <c:orientation val="minMax"/>
        </c:scaling>
        <c:delete val="0"/>
        <c:axPos val="b"/>
        <c:numFmt formatCode="General" sourceLinked="1"/>
        <c:majorTickMark val="out"/>
        <c:minorTickMark val="none"/>
        <c:tickLblPos val="nextTo"/>
        <c:crossAx val="307715184"/>
        <c:crosses val="autoZero"/>
        <c:auto val="1"/>
        <c:lblAlgn val="ctr"/>
        <c:lblOffset val="100"/>
        <c:noMultiLvlLbl val="0"/>
      </c:catAx>
      <c:valAx>
        <c:axId val="307715184"/>
        <c:scaling>
          <c:orientation val="minMax"/>
        </c:scaling>
        <c:delete val="0"/>
        <c:axPos val="l"/>
        <c:majorGridlines/>
        <c:numFmt formatCode="_-* #,##0\ [$€-C0A]_-;\-* #,##0\ [$€-C0A]_-;_-* &quot;-&quot;??\ [$€-C0A]_-;_-@_-" sourceLinked="1"/>
        <c:majorTickMark val="out"/>
        <c:minorTickMark val="none"/>
        <c:tickLblPos val="nextTo"/>
        <c:crossAx val="307714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9543720"/>
        <c:axId val="309540976"/>
      </c:barChart>
      <c:catAx>
        <c:axId val="309543720"/>
        <c:scaling>
          <c:orientation val="minMax"/>
        </c:scaling>
        <c:delete val="0"/>
        <c:axPos val="b"/>
        <c:numFmt formatCode="General" sourceLinked="1"/>
        <c:majorTickMark val="out"/>
        <c:minorTickMark val="none"/>
        <c:tickLblPos val="nextTo"/>
        <c:crossAx val="309540976"/>
        <c:crosses val="autoZero"/>
        <c:auto val="1"/>
        <c:lblAlgn val="ctr"/>
        <c:lblOffset val="100"/>
        <c:noMultiLvlLbl val="0"/>
      </c:catAx>
      <c:valAx>
        <c:axId val="309540976"/>
        <c:scaling>
          <c:orientation val="minMax"/>
        </c:scaling>
        <c:delete val="0"/>
        <c:axPos val="l"/>
        <c:majorGridlines/>
        <c:numFmt formatCode="_-* #,##0\ [$€-C0A]_-;\-* #,##0\ [$€-C0A]_-;_-* &quot;-&quot;??\ [$€-C0A]_-;_-@_-" sourceLinked="1"/>
        <c:majorTickMark val="out"/>
        <c:minorTickMark val="none"/>
        <c:tickLblPos val="nextTo"/>
        <c:crossAx val="309543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541760"/>
        <c:axId val="309542152"/>
      </c:barChart>
      <c:catAx>
        <c:axId val="309541760"/>
        <c:scaling>
          <c:orientation val="minMax"/>
        </c:scaling>
        <c:delete val="0"/>
        <c:axPos val="b"/>
        <c:numFmt formatCode="General" sourceLinked="1"/>
        <c:majorTickMark val="out"/>
        <c:minorTickMark val="none"/>
        <c:tickLblPos val="nextTo"/>
        <c:crossAx val="309542152"/>
        <c:crosses val="autoZero"/>
        <c:auto val="1"/>
        <c:lblAlgn val="ctr"/>
        <c:lblOffset val="100"/>
        <c:noMultiLvlLbl val="0"/>
      </c:catAx>
      <c:valAx>
        <c:axId val="309542152"/>
        <c:scaling>
          <c:orientation val="minMax"/>
        </c:scaling>
        <c:delete val="0"/>
        <c:axPos val="l"/>
        <c:majorGridlines/>
        <c:numFmt formatCode="_-* #,##0\ [$€-C0A]_-;\-* #,##0\ [$€-C0A]_-;_-* &quot;-&quot;??\ [$€-C0A]_-;_-@_-" sourceLinked="1"/>
        <c:majorTickMark val="out"/>
        <c:minorTickMark val="none"/>
        <c:tickLblPos val="nextTo"/>
        <c:crossAx val="309541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9543328"/>
        <c:axId val="309541368"/>
      </c:barChart>
      <c:catAx>
        <c:axId val="309543328"/>
        <c:scaling>
          <c:orientation val="minMax"/>
        </c:scaling>
        <c:delete val="0"/>
        <c:axPos val="b"/>
        <c:numFmt formatCode="General" sourceLinked="1"/>
        <c:majorTickMark val="out"/>
        <c:minorTickMark val="none"/>
        <c:tickLblPos val="nextTo"/>
        <c:crossAx val="309541368"/>
        <c:crosses val="autoZero"/>
        <c:auto val="1"/>
        <c:lblAlgn val="ctr"/>
        <c:lblOffset val="100"/>
        <c:noMultiLvlLbl val="0"/>
      </c:catAx>
      <c:valAx>
        <c:axId val="309541368"/>
        <c:scaling>
          <c:orientation val="minMax"/>
        </c:scaling>
        <c:delete val="0"/>
        <c:axPos val="l"/>
        <c:majorGridlines/>
        <c:numFmt formatCode="_-* #,##0\ [$€-C0A]_-;\-* #,##0\ [$€-C0A]_-;_-* &quot;-&quot;??\ [$€-C0A]_-;_-@_-" sourceLinked="1"/>
        <c:majorTickMark val="out"/>
        <c:minorTickMark val="none"/>
        <c:tickLblPos val="nextTo"/>
        <c:crossAx val="309543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9540584"/>
        <c:axId val="309542936"/>
      </c:barChart>
      <c:catAx>
        <c:axId val="309540584"/>
        <c:scaling>
          <c:orientation val="minMax"/>
        </c:scaling>
        <c:delete val="0"/>
        <c:axPos val="b"/>
        <c:numFmt formatCode="General" sourceLinked="1"/>
        <c:majorTickMark val="out"/>
        <c:minorTickMark val="none"/>
        <c:tickLblPos val="nextTo"/>
        <c:crossAx val="309542936"/>
        <c:crosses val="autoZero"/>
        <c:auto val="1"/>
        <c:lblAlgn val="ctr"/>
        <c:lblOffset val="100"/>
        <c:noMultiLvlLbl val="0"/>
      </c:catAx>
      <c:valAx>
        <c:axId val="309542936"/>
        <c:scaling>
          <c:orientation val="minMax"/>
        </c:scaling>
        <c:delete val="0"/>
        <c:axPos val="l"/>
        <c:majorGridlines/>
        <c:numFmt formatCode="_-* #,##0\ [$€-C0A]_-;\-* #,##0\ [$€-C0A]_-;_-* &quot;-&quot;??\ [$€-C0A]_-;_-@_-" sourceLinked="1"/>
        <c:majorTickMark val="out"/>
        <c:minorTickMark val="none"/>
        <c:tickLblPos val="nextTo"/>
        <c:crossAx val="309540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9544504"/>
        <c:axId val="309542544"/>
      </c:barChart>
      <c:catAx>
        <c:axId val="309544504"/>
        <c:scaling>
          <c:orientation val="minMax"/>
        </c:scaling>
        <c:delete val="0"/>
        <c:axPos val="b"/>
        <c:numFmt formatCode="General" sourceLinked="1"/>
        <c:majorTickMark val="out"/>
        <c:minorTickMark val="none"/>
        <c:tickLblPos val="nextTo"/>
        <c:crossAx val="309542544"/>
        <c:crosses val="autoZero"/>
        <c:auto val="1"/>
        <c:lblAlgn val="ctr"/>
        <c:lblOffset val="100"/>
        <c:noMultiLvlLbl val="0"/>
      </c:catAx>
      <c:valAx>
        <c:axId val="309542544"/>
        <c:scaling>
          <c:orientation val="minMax"/>
        </c:scaling>
        <c:delete val="0"/>
        <c:axPos val="l"/>
        <c:majorGridlines/>
        <c:numFmt formatCode="_-* #,##0\ [$€-C0A]_-;\-* #,##0\ [$€-C0A]_-;_-* &quot;-&quot;??\ [$€-C0A]_-;_-@_-" sourceLinked="1"/>
        <c:majorTickMark val="out"/>
        <c:minorTickMark val="none"/>
        <c:tickLblPos val="nextTo"/>
        <c:crossAx val="309544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544896"/>
        <c:axId val="309545288"/>
      </c:barChart>
      <c:catAx>
        <c:axId val="309544896"/>
        <c:scaling>
          <c:orientation val="minMax"/>
        </c:scaling>
        <c:delete val="0"/>
        <c:axPos val="b"/>
        <c:numFmt formatCode="General" sourceLinked="1"/>
        <c:majorTickMark val="out"/>
        <c:minorTickMark val="none"/>
        <c:tickLblPos val="nextTo"/>
        <c:crossAx val="309545288"/>
        <c:crosses val="autoZero"/>
        <c:auto val="1"/>
        <c:lblAlgn val="ctr"/>
        <c:lblOffset val="100"/>
        <c:noMultiLvlLbl val="0"/>
      </c:catAx>
      <c:valAx>
        <c:axId val="309545288"/>
        <c:scaling>
          <c:orientation val="minMax"/>
        </c:scaling>
        <c:delete val="0"/>
        <c:axPos val="l"/>
        <c:majorGridlines/>
        <c:numFmt formatCode="_-* #,##0\ [$€-C0A]_-;\-* #,##0\ [$€-C0A]_-;_-* &quot;-&quot;??\ [$€-C0A]_-;_-@_-" sourceLinked="1"/>
        <c:majorTickMark val="out"/>
        <c:minorTickMark val="none"/>
        <c:tickLblPos val="nextTo"/>
        <c:crossAx val="309544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539016"/>
        <c:axId val="309540192"/>
      </c:barChart>
      <c:catAx>
        <c:axId val="309539016"/>
        <c:scaling>
          <c:orientation val="minMax"/>
        </c:scaling>
        <c:delete val="0"/>
        <c:axPos val="b"/>
        <c:numFmt formatCode="General" sourceLinked="1"/>
        <c:majorTickMark val="out"/>
        <c:minorTickMark val="none"/>
        <c:tickLblPos val="nextTo"/>
        <c:crossAx val="309540192"/>
        <c:crosses val="autoZero"/>
        <c:auto val="1"/>
        <c:lblAlgn val="ctr"/>
        <c:lblOffset val="100"/>
        <c:noMultiLvlLbl val="0"/>
      </c:catAx>
      <c:valAx>
        <c:axId val="309540192"/>
        <c:scaling>
          <c:orientation val="minMax"/>
        </c:scaling>
        <c:delete val="0"/>
        <c:axPos val="l"/>
        <c:majorGridlines/>
        <c:numFmt formatCode="_-* #,##0\ [$€-C0A]_-;\-* #,##0\ [$€-C0A]_-;_-* &quot;-&quot;??\ [$€-C0A]_-;_-@_-" sourceLinked="1"/>
        <c:majorTickMark val="out"/>
        <c:minorTickMark val="none"/>
        <c:tickLblPos val="nextTo"/>
        <c:crossAx val="309539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911704"/>
        <c:axId val="309912096"/>
      </c:barChart>
      <c:catAx>
        <c:axId val="309911704"/>
        <c:scaling>
          <c:orientation val="minMax"/>
        </c:scaling>
        <c:delete val="0"/>
        <c:axPos val="b"/>
        <c:numFmt formatCode="General" sourceLinked="1"/>
        <c:majorTickMark val="out"/>
        <c:minorTickMark val="none"/>
        <c:tickLblPos val="nextTo"/>
        <c:crossAx val="309912096"/>
        <c:crosses val="autoZero"/>
        <c:auto val="1"/>
        <c:lblAlgn val="ctr"/>
        <c:lblOffset val="100"/>
        <c:noMultiLvlLbl val="0"/>
      </c:catAx>
      <c:valAx>
        <c:axId val="309912096"/>
        <c:scaling>
          <c:orientation val="minMax"/>
        </c:scaling>
        <c:delete val="0"/>
        <c:axPos val="l"/>
        <c:majorGridlines/>
        <c:numFmt formatCode="_-* #,##0\ [$€-C0A]_-;\-* #,##0\ [$€-C0A]_-;_-* &quot;-&quot;??\ [$€-C0A]_-;_-@_-" sourceLinked="1"/>
        <c:majorTickMark val="out"/>
        <c:minorTickMark val="none"/>
        <c:tickLblPos val="nextTo"/>
        <c:crossAx val="309911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9912880"/>
        <c:axId val="309912488"/>
      </c:barChart>
      <c:catAx>
        <c:axId val="309912880"/>
        <c:scaling>
          <c:orientation val="minMax"/>
        </c:scaling>
        <c:delete val="0"/>
        <c:axPos val="b"/>
        <c:numFmt formatCode="General" sourceLinked="1"/>
        <c:majorTickMark val="out"/>
        <c:minorTickMark val="none"/>
        <c:tickLblPos val="nextTo"/>
        <c:crossAx val="309912488"/>
        <c:crosses val="autoZero"/>
        <c:auto val="1"/>
        <c:lblAlgn val="ctr"/>
        <c:lblOffset val="100"/>
        <c:noMultiLvlLbl val="0"/>
      </c:catAx>
      <c:valAx>
        <c:axId val="309912488"/>
        <c:scaling>
          <c:orientation val="minMax"/>
        </c:scaling>
        <c:delete val="0"/>
        <c:axPos val="l"/>
        <c:majorGridlines/>
        <c:numFmt formatCode="_-* #,##0\ [$€-C0A]_-;\-* #,##0\ [$€-C0A]_-;_-* &quot;-&quot;??\ [$€-C0A]_-;_-@_-" sourceLinked="1"/>
        <c:majorTickMark val="out"/>
        <c:minorTickMark val="none"/>
        <c:tickLblPos val="nextTo"/>
        <c:crossAx val="309912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6716368"/>
        <c:axId val="286723816"/>
      </c:barChart>
      <c:catAx>
        <c:axId val="286716368"/>
        <c:scaling>
          <c:orientation val="minMax"/>
        </c:scaling>
        <c:delete val="0"/>
        <c:axPos val="b"/>
        <c:numFmt formatCode="General" sourceLinked="1"/>
        <c:majorTickMark val="out"/>
        <c:minorTickMark val="none"/>
        <c:tickLblPos val="nextTo"/>
        <c:crossAx val="286723816"/>
        <c:crosses val="autoZero"/>
        <c:auto val="1"/>
        <c:lblAlgn val="ctr"/>
        <c:lblOffset val="100"/>
        <c:noMultiLvlLbl val="0"/>
      </c:catAx>
      <c:valAx>
        <c:axId val="286723816"/>
        <c:scaling>
          <c:orientation val="minMax"/>
        </c:scaling>
        <c:delete val="0"/>
        <c:axPos val="l"/>
        <c:majorGridlines/>
        <c:numFmt formatCode="_-* #,##0\ [$€-C0A]_-;\-* #,##0\ [$€-C0A]_-;_-* &quot;-&quot;??\ [$€-C0A]_-;_-@_-" sourceLinked="1"/>
        <c:majorTickMark val="out"/>
        <c:minorTickMark val="none"/>
        <c:tickLblPos val="nextTo"/>
        <c:crossAx val="286716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908176"/>
        <c:axId val="309913664"/>
      </c:barChart>
      <c:catAx>
        <c:axId val="309908176"/>
        <c:scaling>
          <c:orientation val="minMax"/>
        </c:scaling>
        <c:delete val="0"/>
        <c:axPos val="b"/>
        <c:numFmt formatCode="General" sourceLinked="1"/>
        <c:majorTickMark val="out"/>
        <c:minorTickMark val="none"/>
        <c:tickLblPos val="nextTo"/>
        <c:crossAx val="309913664"/>
        <c:crosses val="autoZero"/>
        <c:auto val="1"/>
        <c:lblAlgn val="ctr"/>
        <c:lblOffset val="100"/>
        <c:noMultiLvlLbl val="0"/>
      </c:catAx>
      <c:valAx>
        <c:axId val="309913664"/>
        <c:scaling>
          <c:orientation val="minMax"/>
        </c:scaling>
        <c:delete val="0"/>
        <c:axPos val="l"/>
        <c:majorGridlines/>
        <c:numFmt formatCode="_-* #,##0\ [$€-C0A]_-;\-* #,##0\ [$€-C0A]_-;_-* &quot;-&quot;??\ [$€-C0A]_-;_-@_-" sourceLinked="1"/>
        <c:majorTickMark val="out"/>
        <c:minorTickMark val="none"/>
        <c:tickLblPos val="nextTo"/>
        <c:crossAx val="3099081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9914448"/>
        <c:axId val="309908960"/>
      </c:barChart>
      <c:catAx>
        <c:axId val="309914448"/>
        <c:scaling>
          <c:orientation val="minMax"/>
        </c:scaling>
        <c:delete val="0"/>
        <c:axPos val="b"/>
        <c:numFmt formatCode="General" sourceLinked="1"/>
        <c:majorTickMark val="out"/>
        <c:minorTickMark val="none"/>
        <c:tickLblPos val="nextTo"/>
        <c:crossAx val="309908960"/>
        <c:crosses val="autoZero"/>
        <c:auto val="1"/>
        <c:lblAlgn val="ctr"/>
        <c:lblOffset val="100"/>
        <c:noMultiLvlLbl val="0"/>
      </c:catAx>
      <c:valAx>
        <c:axId val="309908960"/>
        <c:scaling>
          <c:orientation val="minMax"/>
        </c:scaling>
        <c:delete val="0"/>
        <c:axPos val="l"/>
        <c:majorGridlines/>
        <c:numFmt formatCode="_-* #,##0\ [$€-C0A]_-;\-* #,##0\ [$€-C0A]_-;_-* &quot;-&quot;??\ [$€-C0A]_-;_-@_-" sourceLinked="1"/>
        <c:majorTickMark val="out"/>
        <c:minorTickMark val="none"/>
        <c:tickLblPos val="nextTo"/>
        <c:crossAx val="309914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9907392"/>
        <c:axId val="309911312"/>
      </c:barChart>
      <c:catAx>
        <c:axId val="309907392"/>
        <c:scaling>
          <c:orientation val="minMax"/>
        </c:scaling>
        <c:delete val="0"/>
        <c:axPos val="b"/>
        <c:numFmt formatCode="General" sourceLinked="1"/>
        <c:majorTickMark val="out"/>
        <c:minorTickMark val="none"/>
        <c:tickLblPos val="nextTo"/>
        <c:crossAx val="309911312"/>
        <c:crosses val="autoZero"/>
        <c:auto val="1"/>
        <c:lblAlgn val="ctr"/>
        <c:lblOffset val="100"/>
        <c:noMultiLvlLbl val="0"/>
      </c:catAx>
      <c:valAx>
        <c:axId val="309911312"/>
        <c:scaling>
          <c:orientation val="minMax"/>
        </c:scaling>
        <c:delete val="0"/>
        <c:axPos val="l"/>
        <c:majorGridlines/>
        <c:numFmt formatCode="_-* #,##0\ [$€-C0A]_-;\-* #,##0\ [$€-C0A]_-;_-* &quot;-&quot;??\ [$€-C0A]_-;_-@_-" sourceLinked="1"/>
        <c:majorTickMark val="out"/>
        <c:minorTickMark val="none"/>
        <c:tickLblPos val="nextTo"/>
        <c:crossAx val="309907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9909352"/>
        <c:axId val="309909744"/>
      </c:lineChart>
      <c:catAx>
        <c:axId val="309909352"/>
        <c:scaling>
          <c:orientation val="minMax"/>
        </c:scaling>
        <c:delete val="0"/>
        <c:axPos val="b"/>
        <c:numFmt formatCode="General" sourceLinked="0"/>
        <c:majorTickMark val="out"/>
        <c:minorTickMark val="none"/>
        <c:tickLblPos val="nextTo"/>
        <c:crossAx val="309909744"/>
        <c:crosses val="autoZero"/>
        <c:auto val="1"/>
        <c:lblAlgn val="ctr"/>
        <c:lblOffset val="100"/>
        <c:noMultiLvlLbl val="0"/>
      </c:catAx>
      <c:valAx>
        <c:axId val="309909744"/>
        <c:scaling>
          <c:orientation val="minMax"/>
          <c:min val="0"/>
        </c:scaling>
        <c:delete val="0"/>
        <c:axPos val="l"/>
        <c:majorGridlines/>
        <c:numFmt formatCode="General" sourceLinked="1"/>
        <c:majorTickMark val="out"/>
        <c:minorTickMark val="none"/>
        <c:tickLblPos val="nextTo"/>
        <c:crossAx val="30990935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6716760"/>
        <c:axId val="286719896"/>
      </c:barChart>
      <c:catAx>
        <c:axId val="286716760"/>
        <c:scaling>
          <c:orientation val="minMax"/>
        </c:scaling>
        <c:delete val="0"/>
        <c:axPos val="b"/>
        <c:numFmt formatCode="General" sourceLinked="1"/>
        <c:majorTickMark val="out"/>
        <c:minorTickMark val="none"/>
        <c:tickLblPos val="nextTo"/>
        <c:crossAx val="286719896"/>
        <c:crosses val="autoZero"/>
        <c:auto val="1"/>
        <c:lblAlgn val="ctr"/>
        <c:lblOffset val="100"/>
        <c:noMultiLvlLbl val="0"/>
      </c:catAx>
      <c:valAx>
        <c:axId val="286719896"/>
        <c:scaling>
          <c:orientation val="minMax"/>
        </c:scaling>
        <c:delete val="0"/>
        <c:axPos val="l"/>
        <c:majorGridlines/>
        <c:numFmt formatCode="_-* #,##0\ [$€-C0A]_-;\-* #,##0\ [$€-C0A]_-;_-* &quot;-&quot;??\ [$€-C0A]_-;_-@_-" sourceLinked="1"/>
        <c:majorTickMark val="out"/>
        <c:minorTickMark val="none"/>
        <c:tickLblPos val="nextTo"/>
        <c:crossAx val="286716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6717152"/>
        <c:axId val="286717544"/>
      </c:barChart>
      <c:catAx>
        <c:axId val="286717152"/>
        <c:scaling>
          <c:orientation val="minMax"/>
        </c:scaling>
        <c:delete val="0"/>
        <c:axPos val="b"/>
        <c:numFmt formatCode="General" sourceLinked="1"/>
        <c:majorTickMark val="out"/>
        <c:minorTickMark val="none"/>
        <c:tickLblPos val="nextTo"/>
        <c:crossAx val="286717544"/>
        <c:crosses val="autoZero"/>
        <c:auto val="1"/>
        <c:lblAlgn val="ctr"/>
        <c:lblOffset val="100"/>
        <c:noMultiLvlLbl val="0"/>
      </c:catAx>
      <c:valAx>
        <c:axId val="286717544"/>
        <c:scaling>
          <c:orientation val="minMax"/>
        </c:scaling>
        <c:delete val="0"/>
        <c:axPos val="l"/>
        <c:majorGridlines/>
        <c:numFmt formatCode="_-* #,##0\ [$€-C0A]_-;\-* #,##0\ [$€-C0A]_-;_-* &quot;-&quot;??\ [$€-C0A]_-;_-@_-" sourceLinked="1"/>
        <c:majorTickMark val="out"/>
        <c:minorTickMark val="none"/>
        <c:tickLblPos val="nextTo"/>
        <c:crossAx val="286717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07717928"/>
        <c:axId val="307719104"/>
      </c:barChart>
      <c:catAx>
        <c:axId val="307717928"/>
        <c:scaling>
          <c:orientation val="minMax"/>
        </c:scaling>
        <c:delete val="0"/>
        <c:axPos val="b"/>
        <c:numFmt formatCode="General" sourceLinked="1"/>
        <c:majorTickMark val="out"/>
        <c:minorTickMark val="none"/>
        <c:tickLblPos val="nextTo"/>
        <c:crossAx val="307719104"/>
        <c:crosses val="autoZero"/>
        <c:auto val="1"/>
        <c:lblAlgn val="ctr"/>
        <c:lblOffset val="100"/>
        <c:noMultiLvlLbl val="0"/>
      </c:catAx>
      <c:valAx>
        <c:axId val="307719104"/>
        <c:scaling>
          <c:orientation val="minMax"/>
        </c:scaling>
        <c:delete val="0"/>
        <c:axPos val="l"/>
        <c:majorGridlines/>
        <c:numFmt formatCode="_-* #,##0\ [$€-C0A]_-;\-* #,##0\ [$€-C0A]_-;_-* &quot;-&quot;??\ [$€-C0A]_-;_-@_-" sourceLinked="1"/>
        <c:majorTickMark val="out"/>
        <c:minorTickMark val="none"/>
        <c:tickLblPos val="nextTo"/>
        <c:crossAx val="307717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7720672"/>
        <c:axId val="307718320"/>
      </c:barChart>
      <c:catAx>
        <c:axId val="307720672"/>
        <c:scaling>
          <c:orientation val="minMax"/>
        </c:scaling>
        <c:delete val="0"/>
        <c:axPos val="b"/>
        <c:numFmt formatCode="General" sourceLinked="1"/>
        <c:majorTickMark val="out"/>
        <c:minorTickMark val="none"/>
        <c:tickLblPos val="nextTo"/>
        <c:crossAx val="307718320"/>
        <c:crosses val="autoZero"/>
        <c:auto val="1"/>
        <c:lblAlgn val="ctr"/>
        <c:lblOffset val="100"/>
        <c:noMultiLvlLbl val="0"/>
      </c:catAx>
      <c:valAx>
        <c:axId val="307718320"/>
        <c:scaling>
          <c:orientation val="minMax"/>
        </c:scaling>
        <c:delete val="0"/>
        <c:axPos val="l"/>
        <c:majorGridlines/>
        <c:numFmt formatCode="_-* #,##0\ [$€-C0A]_-;\-* #,##0\ [$€-C0A]_-;_-* &quot;-&quot;??\ [$€-C0A]_-;_-@_-" sourceLinked="1"/>
        <c:majorTickMark val="out"/>
        <c:minorTickMark val="none"/>
        <c:tickLblPos val="nextTo"/>
        <c:crossAx val="307720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7719496"/>
        <c:axId val="307718712"/>
      </c:barChart>
      <c:catAx>
        <c:axId val="307719496"/>
        <c:scaling>
          <c:orientation val="minMax"/>
        </c:scaling>
        <c:delete val="0"/>
        <c:axPos val="b"/>
        <c:numFmt formatCode="General" sourceLinked="1"/>
        <c:majorTickMark val="out"/>
        <c:minorTickMark val="none"/>
        <c:tickLblPos val="nextTo"/>
        <c:crossAx val="307718712"/>
        <c:crosses val="autoZero"/>
        <c:auto val="1"/>
        <c:lblAlgn val="ctr"/>
        <c:lblOffset val="100"/>
        <c:noMultiLvlLbl val="0"/>
      </c:catAx>
      <c:valAx>
        <c:axId val="307718712"/>
        <c:scaling>
          <c:orientation val="minMax"/>
        </c:scaling>
        <c:delete val="0"/>
        <c:axPos val="l"/>
        <c:majorGridlines/>
        <c:numFmt formatCode="_-* #,##0\ [$€-C0A]_-;\-* #,##0\ [$€-C0A]_-;_-* &quot;-&quot;??\ [$€-C0A]_-;_-@_-" sourceLinked="1"/>
        <c:majorTickMark val="out"/>
        <c:minorTickMark val="none"/>
        <c:tickLblPos val="nextTo"/>
        <c:crossAx val="307719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07717536"/>
        <c:axId val="307719888"/>
      </c:barChart>
      <c:catAx>
        <c:axId val="307717536"/>
        <c:scaling>
          <c:orientation val="minMax"/>
        </c:scaling>
        <c:delete val="0"/>
        <c:axPos val="b"/>
        <c:numFmt formatCode="General" sourceLinked="1"/>
        <c:majorTickMark val="out"/>
        <c:minorTickMark val="none"/>
        <c:tickLblPos val="nextTo"/>
        <c:crossAx val="307719888"/>
        <c:crosses val="autoZero"/>
        <c:auto val="1"/>
        <c:lblAlgn val="ctr"/>
        <c:lblOffset val="100"/>
        <c:noMultiLvlLbl val="0"/>
      </c:catAx>
      <c:valAx>
        <c:axId val="307719888"/>
        <c:scaling>
          <c:orientation val="minMax"/>
        </c:scaling>
        <c:delete val="0"/>
        <c:axPos val="l"/>
        <c:majorGridlines/>
        <c:numFmt formatCode="_-* #,##0\ [$€-C0A]_-;\-* #,##0\ [$€-C0A]_-;_-* &quot;-&quot;??\ [$€-C0A]_-;_-@_-" sourceLinked="1"/>
        <c:majorTickMark val="out"/>
        <c:minorTickMark val="none"/>
        <c:tickLblPos val="nextTo"/>
        <c:crossAx val="307717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07721456"/>
        <c:axId val="307722240"/>
      </c:barChart>
      <c:catAx>
        <c:axId val="307721456"/>
        <c:scaling>
          <c:orientation val="minMax"/>
        </c:scaling>
        <c:delete val="0"/>
        <c:axPos val="b"/>
        <c:numFmt formatCode="General" sourceLinked="1"/>
        <c:majorTickMark val="out"/>
        <c:minorTickMark val="none"/>
        <c:tickLblPos val="nextTo"/>
        <c:crossAx val="307722240"/>
        <c:crosses val="autoZero"/>
        <c:auto val="1"/>
        <c:lblAlgn val="ctr"/>
        <c:lblOffset val="100"/>
        <c:noMultiLvlLbl val="0"/>
      </c:catAx>
      <c:valAx>
        <c:axId val="307722240"/>
        <c:scaling>
          <c:orientation val="minMax"/>
        </c:scaling>
        <c:delete val="0"/>
        <c:axPos val="l"/>
        <c:majorGridlines/>
        <c:numFmt formatCode="_-* #,##0\ [$€-C0A]_-;\-* #,##0\ [$€-C0A]_-;_-* &quot;-&quot;??\ [$€-C0A]_-;_-@_-" sourceLinked="1"/>
        <c:majorTickMark val="out"/>
        <c:minorTickMark val="none"/>
        <c:tickLblPos val="nextTo"/>
        <c:crossAx val="307721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43131</v>
      </c>
      <c r="D1" s="683">
        <v>41471</v>
      </c>
      <c r="E1" s="683"/>
      <c r="F1" s="683"/>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1731</v>
      </c>
      <c r="G5" s="593">
        <f ca="1">F5/112</f>
        <v>15.455357142857142</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1731</v>
      </c>
      <c r="G6" s="593">
        <f t="shared" ref="G6:G20" ca="1" si="1">F6/112</f>
        <v>15.455357142857142</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1612</v>
      </c>
      <c r="G7" s="593">
        <f t="shared" ca="1" si="1"/>
        <v>14.392857142857142</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1604</v>
      </c>
      <c r="G8" s="593">
        <f t="shared" ca="1" si="1"/>
        <v>14.321428571428571</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1592</v>
      </c>
      <c r="G9" s="593">
        <f t="shared" ca="1" si="1"/>
        <v>14.214285714285714</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1579</v>
      </c>
      <c r="G10" s="593">
        <f t="shared" ca="1" si="1"/>
        <v>14.098214285714286</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1548</v>
      </c>
      <c r="G11" s="593">
        <f t="shared" ca="1" si="1"/>
        <v>13.821428571428571</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1478</v>
      </c>
      <c r="G12" s="593">
        <f t="shared" ca="1" si="1"/>
        <v>13.196428571428571</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1467</v>
      </c>
      <c r="G13" s="593">
        <f t="shared" ca="1" si="1"/>
        <v>13.098214285714286</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1445</v>
      </c>
      <c r="G14" s="593">
        <f t="shared" ca="1" si="1"/>
        <v>12.901785714285714</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1409</v>
      </c>
      <c r="G15" s="593">
        <f t="shared" ca="1" si="1"/>
        <v>12.580357142857142</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1394</v>
      </c>
      <c r="G16" s="593">
        <f t="shared" ca="1" si="1"/>
        <v>12.446428571428571</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1384</v>
      </c>
      <c r="G17" s="593">
        <f t="shared" ca="1" si="1"/>
        <v>12.357142857142858</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1220</v>
      </c>
      <c r="G18" s="593">
        <f t="shared" ca="1" si="1"/>
        <v>10.892857142857142</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1158</v>
      </c>
      <c r="G19" s="593">
        <f t="shared" ca="1" si="1"/>
        <v>10.339285714285714</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1025</v>
      </c>
      <c r="G20" s="593">
        <f t="shared" ca="1" si="1"/>
        <v>9.1517857142857135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3"/>
      <c r="T1" s="693"/>
      <c r="U1" s="693"/>
      <c r="V1" s="178"/>
      <c r="W1" s="693" t="s">
        <v>530</v>
      </c>
      <c r="X1" s="693"/>
      <c r="Z1" s="414">
        <f>S2+T2+U2+V2+W2+X2+Z2</f>
        <v>1</v>
      </c>
      <c r="AQ1" s="693" t="s">
        <v>603</v>
      </c>
      <c r="AR1" s="693"/>
      <c r="AS1" s="693"/>
      <c r="AT1" s="693"/>
      <c r="AU1" s="693"/>
      <c r="AV1" s="693"/>
      <c r="AW1" s="693"/>
      <c r="AX1" s="693"/>
      <c r="AY1" s="693"/>
      <c r="AZ1" s="693"/>
      <c r="BA1" s="693"/>
      <c r="BB1" s="693"/>
      <c r="BC1" s="693"/>
      <c r="BS1" s="439" t="s">
        <v>605</v>
      </c>
      <c r="BT1" s="439" t="s">
        <v>176</v>
      </c>
      <c r="BU1" s="439" t="s">
        <v>606</v>
      </c>
      <c r="BV1" s="440" t="s">
        <v>607</v>
      </c>
      <c r="BW1" s="438" t="s">
        <v>608</v>
      </c>
      <c r="BX1" s="438" t="s">
        <v>609</v>
      </c>
    </row>
    <row r="2" spans="1:76" s="249" customFormat="1" ht="18.75" x14ac:dyDescent="0.3">
      <c r="C2" s="250"/>
      <c r="D2" s="421">
        <f ca="1">TODAY()</f>
        <v>43131</v>
      </c>
      <c r="E2" s="683">
        <v>41471</v>
      </c>
      <c r="F2" s="683"/>
      <c r="G2" s="683"/>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4" t="s">
        <v>719</v>
      </c>
      <c r="AR3" s="695"/>
      <c r="AS3" s="331" t="s">
        <v>467</v>
      </c>
      <c r="AT3" s="331" t="s">
        <v>468</v>
      </c>
      <c r="AU3" s="331" t="s">
        <v>489</v>
      </c>
      <c r="AV3" s="331" t="s">
        <v>469</v>
      </c>
      <c r="AW3" s="331" t="s">
        <v>470</v>
      </c>
      <c r="AX3" s="331" t="s">
        <v>471</v>
      </c>
      <c r="AY3" s="331" t="s">
        <v>472</v>
      </c>
      <c r="AZ3" s="331" t="s">
        <v>734</v>
      </c>
      <c r="BA3" s="331" t="s">
        <v>735</v>
      </c>
      <c r="BB3" s="331" t="s">
        <v>565</v>
      </c>
      <c r="BC3" s="331" t="s">
        <v>604</v>
      </c>
      <c r="BE3" s="694" t="s">
        <v>721</v>
      </c>
      <c r="BF3" s="695"/>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2.5267857142857144</v>
      </c>
      <c r="D4" s="294" t="str">
        <f>PLANTILLA!D5</f>
        <v>D. Gehmacher</v>
      </c>
      <c r="E4" s="387">
        <f>PLANTILLA!E5</f>
        <v>30</v>
      </c>
      <c r="F4" s="395">
        <f ca="1">PLANTILLA!F5</f>
        <v>53</v>
      </c>
      <c r="G4" s="388"/>
      <c r="H4" s="403">
        <v>7</v>
      </c>
      <c r="I4" s="308">
        <f>PLANTILLA!I5</f>
        <v>18.5</v>
      </c>
      <c r="J4" s="486">
        <f>PLANTILLA!X5</f>
        <v>16.666666666666668</v>
      </c>
      <c r="K4" s="486">
        <f>PLANTILLA!Y5</f>
        <v>12.080559440559444</v>
      </c>
      <c r="L4" s="486">
        <f>PLANTILLA!Z5</f>
        <v>2.0699999999999985</v>
      </c>
      <c r="M4" s="486">
        <f>PLANTILLA!AA5</f>
        <v>2.149999999999999</v>
      </c>
      <c r="N4" s="486">
        <f>PLANTILLA!AB5</f>
        <v>1.0400000000000003</v>
      </c>
      <c r="O4" s="486">
        <f>PLANTILLA!AC5</f>
        <v>0.14055555555555557</v>
      </c>
      <c r="P4" s="486">
        <f>PLANTILLA!AD5</f>
        <v>17.849999999999998</v>
      </c>
      <c r="Q4" s="411">
        <f t="shared" ref="Q4:Q23" si="4">E4</f>
        <v>30</v>
      </c>
      <c r="R4" s="412">
        <f t="shared" ref="R4:R23" ca="1" si="5">F4+7</f>
        <v>60</v>
      </c>
      <c r="S4" s="180"/>
      <c r="T4" s="180"/>
      <c r="U4" s="180"/>
      <c r="V4" s="180"/>
      <c r="W4" s="180"/>
      <c r="X4" s="180"/>
      <c r="Y4" s="180"/>
      <c r="Z4" s="180"/>
      <c r="AA4" s="296">
        <f t="shared" ref="AA4:AA23" si="6">I4+$AA$2</f>
        <v>18.5</v>
      </c>
      <c r="AB4" s="506">
        <f>J4+(S4*S$2/15)</f>
        <v>16.666666666666668</v>
      </c>
      <c r="AC4" s="506">
        <f>K4+(T$2/11)</f>
        <v>12.080559440559444</v>
      </c>
      <c r="AD4" s="506">
        <f>L4+(U$2/18)</f>
        <v>2.0699999999999985</v>
      </c>
      <c r="AE4" s="506">
        <f>M4+(V$2/12)</f>
        <v>2.149999999999999</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-1.5535714285714286</v>
      </c>
      <c r="D5" s="386" t="s">
        <v>267</v>
      </c>
      <c r="E5" s="387">
        <f>PLANTILLA!E6</f>
        <v>34</v>
      </c>
      <c r="F5" s="387">
        <f ca="1">PLANTILLA!F6</f>
        <v>62</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69</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1.0178571428571428</v>
      </c>
      <c r="D7" s="294" t="s">
        <v>275</v>
      </c>
      <c r="E7" s="387">
        <f>PLANTILLA!E8</f>
        <v>31</v>
      </c>
      <c r="F7" s="387">
        <f ca="1">PLANTILLA!F8</f>
        <v>110</v>
      </c>
      <c r="G7" s="388" t="s">
        <v>502</v>
      </c>
      <c r="H7" s="394">
        <v>5</v>
      </c>
      <c r="I7" s="308">
        <f>PLANTILLA!I8</f>
        <v>7.6</v>
      </c>
      <c r="J7" s="486">
        <f>PLANTILLA!X8</f>
        <v>0</v>
      </c>
      <c r="K7" s="486">
        <f>PLANTILLA!Y8</f>
        <v>11.077333333333334</v>
      </c>
      <c r="L7" s="486">
        <f>PLANTILLA!Z8</f>
        <v>6.2194444444444406</v>
      </c>
      <c r="M7" s="486">
        <f>PLANTILLA!AA8</f>
        <v>6.1</v>
      </c>
      <c r="N7" s="486">
        <f>PLANTILLA!AB8</f>
        <v>7.7227777777777789</v>
      </c>
      <c r="O7" s="486">
        <f>PLANTILLA!AC8</f>
        <v>4.383333333333332</v>
      </c>
      <c r="P7" s="486">
        <f>PLANTILLA!AD8</f>
        <v>15.349999999999998</v>
      </c>
      <c r="Q7" s="411">
        <f t="shared" si="4"/>
        <v>31</v>
      </c>
      <c r="R7" s="412">
        <f t="shared" ca="1" si="5"/>
        <v>117</v>
      </c>
      <c r="S7" s="180"/>
      <c r="T7" s="180"/>
      <c r="U7" s="180"/>
      <c r="V7" s="180"/>
      <c r="W7" s="180"/>
      <c r="X7" s="180"/>
      <c r="Y7" s="180"/>
      <c r="Z7" s="180"/>
      <c r="AA7" s="296">
        <f t="shared" si="6"/>
        <v>7.6</v>
      </c>
      <c r="AB7" s="506">
        <f t="shared" si="20"/>
        <v>0</v>
      </c>
      <c r="AC7" s="506">
        <f>K7+(T$2/11)</f>
        <v>11.077333333333334</v>
      </c>
      <c r="AD7" s="506">
        <f>L7+(U$2/6.5)</f>
        <v>6.2194444444444406</v>
      </c>
      <c r="AE7" s="506">
        <f>M7+(V$2/62)</f>
        <v>6.1</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1.4285714285714286</v>
      </c>
      <c r="D8" s="386" t="s">
        <v>269</v>
      </c>
      <c r="E8" s="387">
        <f>PLANTILLA!E9</f>
        <v>31</v>
      </c>
      <c r="F8" s="387">
        <f ca="1">PLANTILLA!F9</f>
        <v>64</v>
      </c>
      <c r="G8" s="388"/>
      <c r="H8" s="394">
        <v>5</v>
      </c>
      <c r="I8" s="308">
        <f>PLANTILLA!I9</f>
        <v>12.4</v>
      </c>
      <c r="J8" s="486">
        <f>PLANTILLA!X9</f>
        <v>0</v>
      </c>
      <c r="K8" s="486">
        <f>PLANTILLA!Y9</f>
        <v>12.200000000000005</v>
      </c>
      <c r="L8" s="486">
        <f>PLANTILLA!Z9</f>
        <v>13.261555555555553</v>
      </c>
      <c r="M8" s="486">
        <f>PLANTILLA!AA9</f>
        <v>9.8750000000000053</v>
      </c>
      <c r="N8" s="486">
        <f>PLANTILLA!AB9</f>
        <v>9.6</v>
      </c>
      <c r="O8" s="486">
        <f>PLANTILLA!AC9</f>
        <v>3.6816666666666658</v>
      </c>
      <c r="P8" s="486">
        <f>PLANTILLA!AD9</f>
        <v>16.627777777777773</v>
      </c>
      <c r="Q8" s="411">
        <f t="shared" si="4"/>
        <v>31</v>
      </c>
      <c r="R8" s="412">
        <f t="shared" ca="1" si="5"/>
        <v>71</v>
      </c>
      <c r="S8" s="180"/>
      <c r="T8" s="180"/>
      <c r="U8" s="180"/>
      <c r="V8" s="180"/>
      <c r="W8" s="180"/>
      <c r="X8" s="180"/>
      <c r="Y8" s="180"/>
      <c r="Z8" s="180"/>
      <c r="AA8" s="296">
        <f t="shared" si="6"/>
        <v>12.4</v>
      </c>
      <c r="AB8" s="506">
        <f t="shared" si="20"/>
        <v>0</v>
      </c>
      <c r="AC8" s="506">
        <f>K8+(T$2/11)</f>
        <v>12.200000000000005</v>
      </c>
      <c r="AD8" s="506">
        <f>L8+(U$2/29)</f>
        <v>13.261555555555553</v>
      </c>
      <c r="AE8" s="506">
        <f>M8+(V$2/13)</f>
        <v>9.8750000000000053</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1.5625</v>
      </c>
      <c r="D9" s="294" t="s">
        <v>273</v>
      </c>
      <c r="E9" s="387">
        <f>PLANTILLA!E10</f>
        <v>31</v>
      </c>
      <c r="F9" s="387">
        <f ca="1">PLANTILLA!F10</f>
        <v>49</v>
      </c>
      <c r="G9" s="388"/>
      <c r="H9" s="371">
        <v>4</v>
      </c>
      <c r="I9" s="308">
        <f>PLANTILLA!I10</f>
        <v>9.5</v>
      </c>
      <c r="J9" s="486">
        <f>PLANTILLA!X10</f>
        <v>0</v>
      </c>
      <c r="K9" s="486">
        <f>PLANTILLA!Y10</f>
        <v>11.999999999999996</v>
      </c>
      <c r="L9" s="486">
        <f>PLANTILLA!Z10</f>
        <v>7.0225000000000017</v>
      </c>
      <c r="M9" s="486">
        <f>PLANTILLA!AA10</f>
        <v>7.5000000000000018</v>
      </c>
      <c r="N9" s="486">
        <f>PLANTILLA!AB10</f>
        <v>9.0199999999999978</v>
      </c>
      <c r="O9" s="486">
        <f>PLANTILLA!AC10</f>
        <v>4.6199999999999966</v>
      </c>
      <c r="P9" s="486">
        <f>PLANTILLA!AD10</f>
        <v>15.6</v>
      </c>
      <c r="Q9" s="411">
        <f t="shared" si="4"/>
        <v>31</v>
      </c>
      <c r="R9" s="412">
        <f t="shared" ca="1" si="5"/>
        <v>56</v>
      </c>
      <c r="S9" s="180"/>
      <c r="T9" s="180"/>
      <c r="U9" s="180"/>
      <c r="V9" s="180"/>
      <c r="W9" s="180"/>
      <c r="X9" s="180"/>
      <c r="Y9" s="180"/>
      <c r="Z9" s="180"/>
      <c r="AA9" s="296">
        <f t="shared" si="6"/>
        <v>9.5</v>
      </c>
      <c r="AB9" s="506">
        <f t="shared" si="20"/>
        <v>0</v>
      </c>
      <c r="AC9" s="506">
        <f>K9+(T$2/10)</f>
        <v>11.999999999999996</v>
      </c>
      <c r="AD9" s="506">
        <f>L9+(U$2/31)</f>
        <v>7.0225000000000017</v>
      </c>
      <c r="AE9" s="506">
        <f>M9+(V$2/6)</f>
        <v>7.5000000000000018</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5.3571428571428568</v>
      </c>
      <c r="D10" s="294" t="s">
        <v>567</v>
      </c>
      <c r="E10" s="387">
        <f>PLANTILLA!E11</f>
        <v>27</v>
      </c>
      <c r="F10" s="387">
        <f ca="1">PLANTILLA!F11</f>
        <v>72</v>
      </c>
      <c r="G10" s="388"/>
      <c r="H10" s="394">
        <v>5</v>
      </c>
      <c r="I10" s="308">
        <f>PLANTILLA!I11</f>
        <v>4.9000000000000004</v>
      </c>
      <c r="J10" s="486">
        <f>PLANTILLA!X11</f>
        <v>0</v>
      </c>
      <c r="K10" s="486">
        <f>PLANTILLA!Y11</f>
        <v>9.6046666666666667</v>
      </c>
      <c r="L10" s="486">
        <f>PLANTILLA!Z11</f>
        <v>7.7607222222222223</v>
      </c>
      <c r="M10" s="486">
        <f>PLANTILLA!AA11</f>
        <v>6.1599999999999984</v>
      </c>
      <c r="N10" s="486">
        <f>PLANTILLA!AB11</f>
        <v>8.8633333333333315</v>
      </c>
      <c r="O10" s="486">
        <f>PLANTILLA!AC11</f>
        <v>3.2566666666666673</v>
      </c>
      <c r="P10" s="486">
        <f>PLANTILLA!AD11</f>
        <v>13.238888888888889</v>
      </c>
      <c r="Q10" s="411">
        <f t="shared" si="4"/>
        <v>27</v>
      </c>
      <c r="R10" s="412">
        <f t="shared" ca="1" si="5"/>
        <v>79</v>
      </c>
      <c r="S10" s="180"/>
      <c r="T10" s="180"/>
      <c r="U10" s="180"/>
      <c r="V10" s="180"/>
      <c r="W10" s="180"/>
      <c r="X10" s="180"/>
      <c r="Y10" s="180"/>
      <c r="Z10" s="180"/>
      <c r="AA10" s="296">
        <f t="shared" si="6"/>
        <v>4.9000000000000004</v>
      </c>
      <c r="AB10" s="506">
        <f t="shared" si="20"/>
        <v>0</v>
      </c>
      <c r="AC10" s="506">
        <f>K10+(T$2/25)</f>
        <v>9.6046666666666667</v>
      </c>
      <c r="AD10" s="506">
        <f>L10+(U$2/37)</f>
        <v>7.7607222222222223</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1.7678571428571428</v>
      </c>
      <c r="D11" s="386" t="s">
        <v>270</v>
      </c>
      <c r="E11" s="387">
        <f>PLANTILLA!E12</f>
        <v>31</v>
      </c>
      <c r="F11" s="387">
        <f ca="1">PLANTILLA!F12</f>
        <v>26</v>
      </c>
      <c r="G11" s="388" t="s">
        <v>271</v>
      </c>
      <c r="H11" s="371">
        <v>1</v>
      </c>
      <c r="I11" s="308">
        <f>PLANTILLA!I12</f>
        <v>12.6</v>
      </c>
      <c r="J11" s="486">
        <f>PLANTILLA!X12</f>
        <v>0</v>
      </c>
      <c r="K11" s="486">
        <f>PLANTILLA!Y12</f>
        <v>12.06111111111111</v>
      </c>
      <c r="L11" s="486">
        <f>PLANTILLA!Z12</f>
        <v>12.614111111111114</v>
      </c>
      <c r="M11" s="486">
        <f>PLANTILLA!AA12</f>
        <v>13.216666666666669</v>
      </c>
      <c r="N11" s="486">
        <f>PLANTILLA!AB12</f>
        <v>10.91</v>
      </c>
      <c r="O11" s="486">
        <f>PLANTILLA!AC12</f>
        <v>7.7700000000000005</v>
      </c>
      <c r="P11" s="486">
        <f>PLANTILLA!AD12</f>
        <v>17.13</v>
      </c>
      <c r="Q11" s="411">
        <f t="shared" si="4"/>
        <v>31</v>
      </c>
      <c r="R11" s="412">
        <f t="shared" ca="1" si="5"/>
        <v>33</v>
      </c>
      <c r="S11" s="180"/>
      <c r="T11" s="180"/>
      <c r="U11" s="180"/>
      <c r="V11" s="180"/>
      <c r="W11" s="180"/>
      <c r="X11" s="180"/>
      <c r="Y11" s="180"/>
      <c r="Z11" s="180"/>
      <c r="AA11" s="296">
        <f t="shared" si="6"/>
        <v>12.6</v>
      </c>
      <c r="AB11" s="506">
        <f t="shared" si="20"/>
        <v>0</v>
      </c>
      <c r="AC11" s="506">
        <f>K11+(T$2/10)</f>
        <v>12.06111111111111</v>
      </c>
      <c r="AD11" s="506">
        <f>L11+(U$2/18)</f>
        <v>12.614111111111114</v>
      </c>
      <c r="AE11" s="506">
        <f>M11+(V$2/15)</f>
        <v>13.216666666666669</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2.2410714285714284</v>
      </c>
      <c r="D12" s="386" t="s">
        <v>298</v>
      </c>
      <c r="E12" s="387">
        <f>PLANTILLA!E13</f>
        <v>30</v>
      </c>
      <c r="F12" s="387">
        <f ca="1">PLANTILLA!F13</f>
        <v>85</v>
      </c>
      <c r="G12" s="388" t="s">
        <v>268</v>
      </c>
      <c r="H12" s="371">
        <v>3</v>
      </c>
      <c r="I12" s="308">
        <f>PLANTILLA!I13</f>
        <v>10.4</v>
      </c>
      <c r="J12" s="486">
        <f>PLANTILLA!X13</f>
        <v>0</v>
      </c>
      <c r="K12" s="486">
        <f>PLANTILLA!Y13</f>
        <v>7.2503030303030309</v>
      </c>
      <c r="L12" s="486">
        <f>PLANTILLA!Z13</f>
        <v>10.600000000000005</v>
      </c>
      <c r="M12" s="486">
        <f>PLANTILLA!AA13</f>
        <v>13.471666666666668</v>
      </c>
      <c r="N12" s="486">
        <f>PLANTILLA!AB13</f>
        <v>10.359999999999998</v>
      </c>
      <c r="O12" s="486">
        <f>PLANTILLA!AC13</f>
        <v>5.4050000000000002</v>
      </c>
      <c r="P12" s="486">
        <f>PLANTILLA!AD13</f>
        <v>17.300000000000004</v>
      </c>
      <c r="Q12" s="411">
        <f t="shared" si="4"/>
        <v>30</v>
      </c>
      <c r="R12" s="412">
        <f t="shared" ca="1" si="5"/>
        <v>92</v>
      </c>
      <c r="S12" s="180"/>
      <c r="T12" s="180"/>
      <c r="U12" s="180"/>
      <c r="V12" s="180"/>
      <c r="W12" s="180"/>
      <c r="X12" s="180"/>
      <c r="Y12" s="180"/>
      <c r="Z12" s="180"/>
      <c r="AA12" s="296">
        <f t="shared" si="6"/>
        <v>10.4</v>
      </c>
      <c r="AB12" s="506">
        <f t="shared" si="20"/>
        <v>0</v>
      </c>
      <c r="AC12" s="506">
        <f>K12+(T$2/7)</f>
        <v>7.2503030303030309</v>
      </c>
      <c r="AD12" s="506">
        <f>L12+(U$2/7)</f>
        <v>10.600000000000005</v>
      </c>
      <c r="AE12" s="506">
        <f>M12+(V$2/8)</f>
        <v>13.471666666666668</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5.1071428571428568</v>
      </c>
      <c r="D13" s="386" t="s">
        <v>507</v>
      </c>
      <c r="E13" s="387">
        <f>PLANTILLA!E14</f>
        <v>27</v>
      </c>
      <c r="F13" s="387">
        <f ca="1">PLANTILLA!F14</f>
        <v>100</v>
      </c>
      <c r="G13" s="388" t="s">
        <v>502</v>
      </c>
      <c r="H13" s="371">
        <v>3</v>
      </c>
      <c r="I13" s="308">
        <f>PLANTILLA!I14</f>
        <v>9</v>
      </c>
      <c r="J13" s="486">
        <f>PLANTILLA!X14</f>
        <v>0</v>
      </c>
      <c r="K13" s="486">
        <f>PLANTILLA!Y14</f>
        <v>8.3599999999999977</v>
      </c>
      <c r="L13" s="486">
        <f>PLANTILLA!Z14</f>
        <v>12.253412698412699</v>
      </c>
      <c r="M13" s="486">
        <f>PLANTILLA!AA14</f>
        <v>12.36</v>
      </c>
      <c r="N13" s="486">
        <f>PLANTILLA!AB14</f>
        <v>10.24</v>
      </c>
      <c r="O13" s="486">
        <f>PLANTILLA!AC14</f>
        <v>7.4766666666666666</v>
      </c>
      <c r="P13" s="486">
        <f>PLANTILLA!AD14</f>
        <v>15.270000000000001</v>
      </c>
      <c r="Q13" s="411">
        <f t="shared" si="4"/>
        <v>27</v>
      </c>
      <c r="R13" s="412">
        <f t="shared" ca="1" si="5"/>
        <v>107</v>
      </c>
      <c r="S13" s="180"/>
      <c r="T13" s="180"/>
      <c r="U13" s="180"/>
      <c r="V13" s="180"/>
      <c r="W13" s="180"/>
      <c r="X13" s="180"/>
      <c r="Y13" s="180"/>
      <c r="Z13" s="180"/>
      <c r="AA13" s="296">
        <f t="shared" si="6"/>
        <v>9</v>
      </c>
      <c r="AB13" s="506">
        <f t="shared" si="20"/>
        <v>0</v>
      </c>
      <c r="AC13" s="506">
        <f>K13+(T$2/6.5)</f>
        <v>8.3599999999999977</v>
      </c>
      <c r="AD13" s="506">
        <f>L13+(U$2/8)</f>
        <v>12.253412698412699</v>
      </c>
      <c r="AE13" s="506">
        <f>M13+(V$2/6)</f>
        <v>12.36</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3.1339285714285716</v>
      </c>
      <c r="D14" s="294" t="s">
        <v>415</v>
      </c>
      <c r="E14" s="387">
        <f>PLANTILLA!E15</f>
        <v>29</v>
      </c>
      <c r="F14" s="387">
        <f ca="1">PLANTILLA!F15</f>
        <v>97</v>
      </c>
      <c r="G14" s="388" t="s">
        <v>268</v>
      </c>
      <c r="H14" s="371">
        <v>4</v>
      </c>
      <c r="I14" s="308">
        <f>PLANTILLA!I15</f>
        <v>10.8</v>
      </c>
      <c r="J14" s="486">
        <f>PLANTILLA!X15</f>
        <v>0</v>
      </c>
      <c r="K14" s="486">
        <f>PLANTILLA!Y15</f>
        <v>9.3036666666666648</v>
      </c>
      <c r="L14" s="486">
        <f>PLANTILLA!Z15</f>
        <v>13.909999999999998</v>
      </c>
      <c r="M14" s="486">
        <f>PLANTILLA!AA15</f>
        <v>12.945</v>
      </c>
      <c r="N14" s="486">
        <f>PLANTILLA!AB15</f>
        <v>9.6733333333333356</v>
      </c>
      <c r="O14" s="486">
        <f>PLANTILLA!AC15</f>
        <v>5.0296666666666656</v>
      </c>
      <c r="P14" s="486">
        <f>PLANTILLA!AD15</f>
        <v>15.2</v>
      </c>
      <c r="Q14" s="411">
        <f t="shared" si="4"/>
        <v>29</v>
      </c>
      <c r="R14" s="412">
        <f t="shared" ca="1" si="5"/>
        <v>104</v>
      </c>
      <c r="S14" s="180"/>
      <c r="T14" s="180"/>
      <c r="U14" s="180"/>
      <c r="V14" s="180"/>
      <c r="W14" s="180"/>
      <c r="X14" s="180"/>
      <c r="Y14" s="180"/>
      <c r="Z14" s="180"/>
      <c r="AA14" s="296">
        <f t="shared" si="6"/>
        <v>10.8</v>
      </c>
      <c r="AB14" s="506">
        <f t="shared" si="20"/>
        <v>0</v>
      </c>
      <c r="AC14" s="506">
        <f>K14+(T$2/50)</f>
        <v>9.3036666666666648</v>
      </c>
      <c r="AD14" s="506">
        <f>L14+(U$2/10)</f>
        <v>13.909999999999998</v>
      </c>
      <c r="AE14" s="506">
        <f>M14+(V$2/15)</f>
        <v>12.945</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0.8303571428571429</v>
      </c>
      <c r="D15" s="386" t="s">
        <v>285</v>
      </c>
      <c r="E15" s="387">
        <f>PLANTILLA!E16</f>
        <v>32</v>
      </c>
      <c r="F15" s="387">
        <f ca="1">PLANTILLA!F16</f>
        <v>19</v>
      </c>
      <c r="G15" s="388" t="s">
        <v>268</v>
      </c>
      <c r="H15" s="394">
        <v>5</v>
      </c>
      <c r="I15" s="308">
        <f>PLANTILLA!I16</f>
        <v>11.3</v>
      </c>
      <c r="J15" s="486">
        <f>PLANTILLA!X16</f>
        <v>0</v>
      </c>
      <c r="K15" s="486">
        <f>PLANTILLA!Y16</f>
        <v>8.6275555555555581</v>
      </c>
      <c r="L15" s="486">
        <f>PLANTILLA!Z16</f>
        <v>14.333255555555548</v>
      </c>
      <c r="M15" s="486">
        <f>PLANTILLA!AA16</f>
        <v>9.99</v>
      </c>
      <c r="N15" s="486">
        <f>PLANTILLA!AB16</f>
        <v>10.09</v>
      </c>
      <c r="O15" s="486">
        <f>PLANTILLA!AC16</f>
        <v>4.3999999999999995</v>
      </c>
      <c r="P15" s="486">
        <f>PLANTILLA!AD16</f>
        <v>16.544444444444441</v>
      </c>
      <c r="Q15" s="411">
        <f t="shared" si="4"/>
        <v>32</v>
      </c>
      <c r="R15" s="412">
        <f t="shared" ca="1" si="5"/>
        <v>26</v>
      </c>
      <c r="S15" s="180"/>
      <c r="T15" s="180"/>
      <c r="U15" s="180"/>
      <c r="V15" s="180"/>
      <c r="W15" s="180"/>
      <c r="X15" s="180"/>
      <c r="Y15" s="180"/>
      <c r="Z15" s="180"/>
      <c r="AA15" s="296">
        <f t="shared" si="6"/>
        <v>11.3</v>
      </c>
      <c r="AB15" s="506">
        <f t="shared" si="20"/>
        <v>0</v>
      </c>
      <c r="AC15" s="506">
        <f>K15+(T$2/50)</f>
        <v>8.6275555555555581</v>
      </c>
      <c r="AD15" s="506">
        <f>L15+(U$2/11)</f>
        <v>14.333255555555548</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1.8839285714285714</v>
      </c>
      <c r="D16" s="386" t="s">
        <v>272</v>
      </c>
      <c r="E16" s="387">
        <f>PLANTILLA!E17</f>
        <v>31</v>
      </c>
      <c r="F16" s="387">
        <f ca="1">PLANTILLA!F17</f>
        <v>13</v>
      </c>
      <c r="G16" s="388"/>
      <c r="H16" s="371">
        <v>4</v>
      </c>
      <c r="I16" s="308">
        <f>PLANTILLA!I17</f>
        <v>9.3000000000000007</v>
      </c>
      <c r="J16" s="486">
        <f>PLANTILLA!X17</f>
        <v>0</v>
      </c>
      <c r="K16" s="486">
        <f>PLANTILLA!Y17</f>
        <v>10.549999999999995</v>
      </c>
      <c r="L16" s="486">
        <f>PLANTILLA!Z17</f>
        <v>12.939777777777776</v>
      </c>
      <c r="M16" s="486">
        <f>PLANTILLA!AA17</f>
        <v>5.1399999999999979</v>
      </c>
      <c r="N16" s="486">
        <f>PLANTILLA!AB17</f>
        <v>9.24</v>
      </c>
      <c r="O16" s="486">
        <f>PLANTILLA!AC17</f>
        <v>2.98</v>
      </c>
      <c r="P16" s="486">
        <f>PLANTILLA!AD17</f>
        <v>16.959999999999997</v>
      </c>
      <c r="Q16" s="411">
        <f t="shared" si="4"/>
        <v>31</v>
      </c>
      <c r="R16" s="412">
        <f t="shared" ca="1" si="5"/>
        <v>20</v>
      </c>
      <c r="S16" s="180"/>
      <c r="T16" s="180"/>
      <c r="U16" s="180"/>
      <c r="V16" s="180"/>
      <c r="W16" s="180"/>
      <c r="X16" s="180"/>
      <c r="Y16" s="180"/>
      <c r="Z16" s="180"/>
      <c r="AA16" s="296">
        <f t="shared" si="6"/>
        <v>9.3000000000000007</v>
      </c>
      <c r="AB16" s="506">
        <f t="shared" si="20"/>
        <v>0</v>
      </c>
      <c r="AC16" s="506">
        <f>K16+(T$2/7)</f>
        <v>10.549999999999995</v>
      </c>
      <c r="AD16" s="506">
        <f>L16+(U$2/11)</f>
        <v>12.939777777777776</v>
      </c>
      <c r="AE16" s="506">
        <f>M16+(V$2/19)</f>
        <v>5.1399999999999979</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2.1071428571428572</v>
      </c>
      <c r="D17" s="294" t="s">
        <v>400</v>
      </c>
      <c r="E17" s="387">
        <f>PLANTILLA!E18</f>
        <v>30</v>
      </c>
      <c r="F17" s="387">
        <f ca="1">PLANTILLA!F18</f>
        <v>100</v>
      </c>
      <c r="G17" s="388"/>
      <c r="H17" s="371">
        <v>1</v>
      </c>
      <c r="I17" s="308">
        <f>PLANTILLA!I18</f>
        <v>8.1999999999999993</v>
      </c>
      <c r="J17" s="486">
        <f>PLANTILLA!X18</f>
        <v>0</v>
      </c>
      <c r="K17" s="486">
        <f>PLANTILLA!Y18</f>
        <v>5.4644444444444451</v>
      </c>
      <c r="L17" s="486">
        <f>PLANTILLA!Z18</f>
        <v>14.42664708994708</v>
      </c>
      <c r="M17" s="486">
        <f>PLANTILLA!AA18</f>
        <v>3.5124999999999993</v>
      </c>
      <c r="N17" s="486">
        <f>PLANTILLA!AB18</f>
        <v>9.1400000000000041</v>
      </c>
      <c r="O17" s="486">
        <f>PLANTILLA!AC18</f>
        <v>7.4318888888888894</v>
      </c>
      <c r="P17" s="486">
        <f>PLANTILLA!AD18</f>
        <v>16.07</v>
      </c>
      <c r="Q17" s="411">
        <f t="shared" si="4"/>
        <v>30</v>
      </c>
      <c r="R17" s="412">
        <f t="shared" ca="1" si="5"/>
        <v>107</v>
      </c>
      <c r="S17" s="180"/>
      <c r="T17" s="180"/>
      <c r="U17" s="180"/>
      <c r="V17" s="180"/>
      <c r="W17" s="180"/>
      <c r="X17" s="180"/>
      <c r="Y17" s="180"/>
      <c r="Z17" s="180"/>
      <c r="AA17" s="296">
        <f t="shared" si="6"/>
        <v>8.1999999999999993</v>
      </c>
      <c r="AB17" s="506">
        <f t="shared" si="20"/>
        <v>0</v>
      </c>
      <c r="AC17" s="506">
        <f>K17+(T$2/6.5)</f>
        <v>5.4644444444444451</v>
      </c>
      <c r="AD17" s="506">
        <f>L17+(U$2/11)</f>
        <v>14.42664708994708</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4" t="s">
        <v>720</v>
      </c>
      <c r="AR17" s="695"/>
      <c r="AS17" s="331" t="s">
        <v>467</v>
      </c>
      <c r="AT17" s="331" t="s">
        <v>468</v>
      </c>
      <c r="AU17" s="331" t="s">
        <v>489</v>
      </c>
      <c r="AV17" s="331" t="s">
        <v>469</v>
      </c>
      <c r="AW17" s="331" t="s">
        <v>470</v>
      </c>
      <c r="AX17" s="331" t="s">
        <v>471</v>
      </c>
      <c r="AY17" s="331" t="s">
        <v>472</v>
      </c>
      <c r="AZ17" s="331" t="s">
        <v>734</v>
      </c>
      <c r="BA17" s="331" t="s">
        <v>735</v>
      </c>
      <c r="BB17" s="331" t="s">
        <v>565</v>
      </c>
      <c r="BC17" s="331" t="s">
        <v>604</v>
      </c>
      <c r="BE17" s="694" t="s">
        <v>646</v>
      </c>
      <c r="BF17" s="695"/>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3.5535714285714284</v>
      </c>
      <c r="D18" s="294" t="s">
        <v>414</v>
      </c>
      <c r="E18" s="387">
        <f>PLANTILLA!E19</f>
        <v>29</v>
      </c>
      <c r="F18" s="387">
        <f ca="1">PLANTILLA!F19</f>
        <v>50</v>
      </c>
      <c r="G18" s="388"/>
      <c r="H18" s="371">
        <v>3</v>
      </c>
      <c r="I18" s="308">
        <f>PLANTILLA!I19</f>
        <v>4</v>
      </c>
      <c r="J18" s="486">
        <f>PLANTILLA!X19</f>
        <v>0</v>
      </c>
      <c r="K18" s="486">
        <f>PLANTILLA!Y19</f>
        <v>5.6515555555555519</v>
      </c>
      <c r="L18" s="486">
        <f>PLANTILLA!Z19</f>
        <v>9.872338888888887</v>
      </c>
      <c r="M18" s="486">
        <f>PLANTILLA!AA19</f>
        <v>7.0726666666666667</v>
      </c>
      <c r="N18" s="486">
        <f>PLANTILLA!AB19</f>
        <v>9.2666666666666639</v>
      </c>
      <c r="O18" s="486">
        <f>PLANTILLA!AC19</f>
        <v>3.5417777777777766</v>
      </c>
      <c r="P18" s="486">
        <f>PLANTILLA!AD19</f>
        <v>12.450000000000001</v>
      </c>
      <c r="Q18" s="411">
        <f t="shared" si="4"/>
        <v>29</v>
      </c>
      <c r="R18" s="412">
        <f t="shared" ca="1" si="5"/>
        <v>57</v>
      </c>
      <c r="S18" s="180"/>
      <c r="T18" s="180"/>
      <c r="U18" s="180"/>
      <c r="V18" s="180"/>
      <c r="W18" s="180"/>
      <c r="X18" s="180"/>
      <c r="Y18" s="180"/>
      <c r="Z18" s="180"/>
      <c r="AA18" s="296">
        <f t="shared" si="6"/>
        <v>4</v>
      </c>
      <c r="AB18" s="506">
        <f t="shared" si="20"/>
        <v>0</v>
      </c>
      <c r="AC18" s="506">
        <f>K18+(T$2/26)</f>
        <v>5.6515555555555519</v>
      </c>
      <c r="AD18" s="506">
        <f>L18+(U$2/55)</f>
        <v>9.872338888888887</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2.4196428571428572</v>
      </c>
      <c r="D20" s="294" t="str">
        <f>PLANTILLA!D7</f>
        <v>B. Pinczehelyi</v>
      </c>
      <c r="E20" s="387">
        <f>PLANTILLA!E7</f>
        <v>30</v>
      </c>
      <c r="F20" s="395">
        <f ca="1">PLANTILLA!F7</f>
        <v>65</v>
      </c>
      <c r="G20" s="388" t="s">
        <v>502</v>
      </c>
      <c r="H20" s="371">
        <v>2</v>
      </c>
      <c r="I20" s="308">
        <f>PLANTILLA!I7</f>
        <v>14.4</v>
      </c>
      <c r="J20" s="486">
        <f>PLANTILLA!X7</f>
        <v>0</v>
      </c>
      <c r="K20" s="486">
        <f>PLANTILLA!Y7</f>
        <v>14.300000000000004</v>
      </c>
      <c r="L20" s="486">
        <f>PLANTILLA!Z7</f>
        <v>9.3793333333333351</v>
      </c>
      <c r="M20" s="486">
        <f>PLANTILLA!AA7</f>
        <v>14.333333333333329</v>
      </c>
      <c r="N20" s="486">
        <f>PLANTILLA!AB7</f>
        <v>9.4199999999999982</v>
      </c>
      <c r="O20" s="486">
        <f>PLANTILLA!AC7</f>
        <v>1.1428571428571428</v>
      </c>
      <c r="P20" s="486">
        <f>PLANTILLA!AD7</f>
        <v>9.4</v>
      </c>
      <c r="Q20" s="411">
        <f t="shared" si="4"/>
        <v>30</v>
      </c>
      <c r="R20" s="412">
        <f t="shared" ca="1" si="5"/>
        <v>72</v>
      </c>
      <c r="S20" s="180"/>
      <c r="T20" s="180"/>
      <c r="U20" s="180"/>
      <c r="V20" s="180"/>
      <c r="W20" s="180"/>
      <c r="X20" s="180"/>
      <c r="Y20" s="180"/>
      <c r="Z20" s="180"/>
      <c r="AA20" s="296">
        <f t="shared" si="6"/>
        <v>14.4</v>
      </c>
      <c r="AB20" s="506">
        <f t="shared" si="20"/>
        <v>0</v>
      </c>
      <c r="AC20" s="506">
        <f>K20+(T$2/20)</f>
        <v>14.300000000000004</v>
      </c>
      <c r="AD20" s="506">
        <f>L20+(U$2/50)</f>
        <v>9.3793333333333351</v>
      </c>
      <c r="AE20" s="506">
        <f>M20+(V$2/35)</f>
        <v>14.333333333333329</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2.7767857142857144</v>
      </c>
      <c r="D21" s="386" t="s">
        <v>287</v>
      </c>
      <c r="E21" s="387">
        <f>PLANTILLA!E21</f>
        <v>30</v>
      </c>
      <c r="F21" s="387">
        <f ca="1">PLANTILLA!F21</f>
        <v>25</v>
      </c>
      <c r="G21" s="388" t="s">
        <v>296</v>
      </c>
      <c r="H21" s="371">
        <v>4</v>
      </c>
      <c r="I21" s="308">
        <f>PLANTILLA!I21</f>
        <v>10.3</v>
      </c>
      <c r="J21" s="486">
        <f>PLANTILLA!X21</f>
        <v>0</v>
      </c>
      <c r="K21" s="486">
        <f>PLANTILLA!Y21</f>
        <v>6.8376190476190493</v>
      </c>
      <c r="L21" s="486">
        <f>PLANTILLA!Z21</f>
        <v>8.6449999999999996</v>
      </c>
      <c r="M21" s="486">
        <f>PLANTILLA!AA21</f>
        <v>8.7399999999999967</v>
      </c>
      <c r="N21" s="486">
        <f>PLANTILLA!AB21</f>
        <v>9.6900000000000013</v>
      </c>
      <c r="O21" s="486">
        <f>PLANTILLA!AC21</f>
        <v>8.5625000000000018</v>
      </c>
      <c r="P21" s="486">
        <f>PLANTILLA!AD21</f>
        <v>18.639999999999993</v>
      </c>
      <c r="Q21" s="411">
        <f t="shared" si="4"/>
        <v>30</v>
      </c>
      <c r="R21" s="412">
        <f t="shared" ca="1" si="5"/>
        <v>32</v>
      </c>
      <c r="S21" s="180"/>
      <c r="T21" s="180"/>
      <c r="U21" s="180"/>
      <c r="V21" s="180"/>
      <c r="W21" s="180"/>
      <c r="X21" s="180"/>
      <c r="Y21" s="180"/>
      <c r="Z21" s="180"/>
      <c r="AA21" s="296">
        <f t="shared" si="6"/>
        <v>10.3</v>
      </c>
      <c r="AB21" s="506">
        <f t="shared" si="20"/>
        <v>0</v>
      </c>
      <c r="AC21" s="506">
        <f>K21+(T$2/32)</f>
        <v>6.8376190476190493</v>
      </c>
      <c r="AD21" s="506">
        <f>L21+(U$2/7)</f>
        <v>8.6449999999999996</v>
      </c>
      <c r="AE21" s="506">
        <f>M21+(V$2/25)</f>
        <v>8.7399999999999967</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2.1607142857142856</v>
      </c>
      <c r="D22" s="386" t="str">
        <f>PLANTILLA!D22</f>
        <v>L. Calosso</v>
      </c>
      <c r="E22" s="387">
        <f>PLANTILLA!E22</f>
        <v>30</v>
      </c>
      <c r="F22" s="387">
        <f ca="1">PLANTILLA!F22</f>
        <v>94</v>
      </c>
      <c r="G22" s="388"/>
      <c r="H22" s="371">
        <v>4</v>
      </c>
      <c r="I22" s="308">
        <f>PLANTILLA!I22</f>
        <v>10.5</v>
      </c>
      <c r="J22" s="486">
        <f>PLANTILLA!X22</f>
        <v>0</v>
      </c>
      <c r="K22" s="486">
        <f>PLANTILLA!Y22</f>
        <v>3.02</v>
      </c>
      <c r="L22" s="486">
        <f>PLANTILLA!Z22</f>
        <v>14.277609523809524</v>
      </c>
      <c r="M22" s="486">
        <f>PLANTILLA!AA22</f>
        <v>3.04</v>
      </c>
      <c r="N22" s="486">
        <f>PLANTILLA!AB22</f>
        <v>15.02</v>
      </c>
      <c r="O22" s="486">
        <f>PLANTILLA!AC22</f>
        <v>10</v>
      </c>
      <c r="P22" s="486">
        <f>PLANTILLA!AD22</f>
        <v>9.3000000000000007</v>
      </c>
      <c r="Q22" s="411">
        <f t="shared" si="4"/>
        <v>30</v>
      </c>
      <c r="R22" s="412">
        <f t="shared" ca="1" si="5"/>
        <v>101</v>
      </c>
      <c r="S22" s="180"/>
      <c r="T22" s="180"/>
      <c r="U22" s="180"/>
      <c r="V22" s="180"/>
      <c r="W22" s="180"/>
      <c r="X22" s="180"/>
      <c r="Y22" s="180"/>
      <c r="Z22" s="180"/>
      <c r="AA22" s="296">
        <f t="shared" si="6"/>
        <v>10.5</v>
      </c>
      <c r="AB22" s="506">
        <f t="shared" si="20"/>
        <v>0</v>
      </c>
      <c r="AC22" s="506">
        <f>K22+(T$2/21)</f>
        <v>3.02</v>
      </c>
      <c r="AD22" s="506">
        <f>L22+(U$2/21)</f>
        <v>14.277609523809524</v>
      </c>
      <c r="AE22" s="506">
        <f>M22+(V$2/22)</f>
        <v>3.04</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5.5</v>
      </c>
      <c r="D23" s="294" t="s">
        <v>541</v>
      </c>
      <c r="E23" s="387">
        <f>PLANTILLA!E23</f>
        <v>27</v>
      </c>
      <c r="F23" s="387">
        <f ca="1">PLANTILLA!F23</f>
        <v>56</v>
      </c>
      <c r="G23" s="388"/>
      <c r="H23" s="396">
        <v>6</v>
      </c>
      <c r="I23" s="308">
        <f>PLANTILLA!I23</f>
        <v>5.5</v>
      </c>
      <c r="J23" s="486">
        <f>PLANTILLA!X23</f>
        <v>0</v>
      </c>
      <c r="K23" s="486">
        <f>PLANTILLA!Y23</f>
        <v>4.0199999999999996</v>
      </c>
      <c r="L23" s="486">
        <f>PLANTILLA!Z23</f>
        <v>5.5738722222222199</v>
      </c>
      <c r="M23" s="486">
        <f>PLANTILLA!AA23</f>
        <v>5.5099999999999989</v>
      </c>
      <c r="N23" s="486">
        <f>PLANTILLA!AB23</f>
        <v>10.799999999999999</v>
      </c>
      <c r="O23" s="486">
        <f>PLANTILLA!AC23</f>
        <v>8.384500000000001</v>
      </c>
      <c r="P23" s="486">
        <f>PLANTILLA!AD23</f>
        <v>13.566666666666668</v>
      </c>
      <c r="Q23" s="411">
        <f t="shared" si="4"/>
        <v>27</v>
      </c>
      <c r="R23" s="412">
        <f t="shared" ca="1" si="5"/>
        <v>63</v>
      </c>
      <c r="S23" s="180"/>
      <c r="T23" s="180"/>
      <c r="U23" s="180"/>
      <c r="V23" s="180"/>
      <c r="W23" s="180"/>
      <c r="X23" s="180"/>
      <c r="Y23" s="180"/>
      <c r="Z23" s="180"/>
      <c r="AA23" s="296">
        <f t="shared" si="6"/>
        <v>5.5</v>
      </c>
      <c r="AB23" s="506">
        <f t="shared" si="20"/>
        <v>0</v>
      </c>
      <c r="AC23" s="506">
        <f>K23+(T$2/20)</f>
        <v>4.0199999999999996</v>
      </c>
      <c r="AD23" s="506">
        <f>L23+(U$2/27)</f>
        <v>5.5738722222222199</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858</v>
      </c>
      <c r="R2" s="534" t="s">
        <v>468</v>
      </c>
      <c r="S2" s="534" t="s">
        <v>858</v>
      </c>
      <c r="T2" s="534" t="s">
        <v>489</v>
      </c>
      <c r="U2" s="534" t="s">
        <v>858</v>
      </c>
      <c r="V2" s="534" t="s">
        <v>469</v>
      </c>
      <c r="W2" s="534" t="s">
        <v>858</v>
      </c>
      <c r="X2" s="534" t="s">
        <v>470</v>
      </c>
      <c r="Y2" s="534" t="s">
        <v>858</v>
      </c>
      <c r="Z2" s="534" t="s">
        <v>471</v>
      </c>
      <c r="AA2" s="534" t="s">
        <v>858</v>
      </c>
      <c r="AB2" s="534" t="s">
        <v>472</v>
      </c>
      <c r="AC2" s="534" t="s">
        <v>858</v>
      </c>
      <c r="AD2" s="577" t="s">
        <v>734</v>
      </c>
      <c r="AE2" s="577" t="s">
        <v>858</v>
      </c>
      <c r="AF2" s="577" t="s">
        <v>735</v>
      </c>
      <c r="AG2" s="577" t="s">
        <v>858</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6" t="s">
        <v>727</v>
      </c>
      <c r="B4" s="540" t="s">
        <v>680</v>
      </c>
      <c r="C4" s="583">
        <v>5.9340247552447711E-2</v>
      </c>
      <c r="D4" s="557">
        <v>6.8999559240759498E-2</v>
      </c>
      <c r="E4" s="557">
        <v>7.5579372027972075E-2</v>
      </c>
      <c r="F4" s="557"/>
      <c r="G4" s="557"/>
      <c r="H4" s="557"/>
      <c r="I4" s="557"/>
      <c r="J4" s="557">
        <v>0</v>
      </c>
      <c r="K4" s="557">
        <v>3.6222627372627408E-2</v>
      </c>
      <c r="L4" s="557"/>
      <c r="M4" s="9"/>
      <c r="N4" s="698"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6"/>
      <c r="B5" s="540" t="s">
        <v>679</v>
      </c>
      <c r="C5" s="578"/>
      <c r="D5" s="544"/>
      <c r="E5" s="544"/>
      <c r="F5" s="544">
        <v>5.254696863959811E-2</v>
      </c>
      <c r="G5" s="544"/>
      <c r="H5" s="544"/>
      <c r="I5" s="544"/>
      <c r="J5" s="544"/>
      <c r="K5" s="544"/>
      <c r="L5" s="544"/>
      <c r="M5" s="9"/>
      <c r="N5" s="698"/>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6"/>
      <c r="B6" s="540" t="s">
        <v>731</v>
      </c>
      <c r="C6" s="578"/>
      <c r="D6" s="544"/>
      <c r="E6" s="544"/>
      <c r="F6" s="544"/>
      <c r="G6" s="544">
        <v>3.9584999999999822E-2</v>
      </c>
      <c r="H6" s="544">
        <v>6.3542692307692147E-2</v>
      </c>
      <c r="I6" s="544">
        <v>0</v>
      </c>
      <c r="J6" s="544"/>
      <c r="K6" s="544"/>
      <c r="L6" s="544"/>
      <c r="M6" s="9"/>
      <c r="N6" s="698"/>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6"/>
      <c r="B7" s="540" t="s">
        <v>732</v>
      </c>
      <c r="C7" s="578"/>
      <c r="D7" s="544"/>
      <c r="E7" s="544"/>
      <c r="F7" s="544"/>
      <c r="G7" s="544">
        <v>3.3714285714285648E-2</v>
      </c>
      <c r="H7" s="544">
        <v>3.433928571428569E-2</v>
      </c>
      <c r="I7" s="544">
        <v>4.9198011904761828E-2</v>
      </c>
      <c r="J7" s="544"/>
      <c r="K7" s="544"/>
      <c r="L7" s="544"/>
      <c r="M7" s="9"/>
      <c r="N7" s="698"/>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6"/>
      <c r="B8" s="540" t="s">
        <v>698</v>
      </c>
      <c r="C8" s="578"/>
      <c r="D8" s="544"/>
      <c r="E8" s="544"/>
      <c r="F8" s="544"/>
      <c r="G8" s="544"/>
      <c r="H8" s="544"/>
      <c r="I8" s="544"/>
      <c r="J8" s="544"/>
      <c r="K8" s="544"/>
      <c r="L8" s="544"/>
      <c r="M8" s="9"/>
      <c r="N8" s="698"/>
      <c r="O8" s="584" t="s">
        <v>698</v>
      </c>
      <c r="P8" s="549"/>
      <c r="Q8" s="645"/>
      <c r="R8" s="536"/>
      <c r="S8" s="645"/>
      <c r="T8" s="536"/>
      <c r="U8" s="645"/>
      <c r="V8" s="536"/>
      <c r="W8" s="645"/>
      <c r="X8" s="549"/>
      <c r="Y8" s="645"/>
      <c r="Z8" s="536"/>
      <c r="AA8" s="645"/>
      <c r="AB8" s="536"/>
      <c r="AC8" s="645"/>
      <c r="AD8" s="549"/>
      <c r="AE8" s="647"/>
      <c r="AF8" s="549"/>
      <c r="AG8" s="647"/>
    </row>
    <row r="9" spans="1:33" x14ac:dyDescent="0.25">
      <c r="A9" s="696"/>
      <c r="B9" s="552" t="s">
        <v>0</v>
      </c>
      <c r="C9" s="579"/>
      <c r="D9" s="535"/>
      <c r="E9" s="535"/>
      <c r="F9" s="535"/>
      <c r="G9" s="535"/>
      <c r="H9" s="535"/>
      <c r="I9" s="535"/>
      <c r="J9" s="535"/>
      <c r="K9" s="535"/>
      <c r="L9" s="535"/>
      <c r="M9" s="9"/>
      <c r="N9" s="698"/>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7" t="s">
        <v>728</v>
      </c>
      <c r="B10" s="541" t="s">
        <v>680</v>
      </c>
      <c r="C10" s="583">
        <v>4.0980247552447779E-2</v>
      </c>
      <c r="D10" s="557">
        <v>7.0304873926074096E-2</v>
      </c>
      <c r="E10" s="557">
        <v>4.0579372027972196E-2</v>
      </c>
      <c r="F10" s="557"/>
      <c r="G10" s="557"/>
      <c r="H10" s="557"/>
      <c r="I10" s="557"/>
      <c r="J10" s="557">
        <v>0</v>
      </c>
      <c r="K10" s="557">
        <v>3.0871978021978067E-2</v>
      </c>
      <c r="L10" s="557"/>
      <c r="M10" s="9"/>
      <c r="N10" s="699"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6"/>
      <c r="B11" s="540" t="s">
        <v>679</v>
      </c>
      <c r="C11" s="578"/>
      <c r="D11" s="544"/>
      <c r="E11" s="544"/>
      <c r="F11" s="544">
        <v>5.1022557865187314E-2</v>
      </c>
      <c r="G11" s="544"/>
      <c r="H11" s="544"/>
      <c r="I11" s="544"/>
      <c r="J11" s="544"/>
      <c r="K11" s="544"/>
      <c r="L11" s="544"/>
      <c r="M11" s="9"/>
      <c r="N11" s="698"/>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6"/>
      <c r="B12" s="540" t="s">
        <v>731</v>
      </c>
      <c r="C12" s="578"/>
      <c r="D12" s="544"/>
      <c r="E12" s="544"/>
      <c r="F12" s="544"/>
      <c r="G12" s="544">
        <v>4.2215952380952187E-2</v>
      </c>
      <c r="H12" s="544">
        <v>6.617364468864452E-2</v>
      </c>
      <c r="I12" s="544">
        <v>0</v>
      </c>
      <c r="J12" s="544"/>
      <c r="K12" s="544"/>
      <c r="L12" s="544"/>
      <c r="M12" s="9"/>
      <c r="N12" s="698"/>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6"/>
      <c r="B13" s="540" t="s">
        <v>732</v>
      </c>
      <c r="C13" s="578"/>
      <c r="D13" s="544"/>
      <c r="E13" s="544"/>
      <c r="F13" s="544"/>
      <c r="G13" s="544">
        <v>3.8151785714285652E-2</v>
      </c>
      <c r="H13" s="544">
        <v>3.8776785714285687E-2</v>
      </c>
      <c r="I13" s="544">
        <v>5.7961761904761842E-2</v>
      </c>
      <c r="J13" s="544"/>
      <c r="K13" s="544"/>
      <c r="L13" s="544"/>
      <c r="M13" s="9"/>
      <c r="N13" s="698"/>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6"/>
      <c r="B14" s="540" t="s">
        <v>698</v>
      </c>
      <c r="C14" s="578"/>
      <c r="D14" s="544"/>
      <c r="E14" s="544"/>
      <c r="F14" s="544"/>
      <c r="G14" s="544"/>
      <c r="H14" s="544"/>
      <c r="I14" s="544"/>
      <c r="J14" s="544"/>
      <c r="K14" s="544"/>
      <c r="L14" s="544"/>
      <c r="M14" s="9"/>
      <c r="N14" s="698"/>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6"/>
      <c r="B15" s="552" t="s">
        <v>0</v>
      </c>
      <c r="C15" s="579"/>
      <c r="D15" s="535"/>
      <c r="E15" s="535"/>
      <c r="F15" s="535"/>
      <c r="G15" s="535"/>
      <c r="H15" s="535"/>
      <c r="I15" s="535"/>
      <c r="J15" s="535"/>
      <c r="K15" s="535"/>
      <c r="L15" s="535"/>
      <c r="M15" s="9"/>
      <c r="N15" s="698"/>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7"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9"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6"/>
      <c r="B17" s="540" t="s">
        <v>679</v>
      </c>
      <c r="C17" s="578"/>
      <c r="D17" s="544"/>
      <c r="E17" s="544"/>
      <c r="F17" s="544">
        <v>4.2273232055429683E-2</v>
      </c>
      <c r="G17" s="544"/>
      <c r="H17" s="544"/>
      <c r="I17" s="544"/>
      <c r="J17" s="544"/>
      <c r="K17" s="544"/>
      <c r="L17" s="544"/>
      <c r="M17" s="9"/>
      <c r="N17" s="698"/>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6"/>
      <c r="B18" s="540" t="s">
        <v>731</v>
      </c>
      <c r="C18" s="578"/>
      <c r="D18" s="544"/>
      <c r="E18" s="544"/>
      <c r="F18" s="544"/>
      <c r="G18" s="544">
        <v>5.2239892473118138E-2</v>
      </c>
      <c r="H18" s="544">
        <v>8.0176190476190248E-2</v>
      </c>
      <c r="I18" s="544">
        <v>0</v>
      </c>
      <c r="J18" s="544"/>
      <c r="K18" s="544"/>
      <c r="L18" s="544"/>
      <c r="M18" s="9"/>
      <c r="N18" s="698"/>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6"/>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8"/>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6"/>
      <c r="B20" s="540" t="s">
        <v>698</v>
      </c>
      <c r="C20" s="578"/>
      <c r="D20" s="544"/>
      <c r="E20" s="544"/>
      <c r="F20" s="544"/>
      <c r="G20" s="544"/>
      <c r="H20" s="544"/>
      <c r="I20" s="544"/>
      <c r="J20" s="544"/>
      <c r="K20" s="544"/>
      <c r="L20" s="544"/>
      <c r="M20" s="9"/>
      <c r="N20" s="698"/>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6"/>
      <c r="B21" s="552" t="s">
        <v>0</v>
      </c>
      <c r="C21" s="578"/>
      <c r="D21" s="544"/>
      <c r="E21" s="544"/>
      <c r="F21" s="544"/>
      <c r="G21" s="544"/>
      <c r="H21" s="544"/>
      <c r="I21" s="544"/>
      <c r="J21" s="544"/>
      <c r="K21" s="544"/>
      <c r="L21" s="544"/>
      <c r="M21" s="9"/>
      <c r="N21" s="698"/>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7"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9"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6"/>
      <c r="B23" s="556" t="s">
        <v>679</v>
      </c>
      <c r="C23" s="578"/>
      <c r="D23" s="544"/>
      <c r="E23" s="544"/>
      <c r="F23" s="544">
        <v>4.3797642829840472E-2</v>
      </c>
      <c r="G23" s="544"/>
      <c r="H23" s="544"/>
      <c r="I23" s="544"/>
      <c r="J23" s="544"/>
      <c r="K23" s="544"/>
      <c r="L23" s="544"/>
      <c r="M23" s="9"/>
      <c r="N23" s="698"/>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6"/>
      <c r="B24" s="556" t="s">
        <v>731</v>
      </c>
      <c r="C24" s="578"/>
      <c r="D24" s="544"/>
      <c r="E24" s="544"/>
      <c r="F24" s="544"/>
      <c r="G24" s="544">
        <v>4.8379892473118219E-2</v>
      </c>
      <c r="H24" s="544">
        <v>7.5159999999999741E-2</v>
      </c>
      <c r="I24" s="544">
        <v>0</v>
      </c>
      <c r="J24" s="544"/>
      <c r="K24" s="544"/>
      <c r="L24" s="544"/>
      <c r="M24" s="9"/>
      <c r="N24" s="698"/>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6"/>
      <c r="B25" s="556" t="s">
        <v>732</v>
      </c>
      <c r="C25" s="578"/>
      <c r="D25" s="544"/>
      <c r="E25" s="544"/>
      <c r="F25" s="544"/>
      <c r="G25" s="544">
        <v>2.3874999999999962E-2</v>
      </c>
      <c r="H25" s="544">
        <v>2.31875E-2</v>
      </c>
      <c r="I25" s="544">
        <v>2.7005333333333312E-2</v>
      </c>
      <c r="J25" s="544"/>
      <c r="K25" s="544"/>
      <c r="L25" s="544">
        <v>0.16964285714285698</v>
      </c>
      <c r="M25" s="655">
        <f>1/L25</f>
        <v>5.894736842105269</v>
      </c>
      <c r="N25" s="698"/>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6"/>
      <c r="B26" s="556" t="s">
        <v>698</v>
      </c>
      <c r="C26" s="578"/>
      <c r="D26" s="544"/>
      <c r="E26" s="544"/>
      <c r="F26" s="544"/>
      <c r="G26" s="544"/>
      <c r="H26" s="544"/>
      <c r="I26" s="544"/>
      <c r="J26" s="544"/>
      <c r="K26" s="544"/>
      <c r="L26" s="544"/>
      <c r="M26" s="9"/>
      <c r="N26" s="698"/>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6"/>
      <c r="B27" s="552" t="s">
        <v>0</v>
      </c>
      <c r="C27" s="579"/>
      <c r="D27" s="535"/>
      <c r="E27" s="535"/>
      <c r="F27" s="535"/>
      <c r="G27" s="535"/>
      <c r="H27" s="535"/>
      <c r="I27" s="535"/>
      <c r="J27" s="535"/>
      <c r="K27" s="535"/>
      <c r="L27" s="535"/>
      <c r="M27" s="9"/>
      <c r="N27" s="698"/>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6"/>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803</v>
      </c>
      <c r="C4" t="str">
        <f>Evaluacion!A6</f>
        <v>E. Toney</v>
      </c>
      <c r="D4" s="636"/>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16.627777777777773</v>
      </c>
      <c r="M4" t="s">
        <v>803</v>
      </c>
      <c r="N4" s="596">
        <v>1</v>
      </c>
      <c r="O4" s="597">
        <f>Evaluacion!AI6</f>
        <v>13.945263933799012</v>
      </c>
      <c r="P4" s="597">
        <f>Evaluacion!AJ6</f>
        <v>6.2753687702095551</v>
      </c>
      <c r="Q4" s="597">
        <v>0</v>
      </c>
      <c r="R4" s="597">
        <f>Evaluacion!AK6</f>
        <v>2.7086483396739016</v>
      </c>
      <c r="S4" s="597">
        <f>Evaluacion!AL6</f>
        <v>7.5457426011671949</v>
      </c>
      <c r="T4" s="597">
        <v>0</v>
      </c>
      <c r="U4" s="597">
        <v>0</v>
      </c>
      <c r="V4" s="597">
        <f>Evaluacion!R6</f>
        <v>4.3000000000000007</v>
      </c>
      <c r="W4" s="597">
        <f>Evaluacion!T6</f>
        <v>0.68291666666666639</v>
      </c>
      <c r="X4" s="597">
        <f>Evaluacion!U6</f>
        <v>0.98683333333333345</v>
      </c>
    </row>
    <row r="5" spans="2:25" x14ac:dyDescent="0.25">
      <c r="B5" t="s">
        <v>804</v>
      </c>
      <c r="C5" t="str">
        <f>Evaluacion!A15</f>
        <v>E. Gross</v>
      </c>
      <c r="D5" s="636"/>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16.959999999999997</v>
      </c>
      <c r="M5" t="s">
        <v>804</v>
      </c>
      <c r="N5" s="596">
        <v>1</v>
      </c>
      <c r="O5" s="597">
        <f>(Evaluacion!AA15+Evaluacion!AC15)/2</f>
        <v>5.1630872014538287</v>
      </c>
      <c r="P5" s="597">
        <f>Evaluacion!AB15</f>
        <v>13.341310598071908</v>
      </c>
      <c r="Q5" s="597">
        <f>O5</f>
        <v>5.1630872014538287</v>
      </c>
      <c r="R5" s="597">
        <f>Evaluacion!AD15</f>
        <v>3.743999033452226</v>
      </c>
      <c r="S5" s="597">
        <v>0</v>
      </c>
      <c r="T5" s="597">
        <v>0</v>
      </c>
      <c r="U5" s="597">
        <v>0</v>
      </c>
      <c r="V5" s="597">
        <f>Evaluacion!R15</f>
        <v>4.0037499999999993</v>
      </c>
      <c r="W5" s="597">
        <f>Evaluacion!T15</f>
        <v>0.65779999999999994</v>
      </c>
      <c r="X5" s="597">
        <f>Evaluacion!U15</f>
        <v>0.93079999999999963</v>
      </c>
    </row>
    <row r="6" spans="2:25" x14ac:dyDescent="0.25">
      <c r="B6" t="s">
        <v>803</v>
      </c>
      <c r="C6" t="str">
        <f>Evaluacion!A9</f>
        <v>B. Pinczehelyi</v>
      </c>
      <c r="D6" s="636"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9.4</v>
      </c>
      <c r="M6" t="s">
        <v>803</v>
      </c>
      <c r="N6" s="596">
        <v>1</v>
      </c>
      <c r="O6" s="597">
        <v>0</v>
      </c>
      <c r="P6" s="597">
        <f>Evaluacion!AJ9</f>
        <v>6.9736160956365794</v>
      </c>
      <c r="Q6" s="597">
        <f>Evaluacion!AI9</f>
        <v>15.496924656970178</v>
      </c>
      <c r="R6" s="597">
        <f>Evaluacion!AK9</f>
        <v>1.9912773815732094</v>
      </c>
      <c r="S6" s="597">
        <v>0</v>
      </c>
      <c r="T6" s="597">
        <f>0</f>
        <v>0</v>
      </c>
      <c r="U6" s="597">
        <f>Evaluacion!AL9</f>
        <v>9.9241561938026734</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12.2018642114424</v>
      </c>
      <c r="S7" s="597">
        <f>Evaluacion!BH13*N7</f>
        <v>10.754684840490688</v>
      </c>
      <c r="T7" s="597">
        <f>Evaluacion!BI13*N7</f>
        <v>2.4954986375795909</v>
      </c>
      <c r="U7" s="597">
        <v>0</v>
      </c>
      <c r="V7" s="597">
        <v>0</v>
      </c>
      <c r="W7" s="597">
        <f>Evaluacion!T13*N7</f>
        <v>0.58367374999999988</v>
      </c>
      <c r="X7" s="597">
        <f>Evaluacion!U13*N7</f>
        <v>0.68322099999999997</v>
      </c>
    </row>
    <row r="8" spans="2:25" x14ac:dyDescent="0.25">
      <c r="B8" t="s">
        <v>805</v>
      </c>
      <c r="C8" t="str">
        <f>Evaluacion!A16</f>
        <v>L. Bauman</v>
      </c>
      <c r="D8" s="636"/>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16.07</v>
      </c>
      <c r="M8" t="s">
        <v>805</v>
      </c>
      <c r="N8" s="596">
        <v>0.82499999999999996</v>
      </c>
      <c r="O8" s="597">
        <f>((Evaluacion!AX16+Evaluacion!AZ16)/2)*N8</f>
        <v>0.95693467493293105</v>
      </c>
      <c r="P8" s="597">
        <f>Evaluacion!AY16*N8</f>
        <v>2.7003447617155025</v>
      </c>
      <c r="Q8" s="597">
        <f>O8</f>
        <v>0.95693467493293105</v>
      </c>
      <c r="R8" s="597">
        <f>Evaluacion!BA16*N8</f>
        <v>14.144679086828431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12.528544288746442</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806</v>
      </c>
      <c r="C10" t="str">
        <f>Evaluacion!A10</f>
        <v>E. Romweber</v>
      </c>
      <c r="D10" s="636"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17.13</v>
      </c>
      <c r="M10" t="s">
        <v>806</v>
      </c>
      <c r="N10" s="596">
        <v>1</v>
      </c>
      <c r="O10" s="597">
        <f>Evaluacion!BT10</f>
        <v>4.2680292019734054</v>
      </c>
      <c r="P10" s="597">
        <f>Evaluacion!BU10</f>
        <v>3.6668983284560244</v>
      </c>
      <c r="Q10" s="597">
        <v>0</v>
      </c>
      <c r="R10" s="597">
        <f>Evaluacion!BV10</f>
        <v>7.0894786862602119</v>
      </c>
      <c r="S10" s="597">
        <f>Evaluacion!BW10</f>
        <v>17.368854085320347</v>
      </c>
      <c r="T10" s="597">
        <f>Evaluacion!BX10</f>
        <v>1.6791364479456334</v>
      </c>
      <c r="U10" s="597">
        <v>0</v>
      </c>
      <c r="V10" s="597">
        <v>0</v>
      </c>
      <c r="W10" s="597">
        <f>Evaluacion!T10*N10</f>
        <v>0.90239999999999987</v>
      </c>
      <c r="X10" s="597">
        <f>Evaluacion!U10*N10</f>
        <v>0.99634444444444448</v>
      </c>
    </row>
    <row r="11" spans="2:25" x14ac:dyDescent="0.25">
      <c r="B11" t="s">
        <v>806</v>
      </c>
      <c r="C11" t="str">
        <f>Evaluacion!A11</f>
        <v>K. Helms</v>
      </c>
      <c r="D11" s="636"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17.300000000000004</v>
      </c>
      <c r="M11" t="s">
        <v>806</v>
      </c>
      <c r="N11" s="596">
        <v>1</v>
      </c>
      <c r="O11" s="597">
        <v>0</v>
      </c>
      <c r="P11" s="597">
        <f>Evaluacion!BU11</f>
        <v>2.4659487857791427</v>
      </c>
      <c r="Q11" s="597">
        <f>Evaluacion!BT11</f>
        <v>2.8702026850871984</v>
      </c>
      <c r="R11" s="597">
        <f>Evaluacion!BV11</f>
        <v>6.1225002258412626</v>
      </c>
      <c r="S11" s="597">
        <v>0</v>
      </c>
      <c r="T11" s="597">
        <f>Evaluacion!BX11</f>
        <v>1.5991413787402029</v>
      </c>
      <c r="U11" s="597">
        <f>Evaluacion!BW11</f>
        <v>17.3318572532574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2.7157999757821289</v>
      </c>
      <c r="S12" s="597">
        <f>N12*Evaluacion!CH19</f>
        <v>6.7847221146490657</v>
      </c>
      <c r="T12" s="597">
        <f>N12*Evaluacion!CI19</f>
        <v>15.158154892382942</v>
      </c>
      <c r="U12" s="597">
        <f>S12</f>
        <v>6.7847221146490657</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9.3000000000000007</v>
      </c>
      <c r="M13" t="s">
        <v>602</v>
      </c>
      <c r="N13" s="596">
        <f>1-0.055</f>
        <v>0.94499999999999995</v>
      </c>
      <c r="O13" s="597">
        <v>0</v>
      </c>
      <c r="P13" s="597">
        <v>0</v>
      </c>
      <c r="Q13" s="597">
        <v>0</v>
      </c>
      <c r="R13" s="597">
        <f>N13*Evaluacion!CD20</f>
        <v>6.5757950438322172</v>
      </c>
      <c r="S13" s="597">
        <f>N13*Evaluacion!CE20</f>
        <v>7.8551169086137014</v>
      </c>
      <c r="T13" s="597">
        <f>N13*Evaluacion!CF20</f>
        <v>16.261565229948463</v>
      </c>
      <c r="U13" s="597">
        <f>S13</f>
        <v>7.8551169086137014</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69.822586273432435</v>
      </c>
      <c r="S14" s="598">
        <f t="shared" si="0"/>
        <v>52.165481846579787</v>
      </c>
      <c r="T14" s="598">
        <f t="shared" si="0"/>
        <v>44.871659757894058</v>
      </c>
      <c r="U14" s="598">
        <f t="shared" si="0"/>
        <v>53.235059926544068</v>
      </c>
      <c r="V14" s="654">
        <f t="shared" si="0"/>
        <v>12.821250000000001</v>
      </c>
      <c r="W14" s="654">
        <f t="shared" si="0"/>
        <v>7.4621610932539681</v>
      </c>
      <c r="X14" s="654">
        <f t="shared" si="0"/>
        <v>8.7158937766122762</v>
      </c>
    </row>
    <row r="15" spans="2:25" ht="15.75" x14ac:dyDescent="0.25">
      <c r="M15" s="263"/>
      <c r="N15" s="263" t="s">
        <v>811</v>
      </c>
      <c r="O15" s="600">
        <f>O14*0.34</f>
        <v>14.582609019773662</v>
      </c>
      <c r="P15" s="600">
        <f>P14*0.245</f>
        <v>15.991480826529024</v>
      </c>
      <c r="Q15" s="600">
        <f>Q14*0.34</f>
        <v>14.581863840723956</v>
      </c>
      <c r="R15" s="600">
        <f>R14*0.125</f>
        <v>8.7278232841790544</v>
      </c>
      <c r="S15" s="600">
        <f>S14*0.25</f>
        <v>13.041370461644947</v>
      </c>
      <c r="T15" s="600">
        <f>T14*0.19</f>
        <v>8.5256153539998714</v>
      </c>
      <c r="U15" s="600">
        <f>U14*0.25</f>
        <v>13.308764981636017</v>
      </c>
    </row>
    <row r="16" spans="2:25" ht="15.75" x14ac:dyDescent="0.25">
      <c r="M16" s="263"/>
      <c r="N16" s="263" t="s">
        <v>812</v>
      </c>
      <c r="O16" s="610">
        <f>O15*1.2/1.05</f>
        <v>16.665838879741326</v>
      </c>
      <c r="P16" s="610">
        <f t="shared" ref="P16:Q16" si="1">P15*1.2/1.05</f>
        <v>18.275978087461741</v>
      </c>
      <c r="Q16" s="610">
        <f t="shared" si="1"/>
        <v>16.664987246541664</v>
      </c>
      <c r="R16" s="610">
        <f>R15</f>
        <v>8.7278232841790544</v>
      </c>
      <c r="S16" s="610">
        <f>S15*0.925/1.05</f>
        <v>11.488826359068167</v>
      </c>
      <c r="T16" s="610">
        <f t="shared" ref="T16:U16" si="2">T15*0.925/1.05</f>
        <v>7.5106611451903627</v>
      </c>
      <c r="U16" s="610">
        <f t="shared" si="2"/>
        <v>11.724388198107921</v>
      </c>
    </row>
    <row r="17" spans="13:21" ht="15.75" x14ac:dyDescent="0.25">
      <c r="M17" s="263"/>
      <c r="N17" s="263" t="s">
        <v>813</v>
      </c>
      <c r="O17" s="610">
        <f>O15*0.925/1.05</f>
        <v>12.846584136467273</v>
      </c>
      <c r="P17" s="610">
        <f t="shared" ref="P17:Q17" si="3">P15*0.925/1.05</f>
        <v>14.087733109085093</v>
      </c>
      <c r="Q17" s="610">
        <f t="shared" si="3"/>
        <v>12.8459276692092</v>
      </c>
      <c r="R17" s="610">
        <f>R16</f>
        <v>8.7278232841790544</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1.9912773815732094</v>
      </c>
      <c r="R3" s="597">
        <f>Evaluacion!AL9</f>
        <v>9.9241561938026734</v>
      </c>
      <c r="S3" s="597">
        <v>0</v>
      </c>
      <c r="T3" s="597">
        <v>0</v>
      </c>
      <c r="U3" s="597">
        <f>Evaluacion!R9</f>
        <v>4.5175000000000001</v>
      </c>
      <c r="V3" s="597">
        <f>Evaluacion!T9</f>
        <v>0.33914285714285713</v>
      </c>
      <c r="W3" s="597">
        <f>Evaluacion!U9</f>
        <v>0.85400000000000031</v>
      </c>
      <c r="AA3" s="603"/>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3.4742064332823337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2.6020723969350668</v>
      </c>
      <c r="R7" s="597">
        <v>0</v>
      </c>
      <c r="S7" s="597">
        <v>0</v>
      </c>
      <c r="T7" s="597">
        <f>Evaluacion!AL10</f>
        <v>9.5160905073721693</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14.199016860579302</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13.828779439634721</v>
      </c>
      <c r="R9" s="597">
        <v>0</v>
      </c>
      <c r="S9" s="597">
        <f>Evaluacion!BI13*M9</f>
        <v>2.8282317892568698</v>
      </c>
      <c r="T9" s="597">
        <f>Evaluacion!BH13*M9</f>
        <v>12.188642819222782</v>
      </c>
      <c r="U9" s="597">
        <v>0</v>
      </c>
      <c r="V9" s="597">
        <f>Evaluacion!T13*M9</f>
        <v>0.66149691666666666</v>
      </c>
      <c r="W9" s="597">
        <f>Evaluacion!U13*M9</f>
        <v>0.77431713333333341</v>
      </c>
      <c r="AA9" s="603"/>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6.1225002258412626</v>
      </c>
      <c r="R10" s="597">
        <f>Evaluacion!BW11</f>
        <v>17.3318572532574</v>
      </c>
      <c r="S10" s="597">
        <f>Evaluacion!BX11</f>
        <v>1.5991413787402029</v>
      </c>
      <c r="T10" s="597">
        <v>0</v>
      </c>
      <c r="U10" s="597">
        <v>0</v>
      </c>
      <c r="V10" s="597">
        <f>Evaluacion!T11</f>
        <v>0.78925000000000023</v>
      </c>
      <c r="W10" s="597">
        <f>Evaluacion!U11</f>
        <v>0.80901212121212152</v>
      </c>
      <c r="AA10" s="603"/>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15.270000000000001</v>
      </c>
      <c r="L11" t="str">
        <f t="shared" si="0"/>
        <v>EXTN</v>
      </c>
      <c r="M11" s="596">
        <v>1</v>
      </c>
      <c r="N11" s="597">
        <v>0</v>
      </c>
      <c r="O11" s="597">
        <f>Evaluacion!BU12</f>
        <v>2.7162868964042599</v>
      </c>
      <c r="P11" s="597">
        <f>Evaluacion!BT12</f>
        <v>3.1615798302410232</v>
      </c>
      <c r="Q11" s="597">
        <f>Evaluacion!BV12</f>
        <v>6.8367099001709688</v>
      </c>
      <c r="R11" s="597">
        <v>0</v>
      </c>
      <c r="S11" s="597">
        <f>Evaluacion!BX12</f>
        <v>1.574491124856211</v>
      </c>
      <c r="T11" s="597">
        <f>Evaluacion!BW12</f>
        <v>16.24933426727836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9.3000000000000007</v>
      </c>
      <c r="L12" t="str">
        <f t="shared" si="0"/>
        <v>DD</v>
      </c>
      <c r="M12" s="596">
        <v>1</v>
      </c>
      <c r="N12" s="597">
        <v>0</v>
      </c>
      <c r="O12" s="597">
        <v>0</v>
      </c>
      <c r="P12" s="597">
        <v>0</v>
      </c>
      <c r="Q12" s="597">
        <f>M12*Evaluacion!CD20</f>
        <v>6.9585132738965267</v>
      </c>
      <c r="R12" s="597">
        <f>M12*Evaluacion!CE20</f>
        <v>8.312293024988044</v>
      </c>
      <c r="S12" s="597">
        <f>M12*Evaluacion!CF20</f>
        <v>17.208005534336998</v>
      </c>
      <c r="T12" s="597">
        <f>R12</f>
        <v>8.312293024988044</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80.970757575371522</v>
      </c>
      <c r="P13" s="598">
        <f t="shared" si="1"/>
        <v>50.545666902496862</v>
      </c>
      <c r="Q13" s="598">
        <f t="shared" si="1"/>
        <v>61.48821176630635</v>
      </c>
      <c r="R13" s="598">
        <f t="shared" si="1"/>
        <v>48.112729397902704</v>
      </c>
      <c r="S13" s="598">
        <f t="shared" si="1"/>
        <v>26.137896385273397</v>
      </c>
      <c r="T13" s="598">
        <f t="shared" si="1"/>
        <v>47.916111396353593</v>
      </c>
      <c r="U13" s="599">
        <f t="shared" si="1"/>
        <v>21.247999999999998</v>
      </c>
      <c r="V13" s="599">
        <f t="shared" si="1"/>
        <v>7.3709475515873013</v>
      </c>
      <c r="W13" s="599">
        <f t="shared" si="1"/>
        <v>8.9860223210567227</v>
      </c>
    </row>
    <row r="14" spans="1:27" ht="15.75" x14ac:dyDescent="0.25">
      <c r="L14" s="263"/>
      <c r="M14" s="263" t="s">
        <v>811</v>
      </c>
      <c r="N14" s="600">
        <f>N13*0.34</f>
        <v>17.837141451337466</v>
      </c>
      <c r="O14" s="600">
        <f>O13*0.245</f>
        <v>19.837835605966024</v>
      </c>
      <c r="P14" s="600">
        <f>P13*0.34</f>
        <v>17.185526746848936</v>
      </c>
      <c r="Q14" s="600">
        <f>Q13*0.125</f>
        <v>7.6860264707882937</v>
      </c>
      <c r="R14" s="600">
        <f>R13*0.25</f>
        <v>12.028182349475676</v>
      </c>
      <c r="S14" s="600">
        <f>S13*0.19</f>
        <v>4.9662003132019459</v>
      </c>
      <c r="T14" s="600">
        <f>T13*0.25</f>
        <v>11.979027849088398</v>
      </c>
    </row>
    <row r="15" spans="1:27" ht="15.75" x14ac:dyDescent="0.25">
      <c r="L15" s="263"/>
      <c r="M15" s="263" t="s">
        <v>812</v>
      </c>
      <c r="N15" s="610">
        <f>N14*1.2/1.05</f>
        <v>20.385304515814244</v>
      </c>
      <c r="O15" s="610">
        <f t="shared" ref="O15:P15" si="2">O14*1.2/1.05</f>
        <v>22.671812121104026</v>
      </c>
      <c r="P15" s="610">
        <f t="shared" si="2"/>
        <v>19.640601996398782</v>
      </c>
      <c r="Q15" s="610">
        <f>Q14</f>
        <v>7.6860264707882937</v>
      </c>
      <c r="R15" s="610">
        <f>R14*0.925/1.05</f>
        <v>10.596255879300001</v>
      </c>
      <c r="S15" s="610">
        <f t="shared" ref="S15:T15" si="3">S14*0.925/1.05</f>
        <v>4.3749859902017141</v>
      </c>
      <c r="T15" s="610">
        <f t="shared" si="3"/>
        <v>10.552953105149303</v>
      </c>
    </row>
    <row r="16" spans="1:27" ht="15.75" x14ac:dyDescent="0.25">
      <c r="L16" s="263"/>
      <c r="M16" s="263" t="s">
        <v>813</v>
      </c>
      <c r="N16" s="610">
        <f>N14*0.925/1.05</f>
        <v>15.713672230940148</v>
      </c>
      <c r="O16" s="610">
        <f t="shared" ref="O16:P16" si="4">O14*0.925/1.05</f>
        <v>17.476188510017689</v>
      </c>
      <c r="P16" s="610">
        <f t="shared" si="4"/>
        <v>15.139630705557396</v>
      </c>
      <c r="Q16" s="610">
        <f>Q15</f>
        <v>7.6860264707882937</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6" t="s">
        <v>1</v>
      </c>
      <c r="P3" s="614" t="s">
        <v>804</v>
      </c>
      <c r="Q3" s="613" t="s">
        <v>834</v>
      </c>
      <c r="R3" s="613" t="s">
        <v>840</v>
      </c>
      <c r="S3" s="613" t="s">
        <v>835</v>
      </c>
      <c r="T3" s="613" t="s">
        <v>805</v>
      </c>
      <c r="U3" s="613" t="s">
        <v>503</v>
      </c>
      <c r="V3" s="613" t="s">
        <v>839</v>
      </c>
      <c r="W3" s="614" t="s">
        <v>602</v>
      </c>
      <c r="X3" s="614" t="s">
        <v>66</v>
      </c>
      <c r="Y3" s="613" t="s">
        <v>837</v>
      </c>
      <c r="Z3" s="616" t="s">
        <v>838</v>
      </c>
      <c r="AA3" s="616" t="s">
        <v>843</v>
      </c>
      <c r="AD3" t="s">
        <v>1</v>
      </c>
      <c r="AE3" t="s">
        <v>782</v>
      </c>
      <c r="AG3" t="s">
        <v>1</v>
      </c>
      <c r="AH3" t="s">
        <v>782</v>
      </c>
    </row>
    <row r="4" spans="1:34" x14ac:dyDescent="0.25">
      <c r="A4" s="287" t="str">
        <f>PLANTILLA!A17</f>
        <v>#12</v>
      </c>
      <c r="B4" s="169" t="str">
        <f>PLANTILLA!D17</f>
        <v>E. Gross</v>
      </c>
      <c r="C4" s="5">
        <f>PLANTILLA!E17</f>
        <v>31</v>
      </c>
      <c r="D4" s="5">
        <f ca="1">PLANTILLA!F17</f>
        <v>13</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803</v>
      </c>
      <c r="AE4" s="635" t="s">
        <v>856</v>
      </c>
      <c r="AG4" t="s">
        <v>803</v>
      </c>
      <c r="AH4" s="635" t="str">
        <f>AE4</f>
        <v>B. Pinczehelyi</v>
      </c>
    </row>
    <row r="5" spans="1:34" x14ac:dyDescent="0.25">
      <c r="A5" s="287" t="str">
        <f>PLANTILLA!A10</f>
        <v>#3</v>
      </c>
      <c r="B5" s="169" t="str">
        <f>PLANTILLA!D10</f>
        <v>B. Bartolache</v>
      </c>
      <c r="C5" s="5">
        <f>PLANTILLA!E10</f>
        <v>31</v>
      </c>
      <c r="D5" s="5">
        <f ca="1">PLANTILLA!F10</f>
        <v>49</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804</v>
      </c>
      <c r="AE5" t="s">
        <v>272</v>
      </c>
      <c r="AG5" t="s">
        <v>815</v>
      </c>
      <c r="AH5" t="s">
        <v>273</v>
      </c>
    </row>
    <row r="6" spans="1:34" x14ac:dyDescent="0.25">
      <c r="A6" s="287" t="str">
        <f>PLANTILLA!A8</f>
        <v>#8</v>
      </c>
      <c r="B6" s="169" t="str">
        <f>PLANTILLA!D8</f>
        <v>D. Toh</v>
      </c>
      <c r="C6" s="5">
        <f>PLANTILLA!E8</f>
        <v>31</v>
      </c>
      <c r="D6" s="5">
        <f ca="1">PLANTILLA!F8</f>
        <v>110</v>
      </c>
      <c r="E6" s="163">
        <f>PLANTILLA!X8</f>
        <v>0</v>
      </c>
      <c r="F6" s="163">
        <f>PLANTILLA!Y8</f>
        <v>11.077333333333334</v>
      </c>
      <c r="G6" s="163">
        <f>PLANTILLA!Z8</f>
        <v>6.2194444444444406</v>
      </c>
      <c r="H6" s="163">
        <f>PLANTILLA!AA8</f>
        <v>6.1</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64</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26</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15</v>
      </c>
      <c r="E9" s="163">
        <f>PLANTILLA!X20</f>
        <v>0</v>
      </c>
      <c r="F9" s="163">
        <f>PLANTILLA!Y20</f>
        <v>3</v>
      </c>
      <c r="G9" s="163">
        <f>PLANTILLA!Z20</f>
        <v>15.07</v>
      </c>
      <c r="H9" s="163">
        <f>PLANTILLA!AA20</f>
        <v>12.02</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65</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53</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100</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85</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100</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97</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19</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25</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56</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94</v>
      </c>
      <c r="E19" s="163">
        <f>PLANTILLA!X22</f>
        <v>0</v>
      </c>
      <c r="F19" s="163">
        <f>PLANTILLA!Y22</f>
        <v>3.02</v>
      </c>
      <c r="G19" s="163">
        <f>PLANTILLA!Z22</f>
        <v>14.277609523809524</v>
      </c>
      <c r="H19" s="163">
        <f>PLANTILLA!AA22</f>
        <v>3.04</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72</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50</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62</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833</v>
      </c>
      <c r="O3" s="614" t="s">
        <v>1</v>
      </c>
      <c r="P3" s="614" t="s">
        <v>804</v>
      </c>
      <c r="Q3" s="613" t="s">
        <v>834</v>
      </c>
      <c r="R3" s="613" t="s">
        <v>840</v>
      </c>
      <c r="S3" s="613" t="s">
        <v>835</v>
      </c>
      <c r="T3" s="613" t="s">
        <v>805</v>
      </c>
      <c r="U3" s="613" t="s">
        <v>503</v>
      </c>
      <c r="V3" s="613" t="s">
        <v>839</v>
      </c>
      <c r="W3" s="614" t="s">
        <v>602</v>
      </c>
      <c r="X3" s="618" t="s">
        <v>66</v>
      </c>
      <c r="Y3" s="616" t="s">
        <v>837</v>
      </c>
      <c r="Z3" s="616" t="s">
        <v>838</v>
      </c>
      <c r="AA3" s="616" t="s">
        <v>843</v>
      </c>
      <c r="AD3" t="s">
        <v>1</v>
      </c>
      <c r="AE3" t="s">
        <v>782</v>
      </c>
      <c r="AG3" t="s">
        <v>1</v>
      </c>
      <c r="AH3" t="s">
        <v>782</v>
      </c>
    </row>
    <row r="4" spans="1:34" x14ac:dyDescent="0.25">
      <c r="A4" s="287" t="str">
        <f>PLANTILLA!A15</f>
        <v>#6</v>
      </c>
      <c r="B4" s="169" t="str">
        <f>PLANTILLA!D15</f>
        <v>S. Buschelman</v>
      </c>
      <c r="C4" s="287">
        <f>PLANTILLA!E15</f>
        <v>29</v>
      </c>
      <c r="D4" s="287">
        <f ca="1">PLANTILLA!F15</f>
        <v>97</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803</v>
      </c>
      <c r="AE4" s="635" t="s">
        <v>856</v>
      </c>
      <c r="AG4" t="s">
        <v>803</v>
      </c>
      <c r="AH4" s="635" t="str">
        <f>AE4</f>
        <v>B. Pinczehelyi</v>
      </c>
    </row>
    <row r="5" spans="1:34" x14ac:dyDescent="0.25">
      <c r="A5" s="287" t="str">
        <f>PLANTILLA!A18</f>
        <v>#5</v>
      </c>
      <c r="B5" s="169" t="str">
        <f>PLANTILLA!D18</f>
        <v>L. Bauman</v>
      </c>
      <c r="C5" s="287">
        <f>PLANTILLA!E18</f>
        <v>30</v>
      </c>
      <c r="D5" s="287">
        <f ca="1">PLANTILLA!F18</f>
        <v>100</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25</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15</v>
      </c>
      <c r="E7" s="163">
        <f>PLANTILLA!X20</f>
        <v>0</v>
      </c>
      <c r="F7" s="163">
        <f>PLANTILLA!Y20</f>
        <v>3</v>
      </c>
      <c r="G7" s="163">
        <f>PLANTILLA!Z20</f>
        <v>15.07</v>
      </c>
      <c r="H7" s="163">
        <f>PLANTILLA!AA20</f>
        <v>12.02</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85</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19</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100</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806</v>
      </c>
      <c r="AE10" t="s">
        <v>816</v>
      </c>
      <c r="AG10" t="s">
        <v>503</v>
      </c>
      <c r="AH10" t="s">
        <v>618</v>
      </c>
    </row>
    <row r="11" spans="1:34" x14ac:dyDescent="0.25">
      <c r="A11" s="287" t="str">
        <f>PLANTILLA!A12</f>
        <v>#7</v>
      </c>
      <c r="B11" s="671" t="str">
        <f>PLANTILLA!D12</f>
        <v>E. Romweber</v>
      </c>
      <c r="C11" s="287">
        <f>PLANTILLA!E12</f>
        <v>31</v>
      </c>
      <c r="D11" s="287">
        <f ca="1">PLANTILLA!F12</f>
        <v>26</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806</v>
      </c>
      <c r="AE11" t="s">
        <v>298</v>
      </c>
      <c r="AG11" t="s">
        <v>806</v>
      </c>
      <c r="AH11" t="s">
        <v>298</v>
      </c>
    </row>
    <row r="12" spans="1:34" x14ac:dyDescent="0.25">
      <c r="A12" s="287" t="str">
        <f>PLANTILLA!A8</f>
        <v>#8</v>
      </c>
      <c r="B12" s="219" t="str">
        <f>PLANTILLA!D8</f>
        <v>D. Toh</v>
      </c>
      <c r="C12" s="287">
        <f>PLANTILLA!E8</f>
        <v>31</v>
      </c>
      <c r="D12" s="287">
        <f ca="1">PLANTILLA!F8</f>
        <v>110</v>
      </c>
      <c r="E12" s="163">
        <f>PLANTILLA!X8</f>
        <v>0</v>
      </c>
      <c r="F12" s="163">
        <f>PLANTILLA!Y8</f>
        <v>11.077333333333334</v>
      </c>
      <c r="G12" s="163">
        <f>PLANTILLA!Z8</f>
        <v>6.2194444444444406</v>
      </c>
      <c r="H12" s="163">
        <f>PLANTILLA!AA8</f>
        <v>6.1</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49</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64</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94</v>
      </c>
      <c r="E15" s="163">
        <f>PLANTILLA!X22</f>
        <v>0</v>
      </c>
      <c r="F15" s="163">
        <f>PLANTILLA!Y22</f>
        <v>3.02</v>
      </c>
      <c r="G15" s="163">
        <f>PLANTILLA!Z22</f>
        <v>14.277609523809524</v>
      </c>
      <c r="H15" s="163">
        <f>PLANTILLA!AA22</f>
        <v>3.04</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13</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65</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56</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53</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62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72</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50</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PLANTILLA!A21</f>
        <v>#9</v>
      </c>
      <c r="B4" s="670" t="str">
        <f>PLANTILLA!D21</f>
        <v>J. Limon</v>
      </c>
      <c r="C4" s="287">
        <f>PLANTILLA!E21</f>
        <v>30</v>
      </c>
      <c r="D4" s="287">
        <f ca="1">PLANTILLA!F21</f>
        <v>25</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803</v>
      </c>
      <c r="AE4" s="635" t="s">
        <v>856</v>
      </c>
      <c r="AG4" t="s">
        <v>803</v>
      </c>
      <c r="AH4" s="635" t="str">
        <f>AE4</f>
        <v>B. Pinczehelyi</v>
      </c>
    </row>
    <row r="5" spans="1:34" x14ac:dyDescent="0.25">
      <c r="A5" s="287" t="str">
        <f>PLANTILLA!A18</f>
        <v>#5</v>
      </c>
      <c r="B5" s="670" t="str">
        <f>PLANTILLA!D18</f>
        <v>L. Bauman</v>
      </c>
      <c r="C5" s="287">
        <f>PLANTILLA!E18</f>
        <v>30</v>
      </c>
      <c r="D5" s="287">
        <f ca="1">PLANTILLA!F18</f>
        <v>100</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804</v>
      </c>
      <c r="AE5" t="s">
        <v>272</v>
      </c>
      <c r="AG5" t="s">
        <v>815</v>
      </c>
      <c r="AH5" t="s">
        <v>273</v>
      </c>
    </row>
    <row r="6" spans="1:34" x14ac:dyDescent="0.25">
      <c r="A6" s="287" t="str">
        <f>PLANTILLA!A15</f>
        <v>#6</v>
      </c>
      <c r="B6" s="670" t="str">
        <f>PLANTILLA!D15</f>
        <v>S. Buschelman</v>
      </c>
      <c r="C6" s="287">
        <f>PLANTILLA!E15</f>
        <v>29</v>
      </c>
      <c r="D6" s="287">
        <f ca="1">PLANTILLA!F15</f>
        <v>97</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803</v>
      </c>
      <c r="AE6" t="s">
        <v>269</v>
      </c>
      <c r="AG6" t="s">
        <v>814</v>
      </c>
      <c r="AH6" t="s">
        <v>269</v>
      </c>
    </row>
    <row r="7" spans="1:34" x14ac:dyDescent="0.25">
      <c r="A7" s="287" t="str">
        <f>PLANTILLA!A20</f>
        <v>#19</v>
      </c>
      <c r="B7" s="670" t="str">
        <f>PLANTILLA!D20</f>
        <v>G. Kerschl</v>
      </c>
      <c r="C7" s="287">
        <f>PLANTILLA!E20</f>
        <v>29</v>
      </c>
      <c r="D7" s="287">
        <f ca="1">PLANTILLA!F20</f>
        <v>15</v>
      </c>
      <c r="E7" s="163">
        <f>PLANTILLA!X20</f>
        <v>0</v>
      </c>
      <c r="F7" s="163">
        <f>PLANTILLA!Y20</f>
        <v>3</v>
      </c>
      <c r="G7" s="163">
        <f>PLANTILLA!Z20</f>
        <v>15.07</v>
      </c>
      <c r="H7" s="163">
        <f>PLANTILLA!AA20</f>
        <v>12.02</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815</v>
      </c>
      <c r="AH7" t="s">
        <v>275</v>
      </c>
    </row>
    <row r="8" spans="1:34" x14ac:dyDescent="0.25">
      <c r="A8" s="287" t="str">
        <f>PLANTILLA!A16</f>
        <v>#4</v>
      </c>
      <c r="B8" s="670" t="str">
        <f>PLANTILLA!D16</f>
        <v>C. Rojas</v>
      </c>
      <c r="C8" s="287">
        <f>PLANTILLA!E16</f>
        <v>32</v>
      </c>
      <c r="D8" s="287">
        <f ca="1">PLANTILLA!F16</f>
        <v>19</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805</v>
      </c>
      <c r="AE8" t="s">
        <v>400</v>
      </c>
      <c r="AG8" t="s">
        <v>803</v>
      </c>
      <c r="AH8" t="s">
        <v>816</v>
      </c>
    </row>
    <row r="9" spans="1:34" x14ac:dyDescent="0.25">
      <c r="A9" s="287" t="str">
        <f>PLANTILLA!A13</f>
        <v>#11</v>
      </c>
      <c r="B9" s="670" t="str">
        <f>PLANTILLA!D13</f>
        <v>K. Helms</v>
      </c>
      <c r="C9" s="287">
        <f>PLANTILLA!E13</f>
        <v>30</v>
      </c>
      <c r="D9" s="287">
        <f ca="1">PLANTILLA!F13</f>
        <v>85</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100</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806</v>
      </c>
      <c r="AE10" t="s">
        <v>816</v>
      </c>
      <c r="AG10" t="s">
        <v>503</v>
      </c>
      <c r="AH10" t="s">
        <v>618</v>
      </c>
    </row>
    <row r="11" spans="1:34" x14ac:dyDescent="0.25">
      <c r="A11" s="287" t="str">
        <f>PLANTILLA!A12</f>
        <v>#7</v>
      </c>
      <c r="B11" s="670" t="str">
        <f>PLANTILLA!D12</f>
        <v>E. Romweber</v>
      </c>
      <c r="C11" s="287">
        <f>PLANTILLA!E12</f>
        <v>31</v>
      </c>
      <c r="D11" s="287">
        <f ca="1">PLANTILLA!F12</f>
        <v>26</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806</v>
      </c>
      <c r="AE11" t="s">
        <v>298</v>
      </c>
      <c r="AG11" t="s">
        <v>806</v>
      </c>
      <c r="AH11" t="s">
        <v>298</v>
      </c>
    </row>
    <row r="12" spans="1:34" x14ac:dyDescent="0.25">
      <c r="A12" s="287" t="str">
        <f>PLANTILLA!A22</f>
        <v>#18</v>
      </c>
      <c r="B12" s="670" t="str">
        <f>PLANTILLA!D22</f>
        <v>L. Calosso</v>
      </c>
      <c r="C12" s="287">
        <f>PLANTILLA!E22</f>
        <v>30</v>
      </c>
      <c r="D12" s="287">
        <f ca="1">PLANTILLA!F22</f>
        <v>94</v>
      </c>
      <c r="E12" s="163">
        <f>PLANTILLA!X22</f>
        <v>0</v>
      </c>
      <c r="F12" s="163">
        <f>PLANTILLA!Y22</f>
        <v>3.02</v>
      </c>
      <c r="G12" s="163">
        <f>PLANTILLA!Z22</f>
        <v>14.277609523809524</v>
      </c>
      <c r="H12" s="163">
        <f>PLANTILLA!AA22</f>
        <v>3.04</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806</v>
      </c>
      <c r="AH12" t="s">
        <v>507</v>
      </c>
    </row>
    <row r="13" spans="1:34" x14ac:dyDescent="0.25">
      <c r="A13" s="287" t="str">
        <f>PLANTILLA!A23</f>
        <v>#15</v>
      </c>
      <c r="B13" s="670" t="str">
        <f>PLANTILLA!D23</f>
        <v>P .Trivadi</v>
      </c>
      <c r="C13" s="287">
        <f>PLANTILLA!E23</f>
        <v>27</v>
      </c>
      <c r="D13" s="287">
        <f ca="1">PLANTILLA!F23</f>
        <v>56</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53</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65</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110</v>
      </c>
      <c r="E16" s="163">
        <f>PLANTILLA!X8</f>
        <v>0</v>
      </c>
      <c r="F16" s="163">
        <f>PLANTILLA!Y8</f>
        <v>11.077333333333334</v>
      </c>
      <c r="G16" s="163">
        <f>PLANTILLA!Z8</f>
        <v>6.2194444444444406</v>
      </c>
      <c r="H16" s="163">
        <f>PLANTILLA!AA8</f>
        <v>6.1</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64</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13</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49</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62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72</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50</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PLANTILLA!A8</f>
        <v>#8</v>
      </c>
      <c r="B4" s="670" t="str">
        <f>PLANTILLA!D8</f>
        <v>D. Toh</v>
      </c>
      <c r="C4" s="287">
        <f>PLANTILLA!E8</f>
        <v>31</v>
      </c>
      <c r="D4" s="287">
        <f ca="1">PLANTILLA!F8</f>
        <v>110</v>
      </c>
      <c r="E4" s="163">
        <f>PLANTILLA!X8</f>
        <v>0</v>
      </c>
      <c r="F4" s="163">
        <f>PLANTILLA!Y8</f>
        <v>11.077333333333334</v>
      </c>
      <c r="G4" s="163">
        <f>PLANTILLA!Z8</f>
        <v>6.2194444444444406</v>
      </c>
      <c r="H4" s="163">
        <f>PLANTILLA!AA8</f>
        <v>6.1</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803</v>
      </c>
      <c r="AE4" s="635" t="s">
        <v>856</v>
      </c>
      <c r="AG4" t="s">
        <v>803</v>
      </c>
      <c r="AH4" s="635" t="str">
        <f>AE4</f>
        <v>B. Pinczehelyi</v>
      </c>
    </row>
    <row r="5" spans="1:34" x14ac:dyDescent="0.25">
      <c r="A5" s="287" t="str">
        <f>PLANTILLA!A10</f>
        <v>#3</v>
      </c>
      <c r="B5" s="670" t="str">
        <f>PLANTILLA!D10</f>
        <v>B. Bartolache</v>
      </c>
      <c r="C5" s="287">
        <f>PLANTILLA!E10</f>
        <v>31</v>
      </c>
      <c r="D5" s="287">
        <f ca="1">PLANTILLA!F10</f>
        <v>49</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804</v>
      </c>
      <c r="AE5" t="s">
        <v>272</v>
      </c>
      <c r="AG5" t="s">
        <v>815</v>
      </c>
      <c r="AH5" t="s">
        <v>273</v>
      </c>
    </row>
    <row r="6" spans="1:34" x14ac:dyDescent="0.25">
      <c r="A6" s="287" t="str">
        <f>PLANTILLA!A14</f>
        <v>#10</v>
      </c>
      <c r="B6" s="670" t="str">
        <f>PLANTILLA!D14</f>
        <v>S. Zobbe</v>
      </c>
      <c r="C6" s="287">
        <f>PLANTILLA!E14</f>
        <v>27</v>
      </c>
      <c r="D6" s="287">
        <f ca="1">PLANTILLA!F14</f>
        <v>100</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803</v>
      </c>
      <c r="AE6" t="s">
        <v>269</v>
      </c>
      <c r="AG6" t="s">
        <v>814</v>
      </c>
      <c r="AH6" t="s">
        <v>269</v>
      </c>
    </row>
    <row r="7" spans="1:34" x14ac:dyDescent="0.25">
      <c r="A7" s="287" t="str">
        <f>PLANTILLA!A9</f>
        <v>#2</v>
      </c>
      <c r="B7" s="670" t="str">
        <f>PLANTILLA!D9</f>
        <v>E. Toney</v>
      </c>
      <c r="C7" s="287">
        <f>PLANTILLA!E9</f>
        <v>31</v>
      </c>
      <c r="D7" s="287">
        <f ca="1">PLANTILLA!F9</f>
        <v>64</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815</v>
      </c>
      <c r="AH7" t="s">
        <v>275</v>
      </c>
    </row>
    <row r="8" spans="1:34" x14ac:dyDescent="0.25">
      <c r="A8" s="287" t="str">
        <f>PLANTILLA!A12</f>
        <v>#7</v>
      </c>
      <c r="B8" s="671" t="str">
        <f>PLANTILLA!D12</f>
        <v>E. Romweber</v>
      </c>
      <c r="C8" s="287">
        <f>PLANTILLA!E12</f>
        <v>31</v>
      </c>
      <c r="D8" s="287">
        <f ca="1">PLANTILLA!F12</f>
        <v>26</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805</v>
      </c>
      <c r="AE8" t="s">
        <v>400</v>
      </c>
      <c r="AG8" t="s">
        <v>803</v>
      </c>
      <c r="AH8" t="s">
        <v>816</v>
      </c>
    </row>
    <row r="9" spans="1:34" x14ac:dyDescent="0.25">
      <c r="A9" s="287" t="str">
        <f>PLANTILLA!A13</f>
        <v>#11</v>
      </c>
      <c r="B9" s="671" t="str">
        <f>PLANTILLA!D13</f>
        <v>K. Helms</v>
      </c>
      <c r="C9" s="287">
        <f>PLANTILLA!E13</f>
        <v>30</v>
      </c>
      <c r="D9" s="287">
        <f ca="1">PLANTILLA!F13</f>
        <v>85</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19</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806</v>
      </c>
      <c r="AE10" t="s">
        <v>816</v>
      </c>
      <c r="AG10" t="s">
        <v>503</v>
      </c>
      <c r="AH10" t="s">
        <v>618</v>
      </c>
    </row>
    <row r="11" spans="1:34" x14ac:dyDescent="0.25">
      <c r="A11" s="287" t="str">
        <f>PLANTILLA!A15</f>
        <v>#6</v>
      </c>
      <c r="B11" s="671" t="str">
        <f>PLANTILLA!D15</f>
        <v>S. Buschelman</v>
      </c>
      <c r="C11" s="287">
        <f>PLANTILLA!E15</f>
        <v>29</v>
      </c>
      <c r="D11" s="287">
        <f ca="1">PLANTILLA!F15</f>
        <v>97</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15</v>
      </c>
      <c r="E12" s="163">
        <f>PLANTILLA!X20</f>
        <v>0</v>
      </c>
      <c r="F12" s="163">
        <f>PLANTILLA!Y20</f>
        <v>3</v>
      </c>
      <c r="G12" s="163">
        <f>PLANTILLA!Z20</f>
        <v>15.07</v>
      </c>
      <c r="H12" s="163">
        <f>PLANTILLA!AA20</f>
        <v>12.02</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94</v>
      </c>
      <c r="E13" s="163">
        <f>PLANTILLA!X22</f>
        <v>0</v>
      </c>
      <c r="F13" s="163">
        <f>PLANTILLA!Y22</f>
        <v>3.02</v>
      </c>
      <c r="G13" s="163">
        <f>PLANTILLA!Z22</f>
        <v>14.277609523809524</v>
      </c>
      <c r="H13" s="163">
        <f>PLANTILLA!AA22</f>
        <v>3.04</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100</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65</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25</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56</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53</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13</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62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72</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50</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C7" sqref="C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43130</v>
      </c>
      <c r="F2" s="291"/>
      <c r="G2" s="700" t="s">
        <v>444</v>
      </c>
      <c r="H2" s="700"/>
      <c r="J2" s="291"/>
      <c r="K2" s="291"/>
      <c r="L2" s="700" t="s">
        <v>864</v>
      </c>
      <c r="M2" s="700"/>
      <c r="N2" s="700"/>
      <c r="O2" s="630"/>
      <c r="P2" s="309"/>
      <c r="Q2" s="309"/>
      <c r="R2" s="700" t="s">
        <v>446</v>
      </c>
      <c r="S2" s="700"/>
      <c r="U2" s="4" t="s">
        <v>872</v>
      </c>
      <c r="V2" s="3" t="s">
        <v>176</v>
      </c>
      <c r="W2" s="291"/>
      <c r="X2" s="291"/>
    </row>
    <row r="3" spans="1:24" x14ac:dyDescent="0.25">
      <c r="F3">
        <v>1</v>
      </c>
      <c r="G3" s="3">
        <v>60</v>
      </c>
      <c r="H3" t="s">
        <v>783</v>
      </c>
      <c r="I3" t="s">
        <v>1</v>
      </c>
      <c r="K3" s="620">
        <v>1</v>
      </c>
      <c r="L3" s="3">
        <v>283</v>
      </c>
      <c r="M3" t="s">
        <v>460</v>
      </c>
      <c r="N3" t="s">
        <v>459</v>
      </c>
      <c r="O3" s="370">
        <f t="shared" ref="O3:O22" si="0">L3/$G$22</f>
        <v>0.87616099071207432</v>
      </c>
      <c r="Q3" s="620">
        <v>1</v>
      </c>
      <c r="R3" s="3">
        <v>196</v>
      </c>
      <c r="S3" t="s">
        <v>447</v>
      </c>
      <c r="T3" t="s">
        <v>212</v>
      </c>
      <c r="U3" s="159">
        <f>R3/L7</f>
        <v>0.86343612334801767</v>
      </c>
      <c r="V3" s="47">
        <f t="shared" ref="V3:V16" si="1">R3/$R$33</f>
        <v>0.18031278748850046</v>
      </c>
    </row>
    <row r="4" spans="1:24" s="291" customFormat="1" ht="18.75" x14ac:dyDescent="0.3">
      <c r="A4" s="291" t="s">
        <v>441</v>
      </c>
      <c r="F4">
        <v>2</v>
      </c>
      <c r="G4" s="3">
        <v>57</v>
      </c>
      <c r="H4" t="s">
        <v>206</v>
      </c>
      <c r="I4" s="290" t="s">
        <v>1</v>
      </c>
      <c r="J4"/>
      <c r="K4" s="620">
        <v>2</v>
      </c>
      <c r="L4" s="3">
        <v>281</v>
      </c>
      <c r="M4" t="s">
        <v>473</v>
      </c>
      <c r="N4" s="290" t="s">
        <v>439</v>
      </c>
      <c r="O4" s="370">
        <f t="shared" si="0"/>
        <v>0.86996904024767807</v>
      </c>
      <c r="P4"/>
      <c r="Q4" s="620">
        <v>2</v>
      </c>
      <c r="R4" s="3">
        <v>93</v>
      </c>
      <c r="S4" t="s">
        <v>547</v>
      </c>
      <c r="T4" t="s">
        <v>65</v>
      </c>
      <c r="U4" s="159">
        <f>R4/L12</f>
        <v>0.48691099476439792</v>
      </c>
      <c r="V4" s="47">
        <f t="shared" si="1"/>
        <v>8.5556577736890529E-2</v>
      </c>
      <c r="W4"/>
      <c r="X4"/>
    </row>
    <row r="5" spans="1:24" x14ac:dyDescent="0.25">
      <c r="A5" s="179" t="s">
        <v>442</v>
      </c>
      <c r="B5" s="492" t="s">
        <v>875</v>
      </c>
      <c r="C5" s="290">
        <v>43066</v>
      </c>
      <c r="D5" t="s">
        <v>876</v>
      </c>
      <c r="F5">
        <v>3</v>
      </c>
      <c r="G5" s="665">
        <v>46</v>
      </c>
      <c r="H5" s="663" t="s">
        <v>204</v>
      </c>
      <c r="I5" s="664" t="s">
        <v>1</v>
      </c>
      <c r="K5" s="632">
        <v>3</v>
      </c>
      <c r="L5" s="3">
        <v>249</v>
      </c>
      <c r="M5" t="s">
        <v>449</v>
      </c>
      <c r="N5" s="290" t="s">
        <v>64</v>
      </c>
      <c r="O5" s="370">
        <f t="shared" si="0"/>
        <v>0.77089783281733748</v>
      </c>
      <c r="Q5" s="620">
        <v>3</v>
      </c>
      <c r="R5" s="3">
        <v>80</v>
      </c>
      <c r="S5" t="s">
        <v>449</v>
      </c>
      <c r="T5" t="s">
        <v>64</v>
      </c>
      <c r="U5" s="159">
        <f>R5/L5</f>
        <v>0.32128514056224899</v>
      </c>
      <c r="V5" s="47">
        <f t="shared" si="1"/>
        <v>7.3597056117755286E-2</v>
      </c>
    </row>
    <row r="6" spans="1:24" ht="18.75" x14ac:dyDescent="0.3">
      <c r="A6" s="179" t="s">
        <v>862</v>
      </c>
      <c r="B6" s="366" t="s">
        <v>868</v>
      </c>
      <c r="C6" s="290">
        <v>43055</v>
      </c>
      <c r="D6" t="s">
        <v>869</v>
      </c>
      <c r="F6">
        <v>4</v>
      </c>
      <c r="G6" s="665">
        <v>2</v>
      </c>
      <c r="H6" s="663" t="s">
        <v>200</v>
      </c>
      <c r="I6" s="663" t="s">
        <v>1</v>
      </c>
      <c r="J6" s="291"/>
      <c r="K6" s="632">
        <v>4</v>
      </c>
      <c r="L6" s="342">
        <v>237</v>
      </c>
      <c r="M6" t="s">
        <v>498</v>
      </c>
      <c r="N6" s="290" t="s">
        <v>64</v>
      </c>
      <c r="O6" s="370">
        <f t="shared" si="0"/>
        <v>0.73374613003095979</v>
      </c>
      <c r="P6" s="291"/>
      <c r="Q6" s="620">
        <v>4</v>
      </c>
      <c r="R6" s="321">
        <v>76</v>
      </c>
      <c r="S6" t="s">
        <v>460</v>
      </c>
      <c r="T6" t="s">
        <v>459</v>
      </c>
      <c r="U6" s="159">
        <f>R6/L3</f>
        <v>0.26855123674911663</v>
      </c>
      <c r="V6" s="47">
        <f t="shared" si="1"/>
        <v>6.9917203311867529E-2</v>
      </c>
      <c r="X6" s="291"/>
    </row>
    <row r="7" spans="1:24" ht="18.75" x14ac:dyDescent="0.3">
      <c r="F7">
        <v>5</v>
      </c>
      <c r="G7" s="3">
        <v>1</v>
      </c>
      <c r="H7" t="s">
        <v>448</v>
      </c>
      <c r="I7" t="s">
        <v>2</v>
      </c>
      <c r="K7" s="632">
        <v>5</v>
      </c>
      <c r="L7" s="342">
        <v>227</v>
      </c>
      <c r="M7" t="s">
        <v>496</v>
      </c>
      <c r="N7" s="290" t="s">
        <v>212</v>
      </c>
      <c r="O7" s="370">
        <f t="shared" si="0"/>
        <v>0.70278637770897834</v>
      </c>
      <c r="Q7" s="620">
        <v>5</v>
      </c>
      <c r="R7" s="380">
        <v>63</v>
      </c>
      <c r="S7" t="s">
        <v>497</v>
      </c>
      <c r="T7" s="290" t="s">
        <v>65</v>
      </c>
      <c r="U7" s="159">
        <f>R7/L10</f>
        <v>0.29439252336448596</v>
      </c>
      <c r="V7" s="47">
        <f t="shared" si="1"/>
        <v>5.7957681692732292E-2</v>
      </c>
      <c r="W7" s="291"/>
    </row>
    <row r="8" spans="1:24" s="291" customFormat="1" ht="18.75" x14ac:dyDescent="0.3">
      <c r="A8" s="700" t="s">
        <v>863</v>
      </c>
      <c r="B8" s="700"/>
      <c r="F8">
        <v>5</v>
      </c>
      <c r="G8" s="665">
        <v>1</v>
      </c>
      <c r="H8" s="663" t="s">
        <v>462</v>
      </c>
      <c r="I8" s="663" t="s">
        <v>439</v>
      </c>
      <c r="J8"/>
      <c r="K8" s="632">
        <v>6</v>
      </c>
      <c r="L8" s="317">
        <v>224</v>
      </c>
      <c r="M8" t="s">
        <v>457</v>
      </c>
      <c r="N8" s="290" t="s">
        <v>64</v>
      </c>
      <c r="O8" s="370">
        <f t="shared" si="0"/>
        <v>0.69349845201238391</v>
      </c>
      <c r="P8"/>
      <c r="Q8" s="620">
        <v>6</v>
      </c>
      <c r="R8" s="317">
        <v>62</v>
      </c>
      <c r="S8" t="s">
        <v>498</v>
      </c>
      <c r="T8" s="290" t="s">
        <v>64</v>
      </c>
      <c r="U8" s="159">
        <f>R8/L6</f>
        <v>0.26160337552742619</v>
      </c>
      <c r="V8" s="47">
        <f t="shared" si="1"/>
        <v>5.7037718491260353E-2</v>
      </c>
      <c r="X8"/>
    </row>
    <row r="9" spans="1:24" x14ac:dyDescent="0.25">
      <c r="A9" s="660" t="s">
        <v>879</v>
      </c>
      <c r="B9" t="s">
        <v>860</v>
      </c>
      <c r="C9" s="290" t="s">
        <v>66</v>
      </c>
      <c r="K9" s="632">
        <v>7</v>
      </c>
      <c r="L9" s="317">
        <v>223</v>
      </c>
      <c r="M9" t="s">
        <v>461</v>
      </c>
      <c r="N9" s="290" t="s">
        <v>439</v>
      </c>
      <c r="O9" s="370">
        <f t="shared" si="0"/>
        <v>0.69040247678018574</v>
      </c>
      <c r="Q9" s="620">
        <v>7</v>
      </c>
      <c r="R9" s="321">
        <v>59</v>
      </c>
      <c r="S9" t="s">
        <v>473</v>
      </c>
      <c r="T9" s="290" t="s">
        <v>439</v>
      </c>
      <c r="U9" s="159">
        <f>R9/L4</f>
        <v>0.20996441281138789</v>
      </c>
      <c r="V9" s="47">
        <f t="shared" si="1"/>
        <v>5.4277828886844529E-2</v>
      </c>
    </row>
    <row r="10" spans="1:24" ht="18.75" x14ac:dyDescent="0.3">
      <c r="A10" s="568" t="s">
        <v>866</v>
      </c>
      <c r="B10" t="s">
        <v>783</v>
      </c>
      <c r="C10" t="s">
        <v>1</v>
      </c>
      <c r="F10" s="291"/>
      <c r="G10" s="700" t="s">
        <v>445</v>
      </c>
      <c r="H10" s="700"/>
      <c r="J10" s="291"/>
      <c r="K10" s="632">
        <v>8</v>
      </c>
      <c r="L10" s="342">
        <v>214</v>
      </c>
      <c r="M10" t="s">
        <v>497</v>
      </c>
      <c r="N10" s="290" t="s">
        <v>65</v>
      </c>
      <c r="O10" s="370">
        <f t="shared" si="0"/>
        <v>0.66253869969040247</v>
      </c>
      <c r="P10" s="291"/>
      <c r="Q10" s="620">
        <v>8</v>
      </c>
      <c r="R10" s="360">
        <v>56</v>
      </c>
      <c r="S10" t="s">
        <v>476</v>
      </c>
      <c r="T10" s="290" t="s">
        <v>64</v>
      </c>
      <c r="U10" s="159">
        <f>R10/L11</f>
        <v>0.29015544041450775</v>
      </c>
      <c r="V10" s="47">
        <f t="shared" si="1"/>
        <v>5.1517939282428704E-2</v>
      </c>
      <c r="X10" s="291"/>
    </row>
    <row r="11" spans="1:24" x14ac:dyDescent="0.25">
      <c r="A11" s="382" t="s">
        <v>866</v>
      </c>
      <c r="B11" t="s">
        <v>460</v>
      </c>
      <c r="C11" t="s">
        <v>459</v>
      </c>
      <c r="F11">
        <v>1</v>
      </c>
      <c r="G11" s="444">
        <v>116</v>
      </c>
      <c r="H11" t="s">
        <v>783</v>
      </c>
      <c r="I11" t="s">
        <v>1</v>
      </c>
      <c r="K11" s="632">
        <v>9</v>
      </c>
      <c r="L11" s="317">
        <v>193</v>
      </c>
      <c r="M11" t="s">
        <v>476</v>
      </c>
      <c r="N11" s="290" t="s">
        <v>64</v>
      </c>
      <c r="O11" s="370">
        <f t="shared" si="0"/>
        <v>0.5975232198142415</v>
      </c>
      <c r="Q11" s="620">
        <v>9</v>
      </c>
      <c r="R11" s="321">
        <v>55</v>
      </c>
      <c r="S11" t="s">
        <v>461</v>
      </c>
      <c r="T11" s="290" t="s">
        <v>439</v>
      </c>
      <c r="U11" s="159">
        <f>R11/L9</f>
        <v>0.24663677130044842</v>
      </c>
      <c r="V11" s="47">
        <f t="shared" si="1"/>
        <v>5.0597976080956765E-2</v>
      </c>
    </row>
    <row r="12" spans="1:24" s="291" customFormat="1" ht="18.75" x14ac:dyDescent="0.3">
      <c r="A12" s="382" t="s">
        <v>866</v>
      </c>
      <c r="B12" t="s">
        <v>498</v>
      </c>
      <c r="C12" s="290" t="s">
        <v>64</v>
      </c>
      <c r="F12">
        <v>2</v>
      </c>
      <c r="G12" s="665">
        <v>88</v>
      </c>
      <c r="H12" s="663" t="s">
        <v>204</v>
      </c>
      <c r="I12" s="664" t="s">
        <v>1</v>
      </c>
      <c r="J12"/>
      <c r="K12" s="632">
        <v>10</v>
      </c>
      <c r="L12" s="444">
        <v>191</v>
      </c>
      <c r="M12" t="s">
        <v>547</v>
      </c>
      <c r="N12" t="s">
        <v>65</v>
      </c>
      <c r="O12" s="370">
        <f>L12/$G$22</f>
        <v>0.59133126934984526</v>
      </c>
      <c r="P12"/>
      <c r="Q12" s="620">
        <v>10</v>
      </c>
      <c r="R12" s="381">
        <v>52</v>
      </c>
      <c r="S12" t="s">
        <v>550</v>
      </c>
      <c r="T12" s="290" t="s">
        <v>212</v>
      </c>
      <c r="U12" s="159">
        <f>R12/L17</f>
        <v>0.46846846846846846</v>
      </c>
      <c r="V12" s="47">
        <f t="shared" si="1"/>
        <v>4.7838086476540941E-2</v>
      </c>
      <c r="W12"/>
      <c r="X12"/>
    </row>
    <row r="13" spans="1:24" x14ac:dyDescent="0.25">
      <c r="A13" s="656" t="s">
        <v>791</v>
      </c>
      <c r="B13" t="s">
        <v>857</v>
      </c>
      <c r="C13" t="s">
        <v>2</v>
      </c>
      <c r="F13">
        <v>3</v>
      </c>
      <c r="G13" s="317">
        <v>71</v>
      </c>
      <c r="H13" t="s">
        <v>473</v>
      </c>
      <c r="I13" s="290" t="s">
        <v>439</v>
      </c>
      <c r="K13" s="632">
        <v>11</v>
      </c>
      <c r="L13" s="321">
        <v>188</v>
      </c>
      <c r="M13" t="s">
        <v>206</v>
      </c>
      <c r="N13" s="290" t="s">
        <v>1</v>
      </c>
      <c r="O13" s="370">
        <f t="shared" si="0"/>
        <v>0.58204334365325072</v>
      </c>
      <c r="Q13" s="620">
        <v>11</v>
      </c>
      <c r="R13" s="317">
        <v>49</v>
      </c>
      <c r="S13" t="s">
        <v>448</v>
      </c>
      <c r="T13" t="s">
        <v>2</v>
      </c>
      <c r="U13" s="159">
        <f>R13/L14</f>
        <v>0.28994082840236685</v>
      </c>
      <c r="V13" s="47">
        <f t="shared" si="1"/>
        <v>4.5078196872125116E-2</v>
      </c>
    </row>
    <row r="14" spans="1:24" x14ac:dyDescent="0.25">
      <c r="A14" s="382" t="s">
        <v>791</v>
      </c>
      <c r="B14" t="s">
        <v>449</v>
      </c>
      <c r="C14" s="290" t="s">
        <v>64</v>
      </c>
      <c r="F14">
        <v>4</v>
      </c>
      <c r="G14" s="662">
        <v>21</v>
      </c>
      <c r="H14" s="663" t="s">
        <v>190</v>
      </c>
      <c r="I14" s="663" t="s">
        <v>65</v>
      </c>
      <c r="K14" s="632">
        <v>12</v>
      </c>
      <c r="L14" s="317">
        <v>169</v>
      </c>
      <c r="M14" t="s">
        <v>448</v>
      </c>
      <c r="N14" s="290" t="s">
        <v>439</v>
      </c>
      <c r="O14" s="370">
        <f t="shared" si="0"/>
        <v>0.52321981424148611</v>
      </c>
      <c r="Q14" s="620">
        <v>12</v>
      </c>
      <c r="R14" s="321">
        <v>41</v>
      </c>
      <c r="S14" t="s">
        <v>457</v>
      </c>
      <c r="T14" t="s">
        <v>64</v>
      </c>
      <c r="U14" s="159">
        <f>R14/L8</f>
        <v>0.18303571428571427</v>
      </c>
      <c r="V14" s="47">
        <f t="shared" si="1"/>
        <v>3.7718491260349589E-2</v>
      </c>
    </row>
    <row r="15" spans="1:24" x14ac:dyDescent="0.25">
      <c r="A15" s="380" t="s">
        <v>880</v>
      </c>
      <c r="B15" t="s">
        <v>473</v>
      </c>
      <c r="C15" s="290" t="s">
        <v>439</v>
      </c>
      <c r="F15">
        <v>5</v>
      </c>
      <c r="G15" s="444">
        <v>8</v>
      </c>
      <c r="H15" t="s">
        <v>449</v>
      </c>
      <c r="I15" s="290" t="s">
        <v>64</v>
      </c>
      <c r="K15" s="632">
        <v>13</v>
      </c>
      <c r="L15" s="662">
        <v>146</v>
      </c>
      <c r="M15" s="663" t="s">
        <v>204</v>
      </c>
      <c r="N15" s="664" t="s">
        <v>1</v>
      </c>
      <c r="O15" s="666">
        <f t="shared" si="0"/>
        <v>0.45201238390092879</v>
      </c>
      <c r="Q15" s="620">
        <v>13</v>
      </c>
      <c r="R15" s="444">
        <v>39</v>
      </c>
      <c r="S15" s="246" t="s">
        <v>860</v>
      </c>
      <c r="T15" s="246" t="s">
        <v>66</v>
      </c>
      <c r="U15" s="159">
        <f>R15/L23</f>
        <v>0.73584905660377353</v>
      </c>
      <c r="V15" s="47">
        <f t="shared" si="1"/>
        <v>3.5878564857405704E-2</v>
      </c>
      <c r="W15">
        <v>115</v>
      </c>
    </row>
    <row r="16" spans="1:24" x14ac:dyDescent="0.25">
      <c r="A16" s="382" t="s">
        <v>819</v>
      </c>
      <c r="B16" t="s">
        <v>497</v>
      </c>
      <c r="C16" s="290" t="s">
        <v>65</v>
      </c>
      <c r="F16">
        <v>6</v>
      </c>
      <c r="G16" s="662">
        <v>6</v>
      </c>
      <c r="H16" s="663" t="s">
        <v>194</v>
      </c>
      <c r="I16" s="664" t="s">
        <v>64</v>
      </c>
      <c r="K16" s="632">
        <v>14</v>
      </c>
      <c r="L16" s="444">
        <v>131</v>
      </c>
      <c r="M16" t="s">
        <v>783</v>
      </c>
      <c r="N16" t="s">
        <v>1</v>
      </c>
      <c r="O16" s="370">
        <f t="shared" si="0"/>
        <v>0.40557275541795668</v>
      </c>
      <c r="Q16" s="620">
        <v>14</v>
      </c>
      <c r="R16" s="317">
        <v>21</v>
      </c>
      <c r="S16" t="s">
        <v>513</v>
      </c>
      <c r="T16" t="s">
        <v>64</v>
      </c>
      <c r="U16" s="159">
        <f>R16/L18</f>
        <v>0.21212121212121213</v>
      </c>
      <c r="V16" s="47">
        <f t="shared" si="1"/>
        <v>1.9319227230910764E-2</v>
      </c>
    </row>
    <row r="17" spans="1:23" x14ac:dyDescent="0.25">
      <c r="A17" s="382" t="s">
        <v>819</v>
      </c>
      <c r="B17" t="s">
        <v>476</v>
      </c>
      <c r="C17" s="290" t="s">
        <v>64</v>
      </c>
      <c r="F17">
        <v>7</v>
      </c>
      <c r="G17" s="665">
        <v>5</v>
      </c>
      <c r="H17" s="663" t="s">
        <v>193</v>
      </c>
      <c r="I17" s="664" t="s">
        <v>64</v>
      </c>
      <c r="K17" s="632">
        <v>15</v>
      </c>
      <c r="L17" s="444">
        <v>111</v>
      </c>
      <c r="M17" s="246" t="s">
        <v>627</v>
      </c>
      <c r="N17" s="453" t="s">
        <v>212</v>
      </c>
      <c r="O17" s="370">
        <f t="shared" si="0"/>
        <v>0.34365325077399383</v>
      </c>
      <c r="Q17" s="620">
        <v>15</v>
      </c>
      <c r="R17" s="662">
        <v>19</v>
      </c>
      <c r="S17" s="663" t="s">
        <v>205</v>
      </c>
      <c r="T17" s="664" t="s">
        <v>451</v>
      </c>
      <c r="U17" s="159"/>
      <c r="V17" s="47"/>
    </row>
    <row r="18" spans="1:23" x14ac:dyDescent="0.25">
      <c r="A18" s="382" t="s">
        <v>819</v>
      </c>
      <c r="B18" t="s">
        <v>457</v>
      </c>
      <c r="C18" s="290" t="s">
        <v>64</v>
      </c>
      <c r="F18">
        <v>8</v>
      </c>
      <c r="G18" s="662">
        <v>4</v>
      </c>
      <c r="H18" s="663" t="s">
        <v>387</v>
      </c>
      <c r="I18" s="664" t="s">
        <v>212</v>
      </c>
      <c r="K18" s="632">
        <v>16</v>
      </c>
      <c r="L18" s="444">
        <v>99</v>
      </c>
      <c r="M18" t="s">
        <v>513</v>
      </c>
      <c r="N18" t="s">
        <v>64</v>
      </c>
      <c r="O18" s="370">
        <f t="shared" si="0"/>
        <v>0.30650154798761609</v>
      </c>
      <c r="Q18" s="620">
        <v>16</v>
      </c>
      <c r="R18" s="662">
        <v>15</v>
      </c>
      <c r="S18" s="663" t="s">
        <v>193</v>
      </c>
      <c r="T18" s="664" t="s">
        <v>64</v>
      </c>
      <c r="U18" s="159"/>
      <c r="V18" s="47"/>
    </row>
    <row r="19" spans="1:23" x14ac:dyDescent="0.25">
      <c r="A19" s="380" t="s">
        <v>819</v>
      </c>
      <c r="B19" t="s">
        <v>547</v>
      </c>
      <c r="C19" s="290" t="s">
        <v>65</v>
      </c>
      <c r="F19">
        <v>9</v>
      </c>
      <c r="G19" s="605">
        <v>2</v>
      </c>
      <c r="H19" t="s">
        <v>206</v>
      </c>
      <c r="I19" s="290" t="s">
        <v>1</v>
      </c>
      <c r="K19" s="632">
        <v>17</v>
      </c>
      <c r="L19" s="662">
        <v>89</v>
      </c>
      <c r="M19" s="663" t="s">
        <v>462</v>
      </c>
      <c r="N19" s="664" t="s">
        <v>439</v>
      </c>
      <c r="O19" s="666">
        <f t="shared" si="0"/>
        <v>0.27554179566563469</v>
      </c>
      <c r="Q19" s="620">
        <v>17</v>
      </c>
      <c r="R19" s="662">
        <v>12</v>
      </c>
      <c r="S19" s="663" t="s">
        <v>533</v>
      </c>
      <c r="T19" s="664" t="s">
        <v>212</v>
      </c>
      <c r="U19" s="159"/>
      <c r="V19" s="47"/>
    </row>
    <row r="20" spans="1:23" x14ac:dyDescent="0.25">
      <c r="A20" s="380" t="s">
        <v>819</v>
      </c>
      <c r="B20" t="s">
        <v>496</v>
      </c>
      <c r="C20" s="290" t="s">
        <v>212</v>
      </c>
      <c r="F20">
        <v>10</v>
      </c>
      <c r="G20" s="665">
        <v>1</v>
      </c>
      <c r="H20" s="663" t="s">
        <v>205</v>
      </c>
      <c r="I20" s="664" t="s">
        <v>451</v>
      </c>
      <c r="K20" s="632">
        <v>18</v>
      </c>
      <c r="L20" s="444">
        <v>79</v>
      </c>
      <c r="M20" t="s">
        <v>857</v>
      </c>
      <c r="N20" t="s">
        <v>2</v>
      </c>
      <c r="O20" s="370">
        <f t="shared" si="0"/>
        <v>0.24458204334365324</v>
      </c>
      <c r="Q20" s="620">
        <v>18</v>
      </c>
      <c r="R20" s="317">
        <v>12</v>
      </c>
      <c r="S20" t="s">
        <v>630</v>
      </c>
      <c r="T20" t="s">
        <v>2</v>
      </c>
      <c r="U20" s="159">
        <f>R20/L21</f>
        <v>0.18181818181818182</v>
      </c>
      <c r="V20" s="47">
        <f>R20/$R$33</f>
        <v>1.1039558417663294E-2</v>
      </c>
    </row>
    <row r="21" spans="1:23" x14ac:dyDescent="0.25">
      <c r="A21" s="382" t="s">
        <v>713</v>
      </c>
      <c r="B21" t="s">
        <v>550</v>
      </c>
      <c r="C21" s="290" t="s">
        <v>212</v>
      </c>
      <c r="F21">
        <v>10</v>
      </c>
      <c r="G21" s="3">
        <v>1</v>
      </c>
      <c r="H21" t="s">
        <v>448</v>
      </c>
      <c r="I21" t="s">
        <v>2</v>
      </c>
      <c r="K21" s="632">
        <v>19</v>
      </c>
      <c r="L21" s="605">
        <v>66</v>
      </c>
      <c r="M21" t="s">
        <v>630</v>
      </c>
      <c r="N21" t="s">
        <v>439</v>
      </c>
      <c r="O21" s="370">
        <f t="shared" si="0"/>
        <v>0.2043343653250774</v>
      </c>
      <c r="Q21" s="620">
        <v>19</v>
      </c>
      <c r="R21" s="594">
        <v>12</v>
      </c>
      <c r="S21" t="s">
        <v>857</v>
      </c>
      <c r="T21" t="s">
        <v>2</v>
      </c>
      <c r="U21" s="159">
        <f>R21/L23</f>
        <v>0.22641509433962265</v>
      </c>
      <c r="V21" s="47">
        <f>R21/$R$33</f>
        <v>1.1039558417663294E-2</v>
      </c>
      <c r="W21">
        <v>58</v>
      </c>
    </row>
    <row r="22" spans="1:23" x14ac:dyDescent="0.25">
      <c r="A22" s="326" t="s">
        <v>867</v>
      </c>
      <c r="B22" t="s">
        <v>461</v>
      </c>
      <c r="C22" s="290" t="s">
        <v>439</v>
      </c>
      <c r="G22" s="667">
        <f>SUM(G11:G21)</f>
        <v>323</v>
      </c>
      <c r="K22" s="632">
        <v>20</v>
      </c>
      <c r="L22" s="662">
        <v>55</v>
      </c>
      <c r="M22" s="663" t="s">
        <v>205</v>
      </c>
      <c r="N22" s="664" t="s">
        <v>451</v>
      </c>
      <c r="O22" s="666">
        <f t="shared" si="0"/>
        <v>0.17027863777089783</v>
      </c>
      <c r="Q22" s="620">
        <v>20</v>
      </c>
      <c r="R22" s="321">
        <v>11</v>
      </c>
      <c r="S22" t="s">
        <v>206</v>
      </c>
      <c r="T22" s="290" t="s">
        <v>1</v>
      </c>
      <c r="U22" s="159">
        <f>R22/L13</f>
        <v>5.8510638297872342E-2</v>
      </c>
      <c r="V22" s="47">
        <f>R22/$R$33</f>
        <v>1.0119595216191352E-2</v>
      </c>
    </row>
    <row r="23" spans="1:23" x14ac:dyDescent="0.25">
      <c r="A23" s="680" t="s">
        <v>867</v>
      </c>
      <c r="B23" s="246" t="s">
        <v>877</v>
      </c>
      <c r="C23" s="246" t="s">
        <v>66</v>
      </c>
      <c r="K23" s="632">
        <v>21</v>
      </c>
      <c r="L23" s="444">
        <v>53</v>
      </c>
      <c r="M23" t="s">
        <v>860</v>
      </c>
      <c r="N23" t="s">
        <v>66</v>
      </c>
      <c r="O23" s="370">
        <f t="shared" ref="O23" si="2">L23/$G$22</f>
        <v>0.16408668730650156</v>
      </c>
      <c r="Q23" s="620">
        <v>20</v>
      </c>
      <c r="R23" s="662">
        <v>10</v>
      </c>
      <c r="S23" s="663" t="s">
        <v>462</v>
      </c>
      <c r="T23" s="664" t="s">
        <v>439</v>
      </c>
      <c r="U23" s="159"/>
      <c r="V23" s="47"/>
    </row>
    <row r="24" spans="1:23" x14ac:dyDescent="0.25">
      <c r="A24" s="382" t="s">
        <v>574</v>
      </c>
      <c r="B24" t="s">
        <v>206</v>
      </c>
      <c r="C24" s="290" t="s">
        <v>1</v>
      </c>
      <c r="K24" s="632"/>
      <c r="L24" s="605" t="s">
        <v>793</v>
      </c>
      <c r="M24" t="s">
        <v>793</v>
      </c>
      <c r="N24" t="s">
        <v>793</v>
      </c>
      <c r="O24" s="629" t="s">
        <v>793</v>
      </c>
      <c r="Q24" s="620">
        <v>20</v>
      </c>
      <c r="R24" s="662">
        <v>10</v>
      </c>
      <c r="S24" s="663" t="s">
        <v>548</v>
      </c>
      <c r="T24" s="664" t="s">
        <v>212</v>
      </c>
      <c r="U24" s="503"/>
      <c r="V24" s="47"/>
    </row>
    <row r="25" spans="1:23" x14ac:dyDescent="0.25">
      <c r="A25" s="662" t="s">
        <v>574</v>
      </c>
      <c r="B25" s="663" t="s">
        <v>204</v>
      </c>
      <c r="C25" s="664" t="s">
        <v>1</v>
      </c>
      <c r="K25" s="632"/>
      <c r="L25" s="673">
        <v>7</v>
      </c>
      <c r="M25" s="246" t="s">
        <v>877</v>
      </c>
      <c r="N25" s="246" t="s">
        <v>66</v>
      </c>
      <c r="O25" s="370">
        <f>L25/$G$22</f>
        <v>2.1671826625386997E-2</v>
      </c>
      <c r="Q25" s="620">
        <v>23</v>
      </c>
      <c r="R25" s="662">
        <v>9</v>
      </c>
      <c r="S25" s="663" t="s">
        <v>464</v>
      </c>
      <c r="T25" s="663" t="s">
        <v>212</v>
      </c>
      <c r="U25" s="159"/>
      <c r="V25" s="47"/>
    </row>
    <row r="26" spans="1:23" x14ac:dyDescent="0.25">
      <c r="A26" s="380" t="s">
        <v>574</v>
      </c>
      <c r="B26" t="s">
        <v>513</v>
      </c>
      <c r="C26" t="s">
        <v>64</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444">
        <v>4</v>
      </c>
      <c r="S29" s="246" t="s">
        <v>877</v>
      </c>
      <c r="T29" s="246" t="s">
        <v>66</v>
      </c>
      <c r="U29" s="676"/>
      <c r="V29" s="677"/>
      <c r="W29" s="246">
        <v>61</v>
      </c>
    </row>
    <row r="30" spans="1:23" x14ac:dyDescent="0.25">
      <c r="A30" s="662" t="s">
        <v>859</v>
      </c>
      <c r="B30" s="663" t="s">
        <v>794</v>
      </c>
      <c r="C30" s="663" t="s">
        <v>66</v>
      </c>
      <c r="Q30" s="660">
        <v>28</v>
      </c>
      <c r="R30" s="662">
        <v>3</v>
      </c>
      <c r="S30" s="663" t="s">
        <v>794</v>
      </c>
      <c r="T30" s="663" t="s">
        <v>66</v>
      </c>
      <c r="U30" s="159"/>
      <c r="V30" s="47"/>
    </row>
    <row r="31" spans="1:23" x14ac:dyDescent="0.25">
      <c r="A31" s="662" t="s">
        <v>512</v>
      </c>
      <c r="B31" s="663" t="s">
        <v>548</v>
      </c>
      <c r="C31" s="664" t="s">
        <v>212</v>
      </c>
      <c r="Q31" s="673">
        <v>28</v>
      </c>
      <c r="R31" s="662">
        <v>3</v>
      </c>
      <c r="S31" s="663" t="s">
        <v>638</v>
      </c>
      <c r="T31" s="663" t="s">
        <v>64</v>
      </c>
      <c r="U31" s="159"/>
      <c r="V31" s="47"/>
    </row>
    <row r="32" spans="1:23" x14ac:dyDescent="0.25">
      <c r="A32" s="393" t="s">
        <v>512</v>
      </c>
      <c r="B32" t="s">
        <v>533</v>
      </c>
      <c r="C32" t="s">
        <v>212</v>
      </c>
      <c r="Q32" s="681">
        <v>30</v>
      </c>
      <c r="R32" s="444">
        <v>2</v>
      </c>
      <c r="S32" t="s">
        <v>783</v>
      </c>
      <c r="T32" s="246" t="s">
        <v>1</v>
      </c>
      <c r="U32" s="676"/>
      <c r="V32" s="677"/>
      <c r="W32" s="246"/>
    </row>
    <row r="33" spans="1:18" x14ac:dyDescent="0.25">
      <c r="A33" s="320"/>
      <c r="B33" s="318"/>
      <c r="C33" s="319"/>
      <c r="R33" s="668">
        <f>SUM(R3:R32)</f>
        <v>1087</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1" t="s">
        <v>11</v>
      </c>
      <c r="E2" s="701"/>
      <c r="F2" s="702" t="s">
        <v>12</v>
      </c>
      <c r="G2" s="702"/>
      <c r="H2" s="703" t="s">
        <v>13</v>
      </c>
      <c r="I2" s="70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5" t="s">
        <v>230</v>
      </c>
      <c r="C59" s="195" t="s">
        <v>177</v>
      </c>
      <c r="D59" s="686" t="s">
        <v>231</v>
      </c>
      <c r="E59" s="686" t="s">
        <v>231</v>
      </c>
      <c r="F59" s="196" t="s">
        <v>232</v>
      </c>
      <c r="H59" s="274" t="s">
        <v>233</v>
      </c>
    </row>
    <row r="60" spans="1:24" ht="23.25" x14ac:dyDescent="0.25">
      <c r="A60" s="197">
        <v>18</v>
      </c>
      <c r="B60" s="685"/>
      <c r="C60" s="195" t="s">
        <v>234</v>
      </c>
      <c r="D60" s="686"/>
      <c r="E60" s="686"/>
      <c r="F60" s="196" t="s">
        <v>235</v>
      </c>
      <c r="H60" s="273" t="s">
        <v>236</v>
      </c>
    </row>
    <row r="61" spans="1:24" x14ac:dyDescent="0.25">
      <c r="A61" s="194">
        <v>19</v>
      </c>
      <c r="B61" s="685"/>
      <c r="C61" s="198"/>
      <c r="D61" s="686"/>
      <c r="E61" s="686"/>
      <c r="F61" s="199"/>
      <c r="H61" s="273" t="s">
        <v>237</v>
      </c>
      <c r="I61" s="158"/>
    </row>
    <row r="62" spans="1:24" ht="23.25" x14ac:dyDescent="0.25">
      <c r="A62" s="197">
        <v>20</v>
      </c>
      <c r="B62" s="685"/>
      <c r="C62" s="196" t="s">
        <v>231</v>
      </c>
      <c r="D62" s="687" t="s">
        <v>232</v>
      </c>
      <c r="E62" s="196" t="s">
        <v>232</v>
      </c>
      <c r="F62" s="199"/>
      <c r="H62" s="273" t="s">
        <v>238</v>
      </c>
    </row>
    <row r="63" spans="1:24" ht="23.25" x14ac:dyDescent="0.25">
      <c r="A63" s="194">
        <v>21</v>
      </c>
      <c r="B63" s="688" t="s">
        <v>177</v>
      </c>
      <c r="C63" s="196" t="s">
        <v>239</v>
      </c>
      <c r="D63" s="687"/>
      <c r="E63" s="196" t="s">
        <v>235</v>
      </c>
      <c r="F63" s="199"/>
      <c r="H63" s="273" t="s">
        <v>240</v>
      </c>
    </row>
    <row r="64" spans="1:24" x14ac:dyDescent="0.25">
      <c r="A64" s="197">
        <v>22</v>
      </c>
      <c r="B64" s="688"/>
      <c r="C64" s="199"/>
      <c r="D64" s="687"/>
      <c r="E64" s="199"/>
      <c r="F64" s="199"/>
      <c r="H64" s="273" t="s">
        <v>241</v>
      </c>
    </row>
    <row r="65" spans="1:8" x14ac:dyDescent="0.25">
      <c r="A65" s="194">
        <v>23</v>
      </c>
      <c r="B65" s="688"/>
      <c r="C65" s="199"/>
      <c r="D65" s="687"/>
      <c r="E65" s="199"/>
      <c r="F65" s="199"/>
    </row>
    <row r="66" spans="1:8" x14ac:dyDescent="0.25">
      <c r="A66" s="197">
        <v>24</v>
      </c>
      <c r="B66" s="688"/>
      <c r="C66" s="199"/>
      <c r="D66" s="687"/>
      <c r="E66" s="199"/>
      <c r="F66" s="199"/>
      <c r="H66" s="273" t="s">
        <v>242</v>
      </c>
    </row>
    <row r="67" spans="1:8" x14ac:dyDescent="0.25">
      <c r="A67" s="194">
        <v>25</v>
      </c>
      <c r="B67" s="688"/>
      <c r="C67" s="199"/>
      <c r="D67" s="686" t="s">
        <v>231</v>
      </c>
      <c r="E67" s="199"/>
      <c r="F67" s="199"/>
      <c r="H67" s="273" t="s">
        <v>243</v>
      </c>
    </row>
    <row r="68" spans="1:8" x14ac:dyDescent="0.25">
      <c r="A68" s="197">
        <v>26</v>
      </c>
      <c r="B68" s="688"/>
      <c r="C68" s="686" t="s">
        <v>231</v>
      </c>
      <c r="D68" s="686"/>
      <c r="E68" s="199"/>
      <c r="F68" s="199"/>
    </row>
    <row r="69" spans="1:8" x14ac:dyDescent="0.25">
      <c r="A69" s="194">
        <v>27</v>
      </c>
      <c r="B69" s="685" t="s">
        <v>230</v>
      </c>
      <c r="C69" s="686"/>
      <c r="D69" s="686"/>
      <c r="E69" s="199"/>
      <c r="F69" s="199"/>
    </row>
    <row r="70" spans="1:8" x14ac:dyDescent="0.25">
      <c r="A70" s="197">
        <v>28</v>
      </c>
      <c r="B70" s="685"/>
      <c r="C70" s="688" t="s">
        <v>177</v>
      </c>
      <c r="D70" s="686"/>
      <c r="E70" s="199"/>
      <c r="F70" s="199"/>
      <c r="H70" s="273" t="s">
        <v>244</v>
      </c>
    </row>
    <row r="71" spans="1:8" x14ac:dyDescent="0.25">
      <c r="A71" s="194">
        <v>29</v>
      </c>
      <c r="B71" s="685"/>
      <c r="C71" s="688"/>
      <c r="D71" s="686"/>
      <c r="E71" s="199"/>
      <c r="F71" s="199"/>
    </row>
    <row r="72" spans="1:8" x14ac:dyDescent="0.25">
      <c r="A72" s="197">
        <v>30</v>
      </c>
      <c r="B72" s="685"/>
      <c r="C72" s="688"/>
      <c r="D72" s="688" t="s">
        <v>177</v>
      </c>
      <c r="E72" s="199"/>
      <c r="F72" s="199"/>
      <c r="H72" s="273" t="s">
        <v>245</v>
      </c>
    </row>
    <row r="73" spans="1:8" x14ac:dyDescent="0.25">
      <c r="A73" s="194">
        <v>31</v>
      </c>
      <c r="B73" s="685"/>
      <c r="C73" s="688"/>
      <c r="D73" s="688"/>
      <c r="E73" s="196" t="s">
        <v>231</v>
      </c>
      <c r="F73" s="199"/>
    </row>
    <row r="74" spans="1:8" ht="23.25" x14ac:dyDescent="0.25">
      <c r="A74" s="197">
        <v>32</v>
      </c>
      <c r="B74" s="685"/>
      <c r="C74" s="688"/>
      <c r="D74" s="688"/>
      <c r="E74" s="196" t="s">
        <v>239</v>
      </c>
      <c r="F74" s="199"/>
      <c r="H74" s="273" t="s">
        <v>246</v>
      </c>
    </row>
    <row r="75" spans="1:8" ht="23.25" x14ac:dyDescent="0.25">
      <c r="A75" s="194">
        <v>33</v>
      </c>
      <c r="B75" s="685"/>
      <c r="C75" s="685" t="s">
        <v>230</v>
      </c>
      <c r="D75" s="688"/>
      <c r="E75" s="195" t="s">
        <v>177</v>
      </c>
      <c r="F75" s="195" t="s">
        <v>177</v>
      </c>
    </row>
    <row r="76" spans="1:8" x14ac:dyDescent="0.25">
      <c r="A76" s="197">
        <v>34</v>
      </c>
      <c r="B76" s="689" t="s">
        <v>247</v>
      </c>
      <c r="C76" s="685"/>
      <c r="D76" s="688"/>
      <c r="E76" s="195" t="s">
        <v>234</v>
      </c>
      <c r="F76" s="195" t="s">
        <v>234</v>
      </c>
      <c r="H76" s="273" t="s">
        <v>248</v>
      </c>
    </row>
    <row r="77" spans="1:8" x14ac:dyDescent="0.25">
      <c r="A77" s="194">
        <v>35</v>
      </c>
      <c r="B77" s="689"/>
      <c r="C77" s="689" t="s">
        <v>247</v>
      </c>
      <c r="D77" s="685" t="s">
        <v>230</v>
      </c>
      <c r="E77" s="685" t="s">
        <v>230</v>
      </c>
      <c r="F77" s="198"/>
    </row>
    <row r="78" spans="1:8" ht="23.25" x14ac:dyDescent="0.25">
      <c r="A78" s="197">
        <v>36</v>
      </c>
      <c r="B78" s="689"/>
      <c r="C78" s="689"/>
      <c r="D78" s="685"/>
      <c r="E78" s="685"/>
      <c r="F78" s="200" t="s">
        <v>230</v>
      </c>
      <c r="H78" s="273" t="s">
        <v>249</v>
      </c>
    </row>
    <row r="79" spans="1:8" x14ac:dyDescent="0.25">
      <c r="A79" s="684" t="s">
        <v>250</v>
      </c>
      <c r="B79" s="684"/>
      <c r="C79" s="684"/>
      <c r="D79" s="684"/>
      <c r="E79" s="684"/>
      <c r="F79" s="684"/>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7"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8"/>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9">
        <f>C13</f>
        <v>1504841</v>
      </c>
      <c r="AA14" s="710"/>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1" t="s">
        <v>93</v>
      </c>
      <c r="B26" s="711"/>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2" t="s">
        <v>94</v>
      </c>
      <c r="B27" s="712"/>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3" t="s">
        <v>95</v>
      </c>
      <c r="B28" s="713"/>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1" t="s">
        <v>96</v>
      </c>
      <c r="B29" s="711"/>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2" t="s">
        <v>97</v>
      </c>
      <c r="B30" s="712"/>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3" t="s">
        <v>98</v>
      </c>
      <c r="B31" s="713"/>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4"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4">
        <f>C23</f>
        <v>1482625</v>
      </c>
      <c r="AA33" s="705"/>
    </row>
    <row r="34" spans="1:27" x14ac:dyDescent="0.25">
      <c r="A34" s="57"/>
      <c r="B34" s="714"/>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4"/>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4"/>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4"/>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4"/>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6"/>
      <c r="I40" s="706"/>
      <c r="J40" s="706"/>
      <c r="K40" s="706"/>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5"/>
      <c r="I49" s="715"/>
      <c r="J49" s="715"/>
      <c r="K49" s="715"/>
    </row>
    <row r="50" spans="8:11" x14ac:dyDescent="0.25">
      <c r="H50" s="103"/>
      <c r="I50" s="103"/>
      <c r="J50" s="103"/>
      <c r="K50" s="103"/>
    </row>
    <row r="51" spans="8:11" x14ac:dyDescent="0.25">
      <c r="H51" s="715"/>
      <c r="I51" s="715"/>
      <c r="J51" s="715"/>
      <c r="K51" s="715"/>
    </row>
    <row r="52" spans="8:11" ht="15" customHeight="1" x14ac:dyDescent="0.25">
      <c r="H52" s="715"/>
      <c r="I52" s="715"/>
      <c r="J52" s="715"/>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208</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7"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8"/>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9">
        <f>C13</f>
        <v>2257672</v>
      </c>
      <c r="Z14" s="710"/>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1" t="s">
        <v>93</v>
      </c>
      <c r="B26" s="711"/>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2" t="s">
        <v>94</v>
      </c>
      <c r="B27" s="712"/>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3" t="s">
        <v>95</v>
      </c>
      <c r="B28" s="713"/>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1" t="s">
        <v>96</v>
      </c>
      <c r="B29" s="711"/>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2" t="s">
        <v>97</v>
      </c>
      <c r="B30" s="712"/>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3" t="s">
        <v>98</v>
      </c>
      <c r="B31" s="713"/>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v>49820</v>
      </c>
      <c r="Y33" s="704">
        <f>C23</f>
        <v>2470257</v>
      </c>
      <c r="Z33" s="705"/>
    </row>
    <row r="34" spans="1:26" x14ac:dyDescent="0.25">
      <c r="A34" s="57"/>
      <c r="B34" s="714"/>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4"/>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4"/>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4"/>
      <c r="C37" s="173" t="s">
        <v>211</v>
      </c>
      <c r="D37" s="176"/>
      <c r="E37" s="176"/>
      <c r="F37" s="176"/>
      <c r="G37" s="176"/>
      <c r="H37" s="176"/>
      <c r="I37" s="176"/>
      <c r="J37" s="176"/>
      <c r="K37" s="176"/>
      <c r="L37" s="176"/>
      <c r="M37" s="176"/>
      <c r="N37" s="176"/>
      <c r="O37" s="176"/>
      <c r="P37" s="176"/>
      <c r="Q37" s="176"/>
      <c r="R37" s="176"/>
      <c r="S37" s="176" t="s">
        <v>393</v>
      </c>
    </row>
    <row r="38" spans="1:26" x14ac:dyDescent="0.25">
      <c r="B38" s="714"/>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6"/>
      <c r="H40" s="706"/>
      <c r="I40" s="706"/>
      <c r="J40" s="706"/>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5"/>
      <c r="H49" s="715"/>
      <c r="I49" s="715"/>
      <c r="J49" s="715"/>
    </row>
    <row r="50" spans="7:10" x14ac:dyDescent="0.25">
      <c r="G50" s="216"/>
      <c r="H50" s="216"/>
      <c r="I50" s="216"/>
      <c r="J50" s="216"/>
    </row>
    <row r="51" spans="7:10" x14ac:dyDescent="0.25">
      <c r="G51" s="715"/>
      <c r="H51" s="715"/>
      <c r="I51" s="715"/>
      <c r="J51" s="715"/>
    </row>
    <row r="52" spans="7:10" ht="15" customHeight="1" x14ac:dyDescent="0.25">
      <c r="G52" s="715"/>
      <c r="H52" s="715"/>
      <c r="I52" s="715"/>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289</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7"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8"/>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9">
        <f>C13</f>
        <v>3165941</v>
      </c>
      <c r="Z14" s="710"/>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1" t="s">
        <v>93</v>
      </c>
      <c r="B26" s="711"/>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2" t="s">
        <v>94</v>
      </c>
      <c r="B27" s="712"/>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3" t="s">
        <v>95</v>
      </c>
      <c r="B28" s="713"/>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1" t="s">
        <v>96</v>
      </c>
      <c r="B29" s="711"/>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2" t="s">
        <v>97</v>
      </c>
      <c r="B30" s="712"/>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3" t="s">
        <v>98</v>
      </c>
      <c r="B31" s="713"/>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c r="Y33" s="704">
        <f>C23</f>
        <v>1505104</v>
      </c>
      <c r="Z33" s="705"/>
    </row>
    <row r="34" spans="1:26" x14ac:dyDescent="0.25">
      <c r="A34" s="57"/>
      <c r="B34" s="714"/>
      <c r="C34" s="173" t="s">
        <v>104</v>
      </c>
      <c r="D34" s="174"/>
      <c r="E34" s="174"/>
      <c r="F34" s="174"/>
      <c r="G34" s="174"/>
      <c r="H34" s="174"/>
      <c r="I34" s="174"/>
      <c r="J34" s="174"/>
      <c r="K34" s="174"/>
      <c r="L34" s="174"/>
      <c r="M34" s="174"/>
      <c r="N34" s="174"/>
      <c r="O34" s="174"/>
      <c r="P34" s="174"/>
      <c r="Q34" s="174"/>
      <c r="R34" s="174"/>
      <c r="S34" s="174"/>
    </row>
    <row r="35" spans="1:26" x14ac:dyDescent="0.25">
      <c r="A35" s="57"/>
      <c r="B35" s="714"/>
      <c r="C35" s="173" t="s">
        <v>61</v>
      </c>
      <c r="D35" s="175"/>
      <c r="E35" s="175"/>
      <c r="F35" s="175"/>
      <c r="G35" s="175"/>
      <c r="H35" s="175"/>
      <c r="I35" s="175"/>
      <c r="J35" s="175"/>
      <c r="K35" s="175"/>
      <c r="L35" s="175"/>
      <c r="M35" s="175"/>
      <c r="N35" s="175"/>
      <c r="O35" s="175"/>
      <c r="P35" s="175"/>
      <c r="Q35" s="175"/>
      <c r="R35" s="175"/>
      <c r="S35" s="175"/>
    </row>
    <row r="36" spans="1:26" x14ac:dyDescent="0.25">
      <c r="A36" s="57"/>
      <c r="B36" s="714"/>
      <c r="C36" s="173" t="s">
        <v>210</v>
      </c>
      <c r="D36" s="176"/>
      <c r="E36" s="176"/>
      <c r="F36" s="176"/>
      <c r="G36" s="176"/>
      <c r="H36" s="176"/>
      <c r="I36" s="176"/>
      <c r="J36" s="176"/>
      <c r="K36" s="176"/>
      <c r="L36" s="176"/>
      <c r="M36" s="176"/>
      <c r="N36" s="176"/>
      <c r="O36" s="176"/>
      <c r="P36" s="176"/>
      <c r="Q36" s="176"/>
      <c r="R36" s="176"/>
      <c r="S36" s="176"/>
    </row>
    <row r="37" spans="1:26" x14ac:dyDescent="0.25">
      <c r="B37" s="714"/>
      <c r="C37" s="173" t="s">
        <v>211</v>
      </c>
      <c r="D37" s="176"/>
      <c r="E37" s="176"/>
      <c r="F37" s="176"/>
      <c r="G37" s="176"/>
      <c r="H37" s="176"/>
      <c r="I37" s="176"/>
      <c r="J37" s="176"/>
      <c r="K37" s="176"/>
      <c r="L37" s="176"/>
      <c r="M37" s="176"/>
      <c r="N37" s="176"/>
      <c r="O37" s="176"/>
      <c r="P37" s="176"/>
      <c r="Q37" s="176"/>
      <c r="R37" s="176"/>
      <c r="S37" s="176"/>
    </row>
    <row r="38" spans="1:26" x14ac:dyDescent="0.25">
      <c r="B38" s="714"/>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6"/>
      <c r="H40" s="706"/>
      <c r="I40" s="706"/>
      <c r="J40" s="706"/>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5"/>
      <c r="H49" s="715"/>
      <c r="I49" s="715"/>
      <c r="J49" s="715"/>
    </row>
    <row r="50" spans="7:10" x14ac:dyDescent="0.25">
      <c r="G50" s="243"/>
      <c r="H50" s="243"/>
      <c r="I50" s="243"/>
      <c r="J50" s="243"/>
    </row>
    <row r="51" spans="7:10" x14ac:dyDescent="0.25">
      <c r="G51" s="715"/>
      <c r="H51" s="715"/>
      <c r="I51" s="715"/>
      <c r="J51" s="715"/>
    </row>
    <row r="52" spans="7:10" ht="15" customHeight="1" x14ac:dyDescent="0.25">
      <c r="G52" s="715"/>
      <c r="H52" s="715"/>
      <c r="I52" s="715"/>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389</v>
      </c>
      <c r="C2" s="717"/>
      <c r="D2" s="717"/>
      <c r="E2" s="717"/>
      <c r="F2" s="717"/>
      <c r="G2" s="718"/>
      <c r="I2" s="719" t="s">
        <v>390</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7"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8"/>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9">
        <f>C13</f>
        <v>3470401</v>
      </c>
      <c r="Z14" s="710"/>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1" t="s">
        <v>93</v>
      </c>
      <c r="B26" s="711"/>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2" t="s">
        <v>94</v>
      </c>
      <c r="B27" s="712"/>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3" t="s">
        <v>95</v>
      </c>
      <c r="B28" s="713"/>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1" t="s">
        <v>96</v>
      </c>
      <c r="B29" s="711"/>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2" t="s">
        <v>97</v>
      </c>
      <c r="B30" s="712"/>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3" t="s">
        <v>98</v>
      </c>
      <c r="B31" s="713"/>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4">
        <f>C23</f>
        <v>4347517</v>
      </c>
      <c r="Z33" s="705"/>
    </row>
    <row r="34" spans="1:26" x14ac:dyDescent="0.25">
      <c r="A34" s="57"/>
      <c r="B34" s="714"/>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4"/>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4"/>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4"/>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4"/>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6"/>
      <c r="H40" s="706"/>
      <c r="I40" s="706"/>
      <c r="J40" s="706"/>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5"/>
      <c r="H49" s="715"/>
      <c r="I49" s="715"/>
      <c r="J49" s="715"/>
    </row>
    <row r="50" spans="7:10" x14ac:dyDescent="0.25">
      <c r="G50" s="258"/>
      <c r="H50" s="258"/>
      <c r="I50" s="258"/>
      <c r="J50" s="258"/>
    </row>
    <row r="51" spans="7:10" x14ac:dyDescent="0.25">
      <c r="G51" s="715"/>
      <c r="H51" s="715"/>
      <c r="I51" s="715"/>
      <c r="J51" s="715"/>
    </row>
    <row r="52" spans="7:10" ht="15" customHeight="1" x14ac:dyDescent="0.25">
      <c r="G52" s="715"/>
      <c r="H52" s="715"/>
      <c r="I52" s="715"/>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424</v>
      </c>
      <c r="C2" s="717"/>
      <c r="D2" s="717"/>
      <c r="E2" s="717"/>
      <c r="F2" s="717"/>
      <c r="G2" s="718"/>
      <c r="I2" s="726" t="s">
        <v>425</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7"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8"/>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9">
        <f>C13</f>
        <v>3901063</v>
      </c>
      <c r="Z14" s="710"/>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1" t="s">
        <v>93</v>
      </c>
      <c r="B26" s="711"/>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2" t="s">
        <v>94</v>
      </c>
      <c r="B27" s="712"/>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3" t="s">
        <v>95</v>
      </c>
      <c r="B28" s="713"/>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1" t="s">
        <v>96</v>
      </c>
      <c r="B29" s="711"/>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2" t="s">
        <v>97</v>
      </c>
      <c r="B30" s="712"/>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3" t="s">
        <v>98</v>
      </c>
      <c r="B31" s="713"/>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4"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4">
        <f>C23</f>
        <v>2535782</v>
      </c>
      <c r="Z34" s="705"/>
    </row>
    <row r="35" spans="1:26" x14ac:dyDescent="0.25">
      <c r="A35" s="57"/>
      <c r="B35" s="714"/>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4"/>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4"/>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4"/>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4"/>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6"/>
      <c r="H41" s="706"/>
      <c r="I41" s="706"/>
      <c r="J41" s="706"/>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5"/>
      <c r="H46" s="715"/>
      <c r="I46" s="715"/>
      <c r="J46" s="715"/>
    </row>
    <row r="47" spans="1:26" x14ac:dyDescent="0.25">
      <c r="G47" s="329"/>
      <c r="H47" s="329"/>
      <c r="I47" s="329"/>
      <c r="J47" s="329"/>
    </row>
    <row r="48" spans="1:26" x14ac:dyDescent="0.25">
      <c r="G48" s="715"/>
      <c r="H48" s="715"/>
      <c r="I48" s="715"/>
      <c r="J48" s="715"/>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493</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5.0510523991824039</v>
      </c>
      <c r="K3" s="159">
        <f t="shared" si="3"/>
        <v>5.0510523991824039</v>
      </c>
      <c r="M3" t="str">
        <f>A7</f>
        <v>E. Toney</v>
      </c>
      <c r="N3" s="159">
        <f>D7</f>
        <v>5.0510523991824039</v>
      </c>
      <c r="O3" s="159">
        <f t="shared" ref="O3:P3" si="4">E7</f>
        <v>5.0510523991824039</v>
      </c>
      <c r="P3" s="159">
        <f t="shared" si="4"/>
        <v>5.0510523991824039</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5.0510523991824039</v>
      </c>
      <c r="F7" s="159">
        <f>E7*PLANTILLA!S9</f>
        <v>5.0510523991824039</v>
      </c>
      <c r="I7" s="423">
        <f>SUM(I2:I6)</f>
        <v>25.239984364562186</v>
      </c>
      <c r="J7" s="423">
        <f t="shared" ref="J7:K7" si="17">SUM(J2:J6)</f>
        <v>24.846922849697204</v>
      </c>
      <c r="K7" s="423">
        <f t="shared" si="17"/>
        <v>24.843417526744755</v>
      </c>
      <c r="L7" s="423"/>
      <c r="M7" s="423"/>
      <c r="N7" s="423">
        <f>SUM(N2:N6)</f>
        <v>20.5423157522096</v>
      </c>
      <c r="O7" s="423">
        <f t="shared" ref="O7:P7" si="18">SUM(O2:O6)</f>
        <v>20.149254237344618</v>
      </c>
      <c r="P7" s="423">
        <f t="shared" si="18"/>
        <v>20.145748914392168</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5.2253489201768062</v>
      </c>
      <c r="F11" s="159">
        <f>E11*PLANTILLA!S22</f>
        <v>5.2253489201768062</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3.2991329564770204</v>
      </c>
      <c r="F16" s="159">
        <f>E16*PLANTILLA!S11</f>
        <v>2.7854865832925313</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2.5165205211204404</v>
      </c>
      <c r="F20" s="159">
        <f>E20*PLANTILLA!S5</f>
        <v>2.3279029325612095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7"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8"/>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9">
        <f>C13</f>
        <v>5218072</v>
      </c>
      <c r="Z14" s="710"/>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1" t="s">
        <v>93</v>
      </c>
      <c r="B26" s="711"/>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2" t="s">
        <v>94</v>
      </c>
      <c r="B27" s="712"/>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3" t="s">
        <v>95</v>
      </c>
      <c r="B28" s="713"/>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1" t="s">
        <v>96</v>
      </c>
      <c r="B29" s="711"/>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2" t="s">
        <v>97</v>
      </c>
      <c r="B30" s="712"/>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3" t="s">
        <v>98</v>
      </c>
      <c r="B31" s="713"/>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4"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4">
        <f>C23</f>
        <v>4415274</v>
      </c>
      <c r="Z34" s="705"/>
    </row>
    <row r="35" spans="1:26" x14ac:dyDescent="0.25">
      <c r="A35" s="57"/>
      <c r="B35" s="714"/>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4"/>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4"/>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4"/>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4"/>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6"/>
      <c r="H41" s="706"/>
      <c r="I41" s="706"/>
      <c r="J41" s="706"/>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row>
    <row r="47" spans="1:26" x14ac:dyDescent="0.25">
      <c r="G47" s="363"/>
      <c r="H47" s="363"/>
      <c r="I47" s="363"/>
      <c r="J47" s="363"/>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559</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7"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8"/>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9">
        <f>C13</f>
        <v>6564204.3711659508</v>
      </c>
      <c r="Z14" s="710"/>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1" t="s">
        <v>93</v>
      </c>
      <c r="B26" s="711"/>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2" t="s">
        <v>94</v>
      </c>
      <c r="B27" s="712"/>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3" t="s">
        <v>95</v>
      </c>
      <c r="B28" s="713"/>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1" t="s">
        <v>96</v>
      </c>
      <c r="B29" s="711"/>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2" t="s">
        <v>97</v>
      </c>
      <c r="B30" s="712"/>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3" t="s">
        <v>98</v>
      </c>
      <c r="B31" s="713"/>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4"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4">
        <f>C23</f>
        <v>4502296</v>
      </c>
      <c r="Z34" s="705"/>
    </row>
    <row r="35" spans="1:26" x14ac:dyDescent="0.25">
      <c r="A35" s="57"/>
      <c r="B35" s="714"/>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4"/>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4"/>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4"/>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4"/>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6"/>
      <c r="H41" s="706"/>
      <c r="I41" s="706"/>
      <c r="J41" s="706"/>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row>
    <row r="47" spans="1:26" x14ac:dyDescent="0.25">
      <c r="G47" s="392"/>
      <c r="H47" s="392"/>
      <c r="I47" s="392"/>
      <c r="J47" s="392"/>
    </row>
    <row r="48" spans="1:26" x14ac:dyDescent="0.25">
      <c r="G48" s="715"/>
      <c r="H48" s="715"/>
      <c r="I48" s="715"/>
      <c r="J48" s="715"/>
      <c r="P48" s="383"/>
    </row>
    <row r="49" spans="7:10" ht="15" customHeight="1" x14ac:dyDescent="0.25">
      <c r="G49" s="715"/>
      <c r="H49" s="715"/>
      <c r="I49" s="715"/>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6" t="s">
        <v>561</v>
      </c>
      <c r="C2" s="717"/>
      <c r="D2" s="717"/>
      <c r="E2" s="717"/>
      <c r="F2" s="717"/>
      <c r="G2" s="718"/>
      <c r="I2" s="726" t="s">
        <v>494</v>
      </c>
      <c r="J2" s="726"/>
      <c r="K2" s="726"/>
      <c r="L2" s="726"/>
      <c r="M2" s="726"/>
      <c r="N2" s="726"/>
      <c r="O2" s="726"/>
      <c r="P2" s="726"/>
      <c r="Q2" s="726"/>
      <c r="R2" s="726"/>
      <c r="S2" s="726"/>
      <c r="T2" s="726"/>
    </row>
    <row r="3" spans="2:21"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3" t="s">
        <v>113</v>
      </c>
      <c r="C4" s="724"/>
      <c r="D4" s="109"/>
      <c r="E4" s="725" t="s">
        <v>114</v>
      </c>
      <c r="F4" s="724"/>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7"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8"/>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9">
        <f>C13</f>
        <v>6907309.643589247</v>
      </c>
      <c r="Z14" s="710"/>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1" t="s">
        <v>93</v>
      </c>
      <c r="B26" s="711"/>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2" t="s">
        <v>94</v>
      </c>
      <c r="B27" s="712"/>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3" t="s">
        <v>95</v>
      </c>
      <c r="B28" s="713"/>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1" t="s">
        <v>96</v>
      </c>
      <c r="B29" s="711"/>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2" t="s">
        <v>97</v>
      </c>
      <c r="B30" s="712"/>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3" t="s">
        <v>98</v>
      </c>
      <c r="B31" s="713"/>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4"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4">
        <f>C23</f>
        <v>4106107</v>
      </c>
      <c r="Z34" s="705"/>
    </row>
    <row r="35" spans="1:26" x14ac:dyDescent="0.25">
      <c r="A35" s="57"/>
      <c r="B35" s="714"/>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4"/>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4"/>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4"/>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4"/>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6"/>
      <c r="H41" s="706"/>
      <c r="I41" s="706"/>
      <c r="J41" s="706"/>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451"/>
      <c r="H47" s="451"/>
      <c r="I47" s="451"/>
      <c r="J47" s="451"/>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620</v>
      </c>
      <c r="C2" s="717"/>
      <c r="D2" s="717"/>
      <c r="E2" s="717"/>
      <c r="F2" s="717"/>
      <c r="G2" s="718"/>
      <c r="I2" s="726" t="s">
        <v>621</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7"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8"/>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9">
        <f>C13</f>
        <v>7216225</v>
      </c>
      <c r="Z14" s="710"/>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1" t="s">
        <v>93</v>
      </c>
      <c r="B26" s="711"/>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2" t="s">
        <v>94</v>
      </c>
      <c r="B27" s="712"/>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3" t="s">
        <v>95</v>
      </c>
      <c r="B28" s="713"/>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1" t="s">
        <v>96</v>
      </c>
      <c r="B29" s="711"/>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2" t="s">
        <v>97</v>
      </c>
      <c r="B30" s="712"/>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3" t="s">
        <v>98</v>
      </c>
      <c r="B31" s="713"/>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4"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4">
        <f>C23</f>
        <v>5755973</v>
      </c>
      <c r="Z34" s="705"/>
    </row>
    <row r="35" spans="1:26" x14ac:dyDescent="0.25">
      <c r="A35" s="57"/>
      <c r="B35" s="714"/>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4"/>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4"/>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4"/>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4"/>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4"/>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4"/>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6"/>
      <c r="H43" s="706"/>
      <c r="I43" s="706"/>
      <c r="J43" s="706"/>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5"/>
      <c r="H48" s="715"/>
      <c r="I48" s="715"/>
      <c r="J48" s="715"/>
      <c r="M48" s="383"/>
    </row>
    <row r="49" spans="5:16" x14ac:dyDescent="0.25">
      <c r="E49" s="106"/>
      <c r="G49" s="466"/>
      <c r="H49" s="466"/>
      <c r="I49" s="466"/>
      <c r="J49" s="466"/>
    </row>
    <row r="50" spans="5:16" x14ac:dyDescent="0.25">
      <c r="G50" s="715"/>
      <c r="H50" s="715"/>
      <c r="I50" s="715"/>
      <c r="J50" s="715"/>
      <c r="P50" s="383"/>
    </row>
    <row r="51" spans="5:16" ht="15" customHeight="1" x14ac:dyDescent="0.25">
      <c r="G51" s="715"/>
      <c r="H51" s="715"/>
      <c r="I51" s="715"/>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654</v>
      </c>
      <c r="C2" s="717"/>
      <c r="D2" s="717"/>
      <c r="E2" s="717"/>
      <c r="F2" s="717"/>
      <c r="G2" s="718"/>
      <c r="I2" s="727" t="s">
        <v>655</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7"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8"/>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9">
        <f>C13</f>
        <v>9688435</v>
      </c>
      <c r="Z14" s="710"/>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1" t="s">
        <v>93</v>
      </c>
      <c r="B26" s="711"/>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2" t="s">
        <v>94</v>
      </c>
      <c r="B27" s="712"/>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3" t="s">
        <v>95</v>
      </c>
      <c r="B28" s="713"/>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1" t="s">
        <v>96</v>
      </c>
      <c r="B29" s="711"/>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2" t="s">
        <v>97</v>
      </c>
      <c r="B30" s="712"/>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3" t="s">
        <v>98</v>
      </c>
      <c r="B31" s="713"/>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4"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4">
        <f>C23</f>
        <v>16032490</v>
      </c>
      <c r="Z34" s="705"/>
    </row>
    <row r="35" spans="1:26" x14ac:dyDescent="0.25">
      <c r="A35" s="57"/>
      <c r="B35" s="714"/>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4"/>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4"/>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4"/>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4"/>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4"/>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4"/>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6"/>
      <c r="H43" s="706"/>
      <c r="I43" s="706"/>
      <c r="J43" s="706"/>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561"/>
      <c r="H47" s="561"/>
      <c r="I47" s="561"/>
      <c r="J47" s="561"/>
    </row>
    <row r="48" spans="1:26" x14ac:dyDescent="0.25">
      <c r="G48" s="715"/>
      <c r="H48" s="715"/>
      <c r="I48" s="715"/>
      <c r="J48" s="715"/>
      <c r="P48" s="383"/>
    </row>
    <row r="49" spans="7:10" ht="15" customHeight="1" x14ac:dyDescent="0.25">
      <c r="G49" s="715"/>
      <c r="H49" s="715"/>
      <c r="I49" s="715"/>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770</v>
      </c>
      <c r="C2" s="717"/>
      <c r="D2" s="717"/>
      <c r="E2" s="717"/>
      <c r="F2" s="717"/>
      <c r="G2" s="718"/>
      <c r="I2" s="727" t="s">
        <v>771</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21.374861316664244</v>
      </c>
      <c r="F3" s="159">
        <f>PLANTILLA!AJ12</f>
        <v>17.333385211160291</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19.125247844989865</v>
      </c>
      <c r="F4" s="159">
        <f ca="1">PLANTILLA!AJ22</f>
        <v>11.777080472846091</v>
      </c>
      <c r="G4" s="159">
        <f ca="1">PLANTILLA!AK22</f>
        <v>0.96036643782768727</v>
      </c>
      <c r="H4" s="159">
        <f ca="1">PLANTILLA!AL22</f>
        <v>0.55849563309922645</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15.270000000000001</v>
      </c>
      <c r="E7" s="159">
        <f>PLANTILLA!AI14</f>
        <v>18.027044351381253</v>
      </c>
      <c r="F7" s="159">
        <f>PLANTILLA!AJ14</f>
        <v>14.595862479614198</v>
      </c>
      <c r="G7" s="159">
        <f>PLANTILLA!AK14</f>
        <v>1.0586</v>
      </c>
      <c r="H7" s="159">
        <f>PLANTILLA!AL14</f>
        <v>0.99083333333333334</v>
      </c>
      <c r="K7" t="str">
        <f>A13</f>
        <v>E. Toney</v>
      </c>
      <c r="L7" s="406">
        <f t="shared" si="1"/>
        <v>1.3333333333333333</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14.635237294077491</v>
      </c>
      <c r="F8" s="159">
        <f>PLANTILLA!AJ13</f>
        <v>14.063963873497711</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15.58272564819538</v>
      </c>
      <c r="F9" s="159">
        <f>PLANTILLA!AJ15</f>
        <v>15.078076009741498</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14.293046583626074</v>
      </c>
      <c r="F13" s="159">
        <f>PLANTILLA!AJ9</f>
        <v>15.746750842264184</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11.990616497594893</v>
      </c>
      <c r="F14" s="159">
        <f>PLANTILLA!AJ8</f>
        <v>12.513352150259628</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8.0687095862380751</v>
      </c>
      <c r="F16" s="159">
        <f>PLANTILLA!AJ11</f>
        <v>9.6547433245134222</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7.9383747670995977</v>
      </c>
      <c r="F17" s="159">
        <f>PLANTILLA!AJ19</f>
        <v>9.2295094312563073</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7.1518002804357677</v>
      </c>
      <c r="F18" s="159">
        <f ca="1">PLANTILLA!AJ5</f>
        <v>12.894698326022491</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7"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8"/>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9">
        <f>C13</f>
        <v>10943703</v>
      </c>
      <c r="Z14" s="710"/>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1" t="s">
        <v>93</v>
      </c>
      <c r="B26" s="711"/>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2" t="s">
        <v>94</v>
      </c>
      <c r="B27" s="712"/>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3" t="s">
        <v>95</v>
      </c>
      <c r="B28" s="713"/>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1" t="s">
        <v>96</v>
      </c>
      <c r="B29" s="711"/>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2" t="s">
        <v>97</v>
      </c>
      <c r="B30" s="712"/>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3" t="s">
        <v>98</v>
      </c>
      <c r="B31" s="713"/>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4"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4">
        <f>C23</f>
        <v>7143175</v>
      </c>
      <c r="Z34" s="705"/>
    </row>
    <row r="35" spans="1:26" x14ac:dyDescent="0.25">
      <c r="A35" s="57"/>
      <c r="B35" s="714"/>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4"/>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4"/>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4"/>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4"/>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4"/>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4"/>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6"/>
      <c r="H43" s="706"/>
      <c r="I43" s="706"/>
      <c r="J43" s="706"/>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590"/>
      <c r="H47" s="590"/>
      <c r="I47" s="590"/>
      <c r="J47" s="590"/>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795</v>
      </c>
      <c r="C2" s="717"/>
      <c r="D2" s="717"/>
      <c r="E2" s="717"/>
      <c r="F2" s="717"/>
      <c r="G2" s="718"/>
      <c r="I2" s="727" t="s">
        <v>796</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823</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824</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829</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831</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797</v>
      </c>
      <c r="F9" s="204">
        <f>'A-P_T49'!F11+192375</f>
        <v>5746546</v>
      </c>
      <c r="G9" s="121">
        <f ca="1">F9/$F$34</f>
        <v>0.17223117405929145</v>
      </c>
      <c r="I9" s="397" t="s">
        <v>491</v>
      </c>
      <c r="J9" s="398" t="s">
        <v>845</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846</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847</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850</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4" t="s">
        <v>147</v>
      </c>
      <c r="B6" s="150" t="s">
        <v>148</v>
      </c>
      <c r="C6" s="150" t="s">
        <v>149</v>
      </c>
      <c r="D6" s="2">
        <v>0</v>
      </c>
      <c r="E6" s="2">
        <v>22</v>
      </c>
      <c r="F6" s="2">
        <v>0</v>
      </c>
      <c r="G6" s="2">
        <v>0</v>
      </c>
      <c r="H6" s="155">
        <f>H4*2</f>
        <v>8.8000000000000007</v>
      </c>
      <c r="I6" s="2">
        <f t="shared" si="0"/>
        <v>35.200000000000003</v>
      </c>
    </row>
    <row r="7" spans="1:9" x14ac:dyDescent="0.25">
      <c r="A7" s="734"/>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0" t="s">
        <v>326</v>
      </c>
      <c r="B30" s="690"/>
      <c r="C30" s="690"/>
      <c r="D30" s="690"/>
      <c r="F30" s="240" t="s">
        <v>337</v>
      </c>
      <c r="G30" s="235"/>
      <c r="H30" s="228">
        <v>4210500</v>
      </c>
      <c r="I30" s="234"/>
      <c r="J30" s="106"/>
    </row>
    <row r="31" spans="1:14" x14ac:dyDescent="0.25">
      <c r="A31" s="691" t="s">
        <v>257</v>
      </c>
      <c r="B31" s="692" t="s">
        <v>327</v>
      </c>
      <c r="C31" s="692" t="s">
        <v>328</v>
      </c>
      <c r="D31" s="692" t="s">
        <v>329</v>
      </c>
      <c r="F31" s="241" t="s">
        <v>341</v>
      </c>
      <c r="G31" s="236"/>
      <c r="H31" s="228">
        <v>3750000</v>
      </c>
      <c r="I31" s="234"/>
      <c r="J31" s="106"/>
    </row>
    <row r="32" spans="1:14" x14ac:dyDescent="0.25">
      <c r="A32" s="691"/>
      <c r="B32" s="692"/>
      <c r="C32" s="692"/>
      <c r="D32" s="692"/>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60000</v>
      </c>
      <c r="S2" s="228">
        <v>2068800</v>
      </c>
      <c r="T2" s="228">
        <f ca="1">S2+Q2+P2+R2</f>
        <v>2907442.8571428573</v>
      </c>
      <c r="U2" s="233">
        <f ca="1">T2/((O2-N2)/112)</f>
        <v>567305.92334494775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35400</v>
      </c>
      <c r="S4" s="228">
        <v>2059800</v>
      </c>
      <c r="T4" s="228">
        <f>S4+Q4+P4</f>
        <v>3126540</v>
      </c>
      <c r="U4" s="233">
        <f>T4/((O4-N4)/112)</f>
        <v>580717.21393034828</v>
      </c>
      <c r="V4" s="163">
        <f ca="1">(A7-N4)/112</f>
        <v>7.375</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43131</v>
      </c>
    </row>
    <row r="8" spans="1:22" x14ac:dyDescent="0.25">
      <c r="A8" s="177">
        <v>41757</v>
      </c>
    </row>
    <row r="9" spans="1:22" x14ac:dyDescent="0.25">
      <c r="A9" s="179">
        <f ca="1">A7-A8</f>
        <v>1374</v>
      </c>
    </row>
    <row r="10" spans="1:22" x14ac:dyDescent="0.25">
      <c r="A10" s="417">
        <f ca="1">A9/112</f>
        <v>12.267857142857142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43131</v>
      </c>
      <c r="P13" s="623">
        <v>1800000</v>
      </c>
      <c r="Q13" s="228">
        <v>372</v>
      </c>
      <c r="R13" s="228">
        <f t="shared" ref="R13" ca="1" si="4">((TODAY()-N13)/7)*L13</f>
        <v>27524.571428571428</v>
      </c>
      <c r="S13" s="623">
        <v>2553000</v>
      </c>
      <c r="T13" s="228">
        <f t="shared" ref="T13" si="5">S13+Q13+P13</f>
        <v>4353372</v>
      </c>
      <c r="U13" s="233">
        <f t="shared" ref="U13" ca="1" si="6">T13/((O13-N13)/112)</f>
        <v>2186446.923766816</v>
      </c>
      <c r="V13" s="163">
        <v>7</v>
      </c>
    </row>
    <row r="16" spans="1:22" x14ac:dyDescent="0.25">
      <c r="N16" s="682"/>
    </row>
    <row r="17" spans="1:22" ht="18" x14ac:dyDescent="0.25">
      <c r="A17" s="608">
        <v>42908</v>
      </c>
      <c r="B17" s="290"/>
      <c r="C17">
        <v>112</v>
      </c>
      <c r="D17">
        <v>0</v>
      </c>
    </row>
    <row r="18" spans="1:22" x14ac:dyDescent="0.25">
      <c r="A18" s="290">
        <f ca="1">TODAY()</f>
        <v>43131</v>
      </c>
      <c r="B18" s="290"/>
      <c r="C18">
        <v>400</v>
      </c>
      <c r="D18">
        <v>1</v>
      </c>
    </row>
    <row r="19" spans="1:22" x14ac:dyDescent="0.25">
      <c r="A19">
        <f ca="1">A18-A17</f>
        <v>223</v>
      </c>
      <c r="C19">
        <f>C18-C17</f>
        <v>288</v>
      </c>
      <c r="D19" s="609">
        <f ca="1">(A19-C17)/C19</f>
        <v>0.38541666666666669</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90" t="s">
        <v>326</v>
      </c>
      <c r="B28" s="690"/>
      <c r="C28" s="690"/>
      <c r="D28" s="690"/>
    </row>
    <row r="29" spans="1:22" x14ac:dyDescent="0.25">
      <c r="A29" s="691" t="s">
        <v>257</v>
      </c>
      <c r="B29" s="692" t="s">
        <v>327</v>
      </c>
      <c r="C29" s="692" t="s">
        <v>328</v>
      </c>
      <c r="D29" s="692" t="s">
        <v>329</v>
      </c>
    </row>
    <row r="30" spans="1:22" x14ac:dyDescent="0.25">
      <c r="A30" s="691"/>
      <c r="B30" s="692"/>
      <c r="C30" s="692"/>
      <c r="D30" s="692"/>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D17" sqref="D17"/>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3.719642857142857</v>
      </c>
      <c r="D1" s="345">
        <f ca="1">TODAY()</f>
        <v>43131</v>
      </c>
      <c r="E1" s="683">
        <v>41471</v>
      </c>
      <c r="F1" s="683"/>
      <c r="G1" s="683"/>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5.7368421052631575</v>
      </c>
      <c r="R2" s="502">
        <f>AVERAGE(R5:R23)</f>
        <v>0.90040069484621499</v>
      </c>
      <c r="S2" s="502">
        <f>AVERAGE(S5:S23)</f>
        <v>0.95129313637139168</v>
      </c>
      <c r="T2" s="348">
        <f>AVERAGE(T5:T23)</f>
        <v>117372.10526315789</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9" t="s">
        <v>852</v>
      </c>
    </row>
    <row r="5" spans="1:46" x14ac:dyDescent="0.25">
      <c r="A5" s="384" t="s">
        <v>403</v>
      </c>
      <c r="B5" s="384" t="s">
        <v>1</v>
      </c>
      <c r="C5" s="385">
        <f ca="1">((34*112)-(E5*112)-(F5))/112</f>
        <v>3.5267857142857144</v>
      </c>
      <c r="D5" s="658" t="s">
        <v>782</v>
      </c>
      <c r="E5" s="387">
        <v>30</v>
      </c>
      <c r="F5" s="395">
        <f ca="1">-42406+$D$1-112-112-112-112-112-112</f>
        <v>53</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5</v>
      </c>
      <c r="R5" s="501">
        <f>(Q5/7)^0.5</f>
        <v>0.84515425472851657</v>
      </c>
      <c r="S5" s="501">
        <f>IF(Q5=7,1,((Q5+0.99)/7)^0.5)</f>
        <v>0.92504826128926143</v>
      </c>
      <c r="T5" s="324">
        <v>86720</v>
      </c>
      <c r="U5" s="627">
        <f t="shared" ref="U5:U23" si="2">T5-AR5</f>
        <v>-13430</v>
      </c>
      <c r="V5" s="324">
        <v>39696</v>
      </c>
      <c r="W5" s="316">
        <f t="shared" ref="W5:W24" si="3">T5/V5</f>
        <v>2.1846029826682791</v>
      </c>
      <c r="X5" s="486">
        <f>16+12/18</f>
        <v>16.666666666666668</v>
      </c>
      <c r="Y5" s="487">
        <f>10.53+0.11+0.11+0.11+0.11+0.11+1/11+1/11*0.16+1/11+1/11+1/11+1/11+1/11+1/11+1/11+1/11+1/11+1/13</f>
        <v>12.080559440559444</v>
      </c>
      <c r="Z5" s="486">
        <f>2+0.01+0.01+0.01+0.01+0.01+0.01+0.01</f>
        <v>2.0699999999999985</v>
      </c>
      <c r="AA5" s="487">
        <f>1.94+0.03+0.03+0.03+0.03+0.03+0.03+0.02+0.01</f>
        <v>2.149999999999999</v>
      </c>
      <c r="AB5" s="486">
        <f>0.6+0.04+0.04+0.04+0.04+0.04+0.04+0.03+0.03+0.02+0.02+0.02+0.02+0.02+0.02+0.01+0.01</f>
        <v>1.0400000000000003</v>
      </c>
      <c r="AC5" s="487">
        <f>0+0.05+0.05*37/90+0.04+0.02+0.01</f>
        <v>0.14055555555555557</v>
      </c>
      <c r="AD5" s="486">
        <f>13.8+0.5+0.5+0.5+0.34+0.34+0.34+0.34+0.34+0.25+0.2+0.2+0.2</f>
        <v>17.849999999999998</v>
      </c>
      <c r="AE5" s="324">
        <v>1467</v>
      </c>
      <c r="AF5" s="604">
        <f ca="1">(Z5+P5+J5)*(Q5/7)^0.5</f>
        <v>4.0483278827366513</v>
      </c>
      <c r="AG5" s="604">
        <f ca="1">(Z5+P5+J5)*(IF(Q5=7, (Q5/7)^0.5, ((Q5+1)/7)^0.5))</f>
        <v>4.4347210031039861</v>
      </c>
      <c r="AH5" s="316">
        <f ca="1">(((Y5+P5+J5)+(AB5+P5+J5)*2)/8)*(Q5/7)^0.5</f>
        <v>2.3580540983588434</v>
      </c>
      <c r="AI5" s="316">
        <f ca="1">(1.66*(AC5+J5+P5)+0.55*(AD5+J5+P5)-7.6)*(Q5/7)^0.5</f>
        <v>7.1518002804357677</v>
      </c>
      <c r="AJ5" s="316">
        <f ca="1">((AD5+J5+P5)*0.7+(AC5+J5+P5)*0.3)*(Q5/7)^0.5</f>
        <v>12.894698326022491</v>
      </c>
      <c r="AK5" s="316">
        <f ca="1">(0.5*(AC5+P5+J5)+ 0.3*(AD5+P5+J5))/10</f>
        <v>0.76013146965644629</v>
      </c>
      <c r="AL5" s="316">
        <f ca="1">(0.4*(Y5+P5+J5)+0.3*(AD5+P5+J5))/10</f>
        <v>1.2091256080162127</v>
      </c>
      <c r="AM5" s="311">
        <f ca="1">(AD5+P5+(LOG(I5)*4/3))*(Q5/7)^0.5</f>
        <v>17.359098471941195</v>
      </c>
      <c r="AN5" s="311">
        <f ca="1">(AD5+P5+(LOG(I5)*4/3))*(IF(Q5=7, (Q5/7)^0.5, ((Q5+1)/7)^0.5))</f>
        <v>19.015939622071304</v>
      </c>
      <c r="AO5" s="446">
        <v>2</v>
      </c>
      <c r="AP5" s="446">
        <v>2</v>
      </c>
      <c r="AQ5" s="591">
        <f>IF(AO5=4,IF(AP5=0,0.137+0.0697,0.137+0.02),IF(AO5=3,IF(AP5=0,0.0958+0.0697,0.0958+0.02),IF(AO5=2,IF(AP5=0,0.0415+0.0697,0.0415+0.02),IF(AO5=1,IF(AP5=0,0.0294+0.0697,0.0294+0.02),IF(AO5=0,IF(AP5=0,0.0063+0.0697,0.0063+0.02))))))</f>
        <v>6.1499999999999999E-2</v>
      </c>
      <c r="AR5">
        <v>100150</v>
      </c>
      <c r="AS5">
        <f>AR5</f>
        <v>100150</v>
      </c>
      <c r="AT5" s="390">
        <f>AS5-T5</f>
        <v>13430</v>
      </c>
    </row>
    <row r="6" spans="1:46" s="263" customFormat="1" x14ac:dyDescent="0.25">
      <c r="A6" s="384" t="s">
        <v>484</v>
      </c>
      <c r="B6" s="384" t="s">
        <v>1</v>
      </c>
      <c r="C6" s="385">
        <f t="shared" ref="C6:C23" ca="1" si="4">((34*112)-(E6*112)-(F6))/112</f>
        <v>-0.5535714285714286</v>
      </c>
      <c r="D6" s="658" t="s">
        <v>267</v>
      </c>
      <c r="E6" s="387">
        <v>34</v>
      </c>
      <c r="F6" s="395">
        <f ca="1">82-41471+$D$1-112-112-112-112-112-112-112-112-112-112-112-112-112-112-112</f>
        <v>62</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1750</v>
      </c>
      <c r="U6" s="627">
        <f t="shared" si="2"/>
        <v>100</v>
      </c>
      <c r="V6" s="324">
        <v>2770</v>
      </c>
      <c r="W6" s="316">
        <f t="shared" si="3"/>
        <v>0.63176895306859204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1650</v>
      </c>
      <c r="AS6">
        <f t="shared" ref="AS6:AS23" si="21">AR6</f>
        <v>1650</v>
      </c>
      <c r="AT6" s="390">
        <f t="shared" ref="AT6:AT22" si="22">AS6-T6</f>
        <v>-100</v>
      </c>
    </row>
    <row r="7" spans="1:46" s="248" customFormat="1" x14ac:dyDescent="0.25">
      <c r="A7" s="384" t="s">
        <v>582</v>
      </c>
      <c r="B7" s="384" t="s">
        <v>2</v>
      </c>
      <c r="C7" s="385">
        <f t="shared" ca="1" si="4"/>
        <v>3.4196428571428572</v>
      </c>
      <c r="D7" s="658" t="s">
        <v>856</v>
      </c>
      <c r="E7" s="387">
        <v>30</v>
      </c>
      <c r="F7" s="395">
        <f ca="1">82-41471+$D$1-112-112-112-112-112-112-112-112-112-112-112+3-112-112-112-112</f>
        <v>65</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255190</v>
      </c>
      <c r="U7" s="627">
        <f t="shared" si="2"/>
        <v>2810</v>
      </c>
      <c r="V7" s="324">
        <v>29520</v>
      </c>
      <c r="W7" s="316">
        <f>T7/V7</f>
        <v>8.6446476964769641</v>
      </c>
      <c r="X7" s="486">
        <v>0</v>
      </c>
      <c r="Y7" s="487">
        <f>14+1/20+1/20+1/20+1/20+1/20+1/20</f>
        <v>14.300000000000004</v>
      </c>
      <c r="Z7" s="486">
        <f>9+1/9*0.5+1/9*0.16+0.1*0.5+0.1*0.5+0.1*0.5+0.01+0.1*0.5+0.1*0.16+0.01+0.01+0.1*0.5+0.01</f>
        <v>9.3793333333333351</v>
      </c>
      <c r="AA7" s="487">
        <f>14+1/12*0.5+1/12*0.5+1/12*0.5+1/12*0.5+1/12*0.5+1/12*0.5+1/12*0.5+1/12*0.5</f>
        <v>14.333333333333329</v>
      </c>
      <c r="AB7" s="486">
        <f>8.45+0.15+0.15+0.02+0.12+0.12+0.11+0.01+0.08+0.07+0.07+0.07</f>
        <v>9.4199999999999982</v>
      </c>
      <c r="AC7" s="487">
        <f>1+1/7</f>
        <v>1.1428571428571428</v>
      </c>
      <c r="AD7" s="486">
        <f>9+0.4</f>
        <v>9.4</v>
      </c>
      <c r="AE7" s="324">
        <v>1902</v>
      </c>
      <c r="AF7" s="604">
        <f t="shared" ca="1" si="11"/>
        <v>11.075302825234953</v>
      </c>
      <c r="AG7" s="604">
        <f t="shared" ca="1" si="12"/>
        <v>11.962694294448619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252380</v>
      </c>
      <c r="AS7">
        <f t="shared" si="21"/>
        <v>252380</v>
      </c>
      <c r="AT7" s="390">
        <f t="shared" si="22"/>
        <v>-2810</v>
      </c>
    </row>
    <row r="8" spans="1:46" s="254" customFormat="1" x14ac:dyDescent="0.25">
      <c r="A8" s="305" t="s">
        <v>412</v>
      </c>
      <c r="B8" s="260" t="s">
        <v>2</v>
      </c>
      <c r="C8" s="385">
        <f t="shared" ca="1" si="4"/>
        <v>2.0178571428571428</v>
      </c>
      <c r="D8" s="659" t="s">
        <v>275</v>
      </c>
      <c r="E8" s="210">
        <v>31</v>
      </c>
      <c r="F8" s="211">
        <f ca="1">18-41471+$D$1-112-112-112-112-112-112-112-112-112-112-112-112-112-112</f>
        <v>110</v>
      </c>
      <c r="G8" s="262" t="s">
        <v>502</v>
      </c>
      <c r="H8" s="394">
        <v>4</v>
      </c>
      <c r="I8" s="214">
        <v>7.6</v>
      </c>
      <c r="J8" s="487">
        <f t="shared" si="5"/>
        <v>1.2459979349914236</v>
      </c>
      <c r="K8" s="303">
        <f t="shared" si="6"/>
        <v>121.6</v>
      </c>
      <c r="L8" s="303">
        <f t="shared" si="7"/>
        <v>190</v>
      </c>
      <c r="M8" s="296">
        <v>6.9</v>
      </c>
      <c r="N8" s="446">
        <f t="shared" si="8"/>
        <v>88</v>
      </c>
      <c r="O8" s="446" t="s">
        <v>557</v>
      </c>
      <c r="P8" s="679">
        <v>1.5</v>
      </c>
      <c r="Q8" s="447">
        <v>5</v>
      </c>
      <c r="R8" s="501">
        <f t="shared" si="9"/>
        <v>0.84515425472851657</v>
      </c>
      <c r="S8" s="501">
        <f t="shared" si="10"/>
        <v>0.92504826128926143</v>
      </c>
      <c r="T8" s="628">
        <v>19160</v>
      </c>
      <c r="U8" s="627">
        <f t="shared" si="2"/>
        <v>-830</v>
      </c>
      <c r="V8" s="628">
        <v>3510</v>
      </c>
      <c r="W8" s="316">
        <f t="shared" si="3"/>
        <v>5.4586894586894585</v>
      </c>
      <c r="X8" s="486">
        <v>0</v>
      </c>
      <c r="Y8" s="487">
        <f>11+1/15*0.16+1/15</f>
        <v>11.077333333333334</v>
      </c>
      <c r="Z8" s="486">
        <f>4.61+0.04+0.04+0.04+0.04+0.25+0.14+0.13+0.13+0.12+0.12+0.12+0.04*55/90+0.025+0.13+0.02+0.02+0.02+0.02+0.02+0.01+0.01+0.01+0.12*0.5+0.01+0.02+0.01+0.01+0.01+0.01</f>
        <v>6.2194444444444406</v>
      </c>
      <c r="AA8" s="487">
        <f>5.98+0.12*0.5+0.12*0.5</f>
        <v>6.1</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7.5771817725035753</v>
      </c>
      <c r="AG8" s="604">
        <f t="shared" si="12"/>
        <v>8.3003867582343727</v>
      </c>
      <c r="AH8" s="316">
        <f t="shared" si="13"/>
        <v>3.6722884883546643</v>
      </c>
      <c r="AI8" s="316">
        <f t="shared" si="14"/>
        <v>11.990616497594893</v>
      </c>
      <c r="AJ8" s="316">
        <f t="shared" si="15"/>
        <v>12.513352150259628</v>
      </c>
      <c r="AK8" s="316">
        <f t="shared" si="16"/>
        <v>0.8993465014659805</v>
      </c>
      <c r="AL8" s="316">
        <f t="shared" si="17"/>
        <v>1.0958131887827329</v>
      </c>
      <c r="AM8" s="311">
        <f t="shared" si="18"/>
        <v>15.233413665693927</v>
      </c>
      <c r="AN8" s="311">
        <f t="shared" si="19"/>
        <v>16.687368585016049</v>
      </c>
      <c r="AO8" s="447">
        <v>2</v>
      </c>
      <c r="AP8" s="447">
        <v>3</v>
      </c>
      <c r="AQ8" s="591">
        <f t="shared" si="20"/>
        <v>6.1499999999999999E-2</v>
      </c>
      <c r="AR8" s="254">
        <v>19990</v>
      </c>
      <c r="AS8">
        <f t="shared" si="21"/>
        <v>19990</v>
      </c>
      <c r="AT8" s="390">
        <f t="shared" si="22"/>
        <v>830</v>
      </c>
    </row>
    <row r="9" spans="1:46" s="246" customFormat="1" x14ac:dyDescent="0.25">
      <c r="A9" s="384" t="s">
        <v>504</v>
      </c>
      <c r="B9" s="384" t="s">
        <v>2</v>
      </c>
      <c r="C9" s="385">
        <f t="shared" ca="1" si="4"/>
        <v>2.4285714285714284</v>
      </c>
      <c r="D9" s="658" t="s">
        <v>269</v>
      </c>
      <c r="E9" s="387">
        <v>31</v>
      </c>
      <c r="F9" s="395">
        <f ca="1">84-41471+$D$1-112-112-112-112-112-112-112-112-112-112-112-112-112-112-112</f>
        <v>64</v>
      </c>
      <c r="G9" s="388"/>
      <c r="H9" s="394">
        <v>4</v>
      </c>
      <c r="I9" s="308">
        <v>12.4</v>
      </c>
      <c r="J9" s="487">
        <f t="shared" si="5"/>
        <v>1.5028063978197437</v>
      </c>
      <c r="K9" s="303">
        <f t="shared" si="6"/>
        <v>198.4</v>
      </c>
      <c r="L9" s="303">
        <f t="shared" si="7"/>
        <v>310</v>
      </c>
      <c r="M9" s="389">
        <v>7.3</v>
      </c>
      <c r="N9" s="446">
        <f t="shared" si="8"/>
        <v>92</v>
      </c>
      <c r="O9" s="446" t="s">
        <v>557</v>
      </c>
      <c r="P9" s="679">
        <v>1.5</v>
      </c>
      <c r="Q9" s="446">
        <v>7</v>
      </c>
      <c r="R9" s="501">
        <f t="shared" si="9"/>
        <v>1</v>
      </c>
      <c r="S9" s="501">
        <f t="shared" si="10"/>
        <v>1</v>
      </c>
      <c r="T9" s="324">
        <v>133510</v>
      </c>
      <c r="U9" s="627">
        <f t="shared" si="2"/>
        <v>230</v>
      </c>
      <c r="V9" s="324">
        <v>14670</v>
      </c>
      <c r="W9" s="316">
        <f t="shared" si="3"/>
        <v>9.1008861622358559</v>
      </c>
      <c r="X9" s="486">
        <v>0</v>
      </c>
      <c r="Y9" s="487">
        <f>9.9+0.14+0.14+0.14+0.14+0.13+0.13+0.13+0.12+0.12+0.09+0.09+0.09+0.09+0.08+0.08+0.08+0.08+0.08+0.07+0.07+0.07+0.07+0.07</f>
        <v>12.200000000000005</v>
      </c>
      <c r="Z9" s="486">
        <f>10.72+0.15+0.15+0.15+0.14+0.14+0.11+0.11+0.11+0.11+0.11+0.11+0.11+0.11*0.5+0.11*0.5+0.11*0.5+0.1+0.1*0.5+0.1*0.5+0.1*0.5+0.1*0.16+0.09+0.08+0.08+0.08*0.5+0.08+1/18+0.08*0.5+0.08*0.5+0.07+0.07*0.5</f>
        <v>13.261555555555553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16.264361953375296</v>
      </c>
      <c r="AG9" s="604">
        <f t="shared" si="12"/>
        <v>16.264361953375296</v>
      </c>
      <c r="AH9" s="316">
        <f t="shared" si="13"/>
        <v>5.0510523991824039</v>
      </c>
      <c r="AI9" s="316">
        <f t="shared" si="14"/>
        <v>14.293046583626074</v>
      </c>
      <c r="AJ9" s="316">
        <f t="shared" si="15"/>
        <v>15.746750842264184</v>
      </c>
      <c r="AK9" s="316">
        <f t="shared" si="16"/>
        <v>0.92314117849224586</v>
      </c>
      <c r="AL9" s="316">
        <f t="shared" si="17"/>
        <v>1.1970297811807153</v>
      </c>
      <c r="AM9" s="311">
        <f t="shared" si="18"/>
        <v>19.585673357994086</v>
      </c>
      <c r="AN9" s="311">
        <f t="shared" si="19"/>
        <v>19.585673357994086</v>
      </c>
      <c r="AO9" s="446">
        <v>2</v>
      </c>
      <c r="AP9" s="446">
        <v>3</v>
      </c>
      <c r="AQ9" s="591">
        <f t="shared" si="20"/>
        <v>6.1499999999999999E-2</v>
      </c>
      <c r="AR9" s="246">
        <v>133280</v>
      </c>
      <c r="AS9">
        <f t="shared" si="21"/>
        <v>133280</v>
      </c>
      <c r="AT9" s="390">
        <f t="shared" si="22"/>
        <v>-230</v>
      </c>
    </row>
    <row r="10" spans="1:46" s="247" customFormat="1" x14ac:dyDescent="0.25">
      <c r="A10" s="384" t="s">
        <v>405</v>
      </c>
      <c r="B10" s="260" t="s">
        <v>2</v>
      </c>
      <c r="C10" s="385">
        <f t="shared" ca="1" si="4"/>
        <v>2.5625</v>
      </c>
      <c r="D10" s="659" t="s">
        <v>273</v>
      </c>
      <c r="E10" s="210">
        <v>31</v>
      </c>
      <c r="F10" s="211">
        <f ca="1">69-41471+$D$1-112-112-112-112-112-112-112-112-112-112-112-112-112-112-112</f>
        <v>49</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39730</v>
      </c>
      <c r="U10" s="627">
        <f t="shared" si="2"/>
        <v>-490</v>
      </c>
      <c r="V10" s="628">
        <v>5350</v>
      </c>
      <c r="W10" s="316">
        <f t="shared" si="3"/>
        <v>7.4261682242990652</v>
      </c>
      <c r="X10" s="486">
        <v>0</v>
      </c>
      <c r="Y10" s="487">
        <f>9.15+0.15+0.15+0.15+0.15+0.15+0.15+0.15+0.15+0.15+0.12+0.12+0.12+0.12+0.12+0.1+0.1+0.1+0.1+0.1+0.1+0.1+0.1+0.1</f>
        <v>11.999999999999996</v>
      </c>
      <c r="Z10" s="486">
        <f>5.99+0.04+0.04+(0.04/90*75)+(0.25*15/90)+0.03+0.03+(0.03*20/90)+0.03+0.03+(0.22*0.5*30/90)+(0.22/16*60/90)+0.03+0.03+0.22*0.5+0.2*0.5+0.03+0.22*0.5+0.03+0.03+0.03+0.01+0.01+0.01+0.01+0.01+1/8*0.5+0.01+1/8*0.5+0.01+0.01</f>
        <v>7.0225000000000017</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9.8840857320932507</v>
      </c>
      <c r="AG10" s="604">
        <f t="shared" si="12"/>
        <v>9.8840857320932507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40220</v>
      </c>
      <c r="AS10">
        <f t="shared" si="21"/>
        <v>40220</v>
      </c>
      <c r="AT10" s="390">
        <f t="shared" si="22"/>
        <v>490</v>
      </c>
    </row>
    <row r="11" spans="1:46" s="264" customFormat="1" x14ac:dyDescent="0.25">
      <c r="A11" s="304" t="s">
        <v>495</v>
      </c>
      <c r="B11" s="260" t="s">
        <v>2</v>
      </c>
      <c r="C11" s="385">
        <f t="shared" ca="1" si="4"/>
        <v>6.3571428571428568</v>
      </c>
      <c r="D11" s="659" t="s">
        <v>567</v>
      </c>
      <c r="E11" s="210">
        <v>27</v>
      </c>
      <c r="F11" s="211">
        <f ca="1">75-41471+$D$1-24-112-10-112-112+6-112-112-112+45-112-112-112-112-112-112-112-112-112</f>
        <v>72</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4</v>
      </c>
      <c r="R11" s="501">
        <f t="shared" si="9"/>
        <v>0.7559289460184544</v>
      </c>
      <c r="S11" s="501">
        <f t="shared" si="10"/>
        <v>0.84430867747355465</v>
      </c>
      <c r="T11" s="628">
        <v>32400</v>
      </c>
      <c r="U11" s="627">
        <f t="shared" si="2"/>
        <v>-6080</v>
      </c>
      <c r="V11" s="628">
        <v>2510</v>
      </c>
      <c r="W11" s="316">
        <f t="shared" si="3"/>
        <v>12.908366533864541</v>
      </c>
      <c r="X11" s="486">
        <v>0</v>
      </c>
      <c r="Y11" s="487">
        <f>6.51+0.25+0.25+0.25+0.2+0.2+0.2+0.2+0.19+0.19+0.17+0.16+0.16+0.03+0.16+0.15*33/90+0.14+0.13+0.13*36/90+0.02+0.12*32/90+0.02+0.02+0.15*3/90</f>
        <v>9.6046666666666667</v>
      </c>
      <c r="Z11" s="486">
        <f>6.92+0.04+0.04+0.04+0.13+0.04+0.03+0.03+(0.25*30/90*0.5)+(0.25*60/90*0.16)+0.03+0.03+0.25*0.5*1/90+0.026+0.03+0.03+0.03+0.03+0.25*0.5+0.02+0.02+0.02+0.01+0.01+0.01</f>
        <v>7.7607222222222223</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7.7773937870765915</v>
      </c>
      <c r="AG11" s="604">
        <f t="shared" si="12"/>
        <v>8.6953905978438932</v>
      </c>
      <c r="AH11" s="316">
        <f t="shared" si="13"/>
        <v>3.2991329564770204</v>
      </c>
      <c r="AI11" s="316">
        <f t="shared" si="14"/>
        <v>8.0687095862380751</v>
      </c>
      <c r="AJ11" s="316">
        <f t="shared" si="15"/>
        <v>9.6547433245134222</v>
      </c>
      <c r="AK11" s="316">
        <f t="shared" si="16"/>
        <v>0.7622242145751621</v>
      </c>
      <c r="AL11" s="316">
        <f t="shared" si="17"/>
        <v>0.95829952108660021</v>
      </c>
      <c r="AM11" s="311">
        <f t="shared" si="18"/>
        <v>11.837205003690251</v>
      </c>
      <c r="AN11" s="311">
        <f t="shared" si="19"/>
        <v>13.234397525926026</v>
      </c>
      <c r="AO11" s="447">
        <v>3</v>
      </c>
      <c r="AP11" s="447">
        <v>2</v>
      </c>
      <c r="AQ11" s="591">
        <f t="shared" si="20"/>
        <v>0.1158</v>
      </c>
      <c r="AR11" s="264">
        <v>38480</v>
      </c>
      <c r="AS11">
        <f t="shared" si="21"/>
        <v>38480</v>
      </c>
      <c r="AT11" s="390">
        <f t="shared" si="22"/>
        <v>6080</v>
      </c>
    </row>
    <row r="12" spans="1:46" s="264" customFormat="1" x14ac:dyDescent="0.25">
      <c r="A12" s="384" t="s">
        <v>408</v>
      </c>
      <c r="B12" s="384" t="s">
        <v>65</v>
      </c>
      <c r="C12" s="385">
        <f t="shared" ca="1" si="4"/>
        <v>2.7678571428571428</v>
      </c>
      <c r="D12" s="658" t="s">
        <v>816</v>
      </c>
      <c r="E12" s="387">
        <v>31</v>
      </c>
      <c r="F12" s="211">
        <f ca="1">46-41471+$D$1-112-112-112-112-112-112-112-112-112-112-112-112-112-112-112</f>
        <v>26</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7</v>
      </c>
      <c r="R12" s="501">
        <f t="shared" si="9"/>
        <v>1</v>
      </c>
      <c r="S12" s="501">
        <f t="shared" si="10"/>
        <v>1</v>
      </c>
      <c r="T12" s="324">
        <v>206420</v>
      </c>
      <c r="U12" s="627">
        <f t="shared" si="2"/>
        <v>4480</v>
      </c>
      <c r="V12" s="324">
        <v>14850</v>
      </c>
      <c r="W12" s="316">
        <f t="shared" si="3"/>
        <v>13.9003367003367</v>
      </c>
      <c r="X12" s="486">
        <v>0</v>
      </c>
      <c r="Y12" s="487">
        <f>11.95+1/18+1/18</f>
        <v>12.06111111111111</v>
      </c>
      <c r="Z12" s="486">
        <f>9.9+0.17+(0.17/90*26)+0.17+0.15+0.15+0.15+0.13+0.13+(1/8)+0.13+0.13+0.13*0.5+0.11+0.11+0.11*0.5+0.11*0.5+0.1*0.5+0.1*0.5+0.1+0.1+0.1*0.5+0.09+0.09*0.5+0.09*0.5+0.09*0.5+0.09*0.5+0.09*0.5+0.09*0.5+0.09*0.5+0.09*0.5+0.07*0.5</f>
        <v>12.614111111111114</v>
      </c>
      <c r="AA12" s="487">
        <f>13.05+1/12+1/12</f>
        <v>13.216666666666669</v>
      </c>
      <c r="AB12" s="486">
        <f>10.7+0.07+0.07+0.07</f>
        <v>10.91</v>
      </c>
      <c r="AC12" s="487">
        <f>5.71+0.29+0.29+0.29+0.25+0.25+0.2+0.2+0.2+0.015+0.15*0.5</f>
        <v>7.7700000000000005</v>
      </c>
      <c r="AD12" s="486">
        <f>10.8+0.67+0.55+0.55+0.45+0.45+0.4+0.4+0.35+0.35+0.33+0.33+0.3+0.3+0.25+0.25+0.2+0.2</f>
        <v>17.13</v>
      </c>
      <c r="AE12" s="324">
        <v>2204</v>
      </c>
      <c r="AF12" s="604">
        <f t="shared" si="11"/>
        <v>15.625496322271404</v>
      </c>
      <c r="AG12" s="604">
        <f t="shared" si="12"/>
        <v>15.625496322271404</v>
      </c>
      <c r="AH12" s="316">
        <f t="shared" si="13"/>
        <v>5.3644083430739977</v>
      </c>
      <c r="AI12" s="316">
        <f t="shared" si="14"/>
        <v>21.374861316664244</v>
      </c>
      <c r="AJ12" s="316">
        <f t="shared" si="15"/>
        <v>17.333385211160291</v>
      </c>
      <c r="AK12" s="316">
        <f t="shared" si="16"/>
        <v>1.1433108168928232</v>
      </c>
      <c r="AL12" s="316">
        <f t="shared" si="17"/>
        <v>1.2071414092256647</v>
      </c>
      <c r="AM12" s="311">
        <f t="shared" si="18"/>
        <v>20.097160726823418</v>
      </c>
      <c r="AN12" s="311">
        <f t="shared" si="19"/>
        <v>20.097160726823418</v>
      </c>
      <c r="AO12" s="446">
        <v>1</v>
      </c>
      <c r="AP12" s="446">
        <v>2</v>
      </c>
      <c r="AQ12" s="591">
        <f t="shared" si="20"/>
        <v>4.9399999999999999E-2</v>
      </c>
      <c r="AR12" s="264">
        <v>201940</v>
      </c>
      <c r="AS12">
        <f t="shared" si="21"/>
        <v>201940</v>
      </c>
      <c r="AT12" s="390">
        <f t="shared" si="22"/>
        <v>-4480</v>
      </c>
    </row>
    <row r="13" spans="1:46" s="254" customFormat="1" x14ac:dyDescent="0.25">
      <c r="A13" s="384" t="s">
        <v>410</v>
      </c>
      <c r="B13" s="384" t="s">
        <v>65</v>
      </c>
      <c r="C13" s="385">
        <f t="shared" ca="1" si="4"/>
        <v>3.2410714285714284</v>
      </c>
      <c r="D13" s="658" t="s">
        <v>298</v>
      </c>
      <c r="E13" s="387">
        <v>30</v>
      </c>
      <c r="F13" s="395">
        <f ca="1">75-41471+$D$1-24-112-10-112-40-8-112-112-112-112-112-112-112-112-112-112-112-112</f>
        <v>85</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103900</v>
      </c>
      <c r="U13" s="627">
        <f t="shared" si="2"/>
        <v>-1290</v>
      </c>
      <c r="V13" s="324">
        <v>10060</v>
      </c>
      <c r="W13" s="316">
        <f t="shared" si="3"/>
        <v>10.328031809145129</v>
      </c>
      <c r="X13" s="486">
        <v>0</v>
      </c>
      <c r="Y13" s="487">
        <f>7+0.11+0.11+1/33</f>
        <v>7.2503030303030309</v>
      </c>
      <c r="Z13" s="486">
        <f>10+0.1*0.5+0.1*0.5+0.1*0.5+0.1*0.5+0.1*0.5+0.1+0.1+0.1*0.5+0.1*0.5+0.1*0.5</f>
        <v>10.600000000000005</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11.417363324815362</v>
      </c>
      <c r="AG13" s="604">
        <f t="shared" si="12"/>
        <v>12.507094880467113</v>
      </c>
      <c r="AH13" s="316">
        <f t="shared" si="13"/>
        <v>3.8769256607732214</v>
      </c>
      <c r="AI13" s="316">
        <f t="shared" si="14"/>
        <v>14.635237294077491</v>
      </c>
      <c r="AJ13" s="316">
        <f t="shared" si="15"/>
        <v>14.063963873497711</v>
      </c>
      <c r="AK13" s="316">
        <f t="shared" si="16"/>
        <v>1.0219865174758904</v>
      </c>
      <c r="AL13" s="316">
        <f t="shared" si="17"/>
        <v>1.0126565740035254</v>
      </c>
      <c r="AM13" s="311">
        <f t="shared" si="18"/>
        <v>17.034966727441599</v>
      </c>
      <c r="AN13" s="311">
        <f t="shared" si="19"/>
        <v>18.660871085939448</v>
      </c>
      <c r="AO13" s="446">
        <v>4</v>
      </c>
      <c r="AP13" s="446">
        <v>4</v>
      </c>
      <c r="AQ13" s="591">
        <f t="shared" si="20"/>
        <v>0.157</v>
      </c>
      <c r="AR13" s="254">
        <v>105190</v>
      </c>
      <c r="AS13">
        <f t="shared" si="21"/>
        <v>105190</v>
      </c>
      <c r="AT13" s="390">
        <f t="shared" si="22"/>
        <v>1290</v>
      </c>
    </row>
    <row r="14" spans="1:46" s="263" customFormat="1" x14ac:dyDescent="0.25">
      <c r="A14" s="384" t="s">
        <v>409</v>
      </c>
      <c r="B14" s="384" t="s">
        <v>65</v>
      </c>
      <c r="C14" s="385">
        <f t="shared" ca="1" si="4"/>
        <v>6.1071428571428568</v>
      </c>
      <c r="D14" s="658" t="s">
        <v>507</v>
      </c>
      <c r="E14" s="387">
        <v>27</v>
      </c>
      <c r="F14" s="211">
        <f ca="1">7-41471+$D$1-112-111-112+4-112-116-112-112-112-112-112-112-112-112-112</f>
        <v>100</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6</v>
      </c>
      <c r="R14" s="501">
        <f t="shared" si="9"/>
        <v>0.92582009977255142</v>
      </c>
      <c r="S14" s="501">
        <f t="shared" si="10"/>
        <v>0.99928545900129484</v>
      </c>
      <c r="T14" s="324">
        <v>229930</v>
      </c>
      <c r="U14" s="627">
        <f t="shared" si="2"/>
        <v>16570</v>
      </c>
      <c r="V14" s="324">
        <v>12550</v>
      </c>
      <c r="W14" s="316">
        <f t="shared" si="3"/>
        <v>18.321115537848605</v>
      </c>
      <c r="X14" s="486">
        <v>0</v>
      </c>
      <c r="Y14" s="487">
        <f>8+0.12+0.12+0.12</f>
        <v>8.3599999999999977</v>
      </c>
      <c r="Z14" s="486">
        <f>8.4+0.22+0.22+(0.22*75/90)+(0.05*15/90)+0.17+0.17+0.17+0.17+0.17+1/7+0.16+0.16+0.16+0.125+0.16+0.16+0.14+0.14+0.05*61/90+0.11+0.11*0.5+0.11+0.11+0.11+0.1+0.1+0.1*0.5+0.1*0.5+0.1+0.1*0.5+0.09*0.5</f>
        <v>12.253412698412699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13.967612716354257</v>
      </c>
      <c r="AG14" s="604">
        <f t="shared" si="12"/>
        <v>15.086746031746033</v>
      </c>
      <c r="AH14" s="316">
        <f t="shared" si="13"/>
        <v>4.3212653156883842</v>
      </c>
      <c r="AI14" s="316">
        <f t="shared" si="14"/>
        <v>18.027044351381253</v>
      </c>
      <c r="AJ14" s="316">
        <f t="shared" si="15"/>
        <v>14.595862479614198</v>
      </c>
      <c r="AK14" s="316">
        <f t="shared" si="16"/>
        <v>1.0586</v>
      </c>
      <c r="AL14" s="316">
        <f t="shared" si="17"/>
        <v>0.99083333333333334</v>
      </c>
      <c r="AM14" s="311">
        <f t="shared" si="18"/>
        <v>16.703945600247458</v>
      </c>
      <c r="AN14" s="311">
        <f t="shared" si="19"/>
        <v>18.042323345919105</v>
      </c>
      <c r="AO14" s="446">
        <v>3</v>
      </c>
      <c r="AP14" s="446">
        <v>2</v>
      </c>
      <c r="AQ14" s="591">
        <f t="shared" si="20"/>
        <v>0.1158</v>
      </c>
      <c r="AR14" s="263">
        <v>213360</v>
      </c>
      <c r="AS14">
        <f t="shared" si="21"/>
        <v>213360</v>
      </c>
      <c r="AT14" s="390">
        <f t="shared" si="22"/>
        <v>-16570</v>
      </c>
    </row>
    <row r="15" spans="1:46" s="264" customFormat="1" x14ac:dyDescent="0.25">
      <c r="A15" s="384" t="s">
        <v>406</v>
      </c>
      <c r="B15" s="260" t="s">
        <v>64</v>
      </c>
      <c r="C15" s="385">
        <f t="shared" ca="1" si="4"/>
        <v>4.1339285714285712</v>
      </c>
      <c r="D15" s="659" t="s">
        <v>618</v>
      </c>
      <c r="E15" s="210">
        <v>29</v>
      </c>
      <c r="F15" s="211">
        <f ca="1">7-41471+$D$1-112-111-3-112-112-112-112-112-112-112-112-112-112-112-112</f>
        <v>97</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7</v>
      </c>
      <c r="R15" s="501">
        <f t="shared" si="9"/>
        <v>1</v>
      </c>
      <c r="S15" s="501">
        <f t="shared" si="10"/>
        <v>1</v>
      </c>
      <c r="T15" s="324">
        <v>237770</v>
      </c>
      <c r="U15" s="627">
        <f t="shared" si="2"/>
        <v>6620</v>
      </c>
      <c r="V15" s="628">
        <v>21080</v>
      </c>
      <c r="W15" s="316">
        <f t="shared" si="3"/>
        <v>11.279411764705882</v>
      </c>
      <c r="X15" s="486">
        <v>0</v>
      </c>
      <c r="Y15" s="487">
        <f>5.6+0.26+0.26+0.26+(0.26*23/90)+(0.05*(90-23)/90)+0.26+0.26+0.23+0.23+0.22+0.15+0.15+0.14+0.13+0.13+0.13+0.12+0.12+0.12+0.02+0.1+0.1+0.1+0.01+0.1</f>
        <v>9.3036666666666648</v>
      </c>
      <c r="Z15" s="486">
        <f>13+0.1+0.1+0.1+0.1+0.1+0.1+0.08+0.08+0.08+0.07</f>
        <v>13.909999999999998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f>
        <v>15.2</v>
      </c>
      <c r="AE15" s="324">
        <v>1791</v>
      </c>
      <c r="AF15" s="604">
        <f t="shared" si="11"/>
        <v>16.8391760097415</v>
      </c>
      <c r="AG15" s="604">
        <f t="shared" si="12"/>
        <v>16.8391760097415</v>
      </c>
      <c r="AH15" s="316">
        <f t="shared" si="13"/>
        <v>4.6797326703197299</v>
      </c>
      <c r="AI15" s="316">
        <f t="shared" si="14"/>
        <v>15.58272564819538</v>
      </c>
      <c r="AJ15" s="316">
        <f t="shared" si="15"/>
        <v>15.078076009741498</v>
      </c>
      <c r="AK15" s="316">
        <f t="shared" si="16"/>
        <v>0.94181741411265329</v>
      </c>
      <c r="AL15" s="316">
        <f t="shared" si="17"/>
        <v>1.0331889873485716</v>
      </c>
      <c r="AM15" s="311">
        <f t="shared" si="18"/>
        <v>18.077898340649266</v>
      </c>
      <c r="AN15" s="311">
        <f t="shared" si="19"/>
        <v>18.077898340649266</v>
      </c>
      <c r="AO15" s="447">
        <v>3</v>
      </c>
      <c r="AP15" s="447">
        <v>3</v>
      </c>
      <c r="AQ15" s="591">
        <f t="shared" si="20"/>
        <v>0.1158</v>
      </c>
      <c r="AR15" s="264">
        <v>231150</v>
      </c>
      <c r="AS15">
        <f t="shared" si="21"/>
        <v>231150</v>
      </c>
      <c r="AT15" s="390">
        <f t="shared" si="22"/>
        <v>-6620</v>
      </c>
    </row>
    <row r="16" spans="1:46" x14ac:dyDescent="0.25">
      <c r="A16" s="305" t="s">
        <v>407</v>
      </c>
      <c r="B16" s="384" t="s">
        <v>64</v>
      </c>
      <c r="C16" s="385">
        <f t="shared" ca="1" si="4"/>
        <v>1.8303571428571428</v>
      </c>
      <c r="D16" s="658" t="s">
        <v>285</v>
      </c>
      <c r="E16" s="387">
        <v>32</v>
      </c>
      <c r="F16" s="395">
        <f ca="1">33-41471+$D$1-112+6-112-112-112-112-112-112-112-112-112-112-112-112-112-112</f>
        <v>19</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69740</v>
      </c>
      <c r="U16" s="627">
        <f t="shared" si="2"/>
        <v>5840</v>
      </c>
      <c r="V16" s="324">
        <v>16210</v>
      </c>
      <c r="W16" s="316">
        <f t="shared" si="3"/>
        <v>4.3022825416409622</v>
      </c>
      <c r="X16" s="486">
        <v>0</v>
      </c>
      <c r="Y16" s="487">
        <f>5.25+0.25+0.25+0.25+0.24+0.24+0.24+0.24+0.23+0.22+0.17+(0.17*25/90)+0.16+0.16+0.03+0.15+0.14+0.14+0.13+0.02+0.11*33/90+0.01+0.01+0.01</f>
        <v>8.6275555555555581</v>
      </c>
      <c r="Z16" s="486">
        <f>11.65+0.13+0.13+0.13+0.11+0.11+0.11+0.1+0.1+0.1+0.1+0.1+0.1+0.1+0.1+0.1+0.1+0.091*83/90+0.091+0.091+0.091+0.091+0.091+0.091+1/21+1/21+1/21+1/21+1/21+1/21+1/21</f>
        <v>14.333255555555548</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13.067337280352623</v>
      </c>
      <c r="AG16" s="604">
        <f t="shared" si="12"/>
        <v>14.609727221892847</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63900</v>
      </c>
      <c r="AS16">
        <f t="shared" si="21"/>
        <v>63900</v>
      </c>
      <c r="AT16" s="390">
        <f t="shared" si="22"/>
        <v>-5840</v>
      </c>
    </row>
    <row r="17" spans="1:46" s="4" customFormat="1" x14ac:dyDescent="0.25">
      <c r="A17" s="384" t="s">
        <v>404</v>
      </c>
      <c r="B17" s="384" t="s">
        <v>64</v>
      </c>
      <c r="C17" s="385">
        <f t="shared" ca="1" si="4"/>
        <v>2.8839285714285716</v>
      </c>
      <c r="D17" s="658" t="s">
        <v>272</v>
      </c>
      <c r="E17" s="387">
        <v>31</v>
      </c>
      <c r="F17" s="395">
        <f ca="1">33-41471+$D$1-112-112-112-112-112-112-112-112-112-112-112-112-112-112-112</f>
        <v>13</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72000</v>
      </c>
      <c r="U17" s="627">
        <f t="shared" si="2"/>
        <v>690</v>
      </c>
      <c r="V17" s="324">
        <v>11380</v>
      </c>
      <c r="W17" s="316">
        <f t="shared" si="3"/>
        <v>6.3268892794376095</v>
      </c>
      <c r="X17" s="486">
        <v>0</v>
      </c>
      <c r="Y17" s="487">
        <f>7.5+0.2+0.2+0.2+0.2+0.2+0.16+0.16+0.14+0.14+0.13+0.13+0.12+0.12+0.12+0.12+0.11+0.1+0.1+0.1+0.1+0.1+0.1</f>
        <v>10.549999999999995</v>
      </c>
      <c r="Z17" s="486">
        <f>10.7+0.08+(0.16*77/90)+0.08+0.07+((0.07*37/90)+0.14*53/90)+(0.07*23/90)+0.06+0.06+0.06+0.06+0.06+0.12+0.1+0.1+0.1*0.5*32/90+0.1*0.5+0.1+0.1+0.1+0.1*0.16+0.1*0.5+0.1+0.1+0.1+0.1+0.1+0.01+0.01+0.1+0.07</f>
        <v>12.939777777777776</v>
      </c>
      <c r="AA17" s="487">
        <f>4.85+0.05+0.05+0.05+0.03+0.03+0.02+0.02+0.02+0.01+0.01</f>
        <v>5.1399999999999979</v>
      </c>
      <c r="AB17" s="486">
        <f>8.95+0.08+0.07+0.07+0.07</f>
        <v>9.24</v>
      </c>
      <c r="AC17" s="487">
        <v>2.98</v>
      </c>
      <c r="AD17" s="486">
        <f>11+0.5+0.5+0.5+0.45+0.45+0.45+0.4+0.35+0.33+0.33+0.3+0.3+0.3+0.2+0.2+0.2+0.2</f>
        <v>16.959999999999997</v>
      </c>
      <c r="AE17" s="324">
        <v>1451</v>
      </c>
      <c r="AF17" s="604">
        <f t="shared" si="11"/>
        <v>15.790227410718005</v>
      </c>
      <c r="AG17" s="604">
        <f t="shared" si="12"/>
        <v>15.790227410718005</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71310</v>
      </c>
      <c r="AS17">
        <f t="shared" si="21"/>
        <v>71310</v>
      </c>
      <c r="AT17" s="390">
        <f t="shared" si="22"/>
        <v>-690</v>
      </c>
    </row>
    <row r="18" spans="1:46" s="263" customFormat="1" x14ac:dyDescent="0.25">
      <c r="A18" s="305" t="s">
        <v>411</v>
      </c>
      <c r="B18" s="260" t="s">
        <v>64</v>
      </c>
      <c r="C18" s="385">
        <f t="shared" ca="1" si="4"/>
        <v>3.1071428571428572</v>
      </c>
      <c r="D18" s="659" t="s">
        <v>400</v>
      </c>
      <c r="E18" s="210">
        <v>30</v>
      </c>
      <c r="F18" s="211">
        <f ca="1">7-41471+$D$1-112-111-112-112-112-112-112-112-112-112-112-112-112-112</f>
        <v>100</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80450</v>
      </c>
      <c r="U18" s="627">
        <f t="shared" si="2"/>
        <v>370</v>
      </c>
      <c r="V18" s="628">
        <v>20790</v>
      </c>
      <c r="W18" s="316">
        <f t="shared" si="3"/>
        <v>3.8696488696488696</v>
      </c>
      <c r="X18" s="486">
        <v>0</v>
      </c>
      <c r="Y18" s="487">
        <f>3.4+0.06+0.06+0.06+0.06+0.06+0.06+0.06+0.06+(0.06*40/90)+(0.25*35/90)+0.06+(0.25*35/90)+0.05+0.25+0.05+0.05+0.22+0.2+0.15+0.15+0.15+1/30</f>
        <v>5.4644444444444451</v>
      </c>
      <c r="Z18" s="486">
        <f>11.7+0.13+0.13+0.13+0.12+0.12+0.12+0.1+0.1+0.1+0.1+0.1+0.1+0.091+0.091*33/90+0.1+0.091+0.091+0.091+0.091+0.091+0.091+0.091+0.092+1/21+1/21+1/21+1/21+1/21*80/90+1/21+1/21+1/21+1/21</f>
        <v>14.42664708994708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14.546539395543855</v>
      </c>
      <c r="AG18" s="604">
        <f t="shared" si="12"/>
        <v>15.934935521153866</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80080</v>
      </c>
      <c r="AS18">
        <f t="shared" si="21"/>
        <v>80080</v>
      </c>
      <c r="AT18" s="390">
        <f t="shared" si="22"/>
        <v>-370</v>
      </c>
    </row>
    <row r="19" spans="1:46" s="264" customFormat="1" ht="14.25" customHeight="1" x14ac:dyDescent="0.25">
      <c r="A19" s="305" t="s">
        <v>505</v>
      </c>
      <c r="B19" s="260" t="s">
        <v>64</v>
      </c>
      <c r="C19" s="385">
        <f t="shared" ca="1" si="4"/>
        <v>4.5535714285714288</v>
      </c>
      <c r="D19" s="659" t="s">
        <v>414</v>
      </c>
      <c r="E19" s="210">
        <v>29</v>
      </c>
      <c r="F19" s="211">
        <f ca="1">59-41471+$D$1-325-112-112-112-112-112-112-112-112-112-112-112-112</f>
        <v>50</v>
      </c>
      <c r="G19" s="262"/>
      <c r="H19" s="371">
        <v>2</v>
      </c>
      <c r="I19" s="214">
        <v>4</v>
      </c>
      <c r="J19" s="487">
        <f t="shared" si="5"/>
        <v>0.93196000578135851</v>
      </c>
      <c r="K19" s="303">
        <f t="shared" si="6"/>
        <v>16</v>
      </c>
      <c r="L19" s="303">
        <f t="shared" si="7"/>
        <v>36</v>
      </c>
      <c r="M19" s="296">
        <v>6.8</v>
      </c>
      <c r="N19" s="446">
        <f t="shared" si="8"/>
        <v>87</v>
      </c>
      <c r="O19" s="446" t="s">
        <v>557</v>
      </c>
      <c r="P19" s="679">
        <v>1.5</v>
      </c>
      <c r="Q19" s="447">
        <v>4</v>
      </c>
      <c r="R19" s="501">
        <f t="shared" si="9"/>
        <v>0.7559289460184544</v>
      </c>
      <c r="S19" s="501">
        <f t="shared" si="10"/>
        <v>0.84430867747355465</v>
      </c>
      <c r="T19" s="324">
        <v>22270</v>
      </c>
      <c r="U19" s="627">
        <f t="shared" si="2"/>
        <v>-2170</v>
      </c>
      <c r="V19" s="628">
        <v>3310</v>
      </c>
      <c r="W19" s="316">
        <f t="shared" si="3"/>
        <v>6.7280966767371604</v>
      </c>
      <c r="X19" s="486">
        <v>0</v>
      </c>
      <c r="Y19" s="487">
        <f>4.45+0.06+0.2+0.06+0.06+(0.06*68/90)+0.06+0.06+0.06+0.04+(0.22*35/90)+0.04+0.04+0.04+0.04+0.04+0.04*0.5+0.2*66/90+0.02+0.12*33/90+0.02+0.02</f>
        <v>5.6515555555555519</v>
      </c>
      <c r="Z19" s="486">
        <f>8.7+0.13+0.13+0.13+0.08+(0.08*53/90)+0.02+0.01+0.02+(0.13*30/90)+(0.13*60/90*0.16)+0.02+0.02+0.143*0.5+0.143*57/90+0.143*61/90*0.5+0.02+0.143*0.5+0.14+0.01+0.01+0.12*12/90+0.01+0.01+0.01</f>
        <v>9.872338888888887</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9.3011756949441118</v>
      </c>
      <c r="AG19" s="604">
        <f t="shared" si="12"/>
        <v>10.399030562281942</v>
      </c>
      <c r="AH19" s="316">
        <f t="shared" si="13"/>
        <v>2.974653057392401</v>
      </c>
      <c r="AI19" s="316">
        <f t="shared" si="14"/>
        <v>7.9383747670995977</v>
      </c>
      <c r="AJ19" s="316">
        <f t="shared" si="15"/>
        <v>9.2295094312563073</v>
      </c>
      <c r="AK19" s="316">
        <f t="shared" si="16"/>
        <v>0.74514568935139747</v>
      </c>
      <c r="AL19" s="316">
        <f t="shared" si="17"/>
        <v>0.76979942262691714</v>
      </c>
      <c r="AM19" s="311">
        <f t="shared" si="18"/>
        <v>11.152028229870009</v>
      </c>
      <c r="AN19" s="311">
        <f t="shared" si="19"/>
        <v>12.468346604492996</v>
      </c>
      <c r="AO19" s="447">
        <v>1</v>
      </c>
      <c r="AP19" s="447">
        <v>2</v>
      </c>
      <c r="AQ19" s="591">
        <f t="shared" si="20"/>
        <v>4.9399999999999999E-2</v>
      </c>
      <c r="AR19" s="264">
        <v>24440</v>
      </c>
      <c r="AS19">
        <f t="shared" si="21"/>
        <v>24440</v>
      </c>
      <c r="AT19" s="390">
        <f t="shared" si="22"/>
        <v>2170</v>
      </c>
    </row>
    <row r="20" spans="1:46" s="263" customFormat="1" x14ac:dyDescent="0.25">
      <c r="A20" s="304" t="s">
        <v>623</v>
      </c>
      <c r="B20" s="384" t="s">
        <v>66</v>
      </c>
      <c r="C20" s="385">
        <f t="shared" ca="1" si="4"/>
        <v>4.8660714285714288</v>
      </c>
      <c r="D20" s="659" t="s">
        <v>871</v>
      </c>
      <c r="E20" s="210">
        <v>29</v>
      </c>
      <c r="F20" s="211">
        <f ca="1">64-41471+$D$1-112-112-29-112-112-112-112-112-112-112-112-112-112-112-112-112</f>
        <v>15</v>
      </c>
      <c r="G20" s="262" t="s">
        <v>502</v>
      </c>
      <c r="H20" s="394">
        <v>1</v>
      </c>
      <c r="I20" s="214">
        <v>9</v>
      </c>
      <c r="J20" s="487">
        <f t="shared" si="5"/>
        <v>1.3333333333333333</v>
      </c>
      <c r="K20" s="303">
        <f t="shared" si="6"/>
        <v>9</v>
      </c>
      <c r="L20" s="303">
        <f t="shared" si="7"/>
        <v>36</v>
      </c>
      <c r="M20" s="296">
        <v>7.4</v>
      </c>
      <c r="N20" s="446">
        <f t="shared" si="8"/>
        <v>93</v>
      </c>
      <c r="O20" s="678">
        <v>43060</v>
      </c>
      <c r="P20" s="679">
        <f ca="1">IF((TODAY()-O20)&gt;335,1,((TODAY()-O20)^0.64)/(336^0.64))</f>
        <v>0.36978407636992311</v>
      </c>
      <c r="Q20" s="447">
        <v>4</v>
      </c>
      <c r="R20" s="501">
        <f t="shared" si="9"/>
        <v>0.7559289460184544</v>
      </c>
      <c r="S20" s="501">
        <f t="shared" si="10"/>
        <v>0.84430867747355465</v>
      </c>
      <c r="T20" s="628">
        <v>268960</v>
      </c>
      <c r="U20" s="627">
        <f t="shared" si="2"/>
        <v>5200</v>
      </c>
      <c r="V20" s="628">
        <v>40752</v>
      </c>
      <c r="W20" s="316">
        <f t="shared" si="3"/>
        <v>6.599921476246565</v>
      </c>
      <c r="X20" s="486">
        <v>0</v>
      </c>
      <c r="Y20" s="487">
        <v>3</v>
      </c>
      <c r="Z20" s="486">
        <f>15+0.01+0.06</f>
        <v>15.07</v>
      </c>
      <c r="AA20" s="487">
        <f>12+0.01+0.01</f>
        <v>12.02</v>
      </c>
      <c r="AB20" s="486">
        <v>12</v>
      </c>
      <c r="AC20" s="487">
        <v>8</v>
      </c>
      <c r="AD20" s="486">
        <v>2</v>
      </c>
      <c r="AE20" s="324">
        <v>1921</v>
      </c>
      <c r="AF20" s="604">
        <f t="shared" ca="1" si="11"/>
        <v>12.679284964960772</v>
      </c>
      <c r="AG20" s="604">
        <f t="shared" ca="1" si="12"/>
        <v>14.175871543871663</v>
      </c>
      <c r="AH20" s="316">
        <f t="shared" ca="1" si="13"/>
        <v>3.0340485984857821</v>
      </c>
      <c r="AI20" s="316">
        <f t="shared" ca="1" si="14"/>
        <v>7.9704312581076069</v>
      </c>
      <c r="AJ20" s="316">
        <f t="shared" ca="1" si="15"/>
        <v>4.1599657433327888</v>
      </c>
      <c r="AK20" s="316">
        <f t="shared" ca="1" si="16"/>
        <v>0.59624939277626043</v>
      </c>
      <c r="AL20" s="316">
        <f t="shared" ca="1" si="17"/>
        <v>0.29921821867922793</v>
      </c>
      <c r="AM20" s="311">
        <f t="shared" ca="1" si="18"/>
        <v>2.7531744250169305</v>
      </c>
      <c r="AN20" s="311">
        <f t="shared" ca="1" si="19"/>
        <v>3.0781425841258776</v>
      </c>
      <c r="AO20" s="447">
        <v>3</v>
      </c>
      <c r="AP20" s="447">
        <v>3</v>
      </c>
      <c r="AQ20" s="591">
        <f t="shared" si="20"/>
        <v>0.1158</v>
      </c>
      <c r="AR20" s="263">
        <v>263760</v>
      </c>
      <c r="AS20">
        <f t="shared" si="21"/>
        <v>263760</v>
      </c>
      <c r="AT20" s="390">
        <f t="shared" si="22"/>
        <v>-5200</v>
      </c>
    </row>
    <row r="21" spans="1:46" s="254" customFormat="1" x14ac:dyDescent="0.25">
      <c r="A21" s="384" t="s">
        <v>506</v>
      </c>
      <c r="B21" s="384" t="s">
        <v>66</v>
      </c>
      <c r="C21" s="385">
        <f t="shared" ca="1" si="4"/>
        <v>3.7767857142857144</v>
      </c>
      <c r="D21" s="658" t="s">
        <v>287</v>
      </c>
      <c r="E21" s="387">
        <v>30</v>
      </c>
      <c r="F21" s="395">
        <f ca="1">74-41471+$D$1-112-112-29-112-112-112-112-112-112-112-112-112-112-112-112-112</f>
        <v>25</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44800</v>
      </c>
      <c r="U21" s="627">
        <f t="shared" si="2"/>
        <v>-80</v>
      </c>
      <c r="V21" s="324">
        <v>2310</v>
      </c>
      <c r="W21" s="316">
        <f t="shared" si="3"/>
        <v>19.393939393939394</v>
      </c>
      <c r="X21" s="486">
        <v>0</v>
      </c>
      <c r="Y21" s="487">
        <f>5+(5/7)+0.07+0.21+0.07+0.07+0.07+0.07+0.07+0.07+0.06+0.03+0.03+0.03+0.03+0.03+0.2*33/90+0.03+0.03+0.02+0.02+0.01+0.01+0.01+0.01</f>
        <v>6.8376190476190493</v>
      </c>
      <c r="Z21" s="486">
        <f>8+1/8*0.5+1/8*0.5+1/8+1/8*0.5+1/8*0.5+1/8+1/8+0.01+0.01</f>
        <v>8.6449999999999996</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11.549104591311226</v>
      </c>
      <c r="AG21" s="604">
        <f t="shared" si="12"/>
        <v>11.549104591311226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44880</v>
      </c>
      <c r="AS21">
        <f t="shared" si="21"/>
        <v>44880</v>
      </c>
      <c r="AT21" s="390">
        <f t="shared" si="22"/>
        <v>80</v>
      </c>
    </row>
    <row r="22" spans="1:46" s="259" customFormat="1" x14ac:dyDescent="0.25">
      <c r="A22" s="384" t="s">
        <v>568</v>
      </c>
      <c r="B22" s="384" t="s">
        <v>66</v>
      </c>
      <c r="C22" s="385">
        <f t="shared" ca="1" si="4"/>
        <v>3.1607142857142856</v>
      </c>
      <c r="D22" s="658" t="s">
        <v>861</v>
      </c>
      <c r="E22" s="387">
        <v>30</v>
      </c>
      <c r="F22" s="211">
        <f ca="1">-41471+$D$1-748-112-112-12-112-112-112-22-112-112</f>
        <v>94</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0.85281668570794278</v>
      </c>
      <c r="Q22" s="446">
        <v>7</v>
      </c>
      <c r="R22" s="501">
        <f t="shared" si="9"/>
        <v>1</v>
      </c>
      <c r="S22" s="501">
        <f t="shared" si="10"/>
        <v>1</v>
      </c>
      <c r="T22" s="324">
        <v>287340</v>
      </c>
      <c r="U22" s="627">
        <f t="shared" si="2"/>
        <v>6330</v>
      </c>
      <c r="V22" s="324">
        <v>34128</v>
      </c>
      <c r="W22" s="316">
        <f t="shared" si="3"/>
        <v>8.4194796061884674</v>
      </c>
      <c r="X22" s="486">
        <v>0</v>
      </c>
      <c r="Y22" s="487">
        <f>2.98+0.02+0.02</f>
        <v>3.02</v>
      </c>
      <c r="Z22" s="486">
        <f>14+0.09*0.16+0.09*0.5+0.09*0.16+0.01+0.01+0.01+1/21*0.5+0.01+0.07+0.07</f>
        <v>14.277609523809524</v>
      </c>
      <c r="AA22" s="487">
        <f>3+0.02+0.02</f>
        <v>3.04</v>
      </c>
      <c r="AB22" s="486">
        <f>15+0.01+0.01</f>
        <v>15.02</v>
      </c>
      <c r="AC22" s="487">
        <v>10</v>
      </c>
      <c r="AD22" s="486">
        <f>9+0.3</f>
        <v>9.3000000000000007</v>
      </c>
      <c r="AE22" s="324">
        <v>1941</v>
      </c>
      <c r="AF22" s="604">
        <f t="shared" ca="1" si="11"/>
        <v>16.544689996655617</v>
      </c>
      <c r="AG22" s="604">
        <f t="shared" ca="1" si="12"/>
        <v>16.544689996655617</v>
      </c>
      <c r="AH22" s="316">
        <f t="shared" ca="1" si="13"/>
        <v>4.9826551773172847</v>
      </c>
      <c r="AI22" s="316">
        <f t="shared" ca="1" si="14"/>
        <v>19.125247844989865</v>
      </c>
      <c r="AJ22" s="316">
        <f t="shared" ca="1" si="15"/>
        <v>11.777080472846091</v>
      </c>
      <c r="AK22" s="316">
        <f t="shared" ca="1" si="16"/>
        <v>0.96036643782768727</v>
      </c>
      <c r="AL22" s="316">
        <f t="shared" ca="1" si="17"/>
        <v>0.55849563309922645</v>
      </c>
      <c r="AM22" s="311">
        <f t="shared" ca="1" si="18"/>
        <v>11.514402417801193</v>
      </c>
      <c r="AN22" s="311">
        <f t="shared" ca="1" si="19"/>
        <v>11.514402417801193</v>
      </c>
      <c r="AO22" s="446">
        <v>1</v>
      </c>
      <c r="AP22" s="446">
        <v>3</v>
      </c>
      <c r="AQ22" s="591">
        <f t="shared" si="20"/>
        <v>4.9399999999999999E-2</v>
      </c>
      <c r="AR22" s="259">
        <v>281010</v>
      </c>
      <c r="AS22">
        <f t="shared" si="21"/>
        <v>281010</v>
      </c>
      <c r="AT22" s="390">
        <f t="shared" si="22"/>
        <v>-6330</v>
      </c>
    </row>
    <row r="23" spans="1:46" s="264" customFormat="1" x14ac:dyDescent="0.25">
      <c r="A23" s="384" t="s">
        <v>540</v>
      </c>
      <c r="B23" s="384" t="s">
        <v>66</v>
      </c>
      <c r="C23" s="385">
        <f t="shared" ca="1" si="4"/>
        <v>6.5</v>
      </c>
      <c r="D23" s="659" t="s">
        <v>541</v>
      </c>
      <c r="E23" s="210">
        <v>27</v>
      </c>
      <c r="F23" s="211">
        <f ca="1">7-41471+$D$1-112-111-43-112-112-1-112-112-112-112-112-112-112-112-112-112</f>
        <v>56</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38030</v>
      </c>
      <c r="U23" s="627">
        <f t="shared" si="2"/>
        <v>-640</v>
      </c>
      <c r="V23" s="628">
        <v>3090</v>
      </c>
      <c r="W23" s="316">
        <f t="shared" si="3"/>
        <v>12.307443365695793</v>
      </c>
      <c r="X23" s="486">
        <v>0</v>
      </c>
      <c r="Y23" s="487">
        <f>4+0.01+0.01</f>
        <v>4.0199999999999996</v>
      </c>
      <c r="Z23" s="486">
        <f>4.6+0.05+0.05+0.05+0.04+0.04+0.16+(0.16*30/90)+(0.16*60/90*0.16)+0.04+0.04+0.04+0.25/8+0.04+0.04+0.04+0.04+0.04+0.04+0.02+0.02*10/90+0.02+0.02+0.02+0.01+0.01+0.01+0.01</f>
        <v>5.5738722222222199</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7.5526151198274265</v>
      </c>
      <c r="AG23" s="604">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38670</v>
      </c>
      <c r="AS23">
        <f t="shared" si="21"/>
        <v>38670</v>
      </c>
      <c r="AT23" s="390">
        <f>AS23-T23</f>
        <v>640</v>
      </c>
    </row>
    <row r="24" spans="1:46" x14ac:dyDescent="0.25">
      <c r="G24" s="4"/>
      <c r="H24"/>
      <c r="I24" s="284"/>
      <c r="J24" s="488"/>
      <c r="K24"/>
      <c r="T24" s="244">
        <f>SUM(T5:T23)+T3</f>
        <v>2230180</v>
      </c>
      <c r="U24" s="244">
        <f>SUM(U5:U23)</f>
        <v>24230</v>
      </c>
      <c r="V24" s="244">
        <f>SUM(V5:V23)+V3</f>
        <v>288860</v>
      </c>
      <c r="W24" s="315">
        <f t="shared" si="3"/>
        <v>7.7206259087447204</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828</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53</v>
      </c>
      <c r="D3" s="488"/>
      <c r="E3" s="290">
        <v>42468</v>
      </c>
      <c r="F3" s="341">
        <f>PLANTILLA!Q5</f>
        <v>5</v>
      </c>
      <c r="G3" s="407">
        <f>(F3/7)^0.5</f>
        <v>0.84515425472851657</v>
      </c>
      <c r="H3" s="407">
        <f>IF(F3=7,1,((F3+0.99)/7)^0.5)</f>
        <v>0.92504826128926143</v>
      </c>
      <c r="I3" s="497">
        <v>1</v>
      </c>
      <c r="J3" s="498">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17.359098471941195</v>
      </c>
      <c r="W3" s="163">
        <f ca="1">IF(F3=7,V3,IF(TODAY()-E3&gt;335,(Q3+1+(LOG(J3)*4/3))*((F3+0.99)/7)^0.5,(Q3+((TODAY()-E3)^0.5)/(336^0.5)+(LOG(J3)*4/3))*((F3+0.99)/7)^0.5))</f>
        <v>19.00008639745473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8">
        <f>PLANTILLA!E6</f>
        <v>34</v>
      </c>
      <c r="C4" s="488">
        <f ca="1">PLANTILLA!F6</f>
        <v>62</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110</v>
      </c>
      <c r="D5" s="488" t="str">
        <f>PLANTILLA!G8</f>
        <v>CAB</v>
      </c>
      <c r="E5" s="290">
        <v>41519</v>
      </c>
      <c r="F5" s="341">
        <f>PLANTILLA!Q8</f>
        <v>5</v>
      </c>
      <c r="G5" s="407">
        <f t="shared" si="0"/>
        <v>0.84515425472851657</v>
      </c>
      <c r="H5" s="407">
        <f t="shared" si="1"/>
        <v>0.92504826128926143</v>
      </c>
      <c r="I5" s="497">
        <v>1.5</v>
      </c>
      <c r="J5" s="498">
        <f>PLANTILLA!I8</f>
        <v>7.6</v>
      </c>
      <c r="K5" s="163">
        <f>PLANTILLA!X8</f>
        <v>0</v>
      </c>
      <c r="L5" s="163">
        <f>PLANTILLA!Y8</f>
        <v>11.077333333333334</v>
      </c>
      <c r="M5" s="163">
        <f>PLANTILLA!Z8</f>
        <v>6.2194444444444406</v>
      </c>
      <c r="N5" s="163">
        <f>PLANTILLA!AA8</f>
        <v>6.1</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14.810836538329669</v>
      </c>
      <c r="W5" s="163">
        <f t="shared" ca="1" si="7"/>
        <v>16.210932514825146</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5.0275716080178441</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4.7591496198821677</v>
      </c>
      <c r="CF5" s="159">
        <f t="shared" si="68"/>
        <v>9.7603464732108947</v>
      </c>
      <c r="CG5" s="159">
        <f t="shared" si="69"/>
        <v>4.7591496198821677</v>
      </c>
      <c r="CH5" s="159">
        <f t="shared" si="70"/>
        <v>5.1205636017656886</v>
      </c>
      <c r="CI5" s="159">
        <f t="shared" si="71"/>
        <v>10.894316743776537</v>
      </c>
      <c r="CJ5" s="159">
        <f t="shared" si="72"/>
        <v>5.1205636017656886</v>
      </c>
      <c r="CK5" s="159">
        <f t="shared" si="73"/>
        <v>2.2234656418713739</v>
      </c>
    </row>
    <row r="6" spans="1:89" x14ac:dyDescent="0.25">
      <c r="A6" t="str">
        <f>PLANTILLA!D9</f>
        <v>E. Toney</v>
      </c>
      <c r="B6" s="488">
        <f>PLANTILLA!E9</f>
        <v>31</v>
      </c>
      <c r="C6" s="488">
        <f ca="1">PLANTILLA!F9</f>
        <v>64</v>
      </c>
      <c r="D6" s="488"/>
      <c r="E6" s="290">
        <v>41539</v>
      </c>
      <c r="F6" s="341">
        <f>PLANTILLA!Q9</f>
        <v>7</v>
      </c>
      <c r="G6" s="407">
        <f t="shared" ref="G6:G10" si="74">(F6/7)^0.5</f>
        <v>1</v>
      </c>
      <c r="H6" s="407">
        <f>IF(F6=7,1,((F6+0.99)/7)^0.5)</f>
        <v>1</v>
      </c>
      <c r="I6" s="497">
        <v>1.5</v>
      </c>
      <c r="J6" s="498">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19.085673357994086</v>
      </c>
      <c r="W6" s="163">
        <f t="shared" ca="1" si="7"/>
        <v>19.085673357994086</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8">
        <f>PLANTILLA!E10</f>
        <v>31</v>
      </c>
      <c r="C7" s="488">
        <f ca="1">PLANTILLA!F10</f>
        <v>49</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8">
        <f>PLANTILLA!E11</f>
        <v>27</v>
      </c>
      <c r="C8" s="488">
        <f ca="1">PLANTILLA!F11</f>
        <v>72</v>
      </c>
      <c r="D8" s="488"/>
      <c r="E8" s="290">
        <v>42106</v>
      </c>
      <c r="F8" s="341">
        <f>PLANTILLA!Q11</f>
        <v>4</v>
      </c>
      <c r="G8" s="407">
        <f t="shared" si="74"/>
        <v>0.7559289460184544</v>
      </c>
      <c r="H8" s="407">
        <f t="shared" si="75"/>
        <v>0.84430867747355465</v>
      </c>
      <c r="I8" s="497">
        <v>1.5</v>
      </c>
      <c r="J8" s="498">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11.459240530681024</v>
      </c>
      <c r="W8" s="163">
        <f t="shared" ca="1" si="7"/>
        <v>12.799002165839077</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8">
        <f>PLANTILLA!E7</f>
        <v>30</v>
      </c>
      <c r="C9" s="488">
        <f ca="1">PLANTILLA!F7</f>
        <v>65</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8">
        <f>PLANTILLA!E12</f>
        <v>31</v>
      </c>
      <c r="C10" s="488">
        <f ca="1">PLANTILLA!F12</f>
        <v>26</v>
      </c>
      <c r="D10" s="488" t="str">
        <f>PLANTILLA!G12</f>
        <v>IMP</v>
      </c>
      <c r="E10" s="290">
        <v>41583</v>
      </c>
      <c r="F10" s="341">
        <f>PLANTILLA!Q12</f>
        <v>7</v>
      </c>
      <c r="G10" s="407">
        <f t="shared" si="74"/>
        <v>1</v>
      </c>
      <c r="H10" s="407">
        <f t="shared" si="75"/>
        <v>1</v>
      </c>
      <c r="I10" s="497">
        <v>1.5</v>
      </c>
      <c r="J10" s="498">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19.597160726823418</v>
      </c>
      <c r="W10" s="163">
        <f t="shared" ca="1" si="7"/>
        <v>19.597160726823418</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8">
        <f>PLANTILLA!E13</f>
        <v>30</v>
      </c>
      <c r="C11" s="488">
        <f ca="1">PLANTILLA!F13</f>
        <v>85</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16.612389600077343</v>
      </c>
      <c r="W11" s="163">
        <f t="shared" ca="1" si="7"/>
        <v>18.182789744515549</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8">
        <f>PLANTILLA!E14</f>
        <v>27</v>
      </c>
      <c r="C12" s="488">
        <f ca="1">PLANTILLA!F14</f>
        <v>100</v>
      </c>
      <c r="D12" s="488" t="str">
        <f>PLANTILLA!G14</f>
        <v>CAB</v>
      </c>
      <c r="E12" s="290">
        <v>41911</v>
      </c>
      <c r="F12" s="341">
        <f>PLANTILLA!Q14</f>
        <v>6</v>
      </c>
      <c r="G12" s="407">
        <f t="shared" si="78"/>
        <v>0.92582009977255142</v>
      </c>
      <c r="H12" s="407">
        <f t="shared" si="75"/>
        <v>0.99928545900129484</v>
      </c>
      <c r="I12" s="497">
        <v>1.5</v>
      </c>
      <c r="J12" s="498">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15.270000000000001</v>
      </c>
      <c r="R12" s="163">
        <f t="shared" si="2"/>
        <v>3.9799999999999995</v>
      </c>
      <c r="S12" s="163">
        <f t="shared" si="3"/>
        <v>19.336601261147877</v>
      </c>
      <c r="T12" s="163">
        <f t="shared" si="4"/>
        <v>0.8319333333333333</v>
      </c>
      <c r="U12" s="163">
        <f t="shared" si="5"/>
        <v>0.79249999999999998</v>
      </c>
      <c r="V12" s="163">
        <f t="shared" ca="1" si="6"/>
        <v>16.241035550361183</v>
      </c>
      <c r="W12" s="163">
        <f t="shared" ca="1" si="7"/>
        <v>17.529788636675903</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3.0130679987684905</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8">
        <f>PLANTILLA!E15</f>
        <v>29</v>
      </c>
      <c r="C13" s="488">
        <f ca="1">PLANTILLA!F15</f>
        <v>97</v>
      </c>
      <c r="D13" s="488" t="str">
        <f>PLANTILLA!G15</f>
        <v>TEC</v>
      </c>
      <c r="E13" s="290">
        <v>41747</v>
      </c>
      <c r="F13" s="341">
        <f>PLANTILLA!Q15</f>
        <v>7</v>
      </c>
      <c r="G13" s="407">
        <f t="shared" si="78"/>
        <v>1</v>
      </c>
      <c r="H13" s="407">
        <f t="shared" si="75"/>
        <v>1</v>
      </c>
      <c r="I13" s="497">
        <v>1.5</v>
      </c>
      <c r="J13" s="498">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17.577898340649266</v>
      </c>
      <c r="W13" s="163">
        <f t="shared" ca="1" si="7"/>
        <v>17.577898340649266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8">
        <f>PLANTILLA!E16</f>
        <v>32</v>
      </c>
      <c r="C14" s="488">
        <f ca="1">PLANTILLA!F16</f>
        <v>19</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8">
        <f>PLANTILLA!E17</f>
        <v>31</v>
      </c>
      <c r="C15" s="488">
        <f ca="1">PLANTILLA!F17</f>
        <v>13</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8">
        <f>PLANTILLA!E18</f>
        <v>30</v>
      </c>
      <c r="C16" s="488">
        <f ca="1">PLANTILLA!F18</f>
        <v>100</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8">
        <f>PLANTILLA!E19</f>
        <v>29</v>
      </c>
      <c r="C17" s="488">
        <f ca="1">PLANTILLA!F19</f>
        <v>50</v>
      </c>
      <c r="D17" s="488"/>
      <c r="E17" s="290">
        <v>41737</v>
      </c>
      <c r="F17" s="341">
        <f>PLANTILLA!Q19</f>
        <v>4</v>
      </c>
      <c r="G17" s="407">
        <f t="shared" si="78"/>
        <v>0.7559289460184544</v>
      </c>
      <c r="H17" s="407">
        <f t="shared" si="75"/>
        <v>0.84430867747355465</v>
      </c>
      <c r="I17" s="497">
        <v>1.5</v>
      </c>
      <c r="J17" s="498">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10.774063756860782</v>
      </c>
      <c r="W17" s="163">
        <f t="shared" ca="1" si="7"/>
        <v>12.033717678736448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25</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8">
        <f>PLANTILLA!E22</f>
        <v>30</v>
      </c>
      <c r="C20" s="488">
        <f ca="1">PLANTILLA!F22</f>
        <v>94</v>
      </c>
      <c r="D20" s="488" t="str">
        <f>PLANTILLA!G22</f>
        <v>TEC</v>
      </c>
      <c r="E20" s="290">
        <v>41890</v>
      </c>
      <c r="F20" s="341">
        <f>PLANTILLA!Q22</f>
        <v>7</v>
      </c>
      <c r="G20" s="407">
        <f t="shared" si="78"/>
        <v>1</v>
      </c>
      <c r="H20" s="407">
        <f t="shared" si="75"/>
        <v>1</v>
      </c>
      <c r="I20" s="497">
        <v>1.5</v>
      </c>
      <c r="J20" s="498">
        <f>PLANTILLA!I22</f>
        <v>10.5</v>
      </c>
      <c r="K20" s="163">
        <f>PLANTILLA!X22</f>
        <v>0</v>
      </c>
      <c r="L20" s="163">
        <f>PLANTILLA!Y22</f>
        <v>3.02</v>
      </c>
      <c r="M20" s="163">
        <f>PLANTILLA!Z22</f>
        <v>14.277609523809524</v>
      </c>
      <c r="N20" s="163">
        <f>PLANTILLA!AA22</f>
        <v>3.04</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11.661585732093251</v>
      </c>
      <c r="W20" s="163">
        <f t="shared" ca="1" si="7"/>
        <v>11.661585732093251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8">
        <f>PLANTILLA!E23</f>
        <v>27</v>
      </c>
      <c r="C21" s="488">
        <f ca="1">PLANTILLA!F23</f>
        <v>56</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9" t="s">
        <v>179</v>
      </c>
      <c r="B2" s="489" t="s">
        <v>853</v>
      </c>
      <c r="C2" s="489" t="s">
        <v>689</v>
      </c>
      <c r="D2" s="489" t="s">
        <v>62</v>
      </c>
      <c r="E2" s="490" t="s">
        <v>690</v>
      </c>
      <c r="F2" s="489" t="s">
        <v>691</v>
      </c>
      <c r="G2" s="492" t="s">
        <v>695</v>
      </c>
      <c r="H2" s="493" t="s">
        <v>696</v>
      </c>
      <c r="I2" s="493" t="s">
        <v>855</v>
      </c>
      <c r="J2" s="493" t="s">
        <v>1</v>
      </c>
      <c r="K2" s="493" t="s">
        <v>2</v>
      </c>
      <c r="L2" s="493" t="s">
        <v>697</v>
      </c>
      <c r="M2" s="493" t="s">
        <v>65</v>
      </c>
      <c r="N2" s="493" t="s">
        <v>578</v>
      </c>
      <c r="O2" s="493" t="s">
        <v>698</v>
      </c>
      <c r="P2" s="493" t="s">
        <v>0</v>
      </c>
      <c r="Q2" s="494" t="s">
        <v>565</v>
      </c>
      <c r="R2" s="494" t="s">
        <v>828</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53</v>
      </c>
      <c r="E3" s="633"/>
      <c r="F3" s="290">
        <v>42468</v>
      </c>
      <c r="G3" s="497">
        <v>1</v>
      </c>
      <c r="H3" s="498">
        <f>PLANTILLA!I5</f>
        <v>18.5</v>
      </c>
      <c r="I3" s="498"/>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3">
        <f>PLANTILLA!E6</f>
        <v>34</v>
      </c>
      <c r="D4" s="633">
        <f ca="1">PLANTILLA!F6</f>
        <v>62</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3">
        <f>PLANTILLA!E8</f>
        <v>31</v>
      </c>
      <c r="D5" s="633">
        <f ca="1">PLANTILLA!F8</f>
        <v>110</v>
      </c>
      <c r="E5" s="633" t="str">
        <f>PLANTILLA!G8</f>
        <v>CAB</v>
      </c>
      <c r="F5" s="290">
        <v>41519</v>
      </c>
      <c r="G5" s="497">
        <v>1.5</v>
      </c>
      <c r="H5" s="498">
        <f>PLANTILLA!I8</f>
        <v>7.6</v>
      </c>
      <c r="I5" s="341"/>
      <c r="J5" s="163">
        <f>PLANTILLA!X8</f>
        <v>0</v>
      </c>
      <c r="K5" s="163">
        <f>PLANTILLA!Y8</f>
        <v>11.077333333333334</v>
      </c>
      <c r="L5" s="163">
        <f>PLANTILLA!Z8</f>
        <v>6.2194444444444406</v>
      </c>
      <c r="M5" s="163">
        <f>PLANTILLA!AA8</f>
        <v>6.1</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5.0275716080178441</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4.7591496198821677</v>
      </c>
      <c r="CD5" s="159">
        <f t="shared" si="54"/>
        <v>9.7603464732108947</v>
      </c>
      <c r="CE5" s="159">
        <f t="shared" si="68"/>
        <v>4.7591496198821677</v>
      </c>
      <c r="CF5" s="159">
        <f t="shared" si="55"/>
        <v>5.1205636017656886</v>
      </c>
      <c r="CG5" s="159">
        <f t="shared" si="56"/>
        <v>10.894316743776537</v>
      </c>
      <c r="CH5" s="159">
        <f t="shared" si="69"/>
        <v>5.1205636017656886</v>
      </c>
      <c r="CI5" s="159">
        <f t="shared" si="70"/>
        <v>2.2234656418713739</v>
      </c>
    </row>
    <row r="6" spans="1:87" x14ac:dyDescent="0.25">
      <c r="A6" t="str">
        <f>PLANTILLA!D9</f>
        <v>E. Toney</v>
      </c>
      <c r="B6" t="s">
        <v>854</v>
      </c>
      <c r="C6" s="633">
        <f>PLANTILLA!E9</f>
        <v>31</v>
      </c>
      <c r="D6" s="633">
        <f ca="1">PLANTILLA!F9</f>
        <v>64</v>
      </c>
      <c r="E6" s="633"/>
      <c r="F6" s="290">
        <v>41539</v>
      </c>
      <c r="G6" s="497">
        <v>1.5</v>
      </c>
      <c r="H6" s="498">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3">
        <f>PLANTILLA!E10</f>
        <v>31</v>
      </c>
      <c r="D7" s="633">
        <f ca="1">PLANTILLA!F10</f>
        <v>49</v>
      </c>
      <c r="E7" s="633"/>
      <c r="F7" s="290">
        <v>41527</v>
      </c>
      <c r="G7" s="497">
        <v>1.5</v>
      </c>
      <c r="H7" s="498">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3">
        <f>PLANTILLA!E11</f>
        <v>27</v>
      </c>
      <c r="D8" s="633">
        <f ca="1">PLANTILLA!F11</f>
        <v>72</v>
      </c>
      <c r="E8" s="633"/>
      <c r="F8" s="290">
        <v>42106</v>
      </c>
      <c r="G8" s="497">
        <v>1.5</v>
      </c>
      <c r="H8" s="498">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3">
        <f>PLANTILLA!E7</f>
        <v>30</v>
      </c>
      <c r="D9" s="633">
        <f ca="1">PLANTILLA!F7</f>
        <v>65</v>
      </c>
      <c r="E9" s="633" t="str">
        <f>PLANTILLA!G7</f>
        <v>CAB</v>
      </c>
      <c r="F9" s="290">
        <v>41400</v>
      </c>
      <c r="G9" s="497">
        <v>1</v>
      </c>
      <c r="H9" s="498">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3">
        <f>PLANTILLA!E12</f>
        <v>31</v>
      </c>
      <c r="D10" s="633">
        <f ca="1">PLANTILLA!F12</f>
        <v>26</v>
      </c>
      <c r="E10" s="633" t="str">
        <f>PLANTILLA!G12</f>
        <v>IMP</v>
      </c>
      <c r="F10" s="290">
        <v>41583</v>
      </c>
      <c r="G10" s="497">
        <v>1.5</v>
      </c>
      <c r="H10" s="498">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3">
        <f>PLANTILLA!E13</f>
        <v>30</v>
      </c>
      <c r="D11" s="633">
        <f ca="1">PLANTILLA!F13</f>
        <v>85</v>
      </c>
      <c r="E11" s="633" t="str">
        <f>PLANTILLA!G13</f>
        <v>TEC</v>
      </c>
      <c r="F11" s="290">
        <v>41722</v>
      </c>
      <c r="G11" s="497">
        <v>1.5</v>
      </c>
      <c r="H11" s="498">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3">
        <f>PLANTILLA!E14</f>
        <v>27</v>
      </c>
      <c r="D12" s="633">
        <f ca="1">PLANTILLA!F14</f>
        <v>100</v>
      </c>
      <c r="E12" s="633" t="str">
        <f>PLANTILLA!G14</f>
        <v>CAB</v>
      </c>
      <c r="F12" s="290">
        <v>41911</v>
      </c>
      <c r="G12" s="497">
        <v>1.5</v>
      </c>
      <c r="H12" s="498">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15.270000000000001</v>
      </c>
      <c r="Q12" s="163">
        <f t="shared" si="57"/>
        <v>3.9799999999999995</v>
      </c>
      <c r="R12" s="163">
        <f t="shared" si="58"/>
        <v>19.336601261147877</v>
      </c>
      <c r="S12" s="163">
        <f t="shared" si="59"/>
        <v>0.8319333333333333</v>
      </c>
      <c r="T12" s="163">
        <f t="shared" si="60"/>
        <v>0.79249999999999998</v>
      </c>
      <c r="U12" s="163">
        <f t="shared" ca="1" si="0"/>
        <v>17.542323345919105</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3.0130679987684905</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3">
        <f>PLANTILLA!E15</f>
        <v>29</v>
      </c>
      <c r="D13" s="633">
        <f ca="1">PLANTILLA!F15</f>
        <v>97</v>
      </c>
      <c r="E13" s="633" t="str">
        <f>PLANTILLA!G15</f>
        <v>TEC</v>
      </c>
      <c r="F13" s="290">
        <v>41747</v>
      </c>
      <c r="G13" s="497">
        <v>1.5</v>
      </c>
      <c r="H13" s="498">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3">
        <f>PLANTILLA!E16</f>
        <v>32</v>
      </c>
      <c r="D14" s="633">
        <f ca="1">PLANTILLA!F16</f>
        <v>19</v>
      </c>
      <c r="E14" s="633" t="str">
        <f>PLANTILLA!G16</f>
        <v>TEC</v>
      </c>
      <c r="F14" s="290">
        <v>41653</v>
      </c>
      <c r="G14" s="497">
        <v>1.5</v>
      </c>
      <c r="H14" s="498">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3">
        <f>PLANTILLA!E17</f>
        <v>31</v>
      </c>
      <c r="D15" s="633">
        <f ca="1">PLANTILLA!F17</f>
        <v>13</v>
      </c>
      <c r="E15" s="633"/>
      <c r="F15" s="290">
        <v>41552</v>
      </c>
      <c r="G15" s="497">
        <v>1.5</v>
      </c>
      <c r="H15" s="498">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3">
        <f>PLANTILLA!E18</f>
        <v>30</v>
      </c>
      <c r="D16" s="633">
        <f ca="1">PLANTILLA!F18</f>
        <v>100</v>
      </c>
      <c r="E16" s="633"/>
      <c r="F16" s="290">
        <v>41686</v>
      </c>
      <c r="G16" s="497">
        <v>1.5</v>
      </c>
      <c r="H16" s="498">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3">
        <f>PLANTILLA!E19</f>
        <v>29</v>
      </c>
      <c r="D17" s="633">
        <f ca="1">PLANTILLA!F19</f>
        <v>50</v>
      </c>
      <c r="E17" s="633"/>
      <c r="F17" s="290">
        <v>41737</v>
      </c>
      <c r="G17" s="497">
        <v>1.5</v>
      </c>
      <c r="H17" s="498">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9">
        <f>PLANTILLA!E20</f>
        <v>29</v>
      </c>
      <c r="D19" s="669">
        <f ca="1">PLANTILLA!F20</f>
        <v>15</v>
      </c>
      <c r="E19" s="669" t="str">
        <f>PLANTILLA!G20</f>
        <v>CAB</v>
      </c>
      <c r="F19" s="290">
        <v>43060</v>
      </c>
      <c r="G19" s="497">
        <v>2.5</v>
      </c>
      <c r="H19" s="498">
        <f>PLANTILLA!I20</f>
        <v>9</v>
      </c>
      <c r="I19" s="341"/>
      <c r="J19" s="163">
        <f>PLANTILLA!X20</f>
        <v>0</v>
      </c>
      <c r="K19" s="163">
        <f>PLANTILLA!Y20</f>
        <v>3</v>
      </c>
      <c r="L19" s="163">
        <f>PLANTILLA!Z20</f>
        <v>15.07</v>
      </c>
      <c r="M19" s="163">
        <f>PLANTILLA!AA20</f>
        <v>12.02</v>
      </c>
      <c r="N19" s="163">
        <f>PLANTILLA!AB20</f>
        <v>12</v>
      </c>
      <c r="O19" s="163">
        <f>PLANTILLA!AC20</f>
        <v>8</v>
      </c>
      <c r="P19" s="163">
        <f>PLANTILLA!AD20</f>
        <v>2</v>
      </c>
      <c r="Q19" s="163">
        <f t="shared" ref="Q19" si="71">((2*(N19+1))+(K19+1))/8</f>
        <v>3.75</v>
      </c>
      <c r="R19" s="163">
        <f t="shared" ref="R19" si="72">1.66*(O19+(LOG(H19)*4/3)+G19)+0.55*(P19+(LOG(H19)*4/3)+G19)-7.6</f>
        <v>15.11683459448121</v>
      </c>
      <c r="S19" s="163">
        <f t="shared" ref="S19" si="73">(0.5*O19+ 0.3*P19)/10</f>
        <v>0.45999999999999996</v>
      </c>
      <c r="T19" s="163">
        <f t="shared" ref="T19" si="74">(0.4*K19+0.3*P19)/10</f>
        <v>0.18000000000000002</v>
      </c>
      <c r="U19" s="163">
        <f t="shared" ref="U19" ca="1" si="75">IF(TODAY()-F19&gt;335,(P19+1+(LOG(H19)*4/3)),(P19+((TODAY()-F19)^0.5)/(336^0.5)+(LOG(H19)*4/3)))</f>
        <v>3.7320075024978578</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0.96397799876848966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3">
        <f>PLANTILLA!E21</f>
        <v>30</v>
      </c>
      <c r="D20" s="633">
        <f ca="1">PLANTILLA!F21</f>
        <v>25</v>
      </c>
      <c r="E20" s="633" t="str">
        <f>PLANTILLA!G21</f>
        <v>RAP</v>
      </c>
      <c r="F20" s="290">
        <v>41664</v>
      </c>
      <c r="G20" s="497">
        <v>1.5</v>
      </c>
      <c r="H20" s="498">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3">
        <f>PLANTILLA!E22</f>
        <v>30</v>
      </c>
      <c r="D21" s="633">
        <f ca="1">PLANTILLA!F22</f>
        <v>94</v>
      </c>
      <c r="E21" s="633" t="str">
        <f>PLANTILLA!G22</f>
        <v>TEC</v>
      </c>
      <c r="F21" s="290">
        <v>41890</v>
      </c>
      <c r="G21" s="497">
        <v>1</v>
      </c>
      <c r="H21" s="498">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3">
        <f>PLANTILLA!E23</f>
        <v>27</v>
      </c>
      <c r="D22" s="633">
        <f ca="1">PLANTILLA!F23</f>
        <v>56</v>
      </c>
      <c r="E22" s="633"/>
      <c r="F22" s="290">
        <v>41973</v>
      </c>
      <c r="G22" s="497">
        <v>1.5</v>
      </c>
      <c r="H22" s="498">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2018-01-31T10:22:34Z</dcterms:modified>
</cp:coreProperties>
</file>