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2F2FF93B-83B6-4432-BF00-618AC3BCE6DF}" xr6:coauthVersionLast="47" xr6:coauthVersionMax="47" xr10:uidLastSave="{00000000-0000-0000-0000-000000000000}"/>
  <bookViews>
    <workbookView xWindow="-120" yWindow="-120" windowWidth="29040" windowHeight="15720" tabRatio="500" firstSheet="3" activeTab="3" xr2:uid="{00000000-000D-0000-FFFF-FFFF00000000}"/>
  </bookViews>
  <sheets>
    <sheet name="Hall_of_Fame" sheetId="1" r:id="rId1"/>
    <sheet name="Fites" sheetId="27" r:id="rId2"/>
    <sheet name="HT-ListaJugadores" sheetId="32" r:id="rId3"/>
    <sheet name="PLANTILLA" sheetId="2" r:id="rId4"/>
    <sheet name="JUVENILES" sheetId="3" r:id="rId5"/>
    <sheet name="Capitan" sheetId="30" r:id="rId6"/>
    <sheet name="Calculadora_Tactica" sheetId="9" r:id="rId7"/>
    <sheet name="Patrocinadores" sheetId="29" r:id="rId8"/>
    <sheet name="ECONOMIA" sheetId="25" r:id="rId9"/>
    <sheet name="Planning_v3" sheetId="23" r:id="rId10"/>
    <sheet name="MajorLeague" sheetId="31" r:id="rId11"/>
    <sheet name="T78_III.7" sheetId="26" r:id="rId12"/>
    <sheet name="Evaluacion" sheetId="7" r:id="rId13"/>
    <sheet name="Estudio_Conversion_TL" sheetId="22" r:id="rId14"/>
    <sheet name="Entrenador" sheetId="11" r:id="rId15"/>
    <sheet name="Entrenamiento" sheetId="12" r:id="rId16"/>
    <sheet name="Resumen_Rend" sheetId="13" r:id="rId17"/>
    <sheet name="352" sheetId="14" r:id="rId18"/>
    <sheet name="541" sheetId="15" r:id="rId19"/>
    <sheet name="DEF" sheetId="16" r:id="rId20"/>
    <sheet name="JUG" sheetId="17" r:id="rId21"/>
    <sheet name="ANO" sheetId="18" r:id="rId22"/>
    <sheet name="XUTS" sheetId="19" r:id="rId23"/>
    <sheet name="BP" sheetId="20" r:id="rId24"/>
    <sheet name="El Desierto de Tattoine" sheetId="21" r:id="rId25"/>
    <sheet name="Inner" sheetId="24" r:id="rId26"/>
  </sheets>
  <externalReferences>
    <externalReference r:id="rId27"/>
  </externalReferences>
  <definedNames>
    <definedName name="_xlnm._FilterDatabase" localSheetId="13" hidden="1">Estudio_Conversion_TL!$L$1:$O$1</definedName>
  </definedNames>
  <calcPr calcId="191029"/>
  <pivotCaches>
    <pivotCache cacheId="0" r:id="rId28"/>
    <pivotCache cacheId="1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C18" i="3" l="1"/>
  <c r="AC8" i="3"/>
  <c r="AB8" i="3"/>
  <c r="AA8" i="3"/>
  <c r="Z8" i="3"/>
  <c r="Y8" i="3"/>
  <c r="W8" i="3"/>
  <c r="AD26" i="3"/>
  <c r="AC26" i="3"/>
  <c r="AB26" i="3"/>
  <c r="AA26" i="3"/>
  <c r="Z26" i="3"/>
  <c r="Y26" i="3"/>
  <c r="X26" i="3"/>
  <c r="AD25" i="3"/>
  <c r="AC25" i="3"/>
  <c r="AB25" i="3"/>
  <c r="AA25" i="3"/>
  <c r="Z25" i="3"/>
  <c r="Y25" i="3"/>
  <c r="X25" i="3"/>
  <c r="W25" i="3" s="1"/>
  <c r="AD24" i="3"/>
  <c r="AC24" i="3"/>
  <c r="AB24" i="3"/>
  <c r="AA24" i="3"/>
  <c r="Z24" i="3"/>
  <c r="Y24" i="3"/>
  <c r="X24" i="3"/>
  <c r="W24" i="3" s="1"/>
  <c r="AC23" i="3"/>
  <c r="AB23" i="3"/>
  <c r="AA23" i="3"/>
  <c r="Z23" i="3"/>
  <c r="Y23" i="3"/>
  <c r="X23" i="3"/>
  <c r="W23" i="3" s="1"/>
  <c r="AD22" i="3"/>
  <c r="AC22" i="3"/>
  <c r="AB22" i="3"/>
  <c r="AA22" i="3"/>
  <c r="Z22" i="3"/>
  <c r="Y22" i="3"/>
  <c r="X22" i="3"/>
  <c r="AB18" i="3"/>
  <c r="AA18" i="3"/>
  <c r="Z18" i="3"/>
  <c r="Y18" i="3"/>
  <c r="X18" i="3"/>
  <c r="AC20" i="3"/>
  <c r="AB20" i="3"/>
  <c r="AA20" i="3"/>
  <c r="Z20" i="3"/>
  <c r="Y20" i="3"/>
  <c r="AC19" i="3"/>
  <c r="AB19" i="3"/>
  <c r="AA19" i="3"/>
  <c r="Z19" i="3"/>
  <c r="Y19" i="3"/>
  <c r="W19" i="3" s="1"/>
  <c r="AC21" i="3"/>
  <c r="AA21" i="3"/>
  <c r="Z21" i="3"/>
  <c r="Y21" i="3"/>
  <c r="Z15" i="3"/>
  <c r="AC14" i="3"/>
  <c r="AA14" i="3"/>
  <c r="Y14" i="3"/>
  <c r="AC13" i="3"/>
  <c r="AB13" i="3"/>
  <c r="AA13" i="3"/>
  <c r="Y13" i="3"/>
  <c r="AC12" i="3"/>
  <c r="AB12" i="3"/>
  <c r="Z12" i="3"/>
  <c r="Y12" i="3"/>
  <c r="X7" i="3"/>
  <c r="AD6" i="3"/>
  <c r="A31" i="3"/>
  <c r="C6" i="3" s="1"/>
  <c r="V26" i="3"/>
  <c r="U26" i="3"/>
  <c r="E26" i="3"/>
  <c r="V25" i="3"/>
  <c r="U25" i="3"/>
  <c r="E25" i="3"/>
  <c r="V24" i="3"/>
  <c r="U24" i="3"/>
  <c r="E24" i="3"/>
  <c r="V23" i="3"/>
  <c r="U23" i="3"/>
  <c r="E23" i="3"/>
  <c r="V22" i="3"/>
  <c r="U22" i="3"/>
  <c r="E22" i="3"/>
  <c r="V18" i="3"/>
  <c r="U18" i="3"/>
  <c r="E18" i="3"/>
  <c r="V20" i="3"/>
  <c r="U20" i="3"/>
  <c r="E20" i="3"/>
  <c r="V19" i="3"/>
  <c r="U19" i="3"/>
  <c r="E19" i="3"/>
  <c r="V21" i="3"/>
  <c r="U21" i="3"/>
  <c r="E21" i="3"/>
  <c r="V15" i="3"/>
  <c r="U15" i="3"/>
  <c r="E15" i="3"/>
  <c r="V14" i="3"/>
  <c r="U14" i="3"/>
  <c r="E14" i="3"/>
  <c r="V13" i="3"/>
  <c r="U13" i="3"/>
  <c r="E13" i="3"/>
  <c r="V12" i="3"/>
  <c r="U12" i="3"/>
  <c r="E12" i="3"/>
  <c r="AC7" i="3"/>
  <c r="AB7" i="3"/>
  <c r="AA7" i="3"/>
  <c r="Z7" i="3"/>
  <c r="Y7" i="3"/>
  <c r="V7" i="3"/>
  <c r="U7" i="3"/>
  <c r="E7" i="3"/>
  <c r="V8" i="3"/>
  <c r="U8" i="3"/>
  <c r="E8" i="3"/>
  <c r="AB9" i="3"/>
  <c r="AA9" i="3"/>
  <c r="Z9" i="3"/>
  <c r="V9" i="3"/>
  <c r="U9" i="3"/>
  <c r="E9" i="3"/>
  <c r="AC6" i="3"/>
  <c r="AB6" i="3"/>
  <c r="AA6" i="3"/>
  <c r="Z6" i="3"/>
  <c r="Y6" i="3"/>
  <c r="V6" i="3"/>
  <c r="U6" i="3"/>
  <c r="E6" i="3"/>
  <c r="AO5" i="3"/>
  <c r="AO11" i="3" s="1"/>
  <c r="AO17" i="3" s="1"/>
  <c r="AN5" i="3"/>
  <c r="AN11" i="3" s="1"/>
  <c r="AN17" i="3" s="1"/>
  <c r="AM5" i="3"/>
  <c r="AM11" i="3" s="1"/>
  <c r="AM17" i="3" s="1"/>
  <c r="AL5" i="3"/>
  <c r="AL11" i="3" s="1"/>
  <c r="AL17" i="3" s="1"/>
  <c r="AK5" i="3"/>
  <c r="AK11" i="3" s="1"/>
  <c r="AK17" i="3" s="1"/>
  <c r="AJ5" i="3"/>
  <c r="AJ11" i="3" s="1"/>
  <c r="AJ17" i="3" s="1"/>
  <c r="AI5" i="3"/>
  <c r="AI11" i="3" s="1"/>
  <c r="AI17" i="3" s="1"/>
  <c r="AH5" i="3"/>
  <c r="AH11" i="3" s="1"/>
  <c r="AH17" i="3" s="1"/>
  <c r="AG5" i="3"/>
  <c r="AG11" i="3" s="1"/>
  <c r="AG17" i="3" s="1"/>
  <c r="AE5" i="3"/>
  <c r="AE11" i="3" s="1"/>
  <c r="AE17" i="3" s="1"/>
  <c r="V5" i="3"/>
  <c r="V11" i="3" s="1"/>
  <c r="V17" i="3" s="1"/>
  <c r="U5" i="3"/>
  <c r="U11" i="3" s="1"/>
  <c r="U17" i="3" s="1"/>
  <c r="T5" i="3"/>
  <c r="T11" i="3" s="1"/>
  <c r="T17" i="3" s="1"/>
  <c r="S5" i="3"/>
  <c r="S11" i="3" s="1"/>
  <c r="S17" i="3" s="1"/>
  <c r="R5" i="3"/>
  <c r="R11" i="3" s="1"/>
  <c r="R17" i="3" s="1"/>
  <c r="Q5" i="3"/>
  <c r="Q11" i="3" s="1"/>
  <c r="Q17" i="3" s="1"/>
  <c r="P5" i="3"/>
  <c r="P11" i="3" s="1"/>
  <c r="P17" i="3" s="1"/>
  <c r="O5" i="3"/>
  <c r="O11" i="3" s="1"/>
  <c r="O17" i="3" s="1"/>
  <c r="N5" i="3"/>
  <c r="N11" i="3" s="1"/>
  <c r="N17" i="3" s="1"/>
  <c r="M5" i="3"/>
  <c r="M11" i="3" s="1"/>
  <c r="M17" i="3" s="1"/>
  <c r="L5" i="3"/>
  <c r="L11" i="3" s="1"/>
  <c r="L17" i="3" s="1"/>
  <c r="K5" i="3"/>
  <c r="K11" i="3" s="1"/>
  <c r="K17" i="3" s="1"/>
  <c r="J5" i="3"/>
  <c r="J11" i="3" s="1"/>
  <c r="J17" i="3" s="1"/>
  <c r="I5" i="3"/>
  <c r="I11" i="3" s="1"/>
  <c r="I17" i="3" s="1"/>
  <c r="H5" i="3"/>
  <c r="H11" i="3" s="1"/>
  <c r="H17" i="3" s="1"/>
  <c r="F5" i="3"/>
  <c r="F11" i="3" s="1"/>
  <c r="F17" i="3" s="1"/>
  <c r="AC3" i="3"/>
  <c r="AB3" i="3"/>
  <c r="AA3" i="3"/>
  <c r="Z3" i="3"/>
  <c r="Y3" i="3"/>
  <c r="V3" i="3"/>
  <c r="U3" i="3"/>
  <c r="E3" i="3"/>
  <c r="C23" i="3" l="1"/>
  <c r="W22" i="3"/>
  <c r="C22" i="3"/>
  <c r="W14" i="3"/>
  <c r="W18" i="3"/>
  <c r="C18" i="3"/>
  <c r="C20" i="3"/>
  <c r="C19" i="3"/>
  <c r="C21" i="3"/>
  <c r="C3" i="3"/>
  <c r="C15" i="3"/>
  <c r="C14" i="3"/>
  <c r="C13" i="3"/>
  <c r="C12" i="3"/>
  <c r="C7" i="3"/>
  <c r="C8" i="3"/>
  <c r="C9" i="3"/>
  <c r="C24" i="3"/>
  <c r="C26" i="3"/>
  <c r="C25" i="3"/>
  <c r="W13" i="3"/>
  <c r="W6" i="3"/>
  <c r="W21" i="3"/>
  <c r="W3" i="3"/>
  <c r="W15" i="3"/>
  <c r="W12" i="3"/>
  <c r="W9" i="3"/>
  <c r="W7" i="3"/>
  <c r="W20" i="3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K4" i="2"/>
  <c r="AJ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V4" i="2"/>
  <c r="W4" i="2"/>
  <c r="X4" i="2"/>
  <c r="Y4" i="2"/>
  <c r="Z4" i="2"/>
  <c r="U4" i="2"/>
  <c r="T7" i="2"/>
  <c r="T19" i="2"/>
  <c r="S5" i="2"/>
  <c r="S6" i="2"/>
  <c r="R7" i="2"/>
  <c r="S7" i="2"/>
  <c r="S8" i="2"/>
  <c r="S9" i="2"/>
  <c r="S10" i="2"/>
  <c r="S11" i="2"/>
  <c r="R12" i="2"/>
  <c r="S12" i="2"/>
  <c r="T12" i="2" s="1"/>
  <c r="R13" i="2"/>
  <c r="S13" i="2"/>
  <c r="R14" i="2"/>
  <c r="S14" i="2"/>
  <c r="S15" i="2"/>
  <c r="S16" i="2"/>
  <c r="S17" i="2"/>
  <c r="S18" i="2"/>
  <c r="R19" i="2"/>
  <c r="S19" i="2"/>
  <c r="S4" i="2"/>
  <c r="Q5" i="2"/>
  <c r="R5" i="2" s="1"/>
  <c r="Q6" i="2"/>
  <c r="T6" i="2" s="1"/>
  <c r="Q7" i="2"/>
  <c r="Q8" i="2"/>
  <c r="T8" i="2" s="1"/>
  <c r="Q9" i="2"/>
  <c r="Q10" i="2"/>
  <c r="R10" i="2" s="1"/>
  <c r="Q11" i="2"/>
  <c r="R11" i="2" s="1"/>
  <c r="Q12" i="2"/>
  <c r="Q13" i="2"/>
  <c r="T13" i="2" s="1"/>
  <c r="Q14" i="2"/>
  <c r="T14" i="2" s="1"/>
  <c r="Q15" i="2"/>
  <c r="T15" i="2" s="1"/>
  <c r="Q16" i="2"/>
  <c r="R16" i="2" s="1"/>
  <c r="Q17" i="2"/>
  <c r="R17" i="2" s="1"/>
  <c r="Q18" i="2"/>
  <c r="T18" i="2" s="1"/>
  <c r="Q19" i="2"/>
  <c r="Q4" i="2"/>
  <c r="N5" i="2"/>
  <c r="P5" i="2" s="1"/>
  <c r="O5" i="2"/>
  <c r="N6" i="2"/>
  <c r="P6" i="2" s="1"/>
  <c r="O6" i="2"/>
  <c r="N7" i="2"/>
  <c r="O7" i="2"/>
  <c r="P7" i="2"/>
  <c r="N8" i="2"/>
  <c r="O8" i="2" s="1"/>
  <c r="N9" i="2"/>
  <c r="P9" i="2" s="1"/>
  <c r="O9" i="2"/>
  <c r="N10" i="2"/>
  <c r="P10" i="2" s="1"/>
  <c r="N11" i="2"/>
  <c r="O11" i="2" s="1"/>
  <c r="N12" i="2"/>
  <c r="O12" i="2" s="1"/>
  <c r="P12" i="2"/>
  <c r="N13" i="2"/>
  <c r="P13" i="2" s="1"/>
  <c r="O13" i="2"/>
  <c r="N14" i="2"/>
  <c r="P14" i="2" s="1"/>
  <c r="N15" i="2"/>
  <c r="O15" i="2"/>
  <c r="P15" i="2"/>
  <c r="N16" i="2"/>
  <c r="O16" i="2" s="1"/>
  <c r="N17" i="2"/>
  <c r="P17" i="2" s="1"/>
  <c r="N18" i="2"/>
  <c r="P18" i="2" s="1"/>
  <c r="O18" i="2"/>
  <c r="N19" i="2"/>
  <c r="P19" i="2" s="1"/>
  <c r="O19" i="2"/>
  <c r="N4" i="2"/>
  <c r="M5" i="2"/>
  <c r="AC5" i="2" s="1"/>
  <c r="M6" i="2"/>
  <c r="AC6" i="2" s="1"/>
  <c r="M7" i="2"/>
  <c r="AD7" i="2" s="1"/>
  <c r="M8" i="2"/>
  <c r="AC8" i="2" s="1"/>
  <c r="M9" i="2"/>
  <c r="AI9" i="2" s="1"/>
  <c r="M10" i="2"/>
  <c r="AG10" i="2" s="1"/>
  <c r="M11" i="2"/>
  <c r="AC11" i="2" s="1"/>
  <c r="M12" i="2"/>
  <c r="AC12" i="2" s="1"/>
  <c r="M13" i="2"/>
  <c r="AD13" i="2" s="1"/>
  <c r="M14" i="2"/>
  <c r="AC14" i="2" s="1"/>
  <c r="M15" i="2"/>
  <c r="AE15" i="2" s="1"/>
  <c r="M16" i="2"/>
  <c r="AG16" i="2" s="1"/>
  <c r="M17" i="2"/>
  <c r="AC17" i="2" s="1"/>
  <c r="M18" i="2"/>
  <c r="AC18" i="2" s="1"/>
  <c r="M19" i="2"/>
  <c r="AC19" i="2" s="1"/>
  <c r="K5" i="2"/>
  <c r="L5" i="2" s="1"/>
  <c r="K6" i="2"/>
  <c r="L6" i="2" s="1"/>
  <c r="K7" i="2"/>
  <c r="L7" i="2"/>
  <c r="K8" i="2"/>
  <c r="L8" i="2"/>
  <c r="K9" i="2"/>
  <c r="L9" i="2" s="1"/>
  <c r="K10" i="2"/>
  <c r="L10" i="2"/>
  <c r="K11" i="2"/>
  <c r="L11" i="2" s="1"/>
  <c r="K12" i="2"/>
  <c r="L12" i="2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/>
  <c r="K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4" i="2"/>
  <c r="F5" i="2"/>
  <c r="F6" i="2"/>
  <c r="F7" i="2"/>
  <c r="F8" i="2"/>
  <c r="F9" i="2"/>
  <c r="F10" i="2"/>
  <c r="F11" i="2"/>
  <c r="F12" i="2"/>
  <c r="F13" i="2"/>
  <c r="F14" i="2"/>
  <c r="J14" i="2" s="1"/>
  <c r="F15" i="2"/>
  <c r="F16" i="2"/>
  <c r="F17" i="2"/>
  <c r="F18" i="2"/>
  <c r="F1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D4" i="2"/>
  <c r="C4" i="2"/>
  <c r="B4" i="2"/>
  <c r="A4" i="2"/>
  <c r="D16" i="29"/>
  <c r="C16" i="29"/>
  <c r="D18" i="29"/>
  <c r="C18" i="29"/>
  <c r="D17" i="29"/>
  <c r="C17" i="29"/>
  <c r="D15" i="29"/>
  <c r="C14" i="29"/>
  <c r="D14" i="29" s="1"/>
  <c r="AG9" i="2" l="1"/>
  <c r="AE12" i="2"/>
  <c r="AH9" i="2"/>
  <c r="AE9" i="2"/>
  <c r="AG18" i="2"/>
  <c r="AI13" i="2"/>
  <c r="AI16" i="2"/>
  <c r="AD16" i="2"/>
  <c r="AD15" i="2"/>
  <c r="AE18" i="2"/>
  <c r="AI17" i="2"/>
  <c r="AH17" i="2"/>
  <c r="AF7" i="2"/>
  <c r="AF16" i="2"/>
  <c r="AE6" i="2"/>
  <c r="AD9" i="2"/>
  <c r="AH15" i="2"/>
  <c r="AI5" i="2"/>
  <c r="AH16" i="2"/>
  <c r="AG6" i="2"/>
  <c r="AI15" i="2"/>
  <c r="AF19" i="2"/>
  <c r="AG15" i="2"/>
  <c r="AH5" i="2"/>
  <c r="AC16" i="2"/>
  <c r="AH6" i="2"/>
  <c r="AE16" i="2"/>
  <c r="AC15" i="2"/>
  <c r="AH18" i="2"/>
  <c r="AF15" i="2"/>
  <c r="AG14" i="2"/>
  <c r="AE19" i="2"/>
  <c r="AF14" i="2"/>
  <c r="AI11" i="2"/>
  <c r="AE7" i="2"/>
  <c r="AI18" i="2"/>
  <c r="AE14" i="2"/>
  <c r="AH11" i="2"/>
  <c r="AF9" i="2"/>
  <c r="AI6" i="2"/>
  <c r="AD14" i="2"/>
  <c r="AH13" i="2"/>
  <c r="AF11" i="2"/>
  <c r="AI8" i="2"/>
  <c r="AD10" i="2"/>
  <c r="AF18" i="2"/>
  <c r="AG13" i="2"/>
  <c r="AE11" i="2"/>
  <c r="AH8" i="2"/>
  <c r="AF6" i="2"/>
  <c r="AF13" i="2"/>
  <c r="AG8" i="2"/>
  <c r="AI19" i="2"/>
  <c r="AG17" i="2"/>
  <c r="AH12" i="2"/>
  <c r="AF10" i="2"/>
  <c r="AI7" i="2"/>
  <c r="AG5" i="2"/>
  <c r="AG11" i="2"/>
  <c r="AF8" i="2"/>
  <c r="AH19" i="2"/>
  <c r="AF17" i="2"/>
  <c r="AI14" i="2"/>
  <c r="AG12" i="2"/>
  <c r="AE10" i="2"/>
  <c r="AH7" i="2"/>
  <c r="AF5" i="2"/>
  <c r="AC10" i="2"/>
  <c r="AI10" i="2"/>
  <c r="AE13" i="2"/>
  <c r="AH10" i="2"/>
  <c r="AC9" i="2"/>
  <c r="AI12" i="2"/>
  <c r="AE8" i="2"/>
  <c r="AG19" i="2"/>
  <c r="AE17" i="2"/>
  <c r="AH14" i="2"/>
  <c r="AF12" i="2"/>
  <c r="AG7" i="2"/>
  <c r="AE5" i="2"/>
  <c r="AC7" i="2"/>
  <c r="AC13" i="2"/>
  <c r="AD18" i="2"/>
  <c r="AD12" i="2"/>
  <c r="AD6" i="2"/>
  <c r="AD8" i="2"/>
  <c r="AD19" i="2"/>
  <c r="AD17" i="2"/>
  <c r="AD11" i="2"/>
  <c r="AD5" i="2"/>
  <c r="R18" i="2"/>
  <c r="R6" i="2"/>
  <c r="K2" i="2"/>
  <c r="N2" i="2"/>
  <c r="I19" i="2"/>
  <c r="I7" i="2"/>
  <c r="J11" i="2"/>
  <c r="T9" i="2"/>
  <c r="I5" i="2"/>
  <c r="Q2" i="2"/>
  <c r="R15" i="2"/>
  <c r="I17" i="2"/>
  <c r="S2" i="2"/>
  <c r="R9" i="2"/>
  <c r="T17" i="2"/>
  <c r="T5" i="2"/>
  <c r="O14" i="2"/>
  <c r="P8" i="2"/>
  <c r="R8" i="2"/>
  <c r="T16" i="2"/>
  <c r="T11" i="2"/>
  <c r="G2" i="2"/>
  <c r="O17" i="2"/>
  <c r="T10" i="2"/>
  <c r="J12" i="2"/>
  <c r="O10" i="2"/>
  <c r="I9" i="2"/>
  <c r="J17" i="2"/>
  <c r="J5" i="2"/>
  <c r="I11" i="2"/>
  <c r="I10" i="2"/>
  <c r="P16" i="2"/>
  <c r="I15" i="2"/>
  <c r="P11" i="2"/>
  <c r="J8" i="2"/>
  <c r="J19" i="2"/>
  <c r="J7" i="2"/>
  <c r="J10" i="2"/>
  <c r="J13" i="2"/>
  <c r="I13" i="2"/>
  <c r="I6" i="2"/>
  <c r="J9" i="2"/>
  <c r="I12" i="2"/>
  <c r="H11" i="2"/>
  <c r="I18" i="2"/>
  <c r="J16" i="2"/>
  <c r="J18" i="2"/>
  <c r="J6" i="2"/>
  <c r="I16" i="2"/>
  <c r="J15" i="2"/>
  <c r="I14" i="2"/>
  <c r="I8" i="2"/>
  <c r="Q18" i="31"/>
  <c r="I13" i="31"/>
  <c r="I14" i="31"/>
  <c r="I16" i="31"/>
  <c r="I17" i="31"/>
  <c r="I15" i="31"/>
  <c r="I19" i="31"/>
  <c r="I18" i="31"/>
  <c r="I12" i="31"/>
  <c r="M4" i="2" l="1"/>
  <c r="O18" i="7"/>
  <c r="N18" i="7"/>
  <c r="L18" i="7"/>
  <c r="K18" i="7"/>
  <c r="Q17" i="7"/>
  <c r="O17" i="7"/>
  <c r="N17" i="7"/>
  <c r="L17" i="7"/>
  <c r="K17" i="7"/>
  <c r="Q16" i="7"/>
  <c r="O16" i="7"/>
  <c r="N16" i="7"/>
  <c r="L16" i="7"/>
  <c r="K16" i="7"/>
  <c r="O15" i="7"/>
  <c r="N15" i="7"/>
  <c r="M15" i="7"/>
  <c r="K15" i="7"/>
  <c r="O14" i="7"/>
  <c r="N14" i="7"/>
  <c r="K14" i="7"/>
  <c r="Q13" i="7"/>
  <c r="P13" i="7"/>
  <c r="O13" i="7"/>
  <c r="N13" i="7"/>
  <c r="M13" i="7"/>
  <c r="L13" i="7"/>
  <c r="K13" i="7"/>
  <c r="Q12" i="7"/>
  <c r="P12" i="7"/>
  <c r="O12" i="7"/>
  <c r="N12" i="7"/>
  <c r="M12" i="7"/>
  <c r="L12" i="7"/>
  <c r="K12" i="7"/>
  <c r="Q11" i="7"/>
  <c r="P11" i="7"/>
  <c r="O11" i="7"/>
  <c r="N11" i="7"/>
  <c r="M11" i="7"/>
  <c r="L11" i="7"/>
  <c r="K11" i="7"/>
  <c r="Q10" i="7"/>
  <c r="P10" i="7"/>
  <c r="O10" i="7"/>
  <c r="N10" i="7"/>
  <c r="M10" i="7"/>
  <c r="L10" i="7"/>
  <c r="K10" i="7"/>
  <c r="Q9" i="7"/>
  <c r="P9" i="7"/>
  <c r="O9" i="7"/>
  <c r="N9" i="7"/>
  <c r="M9" i="7"/>
  <c r="L9" i="7"/>
  <c r="K9" i="7"/>
  <c r="O8" i="7"/>
  <c r="N8" i="7"/>
  <c r="L8" i="7"/>
  <c r="K8" i="7"/>
  <c r="Q7" i="7"/>
  <c r="P7" i="7"/>
  <c r="O7" i="7"/>
  <c r="N7" i="7"/>
  <c r="L7" i="7"/>
  <c r="K7" i="7"/>
  <c r="O6" i="7"/>
  <c r="N6" i="7"/>
  <c r="L6" i="7"/>
  <c r="K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A4" i="7"/>
  <c r="B4" i="7"/>
  <c r="D4" i="7"/>
  <c r="E4" i="7"/>
  <c r="F4" i="7"/>
  <c r="G4" i="7" s="1"/>
  <c r="J4" i="7"/>
  <c r="A5" i="7"/>
  <c r="B5" i="7"/>
  <c r="D5" i="7"/>
  <c r="E5" i="7"/>
  <c r="F5" i="7"/>
  <c r="H5" i="7" s="1"/>
  <c r="J5" i="7"/>
  <c r="A6" i="7"/>
  <c r="B6" i="7"/>
  <c r="D6" i="7"/>
  <c r="E6" i="7"/>
  <c r="F6" i="7"/>
  <c r="G6" i="7" s="1"/>
  <c r="J6" i="7"/>
  <c r="A7" i="7"/>
  <c r="B7" i="7"/>
  <c r="D7" i="7"/>
  <c r="E7" i="7"/>
  <c r="F7" i="7"/>
  <c r="G7" i="7" s="1"/>
  <c r="J7" i="7"/>
  <c r="A8" i="7"/>
  <c r="B8" i="7"/>
  <c r="D8" i="7"/>
  <c r="E8" i="7"/>
  <c r="F8" i="7"/>
  <c r="G8" i="7" s="1"/>
  <c r="J8" i="7"/>
  <c r="A9" i="7"/>
  <c r="B9" i="7"/>
  <c r="D9" i="7"/>
  <c r="E9" i="7"/>
  <c r="F9" i="7"/>
  <c r="G9" i="7" s="1"/>
  <c r="J9" i="7"/>
  <c r="A10" i="7"/>
  <c r="B10" i="7"/>
  <c r="D10" i="7"/>
  <c r="E10" i="7"/>
  <c r="F10" i="7"/>
  <c r="G10" i="7" s="1"/>
  <c r="J10" i="7"/>
  <c r="A11" i="7"/>
  <c r="B11" i="7"/>
  <c r="D11" i="7"/>
  <c r="E11" i="7"/>
  <c r="F11" i="7"/>
  <c r="G11" i="7" s="1"/>
  <c r="J11" i="7"/>
  <c r="A12" i="7"/>
  <c r="B12" i="7"/>
  <c r="D12" i="7"/>
  <c r="E12" i="7"/>
  <c r="F12" i="7"/>
  <c r="G12" i="7" s="1"/>
  <c r="J12" i="7"/>
  <c r="A13" i="7"/>
  <c r="B13" i="7"/>
  <c r="D13" i="7"/>
  <c r="E13" i="7"/>
  <c r="F13" i="7"/>
  <c r="H13" i="7" s="1"/>
  <c r="J13" i="7"/>
  <c r="A14" i="7"/>
  <c r="B14" i="7"/>
  <c r="D14" i="7"/>
  <c r="E14" i="7"/>
  <c r="F14" i="7"/>
  <c r="H14" i="7" s="1"/>
  <c r="J14" i="7"/>
  <c r="A15" i="7"/>
  <c r="B15" i="7"/>
  <c r="D15" i="7"/>
  <c r="E15" i="7"/>
  <c r="F15" i="7"/>
  <c r="G15" i="7" s="1"/>
  <c r="J15" i="7"/>
  <c r="A16" i="7"/>
  <c r="B16" i="7"/>
  <c r="D16" i="7"/>
  <c r="E16" i="7"/>
  <c r="F16" i="7"/>
  <c r="G16" i="7" s="1"/>
  <c r="J16" i="7"/>
  <c r="A17" i="7"/>
  <c r="B17" i="7"/>
  <c r="D17" i="7"/>
  <c r="E17" i="7"/>
  <c r="F17" i="7"/>
  <c r="H17" i="7" s="1"/>
  <c r="J17" i="7"/>
  <c r="A18" i="7"/>
  <c r="B18" i="7"/>
  <c r="D18" i="7"/>
  <c r="E18" i="7"/>
  <c r="F18" i="7"/>
  <c r="H18" i="7" s="1"/>
  <c r="J18" i="7"/>
  <c r="M3" i="7"/>
  <c r="N3" i="7"/>
  <c r="O3" i="7"/>
  <c r="P3" i="7"/>
  <c r="Q3" i="7"/>
  <c r="K3" i="7"/>
  <c r="J3" i="7"/>
  <c r="F3" i="7"/>
  <c r="E3" i="7"/>
  <c r="D3" i="7"/>
  <c r="B3" i="7"/>
  <c r="A3" i="7"/>
  <c r="G18" i="7" l="1"/>
  <c r="G14" i="7"/>
  <c r="G13" i="7"/>
  <c r="H11" i="7"/>
  <c r="H6" i="7"/>
  <c r="G17" i="7"/>
  <c r="G5" i="7"/>
  <c r="H7" i="7"/>
  <c r="H15" i="7"/>
  <c r="H10" i="7"/>
  <c r="H12" i="7"/>
  <c r="H4" i="7"/>
  <c r="H8" i="7"/>
  <c r="H16" i="7"/>
  <c r="H9" i="7"/>
  <c r="I4" i="2"/>
  <c r="J4" i="2"/>
  <c r="H4" i="2"/>
  <c r="L4" i="2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O4" i="2"/>
  <c r="O2" i="2" s="1"/>
  <c r="P4" i="2"/>
  <c r="P2" i="2" s="1"/>
  <c r="T4" i="2"/>
  <c r="R4" i="2"/>
  <c r="R2" i="2" s="1"/>
  <c r="AL4" i="2"/>
  <c r="AG4" i="2" l="1"/>
  <c r="AC4" i="2"/>
  <c r="AI4" i="2"/>
  <c r="W4" i="7" s="1"/>
  <c r="AD4" i="2"/>
  <c r="AE4" i="2"/>
  <c r="R4" i="7" s="1"/>
  <c r="AF4" i="2"/>
  <c r="S4" i="7" s="1"/>
  <c r="AH4" i="2"/>
  <c r="V4" i="7" s="1"/>
  <c r="L67" i="1"/>
  <c r="V14" i="24" l="1"/>
  <c r="W14" i="24" s="1"/>
  <c r="V15" i="24"/>
  <c r="W15" i="24" s="1"/>
  <c r="V16" i="24"/>
  <c r="W16" i="24" s="1"/>
  <c r="V17" i="24"/>
  <c r="W17" i="24" s="1"/>
  <c r="V18" i="24"/>
  <c r="W18" i="24" s="1"/>
  <c r="V13" i="24"/>
  <c r="W13" i="24" s="1"/>
  <c r="U18" i="24"/>
  <c r="U17" i="24"/>
  <c r="U15" i="24"/>
  <c r="U16" i="24"/>
  <c r="U14" i="24"/>
  <c r="U13" i="24"/>
  <c r="P13" i="24"/>
  <c r="Q13" i="24"/>
  <c r="P14" i="24"/>
  <c r="Q14" i="24"/>
  <c r="P15" i="24"/>
  <c r="Q15" i="24"/>
  <c r="P16" i="24"/>
  <c r="Q16" i="24"/>
  <c r="P17" i="24"/>
  <c r="Q17" i="24"/>
  <c r="P18" i="24"/>
  <c r="Q18" i="24"/>
  <c r="H13" i="24"/>
  <c r="R13" i="24" s="1"/>
  <c r="H14" i="24"/>
  <c r="R14" i="24" s="1"/>
  <c r="H15" i="24"/>
  <c r="R15" i="24" s="1"/>
  <c r="H16" i="24"/>
  <c r="R16" i="24" s="1"/>
  <c r="H17" i="24"/>
  <c r="R17" i="24" s="1"/>
  <c r="H18" i="24"/>
  <c r="R18" i="24" s="1"/>
  <c r="H19" i="24"/>
  <c r="H20" i="24"/>
  <c r="H21" i="24"/>
  <c r="H22" i="24"/>
  <c r="H23" i="24"/>
  <c r="H24" i="24"/>
  <c r="H25" i="24"/>
  <c r="A12" i="24"/>
  <c r="B12" i="24"/>
  <c r="D12" i="24"/>
  <c r="E12" i="24"/>
  <c r="G12" i="24"/>
  <c r="H12" i="24" s="1"/>
  <c r="I12" i="24"/>
  <c r="J12" i="24"/>
  <c r="L12" i="24"/>
  <c r="M12" i="24"/>
  <c r="A11" i="24"/>
  <c r="B11" i="24"/>
  <c r="D11" i="24"/>
  <c r="E11" i="24"/>
  <c r="G11" i="24"/>
  <c r="H11" i="24" s="1"/>
  <c r="I11" i="24"/>
  <c r="J11" i="24"/>
  <c r="L11" i="24"/>
  <c r="M11" i="24"/>
  <c r="O11" i="24"/>
  <c r="A10" i="24"/>
  <c r="B10" i="24"/>
  <c r="D10" i="24"/>
  <c r="E10" i="24"/>
  <c r="G10" i="24"/>
  <c r="H10" i="24" s="1"/>
  <c r="I10" i="24"/>
  <c r="J10" i="24"/>
  <c r="L10" i="24"/>
  <c r="M10" i="24"/>
  <c r="O10" i="24"/>
  <c r="A4" i="24"/>
  <c r="B4" i="24"/>
  <c r="D4" i="24"/>
  <c r="E4" i="24"/>
  <c r="G4" i="24"/>
  <c r="H4" i="24" s="1"/>
  <c r="I4" i="24"/>
  <c r="J4" i="24"/>
  <c r="K4" i="24"/>
  <c r="L4" i="24"/>
  <c r="M4" i="24"/>
  <c r="N4" i="24"/>
  <c r="O4" i="24"/>
  <c r="A5" i="24"/>
  <c r="B5" i="24"/>
  <c r="D5" i="24"/>
  <c r="E5" i="24"/>
  <c r="G5" i="24"/>
  <c r="H5" i="24" s="1"/>
  <c r="I5" i="24"/>
  <c r="J5" i="24"/>
  <c r="K5" i="24"/>
  <c r="L5" i="24"/>
  <c r="M5" i="24"/>
  <c r="N5" i="24"/>
  <c r="O5" i="24"/>
  <c r="A6" i="24"/>
  <c r="B6" i="24"/>
  <c r="D6" i="24"/>
  <c r="E6" i="24"/>
  <c r="G6" i="24"/>
  <c r="H6" i="24" s="1"/>
  <c r="I6" i="24"/>
  <c r="J6" i="24"/>
  <c r="K6" i="24"/>
  <c r="L6" i="24"/>
  <c r="M6" i="24"/>
  <c r="N6" i="24"/>
  <c r="O6" i="24"/>
  <c r="A7" i="24"/>
  <c r="B7" i="24"/>
  <c r="D7" i="24"/>
  <c r="E7" i="24"/>
  <c r="G7" i="24"/>
  <c r="H7" i="24" s="1"/>
  <c r="I7" i="24"/>
  <c r="J7" i="24"/>
  <c r="K7" i="24"/>
  <c r="L7" i="24"/>
  <c r="M7" i="24"/>
  <c r="N7" i="24"/>
  <c r="O7" i="24"/>
  <c r="A8" i="24"/>
  <c r="B8" i="24"/>
  <c r="D8" i="24"/>
  <c r="E8" i="24"/>
  <c r="G8" i="24"/>
  <c r="H8" i="24" s="1"/>
  <c r="I8" i="24"/>
  <c r="L8" i="24"/>
  <c r="M8" i="24"/>
  <c r="A9" i="24"/>
  <c r="B9" i="24"/>
  <c r="D9" i="24"/>
  <c r="E9" i="24"/>
  <c r="G9" i="24"/>
  <c r="H9" i="24" s="1"/>
  <c r="I9" i="24"/>
  <c r="K9" i="24"/>
  <c r="L9" i="24"/>
  <c r="M9" i="24"/>
  <c r="J3" i="24"/>
  <c r="K3" i="24"/>
  <c r="L3" i="24"/>
  <c r="M3" i="24"/>
  <c r="N3" i="24"/>
  <c r="O3" i="24"/>
  <c r="I3" i="24"/>
  <c r="G3" i="24"/>
  <c r="D3" i="24"/>
  <c r="E3" i="24"/>
  <c r="B3" i="24"/>
  <c r="A3" i="24"/>
  <c r="Q13" i="13" l="1"/>
  <c r="R13" i="13"/>
  <c r="P13" i="13"/>
  <c r="Q5" i="13"/>
  <c r="R5" i="13"/>
  <c r="P5" i="13"/>
  <c r="Q3" i="13"/>
  <c r="R3" i="13"/>
  <c r="P3" i="13"/>
  <c r="AA19" i="12"/>
  <c r="AJ12" i="12" s="1"/>
  <c r="AJ27" i="12" s="1"/>
  <c r="AA18" i="12"/>
  <c r="AL11" i="12" s="1"/>
  <c r="AL26" i="12" s="1"/>
  <c r="AA17" i="12"/>
  <c r="AL13" i="12" s="1"/>
  <c r="AL28" i="12" s="1"/>
  <c r="AA16" i="12"/>
  <c r="AL9" i="12" s="1"/>
  <c r="AL24" i="12" s="1"/>
  <c r="AA15" i="12"/>
  <c r="AA14" i="12"/>
  <c r="AA13" i="12"/>
  <c r="AA11" i="12"/>
  <c r="AA10" i="12"/>
  <c r="AL6" i="12" s="1"/>
  <c r="AL20" i="12" s="1"/>
  <c r="AA8" i="12"/>
  <c r="AL8" i="12" s="1"/>
  <c r="AL23" i="12" s="1"/>
  <c r="AA6" i="12"/>
  <c r="AK5" i="12" s="1"/>
  <c r="AK19" i="12" s="1"/>
  <c r="AA5" i="12"/>
  <c r="AK4" i="12" s="1"/>
  <c r="AK18" i="12" s="1"/>
  <c r="AK21" i="12"/>
  <c r="AJ21" i="12"/>
  <c r="AL21" i="12" s="1"/>
  <c r="AJ23" i="12"/>
  <c r="AL27" i="12"/>
  <c r="AJ28" i="12"/>
  <c r="AL19" i="12"/>
  <c r="AK10" i="12"/>
  <c r="AK25" i="12" s="1"/>
  <c r="AJ10" i="12"/>
  <c r="AL10" i="12" s="1"/>
  <c r="AL25" i="12" s="1"/>
  <c r="AL7" i="12"/>
  <c r="AL22" i="12" s="1"/>
  <c r="AK7" i="12"/>
  <c r="AK22" i="12" s="1"/>
  <c r="AJ7" i="12"/>
  <c r="AJ22" i="12" s="1"/>
  <c r="AK13" i="12" l="1"/>
  <c r="AK28" i="12" s="1"/>
  <c r="AJ6" i="12"/>
  <c r="AJ20" i="12" s="1"/>
  <c r="AK6" i="12"/>
  <c r="AK20" i="12" s="1"/>
  <c r="AJ5" i="12"/>
  <c r="AJ19" i="12" s="1"/>
  <c r="AK12" i="12"/>
  <c r="AK27" i="12" s="1"/>
  <c r="AJ4" i="12"/>
  <c r="AJ18" i="12" s="1"/>
  <c r="AK11" i="12"/>
  <c r="AK26" i="12" s="1"/>
  <c r="AJ11" i="12"/>
  <c r="AJ26" i="12" s="1"/>
  <c r="AK9" i="12"/>
  <c r="AK24" i="12" s="1"/>
  <c r="AJ9" i="12"/>
  <c r="AJ24" i="12" s="1"/>
  <c r="AJ25" i="12"/>
  <c r="AK8" i="12"/>
  <c r="AK23" i="12" s="1"/>
  <c r="AL4" i="12" l="1"/>
  <c r="AL18" i="12" s="1"/>
  <c r="Y19" i="13"/>
  <c r="Y11" i="13"/>
  <c r="Y18" i="13"/>
  <c r="Y10" i="13"/>
  <c r="X1" i="13"/>
  <c r="W1" i="13"/>
  <c r="V1" i="13"/>
  <c r="U1" i="13"/>
  <c r="T1" i="13"/>
  <c r="S1" i="13"/>
  <c r="R1" i="13"/>
  <c r="Q1" i="13"/>
  <c r="P1" i="13"/>
  <c r="A7" i="30"/>
  <c r="B7" i="30"/>
  <c r="C7" i="30"/>
  <c r="D7" i="30" s="1"/>
  <c r="A8" i="30"/>
  <c r="G8" i="30" s="1"/>
  <c r="B8" i="30"/>
  <c r="H8" i="30" s="1"/>
  <c r="C8" i="30"/>
  <c r="I8" i="30" s="1"/>
  <c r="A9" i="30"/>
  <c r="B9" i="30"/>
  <c r="C9" i="30"/>
  <c r="D9" i="30" s="1"/>
  <c r="A10" i="30"/>
  <c r="G7" i="30" s="1"/>
  <c r="B10" i="30"/>
  <c r="H7" i="30" s="1"/>
  <c r="C10" i="30"/>
  <c r="I7" i="30" s="1"/>
  <c r="A11" i="30"/>
  <c r="B11" i="30"/>
  <c r="C11" i="30"/>
  <c r="D11" i="30" s="1"/>
  <c r="A12" i="30"/>
  <c r="G9" i="30" s="1"/>
  <c r="B12" i="30"/>
  <c r="H9" i="30" s="1"/>
  <c r="C12" i="30"/>
  <c r="I9" i="30" s="1"/>
  <c r="A13" i="30"/>
  <c r="G10" i="30" s="1"/>
  <c r="B13" i="30"/>
  <c r="H10" i="30" s="1"/>
  <c r="C13" i="30"/>
  <c r="I10" i="30" s="1"/>
  <c r="A14" i="30"/>
  <c r="G11" i="30" s="1"/>
  <c r="B14" i="30"/>
  <c r="H11" i="30" s="1"/>
  <c r="C14" i="30"/>
  <c r="I11" i="30" s="1"/>
  <c r="A15" i="30"/>
  <c r="B15" i="30"/>
  <c r="C15" i="30"/>
  <c r="D15" i="30"/>
  <c r="A16" i="30"/>
  <c r="G16" i="30" s="1"/>
  <c r="B16" i="30"/>
  <c r="H16" i="30" s="1"/>
  <c r="C16" i="30"/>
  <c r="I16" i="30" s="1"/>
  <c r="A17" i="30"/>
  <c r="B17" i="30"/>
  <c r="C17" i="30"/>
  <c r="D17" i="30" s="1"/>
  <c r="A18" i="30"/>
  <c r="G15" i="30" s="1"/>
  <c r="B18" i="30"/>
  <c r="H15" i="30" s="1"/>
  <c r="C18" i="30"/>
  <c r="I15" i="30" s="1"/>
  <c r="A19" i="30"/>
  <c r="G13" i="30" s="1"/>
  <c r="B19" i="30"/>
  <c r="H13" i="30" s="1"/>
  <c r="C19" i="30"/>
  <c r="I13" i="30" s="1"/>
  <c r="A20" i="30"/>
  <c r="G14" i="30" s="1"/>
  <c r="B20" i="30"/>
  <c r="H14" i="30" s="1"/>
  <c r="C20" i="30"/>
  <c r="D20" i="30" s="1"/>
  <c r="J14" i="30" s="1"/>
  <c r="A21" i="30"/>
  <c r="G12" i="30" s="1"/>
  <c r="B21" i="30"/>
  <c r="H12" i="30" s="1"/>
  <c r="C21" i="30"/>
  <c r="I12" i="30" s="1"/>
  <c r="C6" i="30"/>
  <c r="D6" i="30" s="1"/>
  <c r="J6" i="30" s="1"/>
  <c r="B6" i="30"/>
  <c r="H6" i="30" s="1"/>
  <c r="A6" i="30"/>
  <c r="G6" i="30" s="1"/>
  <c r="D13" i="30" l="1"/>
  <c r="J10" i="30" s="1"/>
  <c r="D8" i="30"/>
  <c r="J8" i="30" s="1"/>
  <c r="D10" i="30"/>
  <c r="J7" i="30" s="1"/>
  <c r="D21" i="30"/>
  <c r="J12" i="30" s="1"/>
  <c r="D19" i="30"/>
  <c r="J13" i="30" s="1"/>
  <c r="I14" i="30"/>
  <c r="D18" i="30"/>
  <c r="J15" i="30" s="1"/>
  <c r="D16" i="30"/>
  <c r="J16" i="30" s="1"/>
  <c r="D14" i="30"/>
  <c r="J11" i="30" s="1"/>
  <c r="I6" i="30"/>
  <c r="D12" i="30"/>
  <c r="J9" i="30" s="1"/>
  <c r="Y1" i="13"/>
  <c r="P8" i="7"/>
  <c r="M6" i="7"/>
  <c r="M8" i="7"/>
  <c r="M7" i="7"/>
  <c r="L3" i="7"/>
  <c r="D3" i="29"/>
  <c r="C3" i="29"/>
  <c r="D7" i="29"/>
  <c r="C7" i="29"/>
  <c r="D6" i="29"/>
  <c r="C6" i="29"/>
  <c r="D4" i="29"/>
  <c r="C4" i="29"/>
  <c r="D2" i="29"/>
  <c r="C2" i="29"/>
  <c r="D9" i="29"/>
  <c r="C9" i="29"/>
  <c r="D8" i="29"/>
  <c r="C8" i="29"/>
  <c r="N10" i="24" l="1"/>
  <c r="P16" i="7"/>
  <c r="J9" i="24"/>
  <c r="L15" i="7"/>
  <c r="N8" i="24"/>
  <c r="P14" i="7"/>
  <c r="K11" i="24"/>
  <c r="M17" i="7"/>
  <c r="K8" i="24"/>
  <c r="M14" i="7"/>
  <c r="K12" i="24"/>
  <c r="M18" i="7"/>
  <c r="N9" i="24"/>
  <c r="P15" i="7"/>
  <c r="K10" i="24"/>
  <c r="M16" i="7"/>
  <c r="J8" i="24"/>
  <c r="L14" i="7"/>
  <c r="H4" i="30"/>
  <c r="K6" i="30" s="1"/>
  <c r="B42" i="1"/>
  <c r="G10" i="21"/>
  <c r="G11" i="21"/>
  <c r="G12" i="21"/>
  <c r="G9" i="21"/>
  <c r="F16" i="21"/>
  <c r="G16" i="21" s="1"/>
  <c r="I16" i="21"/>
  <c r="J16" i="21"/>
  <c r="L16" i="21"/>
  <c r="M16" i="21" s="1"/>
  <c r="O16" i="21"/>
  <c r="P16" i="21"/>
  <c r="R16" i="21"/>
  <c r="S16" i="21" s="1"/>
  <c r="C16" i="21"/>
  <c r="D16" i="21" s="1"/>
  <c r="O7" i="9"/>
  <c r="W11" i="9" s="1"/>
  <c r="O6" i="9"/>
  <c r="O10" i="9"/>
  <c r="W9" i="9" s="1"/>
  <c r="O5" i="9"/>
  <c r="O14" i="9"/>
  <c r="W4" i="9" s="1"/>
  <c r="P18" i="7"/>
  <c r="P17" i="7"/>
  <c r="M4" i="9"/>
  <c r="U10" i="9" s="1"/>
  <c r="M5" i="9"/>
  <c r="M6" i="9"/>
  <c r="M7" i="9"/>
  <c r="U11" i="9" s="1"/>
  <c r="M8" i="9"/>
  <c r="U8" i="9" s="1"/>
  <c r="O8" i="9"/>
  <c r="W8" i="9" s="1"/>
  <c r="P8" i="9"/>
  <c r="X8" i="9" s="1"/>
  <c r="M9" i="9"/>
  <c r="O9" i="9"/>
  <c r="P9" i="9"/>
  <c r="M10" i="9"/>
  <c r="U9" i="9" s="1"/>
  <c r="P10" i="9"/>
  <c r="X9" i="9" s="1"/>
  <c r="M11" i="9"/>
  <c r="U2" i="9" s="1"/>
  <c r="O11" i="9"/>
  <c r="W2" i="9" s="1"/>
  <c r="M12" i="9"/>
  <c r="U5" i="9" s="1"/>
  <c r="O12" i="9"/>
  <c r="W5" i="9" s="1"/>
  <c r="M13" i="9"/>
  <c r="U6" i="9" s="1"/>
  <c r="P13" i="9"/>
  <c r="X6" i="9" s="1"/>
  <c r="M14" i="9"/>
  <c r="U4" i="9" s="1"/>
  <c r="M15" i="9"/>
  <c r="U3" i="9" s="1"/>
  <c r="O15" i="9"/>
  <c r="W3" i="9" s="1"/>
  <c r="P15" i="9"/>
  <c r="X3" i="9" s="1"/>
  <c r="M16" i="9"/>
  <c r="M17" i="9"/>
  <c r="U7" i="9" s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O4" i="9" l="1"/>
  <c r="W10" i="9" s="1"/>
  <c r="P6" i="7"/>
  <c r="O17" i="9"/>
  <c r="W7" i="9" s="1"/>
  <c r="N12" i="24"/>
  <c r="O16" i="9"/>
  <c r="N11" i="24"/>
  <c r="K7" i="30"/>
  <c r="L7" i="30"/>
  <c r="K11" i="30"/>
  <c r="L8" i="30"/>
  <c r="K14" i="30"/>
  <c r="K10" i="30"/>
  <c r="L12" i="30"/>
  <c r="L14" i="30"/>
  <c r="K9" i="30"/>
  <c r="K12" i="30"/>
  <c r="K13" i="30"/>
  <c r="L15" i="30"/>
  <c r="L11" i="30"/>
  <c r="L9" i="30"/>
  <c r="L16" i="30"/>
  <c r="L6" i="30"/>
  <c r="L13" i="30"/>
  <c r="K15" i="30"/>
  <c r="K16" i="30"/>
  <c r="L10" i="30"/>
  <c r="K8" i="30"/>
  <c r="M35" i="25"/>
  <c r="N35" i="25" s="1"/>
  <c r="N31" i="25" s="1"/>
  <c r="M31" i="25" l="1"/>
  <c r="P16" i="9" l="1"/>
  <c r="P11" i="9"/>
  <c r="X2" i="9" s="1"/>
  <c r="P5" i="9"/>
  <c r="Q15" i="7"/>
  <c r="P7" i="9"/>
  <c r="X11" i="9" s="1"/>
  <c r="Q14" i="7"/>
  <c r="Q18" i="7"/>
  <c r="P6" i="9" l="1"/>
  <c r="Q8" i="7"/>
  <c r="P17" i="9"/>
  <c r="X7" i="9" s="1"/>
  <c r="O12" i="24"/>
  <c r="P12" i="9"/>
  <c r="X5" i="9" s="1"/>
  <c r="O8" i="24"/>
  <c r="P14" i="9"/>
  <c r="X4" i="9" s="1"/>
  <c r="O9" i="24"/>
  <c r="W5" i="21"/>
  <c r="W6" i="21"/>
  <c r="W7" i="21"/>
  <c r="W4" i="21"/>
  <c r="V5" i="21"/>
  <c r="V6" i="21"/>
  <c r="V7" i="21"/>
  <c r="V4" i="21"/>
  <c r="U5" i="21"/>
  <c r="U6" i="21"/>
  <c r="U7" i="21"/>
  <c r="U4" i="21"/>
  <c r="AA2" i="2"/>
  <c r="P4" i="9" l="1"/>
  <c r="X10" i="9" s="1"/>
  <c r="Q6" i="7"/>
  <c r="O6" i="25"/>
  <c r="C25" i="25" l="1"/>
  <c r="C24" i="25" s="1"/>
  <c r="C8" i="25"/>
  <c r="O13" i="9" l="1"/>
  <c r="W6" i="9" s="1"/>
  <c r="A6" i="12" l="1"/>
  <c r="B6" i="12"/>
  <c r="C6" i="12"/>
  <c r="AI5" i="12" s="1"/>
  <c r="AI19" i="12" s="1"/>
  <c r="D6" i="12"/>
  <c r="P6" i="12" s="1"/>
  <c r="G6" i="12"/>
  <c r="H6" i="12"/>
  <c r="R6" i="12" s="1"/>
  <c r="I6" i="12"/>
  <c r="J6" i="12"/>
  <c r="K6" i="12"/>
  <c r="L6" i="12"/>
  <c r="M6" i="12"/>
  <c r="N6" i="12"/>
  <c r="O6" i="12"/>
  <c r="A7" i="12"/>
  <c r="B7" i="12"/>
  <c r="C7" i="12"/>
  <c r="D7" i="12"/>
  <c r="P7" i="12" s="1"/>
  <c r="G7" i="12"/>
  <c r="H7" i="12"/>
  <c r="R7" i="12" s="1"/>
  <c r="I7" i="12"/>
  <c r="J7" i="12"/>
  <c r="K7" i="12"/>
  <c r="L7" i="12"/>
  <c r="M7" i="12"/>
  <c r="N7" i="12"/>
  <c r="A8" i="12"/>
  <c r="B8" i="12"/>
  <c r="C8" i="12"/>
  <c r="AI8" i="12" s="1"/>
  <c r="AI23" i="12" s="1"/>
  <c r="D8" i="12"/>
  <c r="P8" i="12" s="1"/>
  <c r="F8" i="12"/>
  <c r="G8" i="12"/>
  <c r="H8" i="12"/>
  <c r="R8" i="12" s="1"/>
  <c r="I8" i="12"/>
  <c r="J8" i="12"/>
  <c r="K8" i="12"/>
  <c r="L8" i="12"/>
  <c r="M8" i="12"/>
  <c r="N8" i="12"/>
  <c r="O8" i="12"/>
  <c r="A9" i="12"/>
  <c r="B9" i="12"/>
  <c r="C9" i="12"/>
  <c r="D9" i="12"/>
  <c r="P9" i="12" s="1"/>
  <c r="G9" i="12"/>
  <c r="H9" i="12"/>
  <c r="R9" i="12" s="1"/>
  <c r="I9" i="12"/>
  <c r="J9" i="12"/>
  <c r="K9" i="12"/>
  <c r="L9" i="12"/>
  <c r="M9" i="12"/>
  <c r="N9" i="12"/>
  <c r="O9" i="12"/>
  <c r="A10" i="12"/>
  <c r="B10" i="12"/>
  <c r="C10" i="12"/>
  <c r="AI6" i="12" s="1"/>
  <c r="AI20" i="12" s="1"/>
  <c r="D10" i="12"/>
  <c r="P10" i="12" s="1"/>
  <c r="F10" i="12"/>
  <c r="G10" i="12"/>
  <c r="H10" i="12"/>
  <c r="R10" i="12" s="1"/>
  <c r="I10" i="12"/>
  <c r="J10" i="12"/>
  <c r="K10" i="12"/>
  <c r="L10" i="12"/>
  <c r="M10" i="12"/>
  <c r="N10" i="12"/>
  <c r="O10" i="12"/>
  <c r="A11" i="12"/>
  <c r="B11" i="12"/>
  <c r="C11" i="12"/>
  <c r="AI14" i="12" s="1"/>
  <c r="D11" i="12"/>
  <c r="P11" i="12" s="1"/>
  <c r="G11" i="12"/>
  <c r="H11" i="12"/>
  <c r="R11" i="12" s="1"/>
  <c r="I11" i="12"/>
  <c r="J11" i="12"/>
  <c r="K11" i="12"/>
  <c r="L11" i="12"/>
  <c r="M11" i="12"/>
  <c r="N11" i="12"/>
  <c r="A12" i="12"/>
  <c r="B12" i="12"/>
  <c r="C12" i="12"/>
  <c r="D12" i="12"/>
  <c r="P12" i="12" s="1"/>
  <c r="F12" i="12"/>
  <c r="G12" i="12"/>
  <c r="H12" i="12"/>
  <c r="R12" i="12" s="1"/>
  <c r="I12" i="12"/>
  <c r="J12" i="12"/>
  <c r="K12" i="12"/>
  <c r="L12" i="12"/>
  <c r="M12" i="12"/>
  <c r="N12" i="12"/>
  <c r="O12" i="12"/>
  <c r="A13" i="12"/>
  <c r="B13" i="12"/>
  <c r="C13" i="12"/>
  <c r="AI10" i="12" s="1"/>
  <c r="D13" i="12"/>
  <c r="P13" i="12" s="1"/>
  <c r="G13" i="12"/>
  <c r="H13" i="12"/>
  <c r="R13" i="12" s="1"/>
  <c r="I13" i="12"/>
  <c r="J13" i="12"/>
  <c r="K13" i="12"/>
  <c r="L13" i="12"/>
  <c r="M13" i="12"/>
  <c r="N13" i="12"/>
  <c r="O13" i="12"/>
  <c r="A14" i="12"/>
  <c r="B14" i="12"/>
  <c r="C14" i="12"/>
  <c r="AI21" i="12" s="1"/>
  <c r="D14" i="12"/>
  <c r="P14" i="12" s="1"/>
  <c r="F14" i="12"/>
  <c r="G14" i="12"/>
  <c r="H14" i="12"/>
  <c r="R14" i="12" s="1"/>
  <c r="I14" i="12"/>
  <c r="J14" i="12"/>
  <c r="K14" i="12"/>
  <c r="L14" i="12"/>
  <c r="M14" i="12"/>
  <c r="N14" i="12"/>
  <c r="A15" i="12"/>
  <c r="B15" i="12"/>
  <c r="C15" i="12"/>
  <c r="AI7" i="12" s="1"/>
  <c r="AI22" i="12" s="1"/>
  <c r="D15" i="12"/>
  <c r="P15" i="12" s="1"/>
  <c r="G15" i="12"/>
  <c r="H15" i="12"/>
  <c r="R15" i="12" s="1"/>
  <c r="I15" i="12"/>
  <c r="J15" i="12"/>
  <c r="K15" i="12"/>
  <c r="L15" i="12"/>
  <c r="M15" i="12"/>
  <c r="N15" i="12"/>
  <c r="A16" i="12"/>
  <c r="B16" i="12"/>
  <c r="C16" i="12"/>
  <c r="AI9" i="12" s="1"/>
  <c r="D16" i="12"/>
  <c r="P16" i="12" s="1"/>
  <c r="F16" i="12"/>
  <c r="G16" i="12"/>
  <c r="H16" i="12"/>
  <c r="R16" i="12" s="1"/>
  <c r="I16" i="12"/>
  <c r="J16" i="12"/>
  <c r="K16" i="12"/>
  <c r="L16" i="12"/>
  <c r="M16" i="12"/>
  <c r="N16" i="12"/>
  <c r="A17" i="12"/>
  <c r="B17" i="12"/>
  <c r="C17" i="12"/>
  <c r="AI13" i="12" s="1"/>
  <c r="D17" i="12"/>
  <c r="P17" i="12" s="1"/>
  <c r="G17" i="12"/>
  <c r="H17" i="12"/>
  <c r="R17" i="12" s="1"/>
  <c r="I17" i="12"/>
  <c r="J17" i="12"/>
  <c r="K17" i="12"/>
  <c r="L17" i="12"/>
  <c r="M17" i="12"/>
  <c r="N17" i="12"/>
  <c r="A18" i="12"/>
  <c r="B18" i="12"/>
  <c r="C18" i="12"/>
  <c r="AI11" i="12" s="1"/>
  <c r="D18" i="12"/>
  <c r="P18" i="12" s="1"/>
  <c r="F18" i="12"/>
  <c r="G18" i="12"/>
  <c r="H18" i="12"/>
  <c r="R18" i="12" s="1"/>
  <c r="I18" i="12"/>
  <c r="J18" i="12"/>
  <c r="K18" i="12"/>
  <c r="L18" i="12"/>
  <c r="M18" i="12"/>
  <c r="N18" i="12"/>
  <c r="A19" i="12"/>
  <c r="B19" i="12"/>
  <c r="C19" i="12"/>
  <c r="AI12" i="12" s="1"/>
  <c r="D19" i="12"/>
  <c r="P19" i="12" s="1"/>
  <c r="G19" i="12"/>
  <c r="H19" i="12"/>
  <c r="R19" i="12" s="1"/>
  <c r="I19" i="12"/>
  <c r="J19" i="12"/>
  <c r="K19" i="12"/>
  <c r="L19" i="12"/>
  <c r="M19" i="12"/>
  <c r="N19" i="12"/>
  <c r="O19" i="12"/>
  <c r="A20" i="12"/>
  <c r="B20" i="12"/>
  <c r="C20" i="12"/>
  <c r="D20" i="12"/>
  <c r="P20" i="12" s="1"/>
  <c r="E20" i="12"/>
  <c r="Q20" i="12" s="1"/>
  <c r="F20" i="12"/>
  <c r="G20" i="12"/>
  <c r="H20" i="12"/>
  <c r="R20" i="12" s="1"/>
  <c r="I20" i="12"/>
  <c r="J20" i="12"/>
  <c r="K20" i="12"/>
  <c r="L20" i="12"/>
  <c r="M20" i="12"/>
  <c r="N20" i="12"/>
  <c r="O20" i="12"/>
  <c r="A21" i="12"/>
  <c r="B21" i="12"/>
  <c r="C21" i="12"/>
  <c r="D21" i="12"/>
  <c r="P21" i="12" s="1"/>
  <c r="E21" i="12"/>
  <c r="Q21" i="12" s="1"/>
  <c r="G21" i="12"/>
  <c r="H21" i="12"/>
  <c r="R21" i="12" s="1"/>
  <c r="I21" i="12"/>
  <c r="J21" i="12"/>
  <c r="K21" i="12"/>
  <c r="L21" i="12"/>
  <c r="M21" i="12"/>
  <c r="N21" i="12"/>
  <c r="O21" i="12"/>
  <c r="A22" i="12"/>
  <c r="B22" i="12"/>
  <c r="C22" i="12"/>
  <c r="D22" i="12"/>
  <c r="P22" i="12" s="1"/>
  <c r="E22" i="12"/>
  <c r="Q22" i="12" s="1"/>
  <c r="F22" i="12"/>
  <c r="G22" i="12"/>
  <c r="H22" i="12"/>
  <c r="R22" i="12" s="1"/>
  <c r="I22" i="12"/>
  <c r="J22" i="12"/>
  <c r="K22" i="12"/>
  <c r="L22" i="12"/>
  <c r="M22" i="12"/>
  <c r="N22" i="12"/>
  <c r="O22" i="12"/>
  <c r="A23" i="12"/>
  <c r="B23" i="12"/>
  <c r="C23" i="12"/>
  <c r="D23" i="12"/>
  <c r="P23" i="12" s="1"/>
  <c r="E23" i="12"/>
  <c r="Q23" i="12" s="1"/>
  <c r="G23" i="12"/>
  <c r="H23" i="12"/>
  <c r="R23" i="12" s="1"/>
  <c r="I23" i="12"/>
  <c r="J23" i="12"/>
  <c r="K23" i="12"/>
  <c r="L23" i="12"/>
  <c r="M23" i="12"/>
  <c r="N23" i="12"/>
  <c r="O23" i="12"/>
  <c r="A24" i="12"/>
  <c r="B24" i="12"/>
  <c r="C24" i="12"/>
  <c r="D24" i="12"/>
  <c r="P24" i="12" s="1"/>
  <c r="E24" i="12"/>
  <c r="Q24" i="12" s="1"/>
  <c r="F24" i="12"/>
  <c r="G24" i="12"/>
  <c r="H24" i="12"/>
  <c r="R24" i="12" s="1"/>
  <c r="I24" i="12"/>
  <c r="J24" i="12"/>
  <c r="K24" i="12"/>
  <c r="L24" i="12"/>
  <c r="M24" i="12"/>
  <c r="N24" i="12"/>
  <c r="O24" i="12"/>
  <c r="A25" i="12"/>
  <c r="B25" i="12"/>
  <c r="C25" i="12"/>
  <c r="D25" i="12"/>
  <c r="P25" i="12" s="1"/>
  <c r="E25" i="12"/>
  <c r="Q25" i="12" s="1"/>
  <c r="G25" i="12"/>
  <c r="H25" i="12"/>
  <c r="R25" i="12" s="1"/>
  <c r="I25" i="12"/>
  <c r="J25" i="12"/>
  <c r="K25" i="12"/>
  <c r="L25" i="12"/>
  <c r="M25" i="12"/>
  <c r="N25" i="12"/>
  <c r="O25" i="12"/>
  <c r="A26" i="12"/>
  <c r="B26" i="12"/>
  <c r="C26" i="12"/>
  <c r="D26" i="12"/>
  <c r="P26" i="12" s="1"/>
  <c r="E26" i="12"/>
  <c r="Q26" i="12" s="1"/>
  <c r="F26" i="12"/>
  <c r="G26" i="12"/>
  <c r="H26" i="12"/>
  <c r="R26" i="12" s="1"/>
  <c r="I26" i="12"/>
  <c r="J26" i="12"/>
  <c r="K26" i="12"/>
  <c r="L26" i="12"/>
  <c r="M26" i="12"/>
  <c r="N26" i="12"/>
  <c r="O26" i="12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Y25" i="12" l="1"/>
  <c r="AF25" i="12" s="1"/>
  <c r="S20" i="12"/>
  <c r="Z20" i="12" s="1"/>
  <c r="T15" i="12"/>
  <c r="X14" i="12"/>
  <c r="V13" i="12"/>
  <c r="AC13" i="12" s="1"/>
  <c r="S12" i="12"/>
  <c r="Z12" i="12" s="1"/>
  <c r="X11" i="12"/>
  <c r="U10" i="12"/>
  <c r="AB10" i="12" s="1"/>
  <c r="S9" i="12"/>
  <c r="Z9" i="12" s="1"/>
  <c r="X8" i="12"/>
  <c r="U7" i="12"/>
  <c r="AB7" i="12" s="1"/>
  <c r="Y26" i="12"/>
  <c r="AF26" i="12" s="1"/>
  <c r="X25" i="12"/>
  <c r="AE25" i="12" s="1"/>
  <c r="V24" i="12"/>
  <c r="AC24" i="12" s="1"/>
  <c r="V23" i="12"/>
  <c r="AC23" i="12" s="1"/>
  <c r="U22" i="12"/>
  <c r="AB22" i="12" s="1"/>
  <c r="T21" i="12"/>
  <c r="AA21" i="12" s="1"/>
  <c r="Y19" i="12"/>
  <c r="U18" i="12"/>
  <c r="AB18" i="12" s="1"/>
  <c r="V16" i="12"/>
  <c r="AC16" i="12" s="1"/>
  <c r="S15" i="12"/>
  <c r="Z15" i="12" s="1"/>
  <c r="W14" i="12"/>
  <c r="AD14" i="12" s="1"/>
  <c r="U13" i="12"/>
  <c r="AB13" i="12" s="1"/>
  <c r="W11" i="12"/>
  <c r="AD11" i="12" s="1"/>
  <c r="T10" i="12"/>
  <c r="W8" i="12"/>
  <c r="AD8" i="12" s="1"/>
  <c r="T7" i="12"/>
  <c r="AA7" i="12" s="1"/>
  <c r="Y6" i="12"/>
  <c r="W24" i="12"/>
  <c r="AD24" i="12" s="1"/>
  <c r="V22" i="12"/>
  <c r="AC22" i="12" s="1"/>
  <c r="V18" i="12"/>
  <c r="AC18" i="12" s="1"/>
  <c r="W26" i="12"/>
  <c r="AD26" i="12" s="1"/>
  <c r="V25" i="12"/>
  <c r="AC25" i="12" s="1"/>
  <c r="T24" i="12"/>
  <c r="AA24" i="12" s="1"/>
  <c r="T23" i="12"/>
  <c r="AA23" i="12" s="1"/>
  <c r="S22" i="12"/>
  <c r="Z22" i="12" s="1"/>
  <c r="X20" i="12"/>
  <c r="AE20" i="12" s="1"/>
  <c r="W19" i="12"/>
  <c r="AD19" i="12" s="1"/>
  <c r="S18" i="12"/>
  <c r="Z18" i="12" s="1"/>
  <c r="X17" i="12"/>
  <c r="T16" i="12"/>
  <c r="U14" i="12"/>
  <c r="AB14" i="12" s="1"/>
  <c r="S13" i="12"/>
  <c r="Z13" i="12" s="1"/>
  <c r="X12" i="12"/>
  <c r="U11" i="12"/>
  <c r="AB11" i="12" s="1"/>
  <c r="X9" i="12"/>
  <c r="U8" i="12"/>
  <c r="AB8" i="12" s="1"/>
  <c r="W6" i="12"/>
  <c r="AD6" i="12" s="1"/>
  <c r="W25" i="12"/>
  <c r="AD25" i="12" s="1"/>
  <c r="T22" i="12"/>
  <c r="AA22" i="12" s="1"/>
  <c r="Y12" i="12"/>
  <c r="V26" i="12"/>
  <c r="AC26" i="12" s="1"/>
  <c r="U25" i="12"/>
  <c r="AB25" i="12" s="1"/>
  <c r="S24" i="12"/>
  <c r="Z24" i="12" s="1"/>
  <c r="S23" i="12"/>
  <c r="Z23" i="12" s="1"/>
  <c r="Y21" i="12"/>
  <c r="AF21" i="12" s="1"/>
  <c r="W20" i="12"/>
  <c r="AD20" i="12" s="1"/>
  <c r="V19" i="12"/>
  <c r="AC19" i="12" s="1"/>
  <c r="W17" i="12"/>
  <c r="AD17" i="12" s="1"/>
  <c r="S16" i="12"/>
  <c r="Z16" i="12" s="1"/>
  <c r="X15" i="12"/>
  <c r="T14" i="12"/>
  <c r="W12" i="12"/>
  <c r="AD12" i="12" s="1"/>
  <c r="T11" i="12"/>
  <c r="Y10" i="12"/>
  <c r="W9" i="12"/>
  <c r="AD9" i="12" s="1"/>
  <c r="T8" i="12"/>
  <c r="V6" i="12"/>
  <c r="AC6" i="12" s="1"/>
  <c r="X26" i="12"/>
  <c r="AE26" i="12" s="1"/>
  <c r="U24" i="12"/>
  <c r="AB24" i="12" s="1"/>
  <c r="U23" i="12"/>
  <c r="AB23" i="12" s="1"/>
  <c r="S21" i="12"/>
  <c r="Z21" i="12" s="1"/>
  <c r="X19" i="12"/>
  <c r="U16" i="12"/>
  <c r="AB16" i="12" s="1"/>
  <c r="V14" i="12"/>
  <c r="AC14" i="12" s="1"/>
  <c r="S10" i="12"/>
  <c r="Z10" i="12" s="1"/>
  <c r="V8" i="12"/>
  <c r="AC8" i="12" s="1"/>
  <c r="S7" i="12"/>
  <c r="Z7" i="12" s="1"/>
  <c r="X6" i="12"/>
  <c r="AQ5" i="12" s="1"/>
  <c r="AQ19" i="12" s="1"/>
  <c r="U26" i="12"/>
  <c r="AB26" i="12" s="1"/>
  <c r="T25" i="12"/>
  <c r="AA25" i="12" s="1"/>
  <c r="Y22" i="12"/>
  <c r="AF22" i="12" s="1"/>
  <c r="X21" i="12"/>
  <c r="AE21" i="12" s="1"/>
  <c r="V20" i="12"/>
  <c r="AC20" i="12" s="1"/>
  <c r="U19" i="12"/>
  <c r="AB19" i="12" s="1"/>
  <c r="V17" i="12"/>
  <c r="AC17" i="12" s="1"/>
  <c r="W15" i="12"/>
  <c r="AD15" i="12" s="1"/>
  <c r="S14" i="12"/>
  <c r="Z14" i="12" s="1"/>
  <c r="Y13" i="12"/>
  <c r="V12" i="12"/>
  <c r="AC12" i="12" s="1"/>
  <c r="S11" i="12"/>
  <c r="Z11" i="12" s="1"/>
  <c r="X10" i="12"/>
  <c r="V9" i="12"/>
  <c r="AC9" i="12" s="1"/>
  <c r="S8" i="12"/>
  <c r="Z8" i="12" s="1"/>
  <c r="X7" i="12"/>
  <c r="U6" i="12"/>
  <c r="AB6" i="12" s="1"/>
  <c r="U21" i="12"/>
  <c r="AB21" i="12" s="1"/>
  <c r="W16" i="12"/>
  <c r="AD16" i="12" s="1"/>
  <c r="Y20" i="12"/>
  <c r="AF20" i="12" s="1"/>
  <c r="T13" i="12"/>
  <c r="V11" i="12"/>
  <c r="AC11" i="12" s="1"/>
  <c r="T26" i="12"/>
  <c r="AA26" i="12" s="1"/>
  <c r="S25" i="12"/>
  <c r="Z25" i="12" s="1"/>
  <c r="Y24" i="12"/>
  <c r="AF24" i="12" s="1"/>
  <c r="Y23" i="12"/>
  <c r="AF23" i="12" s="1"/>
  <c r="X22" i="12"/>
  <c r="AE22" i="12" s="1"/>
  <c r="W21" i="12"/>
  <c r="AD21" i="12" s="1"/>
  <c r="U20" i="12"/>
  <c r="AB20" i="12" s="1"/>
  <c r="T19" i="12"/>
  <c r="X18" i="12"/>
  <c r="U17" i="12"/>
  <c r="AB17" i="12" s="1"/>
  <c r="V15" i="12"/>
  <c r="AC15" i="12" s="1"/>
  <c r="X13" i="12"/>
  <c r="AQ10" i="12" s="1"/>
  <c r="U12" i="12"/>
  <c r="AB12" i="12" s="1"/>
  <c r="W10" i="12"/>
  <c r="AD10" i="12" s="1"/>
  <c r="U9" i="12"/>
  <c r="AB9" i="12" s="1"/>
  <c r="W7" i="12"/>
  <c r="AD7" i="12" s="1"/>
  <c r="T6" i="12"/>
  <c r="W23" i="12"/>
  <c r="AD23" i="12" s="1"/>
  <c r="S17" i="12"/>
  <c r="Z17" i="12" s="1"/>
  <c r="T18" i="12"/>
  <c r="Y9" i="12"/>
  <c r="S26" i="12"/>
  <c r="Z26" i="12" s="1"/>
  <c r="X24" i="12"/>
  <c r="AE24" i="12" s="1"/>
  <c r="X23" i="12"/>
  <c r="AE23" i="12" s="1"/>
  <c r="W22" i="12"/>
  <c r="AD22" i="12" s="1"/>
  <c r="V21" i="12"/>
  <c r="AC21" i="12" s="1"/>
  <c r="T20" i="12"/>
  <c r="AA20" i="12" s="1"/>
  <c r="S19" i="12"/>
  <c r="Z19" i="12" s="1"/>
  <c r="W18" i="12"/>
  <c r="AD18" i="12" s="1"/>
  <c r="T17" i="12"/>
  <c r="X16" i="12"/>
  <c r="U15" i="12"/>
  <c r="AB15" i="12" s="1"/>
  <c r="W13" i="12"/>
  <c r="AD13" i="12" s="1"/>
  <c r="T12" i="12"/>
  <c r="AA12" i="12" s="1"/>
  <c r="V10" i="12"/>
  <c r="AC10" i="12" s="1"/>
  <c r="T9" i="12"/>
  <c r="AA9" i="12" s="1"/>
  <c r="Y8" i="12"/>
  <c r="V7" i="12"/>
  <c r="AC7" i="12" s="1"/>
  <c r="S6" i="12"/>
  <c r="Z6" i="12" s="1"/>
  <c r="AQ12" i="12" l="1"/>
  <c r="AQ27" i="12" s="1"/>
  <c r="AQ6" i="12"/>
  <c r="AQ20" i="12" s="1"/>
  <c r="AQ8" i="12"/>
  <c r="AQ23" i="12" s="1"/>
  <c r="AQ25" i="1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L17" i="25"/>
  <c r="C4" i="25" s="1"/>
  <c r="L8" i="25"/>
  <c r="C23" i="25" s="1"/>
  <c r="L9" i="25"/>
  <c r="L12" i="25"/>
  <c r="G9" i="25" l="1"/>
  <c r="C16" i="25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O15" i="12"/>
  <c r="O14" i="12"/>
  <c r="O16" i="12"/>
  <c r="O11" i="12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O26" i="25"/>
  <c r="P4" i="25" s="1"/>
  <c r="P14" i="25"/>
  <c r="O25" i="25"/>
  <c r="P16" i="25"/>
  <c r="R11" i="7" l="1"/>
  <c r="S11" i="7"/>
  <c r="F5" i="24"/>
  <c r="P5" i="24" s="1"/>
  <c r="V11" i="7"/>
  <c r="W11" i="7"/>
  <c r="Y11" i="12"/>
  <c r="AQ14" i="12" s="1"/>
  <c r="Y16" i="12"/>
  <c r="AQ9" i="12" s="1"/>
  <c r="AQ24" i="12" s="1"/>
  <c r="Y14" i="12"/>
  <c r="AQ21" i="12" s="1"/>
  <c r="Y15" i="12"/>
  <c r="AQ7" i="12" s="1"/>
  <c r="G17" i="25"/>
  <c r="C21" i="25"/>
  <c r="G18" i="25"/>
  <c r="G20" i="25"/>
  <c r="Q14" i="25"/>
  <c r="L26" i="25"/>
  <c r="C9" i="25" s="1"/>
  <c r="C7" i="25" s="1"/>
  <c r="P26" i="25"/>
  <c r="Q4" i="25" s="1"/>
  <c r="Q26" i="25" s="1"/>
  <c r="R4" i="25" s="1"/>
  <c r="R14" i="25"/>
  <c r="Q16" i="25"/>
  <c r="P25" i="25"/>
  <c r="O32" i="1"/>
  <c r="O39" i="1"/>
  <c r="O24" i="1"/>
  <c r="O26" i="1"/>
  <c r="O28" i="1"/>
  <c r="O22" i="1"/>
  <c r="O19" i="1"/>
  <c r="O18" i="1"/>
  <c r="O11" i="1"/>
  <c r="O7" i="1"/>
  <c r="R5" i="24" l="1"/>
  <c r="Q5" i="24"/>
  <c r="AQ22" i="12"/>
  <c r="R26" i="25"/>
  <c r="S4" i="25" s="1"/>
  <c r="L7" i="25"/>
  <c r="C18" i="25" s="1"/>
  <c r="S14" i="25"/>
  <c r="R16" i="25"/>
  <c r="Q25" i="25"/>
  <c r="N9" i="9"/>
  <c r="C9" i="9" l="1"/>
  <c r="B9" i="9"/>
  <c r="O18" i="12"/>
  <c r="S26" i="25"/>
  <c r="T4" i="25" s="1"/>
  <c r="S16" i="25"/>
  <c r="R25" i="25"/>
  <c r="T14" i="25"/>
  <c r="Q9" i="9"/>
  <c r="R9" i="9"/>
  <c r="Y18" i="12" l="1"/>
  <c r="AQ11" i="12" s="1"/>
  <c r="D9" i="9"/>
  <c r="W27" i="22"/>
  <c r="T26" i="25"/>
  <c r="U4" i="25" s="1"/>
  <c r="T16" i="25"/>
  <c r="S25" i="25"/>
  <c r="U14" i="25"/>
  <c r="AQ26" i="12" l="1"/>
  <c r="F9" i="9"/>
  <c r="E9" i="9"/>
  <c r="U26" i="25"/>
  <c r="V4" i="25" s="1"/>
  <c r="V14" i="25"/>
  <c r="U16" i="25"/>
  <c r="T25" i="25"/>
  <c r="H3" i="24"/>
  <c r="V26" i="25" l="1"/>
  <c r="W4" i="25" s="1"/>
  <c r="V16" i="25"/>
  <c r="U25" i="25"/>
  <c r="W14" i="25"/>
  <c r="W26" i="25" l="1"/>
  <c r="X4" i="25" s="1"/>
  <c r="W16" i="25"/>
  <c r="V25" i="25"/>
  <c r="X14" i="25"/>
  <c r="O7" i="12" l="1"/>
  <c r="O17" i="12"/>
  <c r="X26" i="25"/>
  <c r="Y4" i="25" s="1"/>
  <c r="Y14" i="25"/>
  <c r="X16" i="25"/>
  <c r="W25" i="25"/>
  <c r="Y17" i="12" l="1"/>
  <c r="AQ13" i="12" s="1"/>
  <c r="Y7" i="12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AQ28" i="12" l="1"/>
  <c r="AQ16" i="12" s="1"/>
  <c r="AQ2" i="12"/>
  <c r="Z26" i="25"/>
  <c r="AA4" i="25" s="1"/>
  <c r="AA14" i="25"/>
  <c r="Z16" i="25"/>
  <c r="Y25" i="25"/>
  <c r="B21" i="21"/>
  <c r="B20" i="21"/>
  <c r="B19" i="21"/>
  <c r="B18" i="21"/>
  <c r="C18" i="21"/>
  <c r="AA26" i="25" l="1"/>
  <c r="AB4" i="25" s="1"/>
  <c r="AB26" i="25" s="1"/>
  <c r="AA16" i="25"/>
  <c r="Z25" i="25"/>
  <c r="AB14" i="25"/>
  <c r="C21" i="21"/>
  <c r="C19" i="21"/>
  <c r="C20" i="21"/>
  <c r="AB16" i="25" l="1"/>
  <c r="L16" i="25" s="1"/>
  <c r="G15" i="25" s="1"/>
  <c r="G14" i="25" s="1"/>
  <c r="AA25" i="25"/>
  <c r="D21" i="21"/>
  <c r="D18" i="21"/>
  <c r="D20" i="21"/>
  <c r="D19" i="21"/>
  <c r="AB25" i="25" l="1"/>
  <c r="L25" i="25" s="1"/>
  <c r="E20" i="21"/>
  <c r="E18" i="21"/>
  <c r="E19" i="21"/>
  <c r="E21" i="21"/>
  <c r="F18" i="21" l="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H19" i="21" l="1"/>
  <c r="H21" i="21"/>
  <c r="H20" i="21"/>
  <c r="H18" i="21"/>
  <c r="F10" i="21"/>
  <c r="F11" i="21"/>
  <c r="F12" i="21"/>
  <c r="F9" i="21"/>
  <c r="I19" i="21" l="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J18" i="21" l="1"/>
  <c r="J19" i="21"/>
  <c r="J21" i="21"/>
  <c r="J20" i="21"/>
  <c r="V16" i="22"/>
  <c r="V15" i="22"/>
  <c r="AB2" i="22"/>
  <c r="W3" i="22" s="1"/>
  <c r="U17" i="22" l="1"/>
  <c r="U30" i="22"/>
  <c r="U31" i="22"/>
  <c r="U32" i="22"/>
  <c r="K18" i="21"/>
  <c r="K20" i="21"/>
  <c r="K19" i="21"/>
  <c r="K21" i="21"/>
  <c r="V3" i="22"/>
  <c r="Z3" i="22"/>
  <c r="Y3" i="22"/>
  <c r="X3" i="22"/>
  <c r="N11" i="9"/>
  <c r="V2" i="9" s="1"/>
  <c r="R13" i="7" l="1"/>
  <c r="S13" i="7"/>
  <c r="F7" i="24"/>
  <c r="P7" i="24" s="1"/>
  <c r="R11" i="9"/>
  <c r="V13" i="7"/>
  <c r="W13" i="7"/>
  <c r="B11" i="9"/>
  <c r="C11" i="9"/>
  <c r="BP14" i="7"/>
  <c r="L18" i="21"/>
  <c r="L20" i="21"/>
  <c r="L19" i="21"/>
  <c r="L21" i="21"/>
  <c r="Q11" i="9" l="1"/>
  <c r="R7" i="24"/>
  <c r="Q7" i="24"/>
  <c r="D11" i="9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BQ14" i="7"/>
  <c r="M19" i="21"/>
  <c r="M18" i="21"/>
  <c r="M20" i="21"/>
  <c r="M21" i="21"/>
  <c r="B25" i="21"/>
  <c r="C23" i="21"/>
  <c r="C27" i="21" s="1"/>
  <c r="B23" i="21"/>
  <c r="B22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L1" i="13"/>
  <c r="K1" i="13"/>
  <c r="J1" i="13"/>
  <c r="I1" i="13"/>
  <c r="H1" i="13"/>
  <c r="G1" i="13"/>
  <c r="F1" i="13"/>
  <c r="E1" i="13"/>
  <c r="D1" i="13"/>
  <c r="C1" i="13"/>
  <c r="AN26" i="12"/>
  <c r="AN25" i="12"/>
  <c r="AO23" i="12"/>
  <c r="AO22" i="12"/>
  <c r="AN19" i="12"/>
  <c r="AP18" i="12"/>
  <c r="AO18" i="12"/>
  <c r="AN18" i="12"/>
  <c r="AM10" i="12"/>
  <c r="AM25" i="12" s="1"/>
  <c r="AI25" i="12"/>
  <c r="AM13" i="12"/>
  <c r="AM28" i="12" s="1"/>
  <c r="AI28" i="12"/>
  <c r="AM9" i="12"/>
  <c r="AI24" i="12"/>
  <c r="AP11" i="12"/>
  <c r="AP25" i="12" s="1"/>
  <c r="AM12" i="12"/>
  <c r="AM27" i="12" s="1"/>
  <c r="AI27" i="12"/>
  <c r="AP9" i="12"/>
  <c r="AP23" i="12" s="1"/>
  <c r="AM11" i="12"/>
  <c r="AM26" i="12" s="1"/>
  <c r="AI26" i="12"/>
  <c r="AP12" i="12"/>
  <c r="AP26" i="12" s="1"/>
  <c r="AP22" i="12"/>
  <c r="AN22" i="12"/>
  <c r="AX6" i="12"/>
  <c r="AW6" i="12"/>
  <c r="AX5" i="12"/>
  <c r="AW5" i="12"/>
  <c r="AN5" i="12"/>
  <c r="O5" i="12"/>
  <c r="N5" i="12"/>
  <c r="M5" i="12"/>
  <c r="L5" i="12"/>
  <c r="K5" i="12"/>
  <c r="J5" i="12"/>
  <c r="I5" i="12"/>
  <c r="H5" i="12"/>
  <c r="R5" i="12" s="1"/>
  <c r="G5" i="12"/>
  <c r="F5" i="12"/>
  <c r="D5" i="12"/>
  <c r="P5" i="12" s="1"/>
  <c r="C5" i="12"/>
  <c r="B5" i="12"/>
  <c r="A5" i="12"/>
  <c r="AX4" i="12"/>
  <c r="AW4" i="12"/>
  <c r="O4" i="12"/>
  <c r="N4" i="12"/>
  <c r="M4" i="12"/>
  <c r="L4" i="12"/>
  <c r="K4" i="12"/>
  <c r="J4" i="12"/>
  <c r="I4" i="12"/>
  <c r="H4" i="12"/>
  <c r="R4" i="12" s="1"/>
  <c r="G4" i="12"/>
  <c r="D4" i="12"/>
  <c r="P4" i="12" s="1"/>
  <c r="C4" i="12"/>
  <c r="B4" i="12"/>
  <c r="A4" i="12"/>
  <c r="AX3" i="12"/>
  <c r="AW3" i="12"/>
  <c r="AX2" i="12"/>
  <c r="AW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6" i="7"/>
  <c r="L56" i="7"/>
  <c r="K56" i="7"/>
  <c r="J56" i="7"/>
  <c r="I56" i="7"/>
  <c r="E56" i="7"/>
  <c r="D56" i="7"/>
  <c r="B56" i="7"/>
  <c r="A56" i="7"/>
  <c r="N55" i="7"/>
  <c r="M55" i="7"/>
  <c r="L55" i="7"/>
  <c r="J55" i="7"/>
  <c r="F55" i="7"/>
  <c r="E55" i="7"/>
  <c r="B55" i="7"/>
  <c r="A55" i="7"/>
  <c r="M54" i="7"/>
  <c r="K54" i="7"/>
  <c r="G54" i="7"/>
  <c r="D54" i="7"/>
  <c r="B54" i="7"/>
  <c r="A54" i="7"/>
  <c r="N53" i="7"/>
  <c r="M53" i="7"/>
  <c r="L53" i="7"/>
  <c r="H53" i="7"/>
  <c r="G53" i="7"/>
  <c r="E53" i="7"/>
  <c r="B53" i="7"/>
  <c r="A53" i="7"/>
  <c r="E52" i="7"/>
  <c r="B52" i="7"/>
  <c r="H12" i="14"/>
  <c r="G51" i="7"/>
  <c r="E51" i="7"/>
  <c r="B51" i="7"/>
  <c r="I50" i="7"/>
  <c r="G50" i="7"/>
  <c r="E50" i="7"/>
  <c r="D50" i="7"/>
  <c r="B50" i="7"/>
  <c r="A50" i="7"/>
  <c r="L49" i="7"/>
  <c r="K49" i="7"/>
  <c r="H49" i="7"/>
  <c r="G49" i="7"/>
  <c r="E49" i="7"/>
  <c r="D49" i="7"/>
  <c r="B49" i="7"/>
  <c r="A49" i="7"/>
  <c r="G48" i="7"/>
  <c r="B48" i="7"/>
  <c r="E47" i="7"/>
  <c r="D47" i="7"/>
  <c r="B47" i="7"/>
  <c r="G46" i="7"/>
  <c r="E46" i="7"/>
  <c r="B46" i="7"/>
  <c r="N45" i="7"/>
  <c r="H45" i="7"/>
  <c r="G45" i="7"/>
  <c r="E45" i="7"/>
  <c r="B45" i="7"/>
  <c r="G44" i="7"/>
  <c r="E44" i="7"/>
  <c r="C11" i="15"/>
  <c r="B44" i="7"/>
  <c r="I43" i="7"/>
  <c r="H43" i="7"/>
  <c r="E43" i="7"/>
  <c r="B43" i="7"/>
  <c r="H42" i="7"/>
  <c r="G42" i="7"/>
  <c r="E42" i="7"/>
  <c r="B42" i="7"/>
  <c r="N41" i="7"/>
  <c r="M41" i="7"/>
  <c r="I41" i="7"/>
  <c r="H41" i="7"/>
  <c r="G41" i="7"/>
  <c r="D41" i="7"/>
  <c r="B41" i="7"/>
  <c r="A41" i="7"/>
  <c r="D4" i="15"/>
  <c r="G40" i="7"/>
  <c r="E40" i="7"/>
  <c r="B40" i="7"/>
  <c r="G39" i="7"/>
  <c r="E39" i="7"/>
  <c r="B39" i="7"/>
  <c r="G38" i="7"/>
  <c r="E38" i="7"/>
  <c r="B38" i="7"/>
  <c r="K37" i="7"/>
  <c r="J37" i="7"/>
  <c r="I37" i="7"/>
  <c r="G37" i="7"/>
  <c r="E37" i="7"/>
  <c r="D37" i="7"/>
  <c r="B37" i="7"/>
  <c r="A37" i="7"/>
  <c r="G36" i="7"/>
  <c r="G3" i="7"/>
  <c r="E36" i="7"/>
  <c r="B36" i="7"/>
  <c r="N8" i="9"/>
  <c r="V8" i="9" s="1"/>
  <c r="N10" i="9"/>
  <c r="V9" i="9" s="1"/>
  <c r="N12" i="9"/>
  <c r="V5" i="9" s="1"/>
  <c r="N17" i="9"/>
  <c r="V7" i="9" s="1"/>
  <c r="N16" i="9"/>
  <c r="N15" i="9"/>
  <c r="V3" i="9" s="1"/>
  <c r="N14" i="9"/>
  <c r="V4" i="9" s="1"/>
  <c r="N7" i="9"/>
  <c r="V11" i="9" s="1"/>
  <c r="N4" i="9"/>
  <c r="V10" i="9" s="1"/>
  <c r="N6" i="9"/>
  <c r="N5" i="9"/>
  <c r="I3" i="7"/>
  <c r="C1" i="2"/>
  <c r="O63" i="1"/>
  <c r="O44" i="1"/>
  <c r="O31" i="1"/>
  <c r="O29" i="1"/>
  <c r="O25" i="1"/>
  <c r="O23" i="1"/>
  <c r="O21" i="1"/>
  <c r="O20" i="1"/>
  <c r="O17" i="1"/>
  <c r="O16" i="1"/>
  <c r="O15" i="1"/>
  <c r="O14" i="1"/>
  <c r="O13" i="1"/>
  <c r="O12" i="1"/>
  <c r="O10" i="1"/>
  <c r="O9" i="1"/>
  <c r="O8" i="1"/>
  <c r="O6" i="1"/>
  <c r="T14" i="16" l="1"/>
  <c r="C16" i="7"/>
  <c r="C13" i="7"/>
  <c r="C11" i="7"/>
  <c r="S15" i="7"/>
  <c r="R15" i="7"/>
  <c r="V6" i="15"/>
  <c r="S5" i="7"/>
  <c r="R16" i="7"/>
  <c r="S16" i="7"/>
  <c r="R17" i="7"/>
  <c r="S17" i="7"/>
  <c r="S18" i="7"/>
  <c r="S14" i="7"/>
  <c r="R14" i="7"/>
  <c r="AP14" i="7" s="1"/>
  <c r="S9" i="7"/>
  <c r="R9" i="7"/>
  <c r="S7" i="7"/>
  <c r="R7" i="7"/>
  <c r="R12" i="7"/>
  <c r="S12" i="7"/>
  <c r="S8" i="7"/>
  <c r="R8" i="7"/>
  <c r="R10" i="7"/>
  <c r="S10" i="7"/>
  <c r="R6" i="7"/>
  <c r="S6" i="7"/>
  <c r="W6" i="7"/>
  <c r="R4" i="9"/>
  <c r="V6" i="7"/>
  <c r="F4" i="24"/>
  <c r="Q4" i="24" s="1"/>
  <c r="R8" i="9"/>
  <c r="V10" i="7"/>
  <c r="W10" i="7"/>
  <c r="F3" i="24"/>
  <c r="Q3" i="24" s="1"/>
  <c r="V9" i="7"/>
  <c r="W9" i="7"/>
  <c r="R7" i="9"/>
  <c r="F9" i="24"/>
  <c r="Q9" i="24" s="1"/>
  <c r="R14" i="9"/>
  <c r="V15" i="7"/>
  <c r="W15" i="7"/>
  <c r="R6" i="9"/>
  <c r="V8" i="7"/>
  <c r="W8" i="7"/>
  <c r="R2" i="9"/>
  <c r="V5" i="7"/>
  <c r="W5" i="7"/>
  <c r="F10" i="24"/>
  <c r="R10" i="24" s="1"/>
  <c r="V16" i="7"/>
  <c r="R15" i="9"/>
  <c r="W16" i="7"/>
  <c r="F11" i="24"/>
  <c r="Q11" i="24" s="1"/>
  <c r="V17" i="7"/>
  <c r="W17" i="7"/>
  <c r="R16" i="9"/>
  <c r="F12" i="24"/>
  <c r="P12" i="24" s="1"/>
  <c r="R17" i="9"/>
  <c r="V18" i="7"/>
  <c r="W18" i="7"/>
  <c r="F8" i="24"/>
  <c r="P8" i="24" s="1"/>
  <c r="W14" i="7"/>
  <c r="R12" i="9"/>
  <c r="V14" i="7"/>
  <c r="R5" i="9"/>
  <c r="V7" i="7"/>
  <c r="W7" i="7"/>
  <c r="F6" i="24"/>
  <c r="P6" i="24" s="1"/>
  <c r="R10" i="9"/>
  <c r="V12" i="7"/>
  <c r="W12" i="7"/>
  <c r="C12" i="7"/>
  <c r="C15" i="7"/>
  <c r="C14" i="7"/>
  <c r="C17" i="7"/>
  <c r="C18" i="7"/>
  <c r="C9" i="7"/>
  <c r="C10" i="7"/>
  <c r="C5" i="7"/>
  <c r="W4" i="12"/>
  <c r="AD4" i="12" s="1"/>
  <c r="W5" i="12"/>
  <c r="AD5" i="12" s="1"/>
  <c r="V5" i="12"/>
  <c r="AC5" i="12" s="1"/>
  <c r="X4" i="12"/>
  <c r="AE4" i="12" s="1"/>
  <c r="X5" i="12"/>
  <c r="AE5" i="12" s="1"/>
  <c r="Y4" i="12"/>
  <c r="AF4" i="12" s="1"/>
  <c r="Y5" i="12"/>
  <c r="S4" i="12"/>
  <c r="Z4" i="12" s="1"/>
  <c r="S5" i="12"/>
  <c r="V4" i="12"/>
  <c r="AC4" i="12" s="1"/>
  <c r="T4" i="12"/>
  <c r="AA4" i="12" s="1"/>
  <c r="T5" i="12"/>
  <c r="U4" i="12"/>
  <c r="AB4" i="12" s="1"/>
  <c r="U5" i="12"/>
  <c r="AB5" i="12" s="1"/>
  <c r="AI4" i="12"/>
  <c r="AI18" i="12"/>
  <c r="N13" i="9"/>
  <c r="V6" i="9" s="1"/>
  <c r="C13" i="9"/>
  <c r="B13" i="9"/>
  <c r="F11" i="9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F40" i="7"/>
  <c r="BJ9" i="7"/>
  <c r="BM16" i="7"/>
  <c r="AE8" i="7"/>
  <c r="AG8" i="7" s="1"/>
  <c r="BT17" i="7"/>
  <c r="BJ12" i="7"/>
  <c r="BA5" i="7"/>
  <c r="BM6" i="7"/>
  <c r="CA18" i="7"/>
  <c r="BP15" i="7"/>
  <c r="Y7" i="20"/>
  <c r="Y2" i="20" s="1"/>
  <c r="S10" i="19"/>
  <c r="S14" i="19"/>
  <c r="S13" i="19"/>
  <c r="S8" i="19"/>
  <c r="V13" i="18"/>
  <c r="W9" i="18"/>
  <c r="AM13" i="7"/>
  <c r="AF10" i="7"/>
  <c r="V10" i="19"/>
  <c r="M11" i="16"/>
  <c r="M9" i="18"/>
  <c r="V12" i="18"/>
  <c r="M11" i="18"/>
  <c r="T2" i="11"/>
  <c r="U2" i="11" s="1"/>
  <c r="S11" i="16"/>
  <c r="S9" i="18"/>
  <c r="S13" i="18"/>
  <c r="W12" i="18"/>
  <c r="S11" i="18"/>
  <c r="S12" i="19"/>
  <c r="T13" i="19"/>
  <c r="U9" i="18"/>
  <c r="T13" i="18"/>
  <c r="T11" i="18"/>
  <c r="V12" i="19"/>
  <c r="C8" i="21"/>
  <c r="U13" i="11"/>
  <c r="V9" i="18"/>
  <c r="U13" i="18"/>
  <c r="N20" i="21"/>
  <c r="N21" i="21"/>
  <c r="N18" i="21"/>
  <c r="N19" i="21"/>
  <c r="BM3" i="7"/>
  <c r="W3" i="7"/>
  <c r="M9" i="17"/>
  <c r="S11" i="17"/>
  <c r="H3" i="7"/>
  <c r="N8" i="17"/>
  <c r="U8" i="17"/>
  <c r="T14" i="19"/>
  <c r="U13" i="19"/>
  <c r="U14" i="19"/>
  <c r="V13" i="19"/>
  <c r="V14" i="19"/>
  <c r="X8" i="19"/>
  <c r="Q13" i="9"/>
  <c r="O56" i="7"/>
  <c r="C9" i="21"/>
  <c r="C10" i="21"/>
  <c r="B30" i="21"/>
  <c r="B31" i="21" s="1"/>
  <c r="B12" i="21"/>
  <c r="B13" i="21" s="1"/>
  <c r="B10" i="21" s="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M8" i="16"/>
  <c r="P9" i="16"/>
  <c r="S15" i="16"/>
  <c r="O8" i="16"/>
  <c r="X8" i="16" s="1"/>
  <c r="R9" i="16"/>
  <c r="X9" i="16" s="1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Z7" i="18"/>
  <c r="D20" i="17"/>
  <c r="T2" i="2"/>
  <c r="R13" i="9"/>
  <c r="AN9" i="12"/>
  <c r="AN23" i="12" s="1"/>
  <c r="Y7" i="19"/>
  <c r="X9" i="20"/>
  <c r="S53" i="7"/>
  <c r="V2" i="15"/>
  <c r="A9" i="11"/>
  <c r="A10" i="11" s="1"/>
  <c r="G4" i="15"/>
  <c r="K40" i="7"/>
  <c r="Q53" i="7"/>
  <c r="J41" i="7"/>
  <c r="D8" i="15"/>
  <c r="E9" i="14"/>
  <c r="H46" i="7"/>
  <c r="K21" i="16"/>
  <c r="K18" i="17"/>
  <c r="K4" i="19"/>
  <c r="Y4" i="19" s="1"/>
  <c r="K4" i="20"/>
  <c r="X4" i="20" s="1"/>
  <c r="K11" i="17"/>
  <c r="K4" i="18"/>
  <c r="Z4" i="18" s="1"/>
  <c r="K8" i="16"/>
  <c r="N50" i="7"/>
  <c r="S50" i="7" s="1"/>
  <c r="BQ4" i="7"/>
  <c r="N37" i="7"/>
  <c r="R37" i="7" s="1"/>
  <c r="K41" i="7"/>
  <c r="G43" i="7"/>
  <c r="F9" i="14"/>
  <c r="E8" i="15"/>
  <c r="I46" i="7"/>
  <c r="B5" i="15"/>
  <c r="C4" i="14"/>
  <c r="A39" i="7"/>
  <c r="I9" i="15"/>
  <c r="J7" i="14"/>
  <c r="M45" i="7"/>
  <c r="K10" i="18"/>
  <c r="Y10" i="18" s="1"/>
  <c r="K10" i="19"/>
  <c r="Y10" i="19" s="1"/>
  <c r="K6" i="17"/>
  <c r="K14" i="16"/>
  <c r="K13" i="20"/>
  <c r="X13" i="20" s="1"/>
  <c r="K6" i="19"/>
  <c r="Y6" i="19" s="1"/>
  <c r="K10" i="17"/>
  <c r="K7" i="16"/>
  <c r="K6" i="18"/>
  <c r="K8" i="20"/>
  <c r="X8" i="20" s="1"/>
  <c r="K4" i="17"/>
  <c r="K9" i="18"/>
  <c r="K11" i="20"/>
  <c r="X11" i="20" s="1"/>
  <c r="K11" i="19"/>
  <c r="Y11" i="19" s="1"/>
  <c r="K12" i="16"/>
  <c r="K14" i="19"/>
  <c r="Y14" i="19" s="1"/>
  <c r="K12" i="20"/>
  <c r="X12" i="20" s="1"/>
  <c r="K10" i="16"/>
  <c r="K5" i="17"/>
  <c r="K14" i="18"/>
  <c r="Y14" i="18" s="1"/>
  <c r="E41" i="7"/>
  <c r="S41" i="7" s="1"/>
  <c r="G6" i="14"/>
  <c r="F3" i="15"/>
  <c r="J42" i="7"/>
  <c r="D48" i="7"/>
  <c r="N2" i="9"/>
  <c r="C2" i="9"/>
  <c r="B2" i="9"/>
  <c r="N3" i="9"/>
  <c r="C3" i="9"/>
  <c r="B3" i="9"/>
  <c r="V3" i="7"/>
  <c r="H6" i="14"/>
  <c r="G3" i="15"/>
  <c r="K42" i="7"/>
  <c r="F3" i="14"/>
  <c r="E2" i="15"/>
  <c r="I36" i="7"/>
  <c r="E48" i="7"/>
  <c r="K9" i="19"/>
  <c r="Y9" i="19" s="1"/>
  <c r="K14" i="20"/>
  <c r="X14" i="20" s="1"/>
  <c r="K4" i="16"/>
  <c r="K8" i="18"/>
  <c r="K14" i="17"/>
  <c r="D2" i="15"/>
  <c r="E3" i="14"/>
  <c r="H36" i="7"/>
  <c r="J5" i="15"/>
  <c r="K4" i="14"/>
  <c r="N39" i="7"/>
  <c r="C2" i="15"/>
  <c r="D36" i="7"/>
  <c r="H4" i="15"/>
  <c r="L40" i="7"/>
  <c r="L41" i="7"/>
  <c r="C3" i="15"/>
  <c r="D6" i="14"/>
  <c r="D42" i="7"/>
  <c r="B10" i="15"/>
  <c r="C11" i="14"/>
  <c r="A43" i="7"/>
  <c r="F8" i="15"/>
  <c r="G9" i="14"/>
  <c r="J46" i="7"/>
  <c r="H37" i="7"/>
  <c r="I6" i="15"/>
  <c r="M38" i="7"/>
  <c r="I4" i="15"/>
  <c r="M40" i="7"/>
  <c r="V4" i="15"/>
  <c r="M49" i="7"/>
  <c r="I3" i="14"/>
  <c r="H2" i="15"/>
  <c r="L36" i="7"/>
  <c r="J6" i="15"/>
  <c r="N38" i="7"/>
  <c r="S38" i="7" s="1"/>
  <c r="G52" i="7"/>
  <c r="I55" i="7"/>
  <c r="O55" i="7" s="1"/>
  <c r="K6" i="20"/>
  <c r="X6" i="20" s="1"/>
  <c r="K13" i="18"/>
  <c r="Y13" i="18" s="1"/>
  <c r="K12" i="19"/>
  <c r="Y12" i="19" s="1"/>
  <c r="K13" i="16"/>
  <c r="K7" i="17"/>
  <c r="K22" i="16"/>
  <c r="K19" i="17"/>
  <c r="B6" i="15"/>
  <c r="A38" i="7"/>
  <c r="F11" i="15"/>
  <c r="J44" i="7"/>
  <c r="G47" i="7"/>
  <c r="E54" i="7"/>
  <c r="I4" i="14"/>
  <c r="H5" i="15"/>
  <c r="L39" i="7"/>
  <c r="E5" i="14"/>
  <c r="H47" i="7"/>
  <c r="H50" i="7"/>
  <c r="L54" i="7"/>
  <c r="K12" i="17"/>
  <c r="K10" i="20"/>
  <c r="X10" i="20" s="1"/>
  <c r="K5" i="19"/>
  <c r="Y5" i="19" s="1"/>
  <c r="K5" i="18"/>
  <c r="Z5" i="18" s="1"/>
  <c r="K5" i="16"/>
  <c r="I5" i="15"/>
  <c r="J4" i="14"/>
  <c r="M39" i="7"/>
  <c r="R41" i="7"/>
  <c r="E3" i="15"/>
  <c r="F6" i="14"/>
  <c r="I42" i="7"/>
  <c r="I7" i="14"/>
  <c r="H9" i="15"/>
  <c r="L45" i="7"/>
  <c r="G8" i="14"/>
  <c r="J48" i="7"/>
  <c r="I12" i="14"/>
  <c r="L51" i="7"/>
  <c r="B12" i="15"/>
  <c r="C13" i="14"/>
  <c r="A52" i="7"/>
  <c r="F2" i="15"/>
  <c r="G3" i="14"/>
  <c r="D6" i="15"/>
  <c r="H38" i="7"/>
  <c r="B4" i="15"/>
  <c r="A40" i="7"/>
  <c r="J4" i="15"/>
  <c r="N40" i="7"/>
  <c r="Q41" i="7"/>
  <c r="H3" i="15"/>
  <c r="I6" i="14"/>
  <c r="L42" i="7"/>
  <c r="G11" i="15"/>
  <c r="K44" i="7"/>
  <c r="C8" i="15"/>
  <c r="D9" i="14"/>
  <c r="G8" i="15"/>
  <c r="H9" i="14"/>
  <c r="K46" i="7"/>
  <c r="F5" i="14"/>
  <c r="I47" i="7"/>
  <c r="J12" i="14"/>
  <c r="M51" i="7"/>
  <c r="W12" i="14"/>
  <c r="D55" i="7"/>
  <c r="K55" i="7"/>
  <c r="F56" i="7"/>
  <c r="BN56" i="7" s="1"/>
  <c r="N56" i="7"/>
  <c r="R56" i="7" s="1"/>
  <c r="L37" i="7"/>
  <c r="K39" i="7"/>
  <c r="G2" i="15"/>
  <c r="H3" i="14"/>
  <c r="K36" i="7"/>
  <c r="C6" i="15"/>
  <c r="D38" i="7"/>
  <c r="E6" i="15"/>
  <c r="I38" i="7"/>
  <c r="E4" i="14"/>
  <c r="D5" i="15"/>
  <c r="H39" i="7"/>
  <c r="J6" i="14"/>
  <c r="I3" i="15"/>
  <c r="M42" i="7"/>
  <c r="F10" i="15"/>
  <c r="G11" i="14"/>
  <c r="J43" i="7"/>
  <c r="H11" i="15"/>
  <c r="L44" i="7"/>
  <c r="H8" i="15"/>
  <c r="I9" i="14"/>
  <c r="L46" i="7"/>
  <c r="G5" i="14"/>
  <c r="J47" i="7"/>
  <c r="K12" i="14"/>
  <c r="N51" i="7"/>
  <c r="S51" i="7" s="1"/>
  <c r="G56" i="7"/>
  <c r="M37" i="7"/>
  <c r="D46" i="7"/>
  <c r="F6" i="15"/>
  <c r="J38" i="7"/>
  <c r="C5" i="15"/>
  <c r="D39" i="7"/>
  <c r="E5" i="15"/>
  <c r="F4" i="14"/>
  <c r="I39" i="7"/>
  <c r="B3" i="15"/>
  <c r="C6" i="14"/>
  <c r="A42" i="7"/>
  <c r="H11" i="14"/>
  <c r="G10" i="15"/>
  <c r="K43" i="7"/>
  <c r="I11" i="15"/>
  <c r="M44" i="7"/>
  <c r="E9" i="15"/>
  <c r="F7" i="14"/>
  <c r="H5" i="14"/>
  <c r="K47" i="7"/>
  <c r="C8" i="14"/>
  <c r="A48" i="7"/>
  <c r="I49" i="7"/>
  <c r="O49" i="7" s="1"/>
  <c r="C12" i="14"/>
  <c r="A51" i="7"/>
  <c r="H12" i="15"/>
  <c r="I13" i="14"/>
  <c r="L52" i="7"/>
  <c r="I53" i="7"/>
  <c r="H56" i="7"/>
  <c r="I2" i="15"/>
  <c r="J3" i="14"/>
  <c r="M36" i="7"/>
  <c r="G6" i="15"/>
  <c r="K38" i="7"/>
  <c r="F5" i="15"/>
  <c r="G4" i="14"/>
  <c r="J39" i="7"/>
  <c r="C4" i="15"/>
  <c r="D40" i="7"/>
  <c r="E4" i="15"/>
  <c r="I40" i="7"/>
  <c r="I11" i="14"/>
  <c r="H10" i="15"/>
  <c r="L43" i="7"/>
  <c r="D7" i="14"/>
  <c r="C9" i="15"/>
  <c r="D45" i="7"/>
  <c r="F9" i="15"/>
  <c r="G7" i="14"/>
  <c r="J45" i="7"/>
  <c r="E8" i="14"/>
  <c r="H48" i="7"/>
  <c r="J53" i="7"/>
  <c r="H40" i="7"/>
  <c r="B2" i="15"/>
  <c r="C3" i="14"/>
  <c r="A36" i="7"/>
  <c r="J2" i="15"/>
  <c r="K3" i="14"/>
  <c r="N36" i="7"/>
  <c r="H6" i="15"/>
  <c r="L38" i="7"/>
  <c r="G5" i="15"/>
  <c r="H4" i="14"/>
  <c r="F4" i="15"/>
  <c r="J40" i="7"/>
  <c r="E6" i="14"/>
  <c r="D3" i="15"/>
  <c r="J11" i="14"/>
  <c r="I10" i="15"/>
  <c r="M43" i="7"/>
  <c r="B11" i="15"/>
  <c r="A44" i="7"/>
  <c r="S45" i="7"/>
  <c r="G9" i="15"/>
  <c r="H7" i="14"/>
  <c r="K45" i="7"/>
  <c r="F8" i="14"/>
  <c r="I48" i="7"/>
  <c r="M50" i="7"/>
  <c r="D53" i="7"/>
  <c r="J36" i="7"/>
  <c r="I45" i="7"/>
  <c r="D10" i="15"/>
  <c r="E11" i="14"/>
  <c r="B9" i="15"/>
  <c r="C7" i="14"/>
  <c r="A45" i="7"/>
  <c r="J9" i="15"/>
  <c r="K7" i="14"/>
  <c r="I8" i="15"/>
  <c r="J9" i="14"/>
  <c r="M46" i="7"/>
  <c r="I5" i="14"/>
  <c r="L47" i="7"/>
  <c r="H8" i="14"/>
  <c r="K48" i="7"/>
  <c r="E12" i="14"/>
  <c r="H51" i="7"/>
  <c r="D12" i="15"/>
  <c r="E13" i="14"/>
  <c r="H52" i="7"/>
  <c r="J49" i="7"/>
  <c r="J50" i="7"/>
  <c r="C10" i="15"/>
  <c r="D11" i="14"/>
  <c r="D43" i="7"/>
  <c r="E10" i="15"/>
  <c r="F11" i="14"/>
  <c r="D11" i="15"/>
  <c r="H44" i="7"/>
  <c r="C9" i="14"/>
  <c r="B8" i="15"/>
  <c r="A46" i="7"/>
  <c r="J5" i="14"/>
  <c r="M47" i="7"/>
  <c r="I8" i="14"/>
  <c r="L48" i="7"/>
  <c r="D12" i="14"/>
  <c r="D51" i="7"/>
  <c r="F12" i="14"/>
  <c r="I51" i="7"/>
  <c r="H54" i="7"/>
  <c r="K50" i="7"/>
  <c r="K51" i="7"/>
  <c r="E11" i="15"/>
  <c r="I44" i="7"/>
  <c r="D9" i="15"/>
  <c r="E7" i="14"/>
  <c r="C5" i="14"/>
  <c r="A47" i="7"/>
  <c r="J8" i="14"/>
  <c r="M48" i="7"/>
  <c r="G12" i="14"/>
  <c r="J51" i="7"/>
  <c r="C12" i="15"/>
  <c r="D13" i="14"/>
  <c r="D52" i="7"/>
  <c r="G13" i="14"/>
  <c r="F12" i="15"/>
  <c r="I54" i="7"/>
  <c r="G55" i="7"/>
  <c r="AD55" i="7" s="1"/>
  <c r="D44" i="7"/>
  <c r="L50" i="7"/>
  <c r="J52" i="7"/>
  <c r="G12" i="15"/>
  <c r="H13" i="14"/>
  <c r="J54" i="7"/>
  <c r="H55" i="7"/>
  <c r="K52" i="7"/>
  <c r="K53" i="7"/>
  <c r="I12" i="15"/>
  <c r="J13" i="14"/>
  <c r="M52" i="7"/>
  <c r="Q55" i="7"/>
  <c r="F13" i="14"/>
  <c r="E12" i="15"/>
  <c r="I52" i="7"/>
  <c r="AP13" i="12"/>
  <c r="AP27" i="12" s="1"/>
  <c r="AN13" i="12"/>
  <c r="AM24" i="12"/>
  <c r="AM16" i="12" s="1"/>
  <c r="AM2" i="12"/>
  <c r="AO21" i="12"/>
  <c r="AO7" i="12"/>
  <c r="AP10" i="12"/>
  <c r="AN10" i="12"/>
  <c r="W12" i="9"/>
  <c r="AP14" i="12"/>
  <c r="AP28" i="12" s="1"/>
  <c r="AN14" i="12"/>
  <c r="AO12" i="12"/>
  <c r="AO26" i="12" s="1"/>
  <c r="AO11" i="12"/>
  <c r="AO25" i="12" s="1"/>
  <c r="AP20" i="12"/>
  <c r="AN20" i="12"/>
  <c r="AO20" i="12" s="1"/>
  <c r="U11" i="19"/>
  <c r="T11" i="19"/>
  <c r="W11" i="19"/>
  <c r="V11" i="19"/>
  <c r="S11" i="19"/>
  <c r="T5" i="17"/>
  <c r="N5" i="17"/>
  <c r="M5" i="17"/>
  <c r="U12" i="16"/>
  <c r="T12" i="16"/>
  <c r="S12" i="16"/>
  <c r="M12" i="16"/>
  <c r="R5" i="16"/>
  <c r="P5" i="16"/>
  <c r="O5" i="16"/>
  <c r="M5" i="16"/>
  <c r="T9" i="17"/>
  <c r="N9" i="17"/>
  <c r="Y12" i="18"/>
  <c r="W10" i="18"/>
  <c r="V10" i="18"/>
  <c r="U10" i="18"/>
  <c r="T10" i="18"/>
  <c r="S13" i="17"/>
  <c r="R13" i="17"/>
  <c r="S10" i="18"/>
  <c r="X11" i="17"/>
  <c r="X11" i="18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X4" i="16" l="1"/>
  <c r="C4" i="7"/>
  <c r="V5" i="14"/>
  <c r="Q15" i="9"/>
  <c r="X12" i="14"/>
  <c r="R18" i="7"/>
  <c r="AP18" i="7" s="1"/>
  <c r="W6" i="15"/>
  <c r="R5" i="7"/>
  <c r="U6" i="15" s="1"/>
  <c r="Q17" i="9"/>
  <c r="Q8" i="9"/>
  <c r="Q10" i="9"/>
  <c r="S3" i="7"/>
  <c r="R3" i="7"/>
  <c r="AP3" i="7" s="1"/>
  <c r="CA56" i="7"/>
  <c r="CC56" i="7" s="1"/>
  <c r="R6" i="24"/>
  <c r="C7" i="7"/>
  <c r="C40" i="7" s="1"/>
  <c r="C8" i="7"/>
  <c r="C41" i="7" s="1"/>
  <c r="Q7" i="9"/>
  <c r="C6" i="7"/>
  <c r="C39" i="7" s="1"/>
  <c r="Q14" i="9"/>
  <c r="P11" i="24"/>
  <c r="Q6" i="9"/>
  <c r="Q12" i="9"/>
  <c r="Q4" i="9"/>
  <c r="W5" i="15"/>
  <c r="Q5" i="9"/>
  <c r="W4" i="15"/>
  <c r="Q16" i="9"/>
  <c r="C3" i="7"/>
  <c r="C36" i="7" s="1"/>
  <c r="R4" i="24"/>
  <c r="C12" i="24"/>
  <c r="C9" i="24"/>
  <c r="C7" i="24"/>
  <c r="C6" i="24"/>
  <c r="C3" i="24"/>
  <c r="C11" i="24"/>
  <c r="C8" i="24"/>
  <c r="C5" i="24"/>
  <c r="C10" i="24"/>
  <c r="C4" i="24"/>
  <c r="P4" i="24"/>
  <c r="Q6" i="24"/>
  <c r="P9" i="24"/>
  <c r="R9" i="24"/>
  <c r="R8" i="24"/>
  <c r="Q8" i="24"/>
  <c r="Q10" i="24"/>
  <c r="P10" i="24"/>
  <c r="R12" i="24"/>
  <c r="Q12" i="24"/>
  <c r="R11" i="24"/>
  <c r="R3" i="24"/>
  <c r="P3" i="24"/>
  <c r="AE2" i="12"/>
  <c r="AP24" i="12"/>
  <c r="AP16" i="12" s="1"/>
  <c r="AP2" i="12"/>
  <c r="AN2" i="12"/>
  <c r="D13" i="9"/>
  <c r="D15" i="9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E8" i="12"/>
  <c r="Q8" i="12" s="1"/>
  <c r="C52" i="7"/>
  <c r="E19" i="12"/>
  <c r="Q19" i="12" s="1"/>
  <c r="C50" i="7"/>
  <c r="E17" i="12"/>
  <c r="Q17" i="12" s="1"/>
  <c r="C44" i="7"/>
  <c r="E11" i="12"/>
  <c r="Q11" i="12" s="1"/>
  <c r="C42" i="7"/>
  <c r="E9" i="12"/>
  <c r="Q9" i="12" s="1"/>
  <c r="C46" i="7"/>
  <c r="E13" i="12"/>
  <c r="Q13" i="12" s="1"/>
  <c r="C45" i="7"/>
  <c r="E12" i="12"/>
  <c r="Q12" i="12" s="1"/>
  <c r="C49" i="7"/>
  <c r="E16" i="12"/>
  <c r="Q16" i="12" s="1"/>
  <c r="C47" i="7"/>
  <c r="E14" i="12"/>
  <c r="Q14" i="12" s="1"/>
  <c r="C43" i="7"/>
  <c r="E10" i="12"/>
  <c r="Q10" i="12" s="1"/>
  <c r="C38" i="7"/>
  <c r="E6" i="12"/>
  <c r="Q6" i="12" s="1"/>
  <c r="C51" i="7"/>
  <c r="E18" i="12"/>
  <c r="Q18" i="12" s="1"/>
  <c r="C48" i="7"/>
  <c r="E15" i="12"/>
  <c r="Q15" i="12" s="1"/>
  <c r="E7" i="12"/>
  <c r="Q7" i="12" s="1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8" i="7"/>
  <c r="BN38" i="7" s="1"/>
  <c r="W18" i="22"/>
  <c r="U29" i="22" s="1"/>
  <c r="W30" i="22"/>
  <c r="W20" i="22"/>
  <c r="U28" i="22" s="1"/>
  <c r="W29" i="22"/>
  <c r="W31" i="22"/>
  <c r="U22" i="22" s="1"/>
  <c r="W17" i="22"/>
  <c r="W21" i="22"/>
  <c r="W25" i="22"/>
  <c r="W28" i="22"/>
  <c r="W23" i="22"/>
  <c r="W24" i="22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AN5" i="7"/>
  <c r="O6" i="15" s="1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Q5" i="7"/>
  <c r="AU9" i="7"/>
  <c r="AW9" i="7" s="1"/>
  <c r="AR9" i="7"/>
  <c r="X5" i="7"/>
  <c r="Z5" i="7" s="1"/>
  <c r="CF5" i="7"/>
  <c r="AE5" i="7"/>
  <c r="AG5" i="7" s="1"/>
  <c r="AI5" i="7"/>
  <c r="BZ5" i="7"/>
  <c r="AR5" i="7"/>
  <c r="BK5" i="7"/>
  <c r="BJ5" i="7"/>
  <c r="BW5" i="7"/>
  <c r="BI5" i="7"/>
  <c r="BL5" i="7"/>
  <c r="AQ5" i="7"/>
  <c r="AS5" i="7" s="1"/>
  <c r="BO5" i="7"/>
  <c r="CD5" i="7"/>
  <c r="AF5" i="7"/>
  <c r="BF5" i="7"/>
  <c r="BH5" i="7"/>
  <c r="BS5" i="7"/>
  <c r="CH5" i="7"/>
  <c r="CJ5" i="7" s="1"/>
  <c r="AQ16" i="7"/>
  <c r="AS16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Q13" i="7"/>
  <c r="AS13" i="7" s="1"/>
  <c r="AL13" i="7"/>
  <c r="CB13" i="7"/>
  <c r="BU13" i="7"/>
  <c r="BO13" i="7"/>
  <c r="AJ5" i="7"/>
  <c r="BY5" i="7"/>
  <c r="BM5" i="7"/>
  <c r="BG5" i="7"/>
  <c r="AU5" i="7"/>
  <c r="AW5" i="7" s="1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BI12" i="7"/>
  <c r="S9" i="15" s="1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0" i="7"/>
  <c r="F41" i="7"/>
  <c r="AE41" i="7" s="1"/>
  <c r="AI16" i="7"/>
  <c r="AY16" i="7"/>
  <c r="AX16" i="7"/>
  <c r="AZ16" i="7" s="1"/>
  <c r="BO16" i="7"/>
  <c r="CI16" i="7"/>
  <c r="BC16" i="7"/>
  <c r="AT12" i="7"/>
  <c r="BG12" i="7"/>
  <c r="Q9" i="15" s="1"/>
  <c r="BW12" i="7"/>
  <c r="CF12" i="7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S12" i="15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AX7" i="7"/>
  <c r="AZ7" i="7" s="1"/>
  <c r="BY7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39" i="7"/>
  <c r="BX39" i="7" s="1"/>
  <c r="CC17" i="7"/>
  <c r="CH17" i="7"/>
  <c r="CJ17" i="7" s="1"/>
  <c r="BK17" i="7"/>
  <c r="BY17" i="7"/>
  <c r="BP17" i="7"/>
  <c r="CD17" i="7"/>
  <c r="AM17" i="7"/>
  <c r="AB17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6" i="7"/>
  <c r="S56" i="7"/>
  <c r="S55" i="7"/>
  <c r="S40" i="7"/>
  <c r="F14" i="23"/>
  <c r="Q14" i="23" s="1"/>
  <c r="F10" i="23"/>
  <c r="Q10" i="23" s="1"/>
  <c r="F12" i="23"/>
  <c r="Q12" i="23" s="1"/>
  <c r="F11" i="23"/>
  <c r="Q11" i="23" s="1"/>
  <c r="F9" i="23"/>
  <c r="Q9" i="23" s="1"/>
  <c r="F15" i="23"/>
  <c r="Q15" i="23" s="1"/>
  <c r="F13" i="23"/>
  <c r="Q13" i="23" s="1"/>
  <c r="AT56" i="7"/>
  <c r="AV56" i="7" s="1"/>
  <c r="AD56" i="7"/>
  <c r="Q56" i="7"/>
  <c r="BE55" i="7"/>
  <c r="S39" i="7"/>
  <c r="BZ56" i="7"/>
  <c r="AF56" i="7"/>
  <c r="Z56" i="7"/>
  <c r="BU56" i="7"/>
  <c r="BW56" i="7"/>
  <c r="AA56" i="7"/>
  <c r="AC56" i="7" s="1"/>
  <c r="CG56" i="7"/>
  <c r="BP56" i="7"/>
  <c r="CB56" i="7"/>
  <c r="AY56" i="7"/>
  <c r="CE56" i="7"/>
  <c r="AX56" i="7"/>
  <c r="AZ56" i="7" s="1"/>
  <c r="BS56" i="7"/>
  <c r="AK2" i="12"/>
  <c r="BA56" i="7"/>
  <c r="BO56" i="7"/>
  <c r="AI56" i="7"/>
  <c r="X11" i="16"/>
  <c r="AB56" i="7"/>
  <c r="O19" i="21"/>
  <c r="O21" i="21"/>
  <c r="O18" i="21"/>
  <c r="O20" i="21"/>
  <c r="X10" i="18"/>
  <c r="X10" i="17"/>
  <c r="AG56" i="7"/>
  <c r="B32" i="21"/>
  <c r="B33" i="21" s="1"/>
  <c r="AR56" i="7"/>
  <c r="BY56" i="7"/>
  <c r="BD56" i="7"/>
  <c r="AW56" i="7"/>
  <c r="AE56" i="7"/>
  <c r="BG56" i="7"/>
  <c r="BT56" i="7"/>
  <c r="AH56" i="7"/>
  <c r="BM56" i="7"/>
  <c r="X56" i="7"/>
  <c r="AJ56" i="7"/>
  <c r="AM56" i="7"/>
  <c r="AO56" i="7" s="1"/>
  <c r="BE56" i="7"/>
  <c r="BX56" i="7"/>
  <c r="BR56" i="7"/>
  <c r="AP56" i="7"/>
  <c r="W56" i="7"/>
  <c r="Y56" i="7" s="1"/>
  <c r="AN56" i="7"/>
  <c r="CD56" i="7"/>
  <c r="CF56" i="7" s="1"/>
  <c r="AQ56" i="7"/>
  <c r="AS56" i="7" s="1"/>
  <c r="BC56" i="7"/>
  <c r="BH56" i="7"/>
  <c r="BQ56" i="7"/>
  <c r="BF56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BT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6" i="7"/>
  <c r="AW36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2" i="7"/>
  <c r="U42" i="7" s="1"/>
  <c r="F53" i="7"/>
  <c r="CE53" i="7" s="1"/>
  <c r="F7" i="23"/>
  <c r="Q7" i="23" s="1"/>
  <c r="F6" i="23"/>
  <c r="Q6" i="23" s="1"/>
  <c r="F8" i="23"/>
  <c r="Q8" i="23" s="1"/>
  <c r="F45" i="7"/>
  <c r="AK45" i="7" s="1"/>
  <c r="F43" i="7"/>
  <c r="AE43" i="7" s="1"/>
  <c r="F44" i="7"/>
  <c r="CA44" i="7" s="1"/>
  <c r="CC44" i="7" s="1"/>
  <c r="R3" i="9"/>
  <c r="Y2" i="23"/>
  <c r="F4" i="23"/>
  <c r="Q4" i="23" s="1"/>
  <c r="D16" i="16"/>
  <c r="D7" i="16"/>
  <c r="F5" i="23"/>
  <c r="Q5" i="23" s="1"/>
  <c r="P56" i="7"/>
  <c r="BO55" i="7"/>
  <c r="CG55" i="7"/>
  <c r="W3" i="14"/>
  <c r="BB56" i="7"/>
  <c r="BV56" i="7"/>
  <c r="BL56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V12" i="15"/>
  <c r="AL56" i="7"/>
  <c r="S37" i="7"/>
  <c r="AL16" i="12"/>
  <c r="R50" i="7"/>
  <c r="D12" i="20"/>
  <c r="D5" i="17"/>
  <c r="D23" i="16"/>
  <c r="C55" i="7"/>
  <c r="Z6" i="18"/>
  <c r="D10" i="16"/>
  <c r="D14" i="19"/>
  <c r="Z8" i="18"/>
  <c r="D6" i="19"/>
  <c r="Y9" i="18"/>
  <c r="AJ2" i="12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CE55" i="7"/>
  <c r="AP55" i="7"/>
  <c r="R45" i="7"/>
  <c r="T40" i="7"/>
  <c r="V40" i="7" s="1"/>
  <c r="U40" i="7"/>
  <c r="R53" i="7"/>
  <c r="O41" i="7"/>
  <c r="BO40" i="7"/>
  <c r="AQ40" i="7"/>
  <c r="AS40" i="7" s="1"/>
  <c r="CB40" i="7"/>
  <c r="BE40" i="7"/>
  <c r="O40" i="7"/>
  <c r="AL40" i="7" s="1"/>
  <c r="BY40" i="7"/>
  <c r="AX40" i="7"/>
  <c r="AZ40" i="7" s="1"/>
  <c r="BT40" i="7"/>
  <c r="BJ40" i="7"/>
  <c r="D8" i="19"/>
  <c r="D11" i="18"/>
  <c r="D15" i="16"/>
  <c r="D5" i="20"/>
  <c r="D9" i="17"/>
  <c r="C53" i="7"/>
  <c r="D25" i="16"/>
  <c r="D22" i="17"/>
  <c r="C56" i="7"/>
  <c r="J12" i="15"/>
  <c r="K13" i="14"/>
  <c r="N52" i="7"/>
  <c r="Q45" i="7"/>
  <c r="W8" i="15"/>
  <c r="X9" i="14"/>
  <c r="F37" i="7"/>
  <c r="AQ37" i="7" s="1"/>
  <c r="AS37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O47" i="7"/>
  <c r="AQ55" i="7"/>
  <c r="AS55" i="7" s="1"/>
  <c r="V10" i="15"/>
  <c r="W11" i="14"/>
  <c r="O43" i="7"/>
  <c r="BP40" i="7"/>
  <c r="AJ40" i="7"/>
  <c r="AB40" i="7"/>
  <c r="BG40" i="7"/>
  <c r="AI40" i="7"/>
  <c r="AA40" i="7"/>
  <c r="AC40" i="7" s="1"/>
  <c r="BF40" i="7"/>
  <c r="BQ40" i="7"/>
  <c r="AU40" i="7"/>
  <c r="AT40" i="7"/>
  <c r="AV40" i="7" s="1"/>
  <c r="X40" i="7"/>
  <c r="W40" i="7"/>
  <c r="Y40" i="7" s="1"/>
  <c r="BV40" i="7"/>
  <c r="BL40" i="7"/>
  <c r="BB40" i="7"/>
  <c r="AF40" i="7"/>
  <c r="BA40" i="7"/>
  <c r="BU40" i="7"/>
  <c r="R40" i="7"/>
  <c r="AN40" i="7"/>
  <c r="BK40" i="7"/>
  <c r="AM40" i="7"/>
  <c r="AO40" i="7" s="1"/>
  <c r="AE40" i="7"/>
  <c r="X4" i="14"/>
  <c r="W9" i="15"/>
  <c r="X7" i="14"/>
  <c r="O44" i="7"/>
  <c r="O54" i="7"/>
  <c r="N54" i="7"/>
  <c r="S54" i="7" s="1"/>
  <c r="O36" i="7"/>
  <c r="AR40" i="7"/>
  <c r="CE40" i="7"/>
  <c r="AY40" i="7"/>
  <c r="P40" i="7"/>
  <c r="CD40" i="7"/>
  <c r="CF40" i="7" s="1"/>
  <c r="Q40" i="7"/>
  <c r="D13" i="20"/>
  <c r="D10" i="19"/>
  <c r="D6" i="17"/>
  <c r="D14" i="16"/>
  <c r="D10" i="18"/>
  <c r="AP4" i="7"/>
  <c r="D11" i="20"/>
  <c r="D4" i="17"/>
  <c r="D9" i="18"/>
  <c r="D11" i="19"/>
  <c r="D12" i="16"/>
  <c r="F47" i="7"/>
  <c r="AX47" i="7" s="1"/>
  <c r="AZ47" i="7" s="1"/>
  <c r="R5" i="14"/>
  <c r="J11" i="15"/>
  <c r="N44" i="7"/>
  <c r="Q44" i="7" s="1"/>
  <c r="W11" i="15"/>
  <c r="BR55" i="7"/>
  <c r="X13" i="17"/>
  <c r="AY55" i="7"/>
  <c r="BY55" i="7"/>
  <c r="BZ55" i="7"/>
  <c r="O53" i="7"/>
  <c r="O37" i="7"/>
  <c r="BD55" i="7"/>
  <c r="BS55" i="7"/>
  <c r="BI55" i="7"/>
  <c r="BX55" i="7"/>
  <c r="AH55" i="7"/>
  <c r="BN55" i="7"/>
  <c r="O42" i="7"/>
  <c r="O45" i="7"/>
  <c r="V5" i="15"/>
  <c r="W4" i="14"/>
  <c r="U5" i="15"/>
  <c r="V4" i="14"/>
  <c r="Q38" i="7"/>
  <c r="U4" i="15"/>
  <c r="D3" i="9"/>
  <c r="W7" i="14"/>
  <c r="V9" i="15"/>
  <c r="J3" i="15"/>
  <c r="N42" i="7"/>
  <c r="R42" i="7" s="1"/>
  <c r="K6" i="14"/>
  <c r="K8" i="14"/>
  <c r="N48" i="7"/>
  <c r="Q48" i="7" s="1"/>
  <c r="W8" i="14"/>
  <c r="X8" i="14"/>
  <c r="E30" i="21"/>
  <c r="F30" i="21" s="1"/>
  <c r="D31" i="21"/>
  <c r="X5" i="16"/>
  <c r="P55" i="7"/>
  <c r="BJ55" i="7"/>
  <c r="BC55" i="7"/>
  <c r="CA40" i="7"/>
  <c r="CC40" i="7" s="1"/>
  <c r="T56" i="7"/>
  <c r="V56" i="7" s="1"/>
  <c r="U56" i="7"/>
  <c r="Q37" i="7"/>
  <c r="R38" i="7"/>
  <c r="Q51" i="7"/>
  <c r="O51" i="7"/>
  <c r="BU55" i="7"/>
  <c r="BL55" i="7"/>
  <c r="AN55" i="7"/>
  <c r="AF55" i="7"/>
  <c r="X55" i="7"/>
  <c r="BK55" i="7"/>
  <c r="AU55" i="7"/>
  <c r="AM55" i="7"/>
  <c r="AO55" i="7" s="1"/>
  <c r="AE55" i="7"/>
  <c r="W55" i="7"/>
  <c r="Y55" i="7" s="1"/>
  <c r="BB55" i="7"/>
  <c r="AT55" i="7"/>
  <c r="AV55" i="7" s="1"/>
  <c r="BQ55" i="7"/>
  <c r="BA55" i="7"/>
  <c r="BF55" i="7"/>
  <c r="AI55" i="7"/>
  <c r="BV55" i="7"/>
  <c r="AB55" i="7"/>
  <c r="BP55" i="7"/>
  <c r="AA55" i="7"/>
  <c r="AC55" i="7" s="1"/>
  <c r="R55" i="7"/>
  <c r="BG55" i="7"/>
  <c r="AJ55" i="7"/>
  <c r="X12" i="9"/>
  <c r="Y12" i="9" s="1"/>
  <c r="F49" i="7"/>
  <c r="AD49" i="7" s="1"/>
  <c r="X3" i="14"/>
  <c r="W2" i="15"/>
  <c r="B40" i="21"/>
  <c r="X14" i="18"/>
  <c r="AO14" i="12"/>
  <c r="AO28" i="12" s="1"/>
  <c r="AN28" i="12"/>
  <c r="AN24" i="12"/>
  <c r="AO10" i="12"/>
  <c r="AO24" i="12" s="1"/>
  <c r="CD55" i="7"/>
  <c r="CF55" i="7" s="1"/>
  <c r="AK55" i="7"/>
  <c r="BH55" i="7"/>
  <c r="AL55" i="7"/>
  <c r="AG55" i="7"/>
  <c r="U55" i="7"/>
  <c r="T55" i="7"/>
  <c r="V55" i="7" s="1"/>
  <c r="O48" i="7"/>
  <c r="BH40" i="7"/>
  <c r="BW40" i="7"/>
  <c r="BR40" i="7"/>
  <c r="Z40" i="7"/>
  <c r="BZ40" i="7"/>
  <c r="BM40" i="7"/>
  <c r="BC40" i="7"/>
  <c r="AG40" i="7"/>
  <c r="AP40" i="7"/>
  <c r="AW40" i="7"/>
  <c r="AD40" i="7"/>
  <c r="CG40" i="7"/>
  <c r="O38" i="7"/>
  <c r="V11" i="15"/>
  <c r="CA55" i="7"/>
  <c r="CC55" i="7" s="1"/>
  <c r="S36" i="7"/>
  <c r="Q39" i="7"/>
  <c r="D22" i="16"/>
  <c r="D19" i="17"/>
  <c r="C54" i="7"/>
  <c r="R36" i="7"/>
  <c r="D20" i="16"/>
  <c r="D9" i="19"/>
  <c r="D4" i="16"/>
  <c r="D8" i="18"/>
  <c r="D14" i="17"/>
  <c r="D14" i="20"/>
  <c r="Y2" i="19"/>
  <c r="AO4" i="7"/>
  <c r="F51" i="7"/>
  <c r="AH51" i="7" s="1"/>
  <c r="F54" i="7"/>
  <c r="BY54" i="7" s="1"/>
  <c r="K5" i="14"/>
  <c r="N47" i="7"/>
  <c r="R47" i="7" s="1"/>
  <c r="W5" i="14"/>
  <c r="O39" i="7"/>
  <c r="X2" i="20"/>
  <c r="Z2" i="20" s="1"/>
  <c r="AR55" i="7"/>
  <c r="AX55" i="7"/>
  <c r="AZ55" i="7" s="1"/>
  <c r="X13" i="16"/>
  <c r="AN27" i="12"/>
  <c r="AO13" i="12"/>
  <c r="AO27" i="12" s="1"/>
  <c r="BT55" i="7"/>
  <c r="Z55" i="7"/>
  <c r="AW55" i="7"/>
  <c r="U3" i="15"/>
  <c r="V6" i="14"/>
  <c r="Q36" i="7"/>
  <c r="O52" i="7"/>
  <c r="R39" i="7"/>
  <c r="AK56" i="7"/>
  <c r="BK56" i="7"/>
  <c r="BJ56" i="7"/>
  <c r="BI56" i="7"/>
  <c r="X5" i="14"/>
  <c r="X4" i="7"/>
  <c r="Z4" i="7" s="1"/>
  <c r="J8" i="15"/>
  <c r="K9" i="14"/>
  <c r="N46" i="7"/>
  <c r="R46" i="7" s="1"/>
  <c r="D5" i="19"/>
  <c r="D10" i="20"/>
  <c r="D12" i="17"/>
  <c r="D5" i="18"/>
  <c r="D5" i="16"/>
  <c r="D2" i="9"/>
  <c r="J10" i="15"/>
  <c r="K11" i="14"/>
  <c r="N43" i="7"/>
  <c r="Q43" i="7" s="1"/>
  <c r="F52" i="7"/>
  <c r="BA52" i="7" s="1"/>
  <c r="D7" i="19"/>
  <c r="D9" i="16"/>
  <c r="D7" i="18"/>
  <c r="D9" i="20"/>
  <c r="D13" i="17"/>
  <c r="AV4" i="7"/>
  <c r="BX40" i="7"/>
  <c r="BN40" i="7"/>
  <c r="BD40" i="7"/>
  <c r="AH40" i="7"/>
  <c r="BS40" i="7"/>
  <c r="BI40" i="7"/>
  <c r="B37" i="21"/>
  <c r="B38" i="21"/>
  <c r="C40" i="21"/>
  <c r="C25" i="21"/>
  <c r="C29" i="21" s="1"/>
  <c r="C31" i="21" s="1"/>
  <c r="X10" i="16"/>
  <c r="CB55" i="7"/>
  <c r="BW55" i="7"/>
  <c r="BM55" i="7"/>
  <c r="O50" i="7"/>
  <c r="R51" i="7"/>
  <c r="Q50" i="7"/>
  <c r="P5" i="14"/>
  <c r="O46" i="7"/>
  <c r="F50" i="7"/>
  <c r="BR50" i="7" s="1"/>
  <c r="D13" i="19"/>
  <c r="D7" i="20"/>
  <c r="D8" i="17"/>
  <c r="D11" i="16"/>
  <c r="D12" i="18"/>
  <c r="D17" i="17"/>
  <c r="D18" i="16"/>
  <c r="F46" i="7"/>
  <c r="AW46" i="7" s="1"/>
  <c r="N49" i="7"/>
  <c r="Q49" i="7" s="1"/>
  <c r="D6" i="16"/>
  <c r="D16" i="17"/>
  <c r="E5" i="12"/>
  <c r="Q5" i="12" s="1"/>
  <c r="C37" i="7"/>
  <c r="F48" i="7"/>
  <c r="BM48" i="7" s="1"/>
  <c r="U19" i="22" l="1"/>
  <c r="U18" i="22"/>
  <c r="AP5" i="7"/>
  <c r="T6" i="15" s="1"/>
  <c r="T13" i="15" s="1"/>
  <c r="T14" i="15" s="1"/>
  <c r="T15" i="15" s="1"/>
  <c r="AN16" i="12"/>
  <c r="E16" i="9"/>
  <c r="E13" i="9"/>
  <c r="F13" i="9"/>
  <c r="F7" i="9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AK16" i="12"/>
  <c r="U20" i="22"/>
  <c r="U27" i="22"/>
  <c r="U25" i="22"/>
  <c r="U24" i="22"/>
  <c r="U23" i="22"/>
  <c r="U21" i="22"/>
  <c r="AO16" i="12"/>
  <c r="D28" i="9"/>
  <c r="J28" i="9" s="1"/>
  <c r="AK38" i="7"/>
  <c r="C31" i="9"/>
  <c r="D30" i="9"/>
  <c r="J30" i="9" s="1"/>
  <c r="BR38" i="7"/>
  <c r="BZ38" i="7"/>
  <c r="BJ38" i="7"/>
  <c r="BQ38" i="7"/>
  <c r="P38" i="7"/>
  <c r="AF38" i="7"/>
  <c r="AA38" i="7"/>
  <c r="AC38" i="7" s="1"/>
  <c r="BI38" i="7"/>
  <c r="U38" i="7"/>
  <c r="BC38" i="7"/>
  <c r="BY38" i="7"/>
  <c r="AI38" i="7"/>
  <c r="AP38" i="7"/>
  <c r="BL38" i="7"/>
  <c r="BW38" i="7"/>
  <c r="X38" i="7"/>
  <c r="CD38" i="7"/>
  <c r="CF38" i="7" s="1"/>
  <c r="BH38" i="7"/>
  <c r="AU38" i="7"/>
  <c r="AL38" i="7"/>
  <c r="CB38" i="7"/>
  <c r="BV38" i="7"/>
  <c r="AG38" i="7"/>
  <c r="BB38" i="7"/>
  <c r="CE38" i="7"/>
  <c r="Z38" i="7"/>
  <c r="BO38" i="7"/>
  <c r="T38" i="7"/>
  <c r="V38" i="7" s="1"/>
  <c r="AT38" i="7"/>
  <c r="AV38" i="7" s="1"/>
  <c r="BF38" i="7"/>
  <c r="BA38" i="7"/>
  <c r="BX38" i="7"/>
  <c r="AD38" i="7"/>
  <c r="CG38" i="7"/>
  <c r="BT38" i="7"/>
  <c r="AM38" i="7"/>
  <c r="AO38" i="7" s="1"/>
  <c r="AE38" i="7"/>
  <c r="BG38" i="7"/>
  <c r="AY38" i="7"/>
  <c r="BD38" i="7"/>
  <c r="CA38" i="7"/>
  <c r="CC38" i="7" s="1"/>
  <c r="AW38" i="7"/>
  <c r="AX38" i="7"/>
  <c r="AZ38" i="7" s="1"/>
  <c r="BK38" i="7"/>
  <c r="BU38" i="7"/>
  <c r="AJ38" i="7"/>
  <c r="AR38" i="7"/>
  <c r="AH38" i="7"/>
  <c r="BE38" i="7"/>
  <c r="AN38" i="7"/>
  <c r="AB38" i="7"/>
  <c r="BS38" i="7"/>
  <c r="BM38" i="7"/>
  <c r="AQ38" i="7"/>
  <c r="AS38" i="7" s="1"/>
  <c r="W38" i="7"/>
  <c r="Y38" i="7" s="1"/>
  <c r="BP38" i="7"/>
  <c r="X2" i="18"/>
  <c r="B30" i="9"/>
  <c r="H30" i="9" s="1"/>
  <c r="S13" i="14"/>
  <c r="U13" i="14" s="1"/>
  <c r="BZ41" i="7"/>
  <c r="U41" i="7"/>
  <c r="CE41" i="7"/>
  <c r="BD41" i="7"/>
  <c r="AK41" i="7"/>
  <c r="AG41" i="7"/>
  <c r="AQ41" i="7"/>
  <c r="AS41" i="7" s="1"/>
  <c r="AW41" i="7"/>
  <c r="BJ41" i="7"/>
  <c r="BH41" i="7"/>
  <c r="AD41" i="7"/>
  <c r="BI41" i="7"/>
  <c r="BT41" i="7"/>
  <c r="AL41" i="7"/>
  <c r="P41" i="7"/>
  <c r="AN41" i="7"/>
  <c r="AR41" i="7"/>
  <c r="AP41" i="7"/>
  <c r="BR41" i="7"/>
  <c r="AH41" i="7"/>
  <c r="AX41" i="7"/>
  <c r="AZ41" i="7" s="1"/>
  <c r="W41" i="7"/>
  <c r="Y41" i="7" s="1"/>
  <c r="BK41" i="7"/>
  <c r="BP41" i="7"/>
  <c r="AJ41" i="7"/>
  <c r="AT41" i="7"/>
  <c r="AV41" i="7" s="1"/>
  <c r="BG41" i="7"/>
  <c r="AM41" i="7"/>
  <c r="AO41" i="7" s="1"/>
  <c r="AF41" i="7"/>
  <c r="BM41" i="7"/>
  <c r="BC41" i="7"/>
  <c r="CD41" i="7"/>
  <c r="CF41" i="7" s="1"/>
  <c r="BN41" i="7"/>
  <c r="BE41" i="7"/>
  <c r="BF41" i="7"/>
  <c r="BL41" i="7"/>
  <c r="AB41" i="7"/>
  <c r="BU41" i="7"/>
  <c r="BW41" i="7"/>
  <c r="BX41" i="7"/>
  <c r="BO41" i="7"/>
  <c r="X41" i="7"/>
  <c r="T41" i="7"/>
  <c r="V41" i="7" s="1"/>
  <c r="AU41" i="7"/>
  <c r="CA41" i="7"/>
  <c r="CC41" i="7" s="1"/>
  <c r="CG41" i="7"/>
  <c r="BS41" i="7"/>
  <c r="AY41" i="7"/>
  <c r="BY41" i="7"/>
  <c r="BB41" i="7"/>
  <c r="BQ41" i="7"/>
  <c r="AA41" i="7"/>
  <c r="AC41" i="7" s="1"/>
  <c r="Z41" i="7"/>
  <c r="CB41" i="7"/>
  <c r="AI41" i="7"/>
  <c r="BA41" i="7"/>
  <c r="BV41" i="7"/>
  <c r="AJ39" i="7"/>
  <c r="BH39" i="7"/>
  <c r="BO39" i="7"/>
  <c r="AU39" i="7"/>
  <c r="T39" i="7"/>
  <c r="V39" i="7" s="1"/>
  <c r="BC39" i="7"/>
  <c r="BD39" i="7"/>
  <c r="BL39" i="7"/>
  <c r="BA39" i="7"/>
  <c r="BK39" i="7"/>
  <c r="BP39" i="7"/>
  <c r="AL39" i="7"/>
  <c r="CD39" i="7"/>
  <c r="CF39" i="7" s="1"/>
  <c r="BR39" i="7"/>
  <c r="AW39" i="7"/>
  <c r="AK39" i="7"/>
  <c r="AP39" i="7"/>
  <c r="X39" i="7"/>
  <c r="CE39" i="7"/>
  <c r="BI39" i="7"/>
  <c r="CA39" i="7"/>
  <c r="CC39" i="7" s="1"/>
  <c r="BU39" i="7"/>
  <c r="BY39" i="7"/>
  <c r="AY39" i="7"/>
  <c r="BB39" i="7"/>
  <c r="BT39" i="7"/>
  <c r="Z39" i="7"/>
  <c r="BM39" i="7"/>
  <c r="AI39" i="7"/>
  <c r="AT39" i="7"/>
  <c r="AV39" i="7" s="1"/>
  <c r="AF39" i="7"/>
  <c r="CB39" i="7"/>
  <c r="AR39" i="7"/>
  <c r="AG39" i="7"/>
  <c r="AH39" i="7"/>
  <c r="BF39" i="7"/>
  <c r="U39" i="7"/>
  <c r="BV39" i="7"/>
  <c r="W39" i="7"/>
  <c r="Y39" i="7" s="1"/>
  <c r="AN39" i="7"/>
  <c r="BJ39" i="7"/>
  <c r="BE39" i="7"/>
  <c r="P39" i="7"/>
  <c r="BW39" i="7"/>
  <c r="BS39" i="7"/>
  <c r="BZ39" i="7"/>
  <c r="AA39" i="7"/>
  <c r="AC39" i="7" s="1"/>
  <c r="CG39" i="7"/>
  <c r="BN39" i="7"/>
  <c r="AE39" i="7"/>
  <c r="BG39" i="7"/>
  <c r="AQ39" i="7"/>
  <c r="AS39" i="7" s="1"/>
  <c r="AB39" i="7"/>
  <c r="AM39" i="7"/>
  <c r="AO39" i="7" s="1"/>
  <c r="BQ39" i="7"/>
  <c r="AX39" i="7"/>
  <c r="AZ39" i="7" s="1"/>
  <c r="AD39" i="7"/>
  <c r="N5" i="15"/>
  <c r="P5" i="15" s="1"/>
  <c r="V14" i="14"/>
  <c r="P19" i="21"/>
  <c r="P21" i="21"/>
  <c r="P18" i="21"/>
  <c r="P20" i="21"/>
  <c r="C32" i="21"/>
  <c r="D32" i="21" s="1"/>
  <c r="X2" i="19"/>
  <c r="U13" i="15"/>
  <c r="Z3" i="7"/>
  <c r="Q3" i="14" s="1"/>
  <c r="N2" i="15"/>
  <c r="O2" i="15"/>
  <c r="O13" i="15" s="1"/>
  <c r="O14" i="15" s="1"/>
  <c r="O16" i="15" s="1"/>
  <c r="BH42" i="7"/>
  <c r="AM36" i="7"/>
  <c r="AO36" i="7" s="1"/>
  <c r="AJ36" i="7"/>
  <c r="CE36" i="7"/>
  <c r="BL36" i="7"/>
  <c r="BO36" i="7"/>
  <c r="BH36" i="7"/>
  <c r="BS36" i="7"/>
  <c r="CD36" i="7"/>
  <c r="CF36" i="7" s="1"/>
  <c r="AY36" i="7"/>
  <c r="AB36" i="7"/>
  <c r="AE36" i="7"/>
  <c r="AQ36" i="7"/>
  <c r="AS36" i="7" s="1"/>
  <c r="BW36" i="7"/>
  <c r="AH36" i="7"/>
  <c r="X36" i="7"/>
  <c r="BP36" i="7"/>
  <c r="AU36" i="7"/>
  <c r="BY36" i="7"/>
  <c r="CG36" i="7"/>
  <c r="AR36" i="7"/>
  <c r="BD36" i="7"/>
  <c r="AF36" i="7"/>
  <c r="BA36" i="7"/>
  <c r="BK36" i="7"/>
  <c r="BJ36" i="7"/>
  <c r="AG36" i="7"/>
  <c r="AD36" i="7"/>
  <c r="AK36" i="7"/>
  <c r="BN36" i="7"/>
  <c r="BU36" i="7"/>
  <c r="BQ36" i="7"/>
  <c r="T36" i="7"/>
  <c r="V36" i="7" s="1"/>
  <c r="CB36" i="7"/>
  <c r="AL36" i="7"/>
  <c r="AP36" i="7"/>
  <c r="BR36" i="7"/>
  <c r="BX36" i="7"/>
  <c r="P36" i="7"/>
  <c r="BV36" i="7"/>
  <c r="AA36" i="7"/>
  <c r="AC36" i="7" s="1"/>
  <c r="AT36" i="7"/>
  <c r="AV36" i="7" s="1"/>
  <c r="U36" i="7"/>
  <c r="CA36" i="7"/>
  <c r="CC36" i="7" s="1"/>
  <c r="BE36" i="7"/>
  <c r="BM36" i="7"/>
  <c r="BZ36" i="7"/>
  <c r="BI36" i="7"/>
  <c r="AN36" i="7"/>
  <c r="AI36" i="7"/>
  <c r="BB36" i="7"/>
  <c r="BT36" i="7"/>
  <c r="Z36" i="7"/>
  <c r="BC36" i="7"/>
  <c r="BF36" i="7"/>
  <c r="BG36" i="7"/>
  <c r="W36" i="7"/>
  <c r="Y36" i="7" s="1"/>
  <c r="AX36" i="7"/>
  <c r="AZ36" i="7" s="1"/>
  <c r="U6" i="14"/>
  <c r="P6" i="14"/>
  <c r="R7" i="14"/>
  <c r="AM44" i="7"/>
  <c r="AO44" i="7" s="1"/>
  <c r="BE44" i="7"/>
  <c r="N3" i="15"/>
  <c r="T9" i="15"/>
  <c r="W42" i="7"/>
  <c r="Y42" i="7" s="1"/>
  <c r="BR53" i="7"/>
  <c r="BW53" i="7"/>
  <c r="BF53" i="7"/>
  <c r="U53" i="7"/>
  <c r="AL53" i="7"/>
  <c r="AY53" i="7"/>
  <c r="BD42" i="7"/>
  <c r="CB42" i="7"/>
  <c r="AE42" i="7"/>
  <c r="BG42" i="7"/>
  <c r="CD42" i="7"/>
  <c r="CF42" i="7" s="1"/>
  <c r="BK53" i="7"/>
  <c r="BA53" i="7"/>
  <c r="BD53" i="7"/>
  <c r="CA53" i="7"/>
  <c r="CC53" i="7" s="1"/>
  <c r="CD53" i="7"/>
  <c r="CF53" i="7" s="1"/>
  <c r="AP53" i="7"/>
  <c r="BM53" i="7"/>
  <c r="AU53" i="7"/>
  <c r="BS53" i="7"/>
  <c r="BE53" i="7"/>
  <c r="BT53" i="7"/>
  <c r="AD53" i="7"/>
  <c r="AR53" i="7"/>
  <c r="AA53" i="7"/>
  <c r="AC53" i="7" s="1"/>
  <c r="BV53" i="7"/>
  <c r="X53" i="7"/>
  <c r="BH53" i="7"/>
  <c r="T53" i="7"/>
  <c r="V53" i="7" s="1"/>
  <c r="BP53" i="7"/>
  <c r="AI53" i="7"/>
  <c r="AF53" i="7"/>
  <c r="BY53" i="7"/>
  <c r="BZ53" i="7"/>
  <c r="AJ53" i="7"/>
  <c r="AT53" i="7"/>
  <c r="AV53" i="7" s="1"/>
  <c r="AN53" i="7"/>
  <c r="BN53" i="7"/>
  <c r="BC53" i="7"/>
  <c r="BQ53" i="7"/>
  <c r="W53" i="7"/>
  <c r="Y53" i="7" s="1"/>
  <c r="BL53" i="7"/>
  <c r="BX53" i="7"/>
  <c r="AQ53" i="7"/>
  <c r="AS53" i="7" s="1"/>
  <c r="BO53" i="7"/>
  <c r="CB53" i="7"/>
  <c r="BJ53" i="7"/>
  <c r="CG53" i="7"/>
  <c r="AG53" i="7"/>
  <c r="AB53" i="7"/>
  <c r="AE53" i="7"/>
  <c r="BU53" i="7"/>
  <c r="AH53" i="7"/>
  <c r="AX53" i="7"/>
  <c r="AZ53" i="7" s="1"/>
  <c r="AK53" i="7"/>
  <c r="Z53" i="7"/>
  <c r="AW53" i="7"/>
  <c r="BB53" i="7"/>
  <c r="AM53" i="7"/>
  <c r="AO53" i="7" s="1"/>
  <c r="BG53" i="7"/>
  <c r="BI53" i="7"/>
  <c r="P53" i="7"/>
  <c r="CA42" i="7"/>
  <c r="CC42" i="7" s="1"/>
  <c r="AG43" i="7"/>
  <c r="BZ42" i="7"/>
  <c r="BX42" i="7"/>
  <c r="AL42" i="7"/>
  <c r="AR42" i="7"/>
  <c r="T42" i="7"/>
  <c r="V42" i="7" s="1"/>
  <c r="BL42" i="7"/>
  <c r="AU42" i="7"/>
  <c r="BR42" i="7"/>
  <c r="AH42" i="7"/>
  <c r="T43" i="7"/>
  <c r="V43" i="7" s="1"/>
  <c r="BE42" i="7"/>
  <c r="AM42" i="7"/>
  <c r="AO42" i="7" s="1"/>
  <c r="AI42" i="7"/>
  <c r="BQ42" i="7"/>
  <c r="AG42" i="7"/>
  <c r="BN42" i="7"/>
  <c r="BJ42" i="7"/>
  <c r="AX42" i="7"/>
  <c r="AZ42" i="7" s="1"/>
  <c r="BK42" i="7"/>
  <c r="X42" i="7"/>
  <c r="AB42" i="7"/>
  <c r="T11" i="14"/>
  <c r="AD42" i="7"/>
  <c r="AW42" i="7"/>
  <c r="AQ42" i="7"/>
  <c r="AS42" i="7" s="1"/>
  <c r="AN42" i="7"/>
  <c r="AJ42" i="7"/>
  <c r="BU42" i="7"/>
  <c r="CG42" i="7"/>
  <c r="BM42" i="7"/>
  <c r="BT42" i="7"/>
  <c r="BA42" i="7"/>
  <c r="AT42" i="7"/>
  <c r="AV42" i="7" s="1"/>
  <c r="BF42" i="7"/>
  <c r="BW42" i="7"/>
  <c r="Z42" i="7"/>
  <c r="BI42" i="7"/>
  <c r="BO42" i="7"/>
  <c r="AY42" i="7"/>
  <c r="AF42" i="7"/>
  <c r="BP42" i="7"/>
  <c r="BV42" i="7"/>
  <c r="BC42" i="7"/>
  <c r="AP42" i="7"/>
  <c r="BS42" i="7"/>
  <c r="BY42" i="7"/>
  <c r="CE42" i="7"/>
  <c r="AR43" i="7"/>
  <c r="BB42" i="7"/>
  <c r="AA42" i="7"/>
  <c r="AC42" i="7" s="1"/>
  <c r="R10" i="15"/>
  <c r="Q11" i="14"/>
  <c r="BB43" i="7"/>
  <c r="BR45" i="7"/>
  <c r="AN45" i="7"/>
  <c r="BO43" i="7"/>
  <c r="BF43" i="7"/>
  <c r="CB45" i="7"/>
  <c r="BL43" i="7"/>
  <c r="BM43" i="7"/>
  <c r="T45" i="7"/>
  <c r="V45" i="7" s="1"/>
  <c r="AI43" i="7"/>
  <c r="P7" i="14"/>
  <c r="CB43" i="7"/>
  <c r="BR43" i="7"/>
  <c r="AM45" i="7"/>
  <c r="AO45" i="7" s="1"/>
  <c r="U45" i="7"/>
  <c r="AW43" i="7"/>
  <c r="AM43" i="7"/>
  <c r="AO43" i="7" s="1"/>
  <c r="BD43" i="7"/>
  <c r="BY43" i="7"/>
  <c r="X43" i="7"/>
  <c r="BI43" i="7"/>
  <c r="AJ45" i="7"/>
  <c r="R11" i="14"/>
  <c r="O7" i="14"/>
  <c r="AY44" i="7"/>
  <c r="P11" i="14"/>
  <c r="AN44" i="7"/>
  <c r="CE44" i="7"/>
  <c r="BL44" i="7"/>
  <c r="BD44" i="7"/>
  <c r="T7" i="14"/>
  <c r="CD44" i="7"/>
  <c r="CF44" i="7" s="1"/>
  <c r="AI44" i="7"/>
  <c r="BF44" i="7"/>
  <c r="AH44" i="7"/>
  <c r="AJ44" i="7"/>
  <c r="BA44" i="7"/>
  <c r="BH44" i="7"/>
  <c r="AB44" i="7"/>
  <c r="T44" i="7"/>
  <c r="V44" i="7" s="1"/>
  <c r="AL44" i="7"/>
  <c r="AG44" i="7"/>
  <c r="W44" i="7"/>
  <c r="Y44" i="7" s="1"/>
  <c r="BT44" i="7"/>
  <c r="BM45" i="7"/>
  <c r="BI45" i="7"/>
  <c r="AL45" i="7"/>
  <c r="Q3" i="15"/>
  <c r="Q13" i="15" s="1"/>
  <c r="Q14" i="15" s="1"/>
  <c r="Q15" i="15" s="1"/>
  <c r="Q16" i="15" s="1"/>
  <c r="AR45" i="7"/>
  <c r="BU45" i="7"/>
  <c r="W45" i="7"/>
  <c r="Y45" i="7" s="1"/>
  <c r="AB45" i="7"/>
  <c r="BC45" i="7"/>
  <c r="AX45" i="7"/>
  <c r="AZ45" i="7" s="1"/>
  <c r="AE45" i="7"/>
  <c r="BP45" i="7"/>
  <c r="Z45" i="7"/>
  <c r="BD45" i="7"/>
  <c r="AQ45" i="7"/>
  <c r="AS45" i="7" s="1"/>
  <c r="P45" i="7"/>
  <c r="AU45" i="7"/>
  <c r="BF45" i="7"/>
  <c r="BA45" i="7"/>
  <c r="AD45" i="7"/>
  <c r="AP45" i="7"/>
  <c r="BS45" i="7"/>
  <c r="BO45" i="7"/>
  <c r="CA45" i="7"/>
  <c r="CC45" i="7" s="1"/>
  <c r="BK45" i="7"/>
  <c r="BV45" i="7"/>
  <c r="BQ45" i="7"/>
  <c r="BZ45" i="7"/>
  <c r="BW45" i="7"/>
  <c r="AH45" i="7"/>
  <c r="BE45" i="7"/>
  <c r="BY45" i="7"/>
  <c r="CD45" i="7"/>
  <c r="CF45" i="7" s="1"/>
  <c r="AF45" i="7"/>
  <c r="AA45" i="7"/>
  <c r="AC45" i="7" s="1"/>
  <c r="BH45" i="7"/>
  <c r="BJ45" i="7"/>
  <c r="AY45" i="7"/>
  <c r="AT45" i="7"/>
  <c r="AV45" i="7" s="1"/>
  <c r="BL45" i="7"/>
  <c r="AI45" i="7"/>
  <c r="AG45" i="7"/>
  <c r="BN45" i="7"/>
  <c r="AW45" i="7"/>
  <c r="CG45" i="7"/>
  <c r="BX45" i="7"/>
  <c r="BT45" i="7"/>
  <c r="CE45" i="7"/>
  <c r="X45" i="7"/>
  <c r="BB45" i="7"/>
  <c r="BG45" i="7"/>
  <c r="AX43" i="7"/>
  <c r="AZ43" i="7" s="1"/>
  <c r="BW44" i="7"/>
  <c r="AH43" i="7"/>
  <c r="Z43" i="7"/>
  <c r="AR44" i="7"/>
  <c r="BP44" i="7"/>
  <c r="AE44" i="7"/>
  <c r="BU44" i="7"/>
  <c r="AB43" i="7"/>
  <c r="BN44" i="7"/>
  <c r="CA43" i="7"/>
  <c r="CC43" i="7" s="1"/>
  <c r="CB44" i="7"/>
  <c r="BX43" i="7"/>
  <c r="AQ43" i="7"/>
  <c r="AS43" i="7" s="1"/>
  <c r="BC44" i="7"/>
  <c r="AA43" i="7"/>
  <c r="AC43" i="7" s="1"/>
  <c r="U43" i="7"/>
  <c r="BQ44" i="7"/>
  <c r="AU44" i="7"/>
  <c r="BV44" i="7"/>
  <c r="AF43" i="7"/>
  <c r="BV43" i="7"/>
  <c r="U44" i="7"/>
  <c r="BJ44" i="7"/>
  <c r="AX44" i="7"/>
  <c r="AZ44" i="7" s="1"/>
  <c r="BS43" i="7"/>
  <c r="BE43" i="7"/>
  <c r="AD44" i="7"/>
  <c r="AW44" i="7"/>
  <c r="BA43" i="7"/>
  <c r="AP43" i="7"/>
  <c r="CG43" i="7"/>
  <c r="AJ43" i="7"/>
  <c r="BB44" i="7"/>
  <c r="BK44" i="7"/>
  <c r="BI44" i="7"/>
  <c r="AT43" i="7"/>
  <c r="AV43" i="7" s="1"/>
  <c r="AY43" i="7"/>
  <c r="BO44" i="7"/>
  <c r="AL43" i="7"/>
  <c r="BZ44" i="7"/>
  <c r="BM44" i="7"/>
  <c r="BK43" i="7"/>
  <c r="BG43" i="7"/>
  <c r="BW43" i="7"/>
  <c r="BZ43" i="7"/>
  <c r="BC43" i="7"/>
  <c r="AU43" i="7"/>
  <c r="AA44" i="7"/>
  <c r="AC44" i="7" s="1"/>
  <c r="X44" i="7"/>
  <c r="BX44" i="7"/>
  <c r="CD43" i="7"/>
  <c r="CF43" i="7" s="1"/>
  <c r="BY44" i="7"/>
  <c r="BT43" i="7"/>
  <c r="CG44" i="7"/>
  <c r="Z44" i="7"/>
  <c r="BQ43" i="7"/>
  <c r="W43" i="7"/>
  <c r="Y43" i="7" s="1"/>
  <c r="BH43" i="7"/>
  <c r="BP43" i="7"/>
  <c r="AD43" i="7"/>
  <c r="AN43" i="7"/>
  <c r="AT44" i="7"/>
  <c r="AV44" i="7" s="1"/>
  <c r="BG44" i="7"/>
  <c r="AF44" i="7"/>
  <c r="BS44" i="7"/>
  <c r="CE43" i="7"/>
  <c r="AQ44" i="7"/>
  <c r="AS44" i="7" s="1"/>
  <c r="BN43" i="7"/>
  <c r="BJ43" i="7"/>
  <c r="BR44" i="7"/>
  <c r="AP44" i="7"/>
  <c r="BU43" i="7"/>
  <c r="W13" i="14"/>
  <c r="Y2" i="18"/>
  <c r="R44" i="7"/>
  <c r="S48" i="7"/>
  <c r="AL2" i="12"/>
  <c r="Z2" i="18"/>
  <c r="T37" i="7"/>
  <c r="V37" i="7" s="1"/>
  <c r="P44" i="7"/>
  <c r="AM47" i="7"/>
  <c r="AO47" i="7" s="1"/>
  <c r="AU47" i="7"/>
  <c r="BB47" i="7"/>
  <c r="BU47" i="7"/>
  <c r="BV47" i="7"/>
  <c r="AJ47" i="7"/>
  <c r="AE47" i="7"/>
  <c r="BF47" i="7"/>
  <c r="BK47" i="7"/>
  <c r="X47" i="7"/>
  <c r="AA47" i="7"/>
  <c r="AC47" i="7" s="1"/>
  <c r="W47" i="7"/>
  <c r="Y47" i="7" s="1"/>
  <c r="AF47" i="7"/>
  <c r="AI47" i="7"/>
  <c r="AN47" i="7"/>
  <c r="AT47" i="7"/>
  <c r="AV47" i="7" s="1"/>
  <c r="BG47" i="7"/>
  <c r="BQ47" i="7"/>
  <c r="BL47" i="7"/>
  <c r="AB47" i="7"/>
  <c r="BA47" i="7"/>
  <c r="BP47" i="7"/>
  <c r="T13" i="14"/>
  <c r="R12" i="15"/>
  <c r="T12" i="15" s="1"/>
  <c r="BK51" i="7"/>
  <c r="BB51" i="7"/>
  <c r="U37" i="7"/>
  <c r="AK37" i="7"/>
  <c r="AR37" i="7"/>
  <c r="AA51" i="7"/>
  <c r="AC51" i="7" s="1"/>
  <c r="CA47" i="7"/>
  <c r="CC47" i="7" s="1"/>
  <c r="Q46" i="7"/>
  <c r="R9" i="14"/>
  <c r="AJ16" i="12"/>
  <c r="BV49" i="7"/>
  <c r="BQ49" i="7"/>
  <c r="N8" i="15"/>
  <c r="AY37" i="7"/>
  <c r="BJ37" i="7"/>
  <c r="AY47" i="7"/>
  <c r="BA49" i="7"/>
  <c r="AM49" i="7"/>
  <c r="AO49" i="7" s="1"/>
  <c r="BL51" i="7"/>
  <c r="CD47" i="7"/>
  <c r="CF47" i="7" s="1"/>
  <c r="BO37" i="7"/>
  <c r="W49" i="7"/>
  <c r="Y49" i="7" s="1"/>
  <c r="AN49" i="7"/>
  <c r="CD49" i="7"/>
  <c r="CF49" i="7" s="1"/>
  <c r="AE49" i="7"/>
  <c r="CE49" i="7"/>
  <c r="AI49" i="7"/>
  <c r="BG49" i="7"/>
  <c r="AF49" i="7"/>
  <c r="X49" i="7"/>
  <c r="AB49" i="7"/>
  <c r="AM51" i="7"/>
  <c r="AO51" i="7" s="1"/>
  <c r="BJ52" i="7"/>
  <c r="BL49" i="7"/>
  <c r="AT49" i="7"/>
  <c r="AV49" i="7" s="1"/>
  <c r="AJ49" i="7"/>
  <c r="BU49" i="7"/>
  <c r="AU49" i="7"/>
  <c r="AU51" i="7"/>
  <c r="BN51" i="7"/>
  <c r="BQ51" i="7"/>
  <c r="AE51" i="7"/>
  <c r="BF51" i="7"/>
  <c r="BT52" i="7"/>
  <c r="BC52" i="7"/>
  <c r="AR47" i="7"/>
  <c r="BN47" i="7"/>
  <c r="BO47" i="7"/>
  <c r="P50" i="7"/>
  <c r="AW54" i="7"/>
  <c r="AJ51" i="7"/>
  <c r="BB49" i="7"/>
  <c r="BF49" i="7"/>
  <c r="BP49" i="7"/>
  <c r="CG54" i="7"/>
  <c r="AR49" i="7"/>
  <c r="BJ51" i="7"/>
  <c r="P37" i="7"/>
  <c r="AL37" i="7"/>
  <c r="BT37" i="7"/>
  <c r="CD37" i="7"/>
  <c r="CF37" i="7" s="1"/>
  <c r="CB37" i="7"/>
  <c r="BK49" i="7"/>
  <c r="AA49" i="7"/>
  <c r="AC49" i="7" s="1"/>
  <c r="BE37" i="7"/>
  <c r="BY37" i="7"/>
  <c r="AX37" i="7"/>
  <c r="AZ37" i="7" s="1"/>
  <c r="CE37" i="7"/>
  <c r="BT50" i="7"/>
  <c r="S12" i="14"/>
  <c r="U12" i="14" s="1"/>
  <c r="CE52" i="7"/>
  <c r="AR52" i="7"/>
  <c r="BI47" i="7"/>
  <c r="BM51" i="7"/>
  <c r="BU48" i="7"/>
  <c r="BN48" i="7"/>
  <c r="AI52" i="7"/>
  <c r="AN52" i="7"/>
  <c r="AG52" i="7"/>
  <c r="BQ52" i="7"/>
  <c r="AR50" i="7"/>
  <c r="BA51" i="7"/>
  <c r="AT51" i="7"/>
  <c r="AV51" i="7" s="1"/>
  <c r="AN51" i="7"/>
  <c r="BJ50" i="7"/>
  <c r="U51" i="7"/>
  <c r="AD54" i="7"/>
  <c r="BS47" i="7"/>
  <c r="Z51" i="7"/>
  <c r="BL46" i="7"/>
  <c r="AH52" i="7"/>
  <c r="BZ49" i="7"/>
  <c r="W46" i="7"/>
  <c r="Y46" i="7" s="1"/>
  <c r="W51" i="7"/>
  <c r="Y51" i="7" s="1"/>
  <c r="BP51" i="7"/>
  <c r="BU51" i="7"/>
  <c r="T51" i="7"/>
  <c r="V51" i="7" s="1"/>
  <c r="BZ54" i="7"/>
  <c r="CA51" i="7"/>
  <c r="CC51" i="7" s="1"/>
  <c r="BL52" i="7"/>
  <c r="BX46" i="7"/>
  <c r="BD47" i="7"/>
  <c r="X54" i="7"/>
  <c r="CA48" i="7"/>
  <c r="CC48" i="7" s="1"/>
  <c r="Z49" i="7"/>
  <c r="AD47" i="7"/>
  <c r="AG46" i="7"/>
  <c r="AW50" i="7"/>
  <c r="AX48" i="7"/>
  <c r="AZ48" i="7" s="1"/>
  <c r="AH47" i="7"/>
  <c r="CA52" i="7"/>
  <c r="CC52" i="7" s="1"/>
  <c r="AU54" i="7"/>
  <c r="AK50" i="7"/>
  <c r="BT54" i="7"/>
  <c r="AG47" i="7"/>
  <c r="BM46" i="7"/>
  <c r="BH50" i="7"/>
  <c r="AL48" i="7"/>
  <c r="BB48" i="7"/>
  <c r="AA54" i="7"/>
  <c r="AC54" i="7" s="1"/>
  <c r="AL54" i="7"/>
  <c r="BJ46" i="7"/>
  <c r="AF51" i="7"/>
  <c r="BG51" i="7"/>
  <c r="BV51" i="7"/>
  <c r="BM54" i="7"/>
  <c r="AL49" i="7"/>
  <c r="AY49" i="7"/>
  <c r="AE52" i="7"/>
  <c r="CE47" i="7"/>
  <c r="AR51" i="7"/>
  <c r="BX47" i="7"/>
  <c r="CG51" i="7"/>
  <c r="AA48" i="7"/>
  <c r="AC48" i="7" s="1"/>
  <c r="BD50" i="7"/>
  <c r="AI54" i="7"/>
  <c r="BJ47" i="7"/>
  <c r="BY51" i="7"/>
  <c r="P51" i="7"/>
  <c r="BC51" i="7"/>
  <c r="AU48" i="7"/>
  <c r="BI50" i="7"/>
  <c r="AT54" i="7"/>
  <c r="AV54" i="7" s="1"/>
  <c r="AG48" i="7"/>
  <c r="AI51" i="7"/>
  <c r="X51" i="7"/>
  <c r="AB51" i="7"/>
  <c r="BX48" i="7"/>
  <c r="AG54" i="7"/>
  <c r="AL51" i="7"/>
  <c r="CE51" i="7"/>
  <c r="BH51" i="7"/>
  <c r="AB46" i="7"/>
  <c r="BG48" i="7"/>
  <c r="CE48" i="7"/>
  <c r="BB54" i="7"/>
  <c r="BC48" i="7"/>
  <c r="AQ47" i="7"/>
  <c r="AS47" i="7" s="1"/>
  <c r="AK43" i="7"/>
  <c r="R43" i="7"/>
  <c r="S43" i="7"/>
  <c r="BT46" i="7"/>
  <c r="R49" i="7"/>
  <c r="AQ50" i="7"/>
  <c r="AS50" i="7" s="1"/>
  <c r="AL50" i="7"/>
  <c r="T50" i="7"/>
  <c r="V50" i="7" s="1"/>
  <c r="AQ52" i="7"/>
  <c r="AS52" i="7" s="1"/>
  <c r="BY52" i="7"/>
  <c r="AH48" i="7"/>
  <c r="T52" i="7"/>
  <c r="V52" i="7" s="1"/>
  <c r="Z52" i="7"/>
  <c r="BC54" i="7"/>
  <c r="BR54" i="7"/>
  <c r="P46" i="7"/>
  <c r="BT48" i="7"/>
  <c r="BV52" i="7"/>
  <c r="AU52" i="7"/>
  <c r="BK52" i="7"/>
  <c r="CB51" i="7"/>
  <c r="AH46" i="7"/>
  <c r="AY51" i="7"/>
  <c r="AO2" i="12"/>
  <c r="BZ51" i="7"/>
  <c r="AP51" i="7"/>
  <c r="H27" i="9"/>
  <c r="BV46" i="7"/>
  <c r="AM46" i="7"/>
  <c r="AO46" i="7" s="1"/>
  <c r="AK51" i="7"/>
  <c r="BK48" i="7"/>
  <c r="AI48" i="7"/>
  <c r="BQ48" i="7"/>
  <c r="BS50" i="7"/>
  <c r="AE54" i="7"/>
  <c r="BG54" i="7"/>
  <c r="BN52" i="7"/>
  <c r="BZ48" i="7"/>
  <c r="BR49" i="7"/>
  <c r="AX54" i="7"/>
  <c r="AZ54" i="7" s="1"/>
  <c r="AW47" i="7"/>
  <c r="AL47" i="7"/>
  <c r="CG46" i="7"/>
  <c r="BM50" i="7"/>
  <c r="AD50" i="7"/>
  <c r="D24" i="21"/>
  <c r="CA50" i="7"/>
  <c r="CC50" i="7" s="1"/>
  <c r="CB48" i="7"/>
  <c r="AT52" i="7"/>
  <c r="AV52" i="7" s="1"/>
  <c r="BF52" i="7"/>
  <c r="BU52" i="7"/>
  <c r="BI46" i="7"/>
  <c r="W6" i="14"/>
  <c r="V3" i="15"/>
  <c r="V13" i="15" s="1"/>
  <c r="BG46" i="7"/>
  <c r="AU46" i="7"/>
  <c r="E3" i="9"/>
  <c r="F3" i="9"/>
  <c r="CA46" i="7"/>
  <c r="CC46" i="7" s="1"/>
  <c r="BV48" i="7"/>
  <c r="AB48" i="7"/>
  <c r="W48" i="7"/>
  <c r="Y48" i="7" s="1"/>
  <c r="P48" i="7"/>
  <c r="BK54" i="7"/>
  <c r="AF54" i="7"/>
  <c r="AB54" i="7"/>
  <c r="BX51" i="7"/>
  <c r="BD52" i="7"/>
  <c r="AD48" i="7"/>
  <c r="AP49" i="7"/>
  <c r="AW49" i="7"/>
  <c r="AQ54" i="7"/>
  <c r="AS54" i="7" s="1"/>
  <c r="BM47" i="7"/>
  <c r="BY47" i="7"/>
  <c r="W12" i="15"/>
  <c r="X13" i="14"/>
  <c r="AD46" i="7"/>
  <c r="AP50" i="7"/>
  <c r="D17" i="21"/>
  <c r="D37" i="21" s="1"/>
  <c r="D44" i="21" s="1"/>
  <c r="D22" i="21"/>
  <c r="Q42" i="7"/>
  <c r="AL46" i="7"/>
  <c r="AE46" i="7"/>
  <c r="BW46" i="7"/>
  <c r="BB50" i="7"/>
  <c r="AA50" i="7"/>
  <c r="AC50" i="7" s="1"/>
  <c r="X50" i="7"/>
  <c r="BV50" i="7"/>
  <c r="AE50" i="7"/>
  <c r="AT50" i="7"/>
  <c r="AV50" i="7" s="1"/>
  <c r="BP50" i="7"/>
  <c r="BU50" i="7"/>
  <c r="BF50" i="7"/>
  <c r="BK50" i="7"/>
  <c r="AN50" i="7"/>
  <c r="AJ50" i="7"/>
  <c r="BQ50" i="7"/>
  <c r="AU50" i="7"/>
  <c r="AB50" i="7"/>
  <c r="AI50" i="7"/>
  <c r="AM50" i="7"/>
  <c r="AO50" i="7" s="1"/>
  <c r="BL50" i="7"/>
  <c r="W50" i="7"/>
  <c r="Y50" i="7" s="1"/>
  <c r="BG50" i="7"/>
  <c r="BA50" i="7"/>
  <c r="AF50" i="7"/>
  <c r="AL52" i="7"/>
  <c r="S8" i="15"/>
  <c r="S13" i="15" s="1"/>
  <c r="S14" i="15" s="1"/>
  <c r="T9" i="14"/>
  <c r="AQ46" i="7"/>
  <c r="AS46" i="7" s="1"/>
  <c r="BE46" i="7"/>
  <c r="AY50" i="7"/>
  <c r="BO50" i="7"/>
  <c r="F2" i="9"/>
  <c r="E2" i="9"/>
  <c r="BE52" i="7"/>
  <c r="BI48" i="7"/>
  <c r="AP52" i="7"/>
  <c r="AW52" i="7"/>
  <c r="Z54" i="7"/>
  <c r="P52" i="7"/>
  <c r="AK47" i="7"/>
  <c r="S47" i="7"/>
  <c r="P49" i="7"/>
  <c r="AQ48" i="7"/>
  <c r="AS48" i="7" s="1"/>
  <c r="BE48" i="7"/>
  <c r="W52" i="7"/>
  <c r="Y52" i="7" s="1"/>
  <c r="AA52" i="7"/>
  <c r="AC52" i="7" s="1"/>
  <c r="AB52" i="7"/>
  <c r="BT51" i="7"/>
  <c r="BS46" i="7"/>
  <c r="BR51" i="7"/>
  <c r="G30" i="21"/>
  <c r="H30" i="21" s="1"/>
  <c r="F31" i="21"/>
  <c r="W3" i="15"/>
  <c r="W13" i="15" s="1"/>
  <c r="X6" i="14"/>
  <c r="X14" i="14" s="1"/>
  <c r="BF46" i="7"/>
  <c r="BA46" i="7"/>
  <c r="BK46" i="7"/>
  <c r="R48" i="7"/>
  <c r="AJ48" i="7"/>
  <c r="AE48" i="7"/>
  <c r="BL54" i="7"/>
  <c r="BU54" i="7"/>
  <c r="AJ54" i="7"/>
  <c r="BD51" i="7"/>
  <c r="BS52" i="7"/>
  <c r="AP48" i="7"/>
  <c r="BH48" i="7"/>
  <c r="BM49" i="7"/>
  <c r="U47" i="7"/>
  <c r="BO54" i="7"/>
  <c r="CG47" i="7"/>
  <c r="Z47" i="7"/>
  <c r="BT47" i="7"/>
  <c r="BR46" i="7"/>
  <c r="BW50" i="7"/>
  <c r="BZ50" i="7"/>
  <c r="D23" i="21"/>
  <c r="AK42" i="7"/>
  <c r="S42" i="7"/>
  <c r="AY46" i="7"/>
  <c r="BU46" i="7"/>
  <c r="AK52" i="7"/>
  <c r="S52" i="7"/>
  <c r="S8" i="14"/>
  <c r="CD50" i="7"/>
  <c r="CF50" i="7" s="1"/>
  <c r="U50" i="7"/>
  <c r="U52" i="7"/>
  <c r="BO46" i="7"/>
  <c r="CE50" i="7"/>
  <c r="BY50" i="7"/>
  <c r="V8" i="15"/>
  <c r="W9" i="14"/>
  <c r="BO52" i="7"/>
  <c r="BS48" i="7"/>
  <c r="BM52" i="7"/>
  <c r="AD52" i="7"/>
  <c r="AP54" i="7"/>
  <c r="Q52" i="7"/>
  <c r="T46" i="7"/>
  <c r="V46" i="7" s="1"/>
  <c r="O5" i="14"/>
  <c r="Q5" i="14" s="1"/>
  <c r="CD46" i="7"/>
  <c r="CF46" i="7" s="1"/>
  <c r="BJ48" i="7"/>
  <c r="BB52" i="7"/>
  <c r="AM52" i="7"/>
  <c r="AO52" i="7" s="1"/>
  <c r="AJ52" i="7"/>
  <c r="CA49" i="7"/>
  <c r="CC49" i="7" s="1"/>
  <c r="BI49" i="7"/>
  <c r="BT49" i="7"/>
  <c r="BN49" i="7"/>
  <c r="BJ49" i="7"/>
  <c r="U49" i="7"/>
  <c r="BD49" i="7"/>
  <c r="AX49" i="7"/>
  <c r="AZ49" i="7" s="1"/>
  <c r="AH49" i="7"/>
  <c r="CB49" i="7"/>
  <c r="BY49" i="7"/>
  <c r="BE49" i="7"/>
  <c r="BO49" i="7"/>
  <c r="T49" i="7"/>
  <c r="V49" i="7" s="1"/>
  <c r="BS49" i="7"/>
  <c r="AQ49" i="7"/>
  <c r="AS49" i="7" s="1"/>
  <c r="BX49" i="7"/>
  <c r="BE51" i="7"/>
  <c r="BD46" i="7"/>
  <c r="CD51" i="7"/>
  <c r="CF51" i="7" s="1"/>
  <c r="T54" i="7"/>
  <c r="V54" i="7" s="1"/>
  <c r="AD51" i="7"/>
  <c r="AI46" i="7"/>
  <c r="BQ46" i="7"/>
  <c r="X46" i="7"/>
  <c r="X48" i="7"/>
  <c r="AT48" i="7"/>
  <c r="AV48" i="7" s="1"/>
  <c r="AM48" i="7"/>
  <c r="AO48" i="7" s="1"/>
  <c r="BN50" i="7"/>
  <c r="AR48" i="7"/>
  <c r="W54" i="7"/>
  <c r="Y54" i="7" s="1"/>
  <c r="R54" i="7"/>
  <c r="BP54" i="7"/>
  <c r="BI51" i="7"/>
  <c r="BX52" i="7"/>
  <c r="BW48" i="7"/>
  <c r="BR48" i="7"/>
  <c r="AG49" i="7"/>
  <c r="BW49" i="7"/>
  <c r="T47" i="7"/>
  <c r="V47" i="7" s="1"/>
  <c r="BC47" i="7"/>
  <c r="AP47" i="7"/>
  <c r="CB47" i="7"/>
  <c r="BH46" i="7"/>
  <c r="BZ46" i="7"/>
  <c r="CG50" i="7"/>
  <c r="BC50" i="7"/>
  <c r="BN46" i="7"/>
  <c r="BP46" i="7"/>
  <c r="R8" i="15"/>
  <c r="U9" i="14"/>
  <c r="BE50" i="7"/>
  <c r="BR52" i="7"/>
  <c r="P54" i="7"/>
  <c r="CA54" i="7"/>
  <c r="CC54" i="7" s="1"/>
  <c r="BX54" i="7"/>
  <c r="BN54" i="7"/>
  <c r="AH54" i="7"/>
  <c r="AR54" i="7"/>
  <c r="CD54" i="7"/>
  <c r="CF54" i="7" s="1"/>
  <c r="BD54" i="7"/>
  <c r="CE54" i="7"/>
  <c r="BS54" i="7"/>
  <c r="AY54" i="7"/>
  <c r="BI54" i="7"/>
  <c r="AX46" i="7"/>
  <c r="AZ46" i="7" s="1"/>
  <c r="CB50" i="7"/>
  <c r="R13" i="14"/>
  <c r="Q12" i="15"/>
  <c r="W10" i="15"/>
  <c r="X11" i="14"/>
  <c r="CB52" i="7"/>
  <c r="BD48" i="7"/>
  <c r="BW52" i="7"/>
  <c r="BH52" i="7"/>
  <c r="BW54" i="7"/>
  <c r="CD52" i="7"/>
  <c r="CF52" i="7" s="1"/>
  <c r="U46" i="7"/>
  <c r="CE46" i="7"/>
  <c r="BO48" i="7"/>
  <c r="X52" i="7"/>
  <c r="BG52" i="7"/>
  <c r="BP52" i="7"/>
  <c r="P47" i="7"/>
  <c r="AQ51" i="7"/>
  <c r="AS51" i="7" s="1"/>
  <c r="AX51" i="7"/>
  <c r="AZ51" i="7" s="1"/>
  <c r="U54" i="7"/>
  <c r="AG51" i="7"/>
  <c r="AK48" i="7"/>
  <c r="T48" i="7"/>
  <c r="V48" i="7" s="1"/>
  <c r="AJ46" i="7"/>
  <c r="AT46" i="7"/>
  <c r="AV46" i="7" s="1"/>
  <c r="AF46" i="7"/>
  <c r="H29" i="9"/>
  <c r="BA48" i="7"/>
  <c r="BF48" i="7"/>
  <c r="AN48" i="7"/>
  <c r="AH50" i="7"/>
  <c r="CD48" i="7"/>
  <c r="CF48" i="7" s="1"/>
  <c r="AM54" i="7"/>
  <c r="AO54" i="7" s="1"/>
  <c r="BF54" i="7"/>
  <c r="BA54" i="7"/>
  <c r="BS51" i="7"/>
  <c r="BI52" i="7"/>
  <c r="AK44" i="7"/>
  <c r="S44" i="7"/>
  <c r="Z48" i="7"/>
  <c r="AW48" i="7"/>
  <c r="CG49" i="7"/>
  <c r="BH49" i="7"/>
  <c r="BE54" i="7"/>
  <c r="BJ54" i="7"/>
  <c r="BZ47" i="7"/>
  <c r="BW47" i="7"/>
  <c r="BE47" i="7"/>
  <c r="AP46" i="7"/>
  <c r="BC46" i="7"/>
  <c r="AG50" i="7"/>
  <c r="D25" i="21"/>
  <c r="O8" i="14"/>
  <c r="P9" i="14"/>
  <c r="O8" i="15"/>
  <c r="AK54" i="7"/>
  <c r="Q54" i="7"/>
  <c r="AK49" i="7"/>
  <c r="S49" i="7"/>
  <c r="CB46" i="7"/>
  <c r="BY46" i="7"/>
  <c r="AX50" i="7"/>
  <c r="AZ50" i="7" s="1"/>
  <c r="AK46" i="7"/>
  <c r="S46" i="7"/>
  <c r="AX52" i="7"/>
  <c r="AZ52" i="7" s="1"/>
  <c r="BZ52" i="7"/>
  <c r="CG52" i="7"/>
  <c r="BH54" i="7"/>
  <c r="AY52" i="7"/>
  <c r="AR46" i="7"/>
  <c r="BY48" i="7"/>
  <c r="AF52" i="7"/>
  <c r="R52" i="7"/>
  <c r="Q47" i="7"/>
  <c r="BO51" i="7"/>
  <c r="BW51" i="7"/>
  <c r="AW51" i="7"/>
  <c r="U48" i="7"/>
  <c r="AA46" i="7"/>
  <c r="AC46" i="7" s="1"/>
  <c r="BB46" i="7"/>
  <c r="AN46" i="7"/>
  <c r="P42" i="7"/>
  <c r="P43" i="7"/>
  <c r="AF48" i="7"/>
  <c r="BP48" i="7"/>
  <c r="BL48" i="7"/>
  <c r="BX50" i="7"/>
  <c r="AY48" i="7"/>
  <c r="AN54" i="7"/>
  <c r="BV54" i="7"/>
  <c r="BQ54" i="7"/>
  <c r="CG48" i="7"/>
  <c r="BC49" i="7"/>
  <c r="CB54" i="7"/>
  <c r="BR47" i="7"/>
  <c r="BH47" i="7"/>
  <c r="BG37" i="7"/>
  <c r="BA37" i="7"/>
  <c r="BX37" i="7"/>
  <c r="CA37" i="7"/>
  <c r="CC37" i="7" s="1"/>
  <c r="X37" i="7"/>
  <c r="BQ37" i="7"/>
  <c r="Z37" i="7"/>
  <c r="BW37" i="7"/>
  <c r="AH37" i="7"/>
  <c r="BV37" i="7"/>
  <c r="BK37" i="7"/>
  <c r="AB37" i="7"/>
  <c r="BM37" i="7"/>
  <c r="CG37" i="7"/>
  <c r="BD37" i="7"/>
  <c r="BR37" i="7"/>
  <c r="BF37" i="7"/>
  <c r="AU37" i="7"/>
  <c r="BP37" i="7"/>
  <c r="AW37" i="7"/>
  <c r="BS37" i="7"/>
  <c r="BB37" i="7"/>
  <c r="AM37" i="7"/>
  <c r="AO37" i="7" s="1"/>
  <c r="AA37" i="7"/>
  <c r="AC37" i="7" s="1"/>
  <c r="AG37" i="7"/>
  <c r="BI37" i="7"/>
  <c r="BU37" i="7"/>
  <c r="AE37" i="7"/>
  <c r="BC37" i="7"/>
  <c r="AI37" i="7"/>
  <c r="BH37" i="7"/>
  <c r="BL37" i="7"/>
  <c r="W37" i="7"/>
  <c r="Y37" i="7" s="1"/>
  <c r="BZ37" i="7"/>
  <c r="AN37" i="7"/>
  <c r="AJ37" i="7"/>
  <c r="AF37" i="7"/>
  <c r="AT37" i="7"/>
  <c r="AV37" i="7" s="1"/>
  <c r="AP37" i="7"/>
  <c r="AD37" i="7"/>
  <c r="BN37" i="7"/>
  <c r="Z46" i="7"/>
  <c r="Z50" i="7"/>
  <c r="T16" i="15" l="1"/>
  <c r="C33" i="21"/>
  <c r="AA2" i="18"/>
  <c r="D29" i="9"/>
  <c r="J29" i="9" s="1"/>
  <c r="J32" i="9" s="1"/>
  <c r="C29" i="9"/>
  <c r="I29" i="9" s="1"/>
  <c r="I30" i="9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O15" i="15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W14" i="14"/>
  <c r="C32" i="9" l="1"/>
  <c r="I32" i="9"/>
  <c r="D32" i="9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S18" i="21" l="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 s="1"/>
  <c r="L22" i="21"/>
  <c r="L26" i="21" s="1"/>
  <c r="L24" i="21"/>
  <c r="L28" i="21" s="1"/>
  <c r="K39" i="21"/>
  <c r="K32" i="21"/>
  <c r="J33" i="21"/>
  <c r="L25" i="21"/>
  <c r="L29" i="21" s="1"/>
  <c r="L23" i="21"/>
  <c r="L27" i="21" s="1"/>
  <c r="V30" i="21"/>
  <c r="W30" i="21" s="1"/>
  <c r="U31" i="21"/>
  <c r="L39" i="21" l="1"/>
  <c r="L38" i="21"/>
  <c r="L40" i="2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C14" i="25" s="1"/>
  <c r="C2" i="25" s="1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7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7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V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7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9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7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<sst xmlns="http://schemas.openxmlformats.org/spreadsheetml/2006/main" count="3052" uniqueCount="1001">
  <si>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</si>
  <si>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</si>
  <si>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</si>
  <si>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</si>
  <si>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</si>
  <si>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</si>
  <si>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</si>
  <si>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</si>
  <si>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</si>
  <si>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</si>
  <si>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</si>
  <si>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</si>
  <si>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</si>
  <si>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</si>
  <si>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</si>
  <si>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</si>
  <si>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</si>
  <si>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</si>
  <si>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</si>
  <si>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</si>
  <si>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</si>
  <si>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</si>
  <si>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</si>
  <si>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</si>
  <si>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</si>
  <si>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</si>
  <si>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</si>
  <si>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</si>
  <si>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</si>
  <si>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</si>
  <si>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</si>
  <si>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</si>
  <si>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</si>
  <si>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</si>
  <si>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</si>
  <si>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</si>
  <si>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</si>
  <si>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</si>
  <si>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</si>
  <si>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</si>
  <si>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</si>
  <si>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</si>
  <si>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</si>
  <si>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</si>
  <si>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</si>
  <si>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</si>
  <si>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</si>
  <si>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</si>
  <si>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</si>
  <si>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</si>
  <si>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</si>
  <si>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</si>
  <si>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</si>
  <si>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</si>
  <si>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</si>
  <si>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</si>
  <si>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</si>
  <si>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</si>
  <si>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</si>
  <si>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</si>
  <si>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</si>
  <si>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</si>
  <si>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</si>
  <si>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</si>
  <si>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</si>
  <si>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</si>
  <si>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</si>
  <si>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</si>
  <si>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</si>
  <si>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</si>
  <si>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</si>
  <si>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</si>
  <si>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</si>
  <si>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</si>
  <si>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</si>
  <si>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</si>
  <si>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</si>
  <si>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</si>
  <si>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</si>
  <si>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</si>
  <si>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</si>
  <si>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</si>
  <si>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</si>
  <si>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</si>
  <si>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</si>
  <si>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</si>
  <si>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</si>
  <si>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</si>
  <si>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</si>
  <si>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</si>
  <si>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</si>
  <si>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</si>
  <si>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</si>
  <si>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</si>
  <si>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</si>
  <si>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</si>
  <si>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</si>
  <si>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</si>
  <si>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</si>
  <si>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</si>
  <si>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</si>
  <si>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</si>
  <si>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</si>
  <si>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</si>
  <si>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</si>
  <si>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</si>
  <si>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</si>
  <si>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</si>
  <si>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</si>
  <si>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</si>
  <si>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</si>
  <si>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</si>
  <si>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</si>
  <si>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</si>
  <si>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</si>
  <si>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</si>
  <si>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</si>
  <si>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</si>
  <si>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</si>
  <si>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</si>
  <si>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</si>
  <si>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</si>
  <si>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</si>
  <si>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</si>
  <si>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D. Gehmacher</t>
  </si>
  <si>
    <t>IMP</t>
  </si>
  <si>
    <t>E. Toney</t>
  </si>
  <si>
    <t>E. Romweber</t>
  </si>
  <si>
    <t>S. Buschelman</t>
  </si>
  <si>
    <t>L. Tutorić</t>
  </si>
  <si>
    <t>CAB</t>
  </si>
  <si>
    <t>S. Swärdborn</t>
  </si>
  <si>
    <t>A. Grimaud</t>
  </si>
  <si>
    <t>RAP</t>
  </si>
  <si>
    <t>V. Gardner</t>
  </si>
  <si>
    <t>S. Embe</t>
  </si>
  <si>
    <t>E. Deus</t>
  </si>
  <si>
    <t>I. Vanags</t>
  </si>
  <si>
    <t>I. Stone</t>
  </si>
  <si>
    <t>G. Piscaer</t>
  </si>
  <si>
    <t>M. Bondarewski</t>
  </si>
  <si>
    <t>P. Tuderek</t>
  </si>
  <si>
    <t>R. Forsyth</t>
  </si>
  <si>
    <t>POT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</si>
  <si>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</si>
  <si>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</si>
  <si>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</si>
  <si>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</si>
  <si>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</si>
  <si>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</si>
  <si>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</si>
  <si>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</si>
  <si>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</si>
  <si>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</si>
  <si>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</si>
  <si>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</si>
  <si>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</si>
  <si>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</si>
  <si>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</si>
  <si>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</si>
  <si>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</si>
  <si>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</si>
  <si>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</si>
  <si>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</si>
  <si>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</si>
  <si>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</si>
  <si>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</si>
  <si>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</si>
  <si>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</si>
  <si>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</si>
  <si>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</si>
  <si>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</si>
  <si>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</si>
  <si>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</si>
  <si>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</si>
  <si>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</si>
  <si>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</si>
  <si>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</si>
  <si>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</si>
  <si>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</si>
  <si>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</si>
  <si>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</si>
  <si>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</si>
  <si>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</si>
  <si>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</si>
  <si>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</si>
  <si>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</si>
  <si>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</si>
  <si>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</si>
  <si>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</si>
  <si>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</si>
  <si>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</si>
  <si>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</si>
  <si>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</si>
  <si>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</si>
  <si>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</si>
  <si>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</si>
  <si>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</si>
  <si>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</si>
  <si>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</si>
  <si>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</si>
  <si>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</si>
  <si>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</si>
  <si>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</si>
  <si>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</si>
  <si>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</si>
  <si>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</si>
  <si>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</si>
  <si>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</si>
  <si>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</si>
  <si>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</si>
  <si>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</si>
  <si>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</si>
  <si>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</si>
  <si>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</si>
  <si>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</si>
  <si>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</si>
  <si>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</si>
  <si>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</si>
  <si>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</si>
  <si>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</si>
  <si>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</si>
  <si>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</si>
  <si>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</si>
  <si>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</si>
  <si>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</si>
  <si>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</si>
  <si>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</si>
  <si>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</si>
  <si>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</si>
  <si>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</si>
  <si>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</si>
  <si>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</si>
  <si>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</si>
  <si>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</si>
  <si>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</si>
  <si>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</si>
  <si>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</si>
  <si>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</si>
  <si>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</si>
  <si>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</si>
  <si>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</si>
  <si>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</si>
  <si>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</si>
  <si>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</si>
  <si>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</si>
  <si>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</si>
  <si>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</si>
  <si>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</si>
  <si>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</si>
  <si>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</si>
  <si>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</si>
  <si>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</si>
  <si>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</si>
  <si>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</si>
  <si>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</si>
  <si>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</si>
  <si>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</si>
  <si>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</si>
  <si>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</si>
  <si>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</si>
  <si>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</si>
  <si>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</si>
  <si>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</si>
  <si>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</si>
  <si>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</si>
  <si>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</si>
  <si>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</si>
  <si>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</si>
  <si>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</si>
  <si>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</si>
  <si>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</si>
  <si>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</si>
  <si>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</si>
  <si>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</si>
  <si>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</si>
  <si>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</si>
  <si>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</si>
  <si>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</si>
  <si>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</si>
  <si>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</si>
  <si>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</si>
  <si>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</si>
  <si>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</si>
  <si>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</si>
  <si>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</si>
  <si>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</si>
  <si>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</si>
  <si>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</si>
  <si>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</si>
  <si>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</si>
  <si>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</si>
  <si>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</si>
  <si>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</si>
  <si>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</si>
  <si>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</si>
  <si>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</si>
  <si>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</si>
  <si>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</si>
  <si>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</si>
  <si>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</si>
  <si>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</si>
  <si>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</si>
  <si>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</si>
  <si>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</si>
  <si>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</si>
  <si>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</si>
  <si>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</si>
  <si>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</si>
  <si>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</si>
  <si>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</si>
  <si>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</si>
  <si>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</si>
  <si>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</si>
  <si>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</si>
  <si>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</si>
  <si>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</si>
  <si>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</si>
  <si>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</si>
  <si>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</si>
  <si>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</si>
  <si>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</si>
  <si>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</si>
  <si>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</si>
  <si>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</si>
  <si>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</si>
  <si>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</si>
  <si>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</si>
  <si>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</si>
  <si>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</si>
  <si>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</si>
  <si>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</si>
  <si>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</si>
  <si>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</si>
  <si>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</si>
  <si>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</si>
  <si>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</si>
  <si>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</si>
  <si>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</si>
  <si>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</si>
  <si>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</si>
  <si>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</si>
  <si>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</si>
  <si>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</si>
  <si>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</si>
  <si>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</si>
  <si>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</si>
  <si>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</si>
  <si>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</si>
  <si>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</si>
  <si>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</si>
  <si>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</si>
  <si>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</si>
  <si>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</si>
  <si>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</si>
  <si>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</si>
  <si>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EXhM</t>
  </si>
  <si>
    <t>Maximo</t>
  </si>
  <si>
    <t>FORMACION</t>
  </si>
  <si>
    <t>Entrenamiento</t>
  </si>
  <si>
    <t>TODAS</t>
  </si>
  <si>
    <t>PORTERIA</t>
  </si>
  <si>
    <t>LATERAL</t>
  </si>
  <si>
    <t>PASES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</si>
  <si>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</si>
  <si>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</si>
  <si>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</si>
  <si>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</si>
  <si>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</si>
  <si>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</si>
  <si>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</si>
  <si>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</si>
  <si>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</si>
  <si>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</si>
  <si>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</si>
  <si>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</si>
  <si>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</si>
  <si>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</si>
  <si>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</si>
  <si>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</si>
  <si>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</si>
  <si>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</si>
  <si>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</si>
  <si>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</si>
  <si>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</si>
  <si>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</si>
  <si>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</si>
  <si>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</si>
  <si>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</si>
  <si>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</si>
  <si>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</si>
  <si>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</si>
  <si>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</si>
  <si>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</si>
  <si>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</si>
  <si>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</si>
  <si>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</si>
  <si>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</si>
  <si>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</si>
  <si>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</si>
  <si>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</si>
  <si>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</si>
  <si>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</si>
  <si>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</si>
  <si>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</si>
  <si>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</si>
  <si>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</si>
  <si>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</si>
  <si>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</si>
  <si>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</si>
  <si>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</si>
  <si>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</si>
  <si>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</si>
  <si>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</si>
  <si>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</si>
  <si>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</si>
  <si>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</si>
  <si>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</si>
  <si>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</si>
  <si>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</si>
  <si>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</si>
  <si>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</si>
  <si>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</si>
  <si>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</si>
  <si>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</si>
  <si>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</si>
  <si>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</si>
  <si>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</si>
  <si>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</si>
  <si>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</si>
  <si>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</si>
  <si>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</si>
  <si>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</si>
  <si>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</si>
  <si>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</si>
  <si>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</si>
  <si>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</si>
  <si>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</si>
  <si>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</si>
  <si>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</si>
  <si>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</si>
  <si>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</si>
  <si>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</si>
  <si>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</si>
  <si>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</si>
  <si>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</si>
  <si>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Wdef</t>
  </si>
  <si>
    <t>EhM</t>
  </si>
  <si>
    <t>CENO</t>
  </si>
  <si>
    <t>Alexandre Grimaud</t>
  </si>
  <si>
    <t>Sergi Botam</t>
  </si>
  <si>
    <t>LID</t>
  </si>
  <si>
    <t>Precio</t>
  </si>
  <si>
    <t>XPR</t>
  </si>
  <si>
    <t>Julian Conteanu</t>
  </si>
  <si>
    <t>Stellan Swarborn</t>
  </si>
  <si>
    <t>Salomen Embe</t>
  </si>
  <si>
    <t>Serhat Gencel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</si>
  <si>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</si>
  <si>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</si>
  <si>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</si>
  <si>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</si>
  <si>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</si>
  <si>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</si>
  <si>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</si>
  <si>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</si>
  <si>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</si>
  <si>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</si>
  <si>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</si>
  <si>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</si>
  <si>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</si>
  <si>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</si>
  <si>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</si>
  <si>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</si>
  <si>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</si>
  <si>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</si>
  <si>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</si>
  <si>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</si>
  <si>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</si>
  <si>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</si>
  <si>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</si>
  <si>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</si>
  <si>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</si>
  <si>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</si>
  <si>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</si>
  <si>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</si>
  <si>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</si>
  <si>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</si>
  <si>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</si>
  <si>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</si>
  <si>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</si>
  <si>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</si>
  <si>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</si>
  <si>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</si>
  <si>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</si>
  <si>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</si>
  <si>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</si>
  <si>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</si>
  <si>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</si>
  <si>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</si>
  <si>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</si>
  <si>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</si>
  <si>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</si>
  <si>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</si>
  <si>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</si>
  <si>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</si>
  <si>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</si>
  <si>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</si>
  <si>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</si>
  <si>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</si>
  <si>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</si>
  <si>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</si>
  <si>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</si>
  <si>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</si>
  <si>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</si>
  <si>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</si>
  <si>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</si>
  <si>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</si>
  <si>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</si>
  <si>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</si>
  <si>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</si>
  <si>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</si>
  <si>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</si>
  <si>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</si>
  <si>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</si>
  <si>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</si>
  <si>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</si>
  <si>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</si>
  <si>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</si>
  <si>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</si>
  <si>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</si>
  <si>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</si>
  <si>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</si>
  <si>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</si>
  <si>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</si>
  <si>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</si>
  <si>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</si>
  <si>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</si>
  <si>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</si>
  <si>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</si>
  <si>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</si>
  <si>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HAB</t>
  </si>
  <si>
    <t>IMPORTANTES</t>
  </si>
  <si>
    <t>RELEVANTES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</si>
  <si>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</si>
  <si>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</si>
  <si>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</si>
  <si>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</si>
  <si>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</si>
  <si>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</si>
  <si>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</si>
  <si>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</si>
  <si>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</si>
  <si>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Dusty Ware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</si>
  <si>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</si>
  <si>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</si>
  <si>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</si>
  <si>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</si>
  <si>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</si>
  <si>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</si>
  <si>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</si>
  <si>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</si>
  <si>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</si>
  <si>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</si>
  <si>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</si>
  <si>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</si>
  <si>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</si>
  <si>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</si>
  <si>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</si>
  <si>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</si>
  <si>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</si>
  <si>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</si>
  <si>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</si>
  <si>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</si>
  <si>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</si>
  <si>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</si>
  <si>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</si>
  <si>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</si>
  <si>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</si>
  <si>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</si>
  <si>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</si>
  <si>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</si>
  <si>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</si>
  <si>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</si>
  <si>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</si>
  <si>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</si>
  <si>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</si>
  <si>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</si>
  <si>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</si>
  <si>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</si>
  <si>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</si>
  <si>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</si>
  <si>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T. McPhail</t>
  </si>
  <si>
    <t>Kuzma Polyukhov</t>
  </si>
  <si>
    <t>Sadaka Kariuki</t>
  </si>
  <si>
    <t>Definicion</t>
  </si>
  <si>
    <t>Estimacion Pessimista</t>
  </si>
  <si>
    <t>Estimacion Optimista</t>
  </si>
  <si>
    <t>Opcion 1</t>
  </si>
  <si>
    <t>Opcion 2</t>
  </si>
  <si>
    <t>Opcion 3</t>
  </si>
  <si>
    <t>Op. 4</t>
  </si>
  <si>
    <t>Op. 5</t>
  </si>
  <si>
    <t>91000 por partido</t>
  </si>
  <si>
    <t>27000 por gol visitante</t>
  </si>
  <si>
    <t>820000 por ascenso</t>
  </si>
  <si>
    <t>53000 por ganado</t>
  </si>
  <si>
    <t>99000 por ganado en casa</t>
  </si>
  <si>
    <t>273000 por porteria a cero visitante</t>
  </si>
  <si>
    <t>NTL</t>
  </si>
  <si>
    <t>TL_sF</t>
  </si>
  <si>
    <t>Expriència Total del Jugador</t>
  </si>
  <si>
    <t>=(Experiència dels 11 jugadors + Experiència del capità)/ 12 * (1 - (7 - Lideratge del capità)/ 20)</t>
  </si>
  <si>
    <t>PLANTILLA</t>
  </si>
  <si>
    <t>LidMax</t>
  </si>
  <si>
    <t>XPEquip</t>
  </si>
  <si>
    <t>XPEquipMax</t>
  </si>
  <si>
    <t>550 TL</t>
  </si>
  <si>
    <t>451TL</t>
  </si>
  <si>
    <t>550TL</t>
  </si>
  <si>
    <t>Tiros</t>
  </si>
  <si>
    <t>POS.DEF</t>
  </si>
  <si>
    <t>Ted McPhail</t>
  </si>
  <si>
    <t>Itzhak Shirazi</t>
  </si>
  <si>
    <t>Stellan Swärdborn</t>
  </si>
  <si>
    <t>Manager</t>
  </si>
  <si>
    <t>Desde</t>
  </si>
  <si>
    <t>Liga Anterior</t>
  </si>
  <si>
    <t>Region</t>
  </si>
  <si>
    <t>Diferencia</t>
  </si>
  <si>
    <t>Salarios11</t>
  </si>
  <si>
    <t>Res.</t>
  </si>
  <si>
    <t>TEC</t>
  </si>
  <si>
    <t>Tacticas</t>
  </si>
  <si>
    <t>uny11</t>
  </si>
  <si>
    <t>Stiinta United</t>
  </si>
  <si>
    <t>chris21218</t>
  </si>
  <si>
    <t>ML (1)</t>
  </si>
  <si>
    <t>Maryland</t>
  </si>
  <si>
    <t>32(7)</t>
  </si>
  <si>
    <t>Take Me To Your Lizard</t>
  </si>
  <si>
    <t>LA-ivo</t>
  </si>
  <si>
    <t>ML (2)</t>
  </si>
  <si>
    <t>New Jersey</t>
  </si>
  <si>
    <t>33(34)</t>
  </si>
  <si>
    <t>nickarana</t>
  </si>
  <si>
    <t>ML (3)</t>
  </si>
  <si>
    <t>Virginia</t>
  </si>
  <si>
    <t>34(36)</t>
  </si>
  <si>
    <t>Disgustin</t>
  </si>
  <si>
    <t>arsenalwz</t>
  </si>
  <si>
    <t>ML (4)</t>
  </si>
  <si>
    <t>Nevada</t>
  </si>
  <si>
    <t>33(107)</t>
  </si>
  <si>
    <t>Cabana Mulberries</t>
  </si>
  <si>
    <t>abira</t>
  </si>
  <si>
    <t>II.4(1)</t>
  </si>
  <si>
    <t>California</t>
  </si>
  <si>
    <t>31(49)</t>
  </si>
  <si>
    <t>253-352-433CA</t>
  </si>
  <si>
    <t>Cleveland Force</t>
  </si>
  <si>
    <t>tys0n28</t>
  </si>
  <si>
    <t>ML(6)</t>
  </si>
  <si>
    <t>Ohio</t>
  </si>
  <si>
    <t>30(91)</t>
  </si>
  <si>
    <t>Wisconsin Omanis</t>
  </si>
  <si>
    <t>Betrem</t>
  </si>
  <si>
    <t>II.1(1)</t>
  </si>
  <si>
    <t>Wisconsin</t>
  </si>
  <si>
    <t>27(81)</t>
  </si>
  <si>
    <t>II.2(1)</t>
  </si>
  <si>
    <t>Hawaii</t>
  </si>
  <si>
    <t>Ex / Bueno / Def</t>
  </si>
  <si>
    <t>Ex / Insuf / Neu</t>
  </si>
  <si>
    <t>Bueno / Acep / Neu</t>
  </si>
  <si>
    <t>Bueno / Insuf / Neu</t>
  </si>
  <si>
    <t>Ex / Bueno / Neu</t>
  </si>
  <si>
    <t>Bueno / Acep / Def</t>
  </si>
  <si>
    <t>Trans</t>
  </si>
  <si>
    <t>30(11)</t>
  </si>
  <si>
    <t>Klaus Teglborg</t>
  </si>
  <si>
    <t xml:space="preserve">Henrik 'Goat' Blittersdorf </t>
  </si>
  <si>
    <t xml:space="preserve">Alex 'Bulldozer' Nicola </t>
  </si>
  <si>
    <t>Armando 'Speedy' Coimbra</t>
  </si>
  <si>
    <t>Brian 'Nasty' Ladefoged</t>
  </si>
  <si>
    <t>Leo 'Messi' Erdtmann</t>
  </si>
  <si>
    <t>Siregan 'King' Hovhannesyan</t>
  </si>
  <si>
    <t>Sueldo29</t>
  </si>
  <si>
    <t>Coste_36</t>
  </si>
  <si>
    <t>Yosep Galitsky</t>
  </si>
  <si>
    <t>纪 (Ji) 昌永 (Changyong)</t>
  </si>
  <si>
    <t>S. Hovhannesyan</t>
  </si>
  <si>
    <t>A. Shafeeu</t>
  </si>
  <si>
    <t>TL_sf</t>
  </si>
  <si>
    <t>Bueno / Acep / Off</t>
  </si>
  <si>
    <t>31 (98)</t>
  </si>
  <si>
    <t>34 (9)</t>
  </si>
  <si>
    <t>Startpage</t>
  </si>
  <si>
    <t>RexCarr</t>
  </si>
  <si>
    <t>Seattle</t>
  </si>
  <si>
    <t>Bueno / Bueno / Def</t>
  </si>
  <si>
    <t>Bueno / Bueno / Neu</t>
  </si>
  <si>
    <t>31 (109)</t>
  </si>
  <si>
    <t>ML(4)</t>
  </si>
  <si>
    <t>Ex / Acep / Neu</t>
  </si>
  <si>
    <t>31 (56)</t>
  </si>
  <si>
    <t>Never2L8</t>
  </si>
  <si>
    <t>pkiphty</t>
  </si>
  <si>
    <t>Debil / Bueno / Off</t>
  </si>
  <si>
    <t>33 (33)</t>
  </si>
  <si>
    <t>Lionsclub Pfusistan</t>
  </si>
  <si>
    <t>lenny83</t>
  </si>
  <si>
    <t>31 (78)</t>
  </si>
  <si>
    <t>Ex / Acep / Def</t>
  </si>
  <si>
    <t>31 (86)</t>
  </si>
  <si>
    <t>Abstract Electricity</t>
  </si>
  <si>
    <t>bsheeek</t>
  </si>
  <si>
    <t>31 (89)</t>
  </si>
  <si>
    <t>21/06 MAJOR</t>
  </si>
  <si>
    <t>134m€ por partido</t>
  </si>
  <si>
    <t>335,5 por partido ganado fuera</t>
  </si>
  <si>
    <t>Opcion 4</t>
  </si>
  <si>
    <t>1290 por tres primeros y 62,5 por partido ganado</t>
  </si>
  <si>
    <t>Opcion 5</t>
  </si>
  <si>
    <t>112,5 poreria a cero y 117 por gando en casa</t>
  </si>
  <si>
    <t>18,5 por gol y 201 si porteria a cero visitante</t>
  </si>
  <si>
    <t>Athikko Shafeeu</t>
  </si>
  <si>
    <t>Siregan Hovhannesyan</t>
  </si>
  <si>
    <t>S. Sawczyn</t>
  </si>
  <si>
    <t>Ca</t>
  </si>
  <si>
    <t>Nat</t>
  </si>
  <si>
    <t>Player</t>
  </si>
  <si>
    <t>Sp</t>
  </si>
  <si>
    <t>Age</t>
  </si>
  <si>
    <t>FW</t>
  </si>
  <si>
    <t>France</t>
  </si>
  <si>
    <t>Rápido Click to toggle more information</t>
  </si>
  <si>
    <t>32.71</t>
  </si>
  <si>
    <t>USA</t>
  </si>
  <si>
    <t>Latvija</t>
  </si>
  <si>
    <t>Cabeceador Click to toggle more information</t>
  </si>
  <si>
    <t>32.55</t>
  </si>
  <si>
    <t>IM</t>
  </si>
  <si>
    <t>Polska</t>
  </si>
  <si>
    <t>32.57</t>
  </si>
  <si>
    <t>Belgium</t>
  </si>
  <si>
    <t>Imprevisible Click to toggle more information</t>
  </si>
  <si>
    <t>WB</t>
  </si>
  <si>
    <t>32.68</t>
  </si>
  <si>
    <t>32.79</t>
  </si>
  <si>
    <t>Ireland</t>
  </si>
  <si>
    <t>32.88</t>
  </si>
  <si>
    <t>Norge</t>
  </si>
  <si>
    <t>K. Teglborg</t>
  </si>
  <si>
    <t>China</t>
  </si>
  <si>
    <t>纪 (J.) 昌永 (Changyong)</t>
  </si>
  <si>
    <t>33.43</t>
  </si>
  <si>
    <t>Ukraina</t>
  </si>
  <si>
    <t>Y. Galitsky</t>
  </si>
  <si>
    <t>33.49</t>
  </si>
  <si>
    <t>31.70</t>
  </si>
  <si>
    <t>Sakartvelo</t>
  </si>
  <si>
    <t>31.71</t>
  </si>
  <si>
    <t>E2</t>
  </si>
  <si>
    <t>Österreich</t>
  </si>
  <si>
    <t>D. GehmacherCoach</t>
  </si>
  <si>
    <t>GK</t>
  </si>
  <si>
    <t>Dhivehi Raajje</t>
  </si>
  <si>
    <t>30.89</t>
  </si>
  <si>
    <t>Schweiz</t>
  </si>
  <si>
    <t>C. Mosser</t>
  </si>
  <si>
    <t>30.96</t>
  </si>
  <si>
    <t>G. Mintan</t>
  </si>
  <si>
    <t>Potente Click to toggle more information</t>
  </si>
  <si>
    <t>32.4</t>
  </si>
  <si>
    <t>România</t>
  </si>
  <si>
    <t>L. Hackler</t>
  </si>
  <si>
    <t>54.8</t>
  </si>
  <si>
    <t>B. Dash</t>
  </si>
  <si>
    <t>C. McCoy</t>
  </si>
  <si>
    <t>Técnico Click to toggle more information</t>
  </si>
  <si>
    <t>19.26</t>
  </si>
  <si>
    <t>H. Eidson</t>
  </si>
  <si>
    <t>17.49</t>
  </si>
  <si>
    <t>J. McCann</t>
  </si>
  <si>
    <t>17.48</t>
  </si>
  <si>
    <t>Since</t>
  </si>
  <si>
    <t>LS</t>
  </si>
  <si>
    <t>Fo</t>
  </si>
  <si>
    <t>Stm</t>
  </si>
  <si>
    <t>Lo</t>
  </si>
  <si>
    <t>MB</t>
  </si>
  <si>
    <t>KP</t>
  </si>
  <si>
    <t>DF</t>
  </si>
  <si>
    <t>PM</t>
  </si>
  <si>
    <t>WI</t>
  </si>
  <si>
    <t>PS</t>
  </si>
  <si>
    <t>SC</t>
  </si>
  <si>
    <t>SP</t>
  </si>
  <si>
    <t>Potential</t>
  </si>
  <si>
    <t>Ab</t>
  </si>
  <si>
    <t>Last</t>
  </si>
  <si>
    <t>Rt</t>
  </si>
  <si>
    <t>Pos</t>
  </si>
  <si>
    <t>Wage</t>
  </si>
  <si>
    <t>B. Wage</t>
  </si>
  <si>
    <t>W++</t>
  </si>
  <si>
    <t>LG</t>
  </si>
  <si>
    <t>CG</t>
  </si>
  <si>
    <t>GC</t>
  </si>
  <si>
    <t>G</t>
  </si>
  <si>
    <t>HT</t>
  </si>
  <si>
    <t>No</t>
  </si>
  <si>
    <t>TC</t>
  </si>
  <si>
    <t>PH</t>
  </si>
  <si>
    <t>CD</t>
  </si>
  <si>
    <t>W</t>
  </si>
  <si>
    <t>TDF</t>
  </si>
  <si>
    <t>BPo</t>
  </si>
  <si>
    <t>13s 15wk 5d</t>
  </si>
  <si>
    <t>7.5</t>
  </si>
  <si>
    <t>✔</t>
  </si>
  <si>
    <t>4.75</t>
  </si>
  <si>
    <t>10.07</t>
  </si>
  <si>
    <t>11.54</t>
  </si>
  <si>
    <t>11.34</t>
  </si>
  <si>
    <t>13.36</t>
  </si>
  <si>
    <t>10.5</t>
  </si>
  <si>
    <t>IMd</t>
  </si>
  <si>
    <t>13s 14wk 6d</t>
  </si>
  <si>
    <t>9.5</t>
  </si>
  <si>
    <t>✕</t>
  </si>
  <si>
    <t>5.8</t>
  </si>
  <si>
    <t>11.71</t>
  </si>
  <si>
    <t>13.7</t>
  </si>
  <si>
    <t>12.69</t>
  </si>
  <si>
    <t>15.21</t>
  </si>
  <si>
    <t>12.44</t>
  </si>
  <si>
    <t>14s 0wk 0d</t>
  </si>
  <si>
    <t>6.03</t>
  </si>
  <si>
    <t>12.43</t>
  </si>
  <si>
    <t>14.6</t>
  </si>
  <si>
    <t>13.05</t>
  </si>
  <si>
    <t>15.64</t>
  </si>
  <si>
    <t>11.43</t>
  </si>
  <si>
    <t>venta1 1767€</t>
  </si>
  <si>
    <t>6.31</t>
  </si>
  <si>
    <t>12.98</t>
  </si>
  <si>
    <t>15.2</t>
  </si>
  <si>
    <t>13.22</t>
  </si>
  <si>
    <t>15.75</t>
  </si>
  <si>
    <t>13s 15wk 2d</t>
  </si>
  <si>
    <t>12.52</t>
  </si>
  <si>
    <t>14.54</t>
  </si>
  <si>
    <t>13.39</t>
  </si>
  <si>
    <t>15.95</t>
  </si>
  <si>
    <t>12.07</t>
  </si>
  <si>
    <t>12s 13wk 2d</t>
  </si>
  <si>
    <t>3.5</t>
  </si>
  <si>
    <t>7.36</t>
  </si>
  <si>
    <t>13.78</t>
  </si>
  <si>
    <t>14.99</t>
  </si>
  <si>
    <t>10.7</t>
  </si>
  <si>
    <t>11.22</t>
  </si>
  <si>
    <t>12s 15wk 6d</t>
  </si>
  <si>
    <t>7.18</t>
  </si>
  <si>
    <t>13.58</t>
  </si>
  <si>
    <t>11.32</t>
  </si>
  <si>
    <t>12.53</t>
  </si>
  <si>
    <t>9.64</t>
  </si>
  <si>
    <t>3s 15wk 1d</t>
  </si>
  <si>
    <t>7.14</t>
  </si>
  <si>
    <t>14.76</t>
  </si>
  <si>
    <t>16.61</t>
  </si>
  <si>
    <t>14.07</t>
  </si>
  <si>
    <t>15.96</t>
  </si>
  <si>
    <t>12.38</t>
  </si>
  <si>
    <t>Cdo</t>
  </si>
  <si>
    <t>2s 10wk 2d</t>
  </si>
  <si>
    <t>6.33</t>
  </si>
  <si>
    <t>15.58</t>
  </si>
  <si>
    <t>13.65</t>
  </si>
  <si>
    <t>16.43</t>
  </si>
  <si>
    <t>11.98</t>
  </si>
  <si>
    <t>2s 11wk 5d</t>
  </si>
  <si>
    <t>8.5</t>
  </si>
  <si>
    <t>6.93</t>
  </si>
  <si>
    <t>14.56</t>
  </si>
  <si>
    <t>16.81</t>
  </si>
  <si>
    <t>14.33</t>
  </si>
  <si>
    <t>16.79</t>
  </si>
  <si>
    <t>12.3</t>
  </si>
  <si>
    <t>2s 13wk 0d</t>
  </si>
  <si>
    <t>22/05 Mitico a ETT Jugadas</t>
  </si>
  <si>
    <t>6.61</t>
  </si>
  <si>
    <t>13.4</t>
  </si>
  <si>
    <t>15.74</t>
  </si>
  <si>
    <t>12.71</t>
  </si>
  <si>
    <t>15.12</t>
  </si>
  <si>
    <t>11.14</t>
  </si>
  <si>
    <t>4wk 5d</t>
  </si>
  <si>
    <t>12.45</t>
  </si>
  <si>
    <t>14.32</t>
  </si>
  <si>
    <t>12.32</t>
  </si>
  <si>
    <t>14.36</t>
  </si>
  <si>
    <t>11.11</t>
  </si>
  <si>
    <t>1s 4wk 2d</t>
  </si>
  <si>
    <t>6.04</t>
  </si>
  <si>
    <t>12.94</t>
  </si>
  <si>
    <t>12.63</t>
  </si>
  <si>
    <t>15.07</t>
  </si>
  <si>
    <t>10.4</t>
  </si>
  <si>
    <t>24s 5wk 2d</t>
  </si>
  <si>
    <t>0.5</t>
  </si>
  <si>
    <t>Porteria 17,99 PA 17,99</t>
  </si>
  <si>
    <t>1.56</t>
  </si>
  <si>
    <t>1s 3wk 1d</t>
  </si>
  <si>
    <t>16.34</t>
  </si>
  <si>
    <t>9.3</t>
  </si>
  <si>
    <t>9.98</t>
  </si>
  <si>
    <t>4.92</t>
  </si>
  <si>
    <t>4.47</t>
  </si>
  <si>
    <t>3.86</t>
  </si>
  <si>
    <t>3wk 3d</t>
  </si>
  <si>
    <t>10.31</t>
  </si>
  <si>
    <t>10.27</t>
  </si>
  <si>
    <t>6.54</t>
  </si>
  <si>
    <t>5.68</t>
  </si>
  <si>
    <t>WBd</t>
  </si>
  <si>
    <t>4.79</t>
  </si>
  <si>
    <t>10.52</t>
  </si>
  <si>
    <t>10.78</t>
  </si>
  <si>
    <t>12s 10wk 0d</t>
  </si>
  <si>
    <t>1.35</t>
  </si>
  <si>
    <t>0d</t>
  </si>
  <si>
    <t>2.89</t>
  </si>
  <si>
    <t>4.45</t>
  </si>
  <si>
    <t>4.38</t>
  </si>
  <si>
    <t>4.03</t>
  </si>
  <si>
    <t>3.85</t>
  </si>
  <si>
    <t>4.4</t>
  </si>
  <si>
    <t>1wk 6d</t>
  </si>
  <si>
    <t>2.5</t>
  </si>
  <si>
    <t>3.07</t>
  </si>
  <si>
    <t>4.91</t>
  </si>
  <si>
    <t>4.19</t>
  </si>
  <si>
    <t>4.33</t>
  </si>
  <si>
    <t>3.4</t>
  </si>
  <si>
    <t>4.02</t>
  </si>
  <si>
    <t>3.6</t>
  </si>
  <si>
    <t>6wk 6d</t>
  </si>
  <si>
    <t>2.76</t>
  </si>
  <si>
    <t>4.71</t>
  </si>
  <si>
    <t>3.97</t>
  </si>
  <si>
    <t>5wk 1d</t>
  </si>
  <si>
    <t>2.73</t>
  </si>
  <si>
    <t>4.65</t>
  </si>
  <si>
    <t>4.43</t>
  </si>
  <si>
    <t>5.14</t>
  </si>
  <si>
    <t>5.04</t>
  </si>
  <si>
    <t>Wo</t>
  </si>
  <si>
    <t>Dor</t>
  </si>
  <si>
    <t>Atributs Inicial</t>
  </si>
  <si>
    <t>NM</t>
  </si>
  <si>
    <t>U21</t>
  </si>
  <si>
    <t>Defensa/Jugadas</t>
  </si>
  <si>
    <t>Jugadas/Pases</t>
  </si>
  <si>
    <t>Se pierde 5 partidos</t>
  </si>
  <si>
    <t>Jugadas x2</t>
  </si>
  <si>
    <t>Se pierde 6 partidos</t>
  </si>
  <si>
    <t>Anotacion/Pases</t>
  </si>
  <si>
    <t>&gt;17</t>
  </si>
  <si>
    <t>Lateral x2</t>
  </si>
  <si>
    <t>RELLENO</t>
  </si>
  <si>
    <t>Jugadas/Lateral</t>
  </si>
  <si>
    <t>Pases x2</t>
  </si>
  <si>
    <t>C. Kelley</t>
  </si>
  <si>
    <t>9 dias más joven que el optimo</t>
  </si>
  <si>
    <t>C. Coleman</t>
  </si>
  <si>
    <t>Se pierde 19 partidos</t>
  </si>
  <si>
    <t>C. Wooster</t>
  </si>
  <si>
    <t>16 dias más joven que el optimo</t>
  </si>
  <si>
    <t>D. Seay</t>
  </si>
  <si>
    <t>B. Miller</t>
  </si>
  <si>
    <t>R. Marktredewitz</t>
  </si>
  <si>
    <t>Se pierde 3 partidos</t>
  </si>
  <si>
    <t>Gustavo Talavera</t>
  </si>
  <si>
    <t>23 dias más joven que el optimo</t>
  </si>
  <si>
    <t>Ahmed Francis</t>
  </si>
  <si>
    <t>17 dias más joven que el optimo</t>
  </si>
  <si>
    <t>Albeiro Paipilla</t>
  </si>
  <si>
    <t>Grant beer</t>
  </si>
  <si>
    <t>1 dias más joven que el optimo</t>
  </si>
  <si>
    <t>Dan Trivett</t>
  </si>
  <si>
    <t>Ashton Boyer</t>
  </si>
  <si>
    <t>Anotacion/Lateral</t>
  </si>
  <si>
    <t>Joe Hay</t>
  </si>
  <si>
    <t>Defensa x2</t>
  </si>
  <si>
    <t>Evan Childers</t>
  </si>
  <si>
    <t>Marvin Shadle</t>
  </si>
  <si>
    <t>Lateral/Pases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</si>
</sst>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</numFmts>
  <fonts count="6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FF0000"/>
      <name val="Verdana"/>
      <family val="2"/>
    </font>
    <font>
      <sz val="11"/>
      <color rgb="FFFF0000"/>
      <name val="Calibri"/>
      <family val="2"/>
      <scheme val="minor"/>
    </font>
    <font>
      <b/>
      <u/>
      <sz val="9"/>
      <color rgb="FFFFFFFF"/>
      <name val="Arial"/>
      <family val="2"/>
    </font>
    <font>
      <b/>
      <sz val="12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37" fillId="0" borderId="0"/>
    <xf numFmtId="0" fontId="27" fillId="0" borderId="0"/>
    <xf numFmtId="175" fontId="37" fillId="0" borderId="0"/>
  </cellStyleXfs>
  <cellXfs count="556">
    <xf numFmtId="0" fontId="0" fillId="0" borderId="0" xfId="0"/>
    <xf numFmtId="0" fontId="37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0" fillId="22" borderId="25" xfId="0" applyFont="1" applyFill="1" applyBorder="1" applyAlignment="1">
      <alignment horizontal="center" vertical="top" wrapText="1"/>
    </xf>
    <xf numFmtId="0" fontId="21" fillId="22" borderId="25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37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6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center" vertical="center"/>
    </xf>
    <xf numFmtId="0" fontId="16" fillId="27" borderId="30" xfId="0" applyFont="1" applyFill="1" applyBorder="1" applyAlignment="1">
      <alignment horizontal="right" vertical="center"/>
    </xf>
    <xf numFmtId="0" fontId="22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37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72" fontId="22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2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2" fontId="1" fillId="0" borderId="0" xfId="0" applyNumberFormat="1" applyFont="1"/>
    <xf numFmtId="0" fontId="11" fillId="0" borderId="1" xfId="0" applyFont="1" applyBorder="1" applyAlignment="1">
      <alignment horizontal="left" vertical="center"/>
    </xf>
    <xf numFmtId="169" fontId="0" fillId="0" borderId="0" xfId="0" applyNumberFormat="1"/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2" fillId="11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6" fillId="32" borderId="34" xfId="0" applyFont="1" applyFill="1" applyBorder="1" applyAlignment="1">
      <alignment horizontal="center" vertical="center"/>
    </xf>
    <xf numFmtId="177" fontId="11" fillId="33" borderId="35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37" fillId="0" borderId="1" xfId="4" applyNumberFormat="1" applyBorder="1"/>
    <xf numFmtId="171" fontId="0" fillId="0" borderId="1" xfId="0" applyNumberFormat="1" applyBorder="1"/>
    <xf numFmtId="2" fontId="37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0" fontId="8" fillId="34" borderId="36" xfId="0" applyFont="1" applyFill="1" applyBorder="1" applyAlignment="1">
      <alignment horizontal="center"/>
    </xf>
    <xf numFmtId="0" fontId="9" fillId="35" borderId="37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6" borderId="38" xfId="0" applyFont="1" applyFill="1" applyBorder="1"/>
    <xf numFmtId="0" fontId="15" fillId="36" borderId="38" xfId="0" applyFont="1" applyFill="1" applyBorder="1" applyAlignment="1">
      <alignment horizontal="center"/>
    </xf>
    <xf numFmtId="0" fontId="15" fillId="37" borderId="39" xfId="0" applyFont="1" applyFill="1" applyBorder="1" applyAlignment="1">
      <alignment horizontal="center"/>
    </xf>
    <xf numFmtId="0" fontId="15" fillId="38" borderId="40" xfId="0" applyFont="1" applyFill="1" applyBorder="1" applyAlignment="1">
      <alignment horizontal="center"/>
    </xf>
    <xf numFmtId="0" fontId="15" fillId="39" borderId="41" xfId="0" applyFont="1" applyFill="1" applyBorder="1" applyAlignment="1">
      <alignment horizontal="center"/>
    </xf>
    <xf numFmtId="0" fontId="15" fillId="40" borderId="42" xfId="0" applyFont="1" applyFill="1" applyBorder="1" applyAlignment="1">
      <alignment horizontal="center"/>
    </xf>
    <xf numFmtId="0" fontId="15" fillId="41" borderId="43" xfId="0" applyFont="1" applyFill="1" applyBorder="1"/>
    <xf numFmtId="0" fontId="15" fillId="40" borderId="42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42" borderId="45" xfId="0" applyFont="1" applyFill="1" applyBorder="1" applyAlignment="1">
      <alignment horizontal="center"/>
    </xf>
    <xf numFmtId="174" fontId="0" fillId="0" borderId="46" xfId="0" applyNumberFormat="1" applyBorder="1" applyAlignment="1">
      <alignment horizontal="center"/>
    </xf>
    <xf numFmtId="165" fontId="0" fillId="0" borderId="47" xfId="2" applyNumberFormat="1" applyFont="1" applyBorder="1" applyAlignment="1">
      <alignment horizontal="center"/>
    </xf>
    <xf numFmtId="165" fontId="0" fillId="0" borderId="46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4" fontId="0" fillId="0" borderId="3" xfId="0" applyNumberFormat="1" applyBorder="1" applyAlignment="1">
      <alignment horizontal="center"/>
    </xf>
    <xf numFmtId="174" fontId="0" fillId="0" borderId="47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74" fontId="0" fillId="0" borderId="50" xfId="0" applyNumberFormat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3" borderId="51" xfId="0" applyNumberFormat="1" applyFont="1" applyFill="1" applyBorder="1"/>
    <xf numFmtId="170" fontId="24" fillId="12" borderId="15" xfId="0" applyNumberFormat="1" applyFont="1" applyFill="1" applyBorder="1"/>
    <xf numFmtId="2" fontId="0" fillId="0" borderId="50" xfId="0" applyNumberFormat="1" applyBorder="1"/>
    <xf numFmtId="177" fontId="25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4" fillId="17" borderId="20" xfId="0" applyNumberFormat="1" applyFont="1" applyFill="1" applyBorder="1"/>
    <xf numFmtId="9" fontId="16" fillId="27" borderId="30" xfId="0" applyNumberFormat="1" applyFont="1" applyFill="1" applyBorder="1" applyAlignment="1">
      <alignment horizontal="center" vertical="center"/>
    </xf>
    <xf numFmtId="0" fontId="16" fillId="44" borderId="52" xfId="0" applyFont="1" applyFill="1" applyBorder="1" applyAlignment="1">
      <alignment horizontal="center" vertical="center"/>
    </xf>
    <xf numFmtId="9" fontId="16" fillId="44" borderId="52" xfId="0" applyNumberFormat="1" applyFont="1" applyFill="1" applyBorder="1" applyAlignment="1">
      <alignment horizontal="center" vertical="center"/>
    </xf>
    <xf numFmtId="0" fontId="16" fillId="45" borderId="53" xfId="0" applyFont="1" applyFill="1" applyBorder="1" applyAlignment="1">
      <alignment horizontal="center" vertical="center"/>
    </xf>
    <xf numFmtId="9" fontId="16" fillId="45" borderId="53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0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3" borderId="51" xfId="0" applyFont="1" applyFill="1" applyBorder="1" applyAlignment="1">
      <alignment horizontal="center"/>
    </xf>
    <xf numFmtId="0" fontId="37" fillId="47" borderId="57" xfId="4" applyFill="1" applyBorder="1" applyAlignment="1">
      <alignment horizontal="right"/>
    </xf>
    <xf numFmtId="0" fontId="1" fillId="48" borderId="58" xfId="0" applyFont="1" applyFill="1" applyBorder="1" applyAlignment="1">
      <alignment horizontal="center"/>
    </xf>
    <xf numFmtId="0" fontId="1" fillId="48" borderId="58" xfId="0" applyFont="1" applyFill="1" applyBorder="1"/>
    <xf numFmtId="2" fontId="11" fillId="21" borderId="24" xfId="0" applyNumberFormat="1" applyFont="1" applyFill="1" applyBorder="1" applyAlignment="1">
      <alignment horizontal="center" vertical="center"/>
    </xf>
    <xf numFmtId="170" fontId="14" fillId="0" borderId="0" xfId="0" applyNumberFormat="1" applyFont="1"/>
    <xf numFmtId="170" fontId="1" fillId="0" borderId="0" xfId="0" applyNumberFormat="1" applyFont="1"/>
    <xf numFmtId="0" fontId="22" fillId="0" borderId="1" xfId="0" applyFont="1" applyBorder="1" applyAlignment="1">
      <alignment horizontal="left" vertic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170" fontId="37" fillId="0" borderId="1" xfId="4" applyNumberFormat="1" applyBorder="1" applyAlignment="1">
      <alignment horizontal="center"/>
    </xf>
    <xf numFmtId="0" fontId="0" fillId="50" borderId="59" xfId="0" applyFill="1" applyBorder="1" applyAlignment="1">
      <alignment horizontal="center"/>
    </xf>
    <xf numFmtId="0" fontId="0" fillId="50" borderId="59" xfId="0" applyFill="1" applyBorder="1"/>
    <xf numFmtId="177" fontId="0" fillId="50" borderId="59" xfId="0" applyNumberFormat="1" applyFill="1" applyBorder="1"/>
    <xf numFmtId="2" fontId="0" fillId="50" borderId="59" xfId="0" applyNumberFormat="1" applyFill="1" applyBorder="1"/>
    <xf numFmtId="0" fontId="0" fillId="51" borderId="60" xfId="0" applyFill="1" applyBorder="1" applyAlignment="1">
      <alignment horizontal="center"/>
    </xf>
    <xf numFmtId="0" fontId="0" fillId="51" borderId="60" xfId="0" applyFill="1" applyBorder="1"/>
    <xf numFmtId="2" fontId="0" fillId="51" borderId="60" xfId="0" applyNumberFormat="1" applyFill="1" applyBorder="1"/>
    <xf numFmtId="0" fontId="0" fillId="52" borderId="61" xfId="0" applyFill="1" applyBorder="1"/>
    <xf numFmtId="0" fontId="27" fillId="0" borderId="0" xfId="4" applyFont="1" applyAlignment="1">
      <alignment horizont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70" fontId="35" fillId="0" borderId="1" xfId="0" applyNumberFormat="1" applyFont="1" applyBorder="1"/>
    <xf numFmtId="172" fontId="35" fillId="0" borderId="1" xfId="3" applyNumberFormat="1" applyFont="1" applyBorder="1" applyAlignment="1">
      <alignment horizontal="center"/>
    </xf>
    <xf numFmtId="0" fontId="35" fillId="0" borderId="0" xfId="0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37" fillId="52" borderId="61" xfId="4" applyFill="1" applyBorder="1" applyAlignment="1">
      <alignment horizontal="right"/>
    </xf>
    <xf numFmtId="0" fontId="0" fillId="0" borderId="66" xfId="0" applyBorder="1"/>
    <xf numFmtId="0" fontId="11" fillId="20" borderId="66" xfId="0" applyFont="1" applyFill="1" applyBorder="1" applyAlignment="1">
      <alignment horizontal="left" vertical="center"/>
    </xf>
    <xf numFmtId="0" fontId="11" fillId="21" borderId="66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/>
    </xf>
    <xf numFmtId="170" fontId="11" fillId="21" borderId="66" xfId="0" applyNumberFormat="1" applyFont="1" applyFill="1" applyBorder="1" applyAlignment="1">
      <alignment horizontal="left" vertical="center"/>
    </xf>
    <xf numFmtId="170" fontId="11" fillId="21" borderId="66" xfId="0" applyNumberFormat="1" applyFont="1" applyFill="1" applyBorder="1" applyAlignment="1">
      <alignment horizontal="center" vertical="center"/>
    </xf>
    <xf numFmtId="1" fontId="11" fillId="21" borderId="66" xfId="0" applyNumberFormat="1" applyFont="1" applyFill="1" applyBorder="1" applyAlignment="1">
      <alignment horizontal="center" vertical="center"/>
    </xf>
    <xf numFmtId="169" fontId="11" fillId="21" borderId="66" xfId="3" applyNumberFormat="1" applyFont="1" applyFill="1" applyBorder="1" applyAlignment="1">
      <alignment horizontal="right" vertical="center"/>
    </xf>
    <xf numFmtId="2" fontId="11" fillId="20" borderId="66" xfId="0" applyNumberFormat="1" applyFont="1" applyFill="1" applyBorder="1" applyAlignment="1">
      <alignment horizontal="left" vertical="center"/>
    </xf>
    <xf numFmtId="169" fontId="22" fillId="21" borderId="66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3" xfId="0" applyBorder="1" applyAlignment="1">
      <alignment horizontal="center"/>
    </xf>
    <xf numFmtId="9" fontId="0" fillId="0" borderId="70" xfId="0" applyNumberForma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4" xfId="0" applyBorder="1" applyAlignment="1">
      <alignment horizontal="center"/>
    </xf>
    <xf numFmtId="9" fontId="0" fillId="0" borderId="71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6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9" fontId="1" fillId="0" borderId="72" xfId="0" applyNumberFormat="1" applyFont="1" applyBorder="1" applyAlignment="1">
      <alignment horizontal="center"/>
    </xf>
    <xf numFmtId="0" fontId="0" fillId="65" borderId="22" xfId="0" applyFill="1" applyBorder="1"/>
    <xf numFmtId="0" fontId="0" fillId="66" borderId="22" xfId="0" applyFill="1" applyBorder="1"/>
    <xf numFmtId="0" fontId="0" fillId="67" borderId="22" xfId="0" applyFill="1" applyBorder="1"/>
    <xf numFmtId="0" fontId="0" fillId="68" borderId="22" xfId="0" applyFill="1" applyBorder="1"/>
    <xf numFmtId="0" fontId="16" fillId="44" borderId="66" xfId="0" applyFont="1" applyFill="1" applyBorder="1" applyAlignment="1">
      <alignment horizontal="center" vertical="center"/>
    </xf>
    <xf numFmtId="0" fontId="37" fillId="0" borderId="57" xfId="4" applyBorder="1" applyAlignment="1">
      <alignment horizontal="right"/>
    </xf>
    <xf numFmtId="0" fontId="8" fillId="0" borderId="63" xfId="0" applyFont="1" applyBorder="1"/>
    <xf numFmtId="0" fontId="0" fillId="0" borderId="63" xfId="0" applyBorder="1"/>
    <xf numFmtId="165" fontId="8" fillId="0" borderId="63" xfId="2" applyNumberFormat="1" applyFont="1" applyBorder="1"/>
    <xf numFmtId="0" fontId="1" fillId="0" borderId="63" xfId="0" applyFont="1" applyBorder="1"/>
    <xf numFmtId="0" fontId="1" fillId="52" borderId="63" xfId="0" applyFont="1" applyFill="1" applyBorder="1" applyAlignment="1">
      <alignment horizontal="center"/>
    </xf>
    <xf numFmtId="0" fontId="0" fillId="52" borderId="63" xfId="0" applyFill="1" applyBorder="1"/>
    <xf numFmtId="0" fontId="0" fillId="0" borderId="63" xfId="0" applyBorder="1" applyAlignment="1">
      <alignment horizontal="center"/>
    </xf>
    <xf numFmtId="0" fontId="0" fillId="53" borderId="63" xfId="0" applyFill="1" applyBorder="1" applyAlignment="1">
      <alignment horizontal="center"/>
    </xf>
    <xf numFmtId="0" fontId="0" fillId="53" borderId="63" xfId="0" applyFill="1" applyBorder="1"/>
    <xf numFmtId="177" fontId="0" fillId="53" borderId="63" xfId="0" applyNumberFormat="1" applyFill="1" applyBorder="1"/>
    <xf numFmtId="0" fontId="1" fillId="53" borderId="63" xfId="0" applyFont="1" applyFill="1" applyBorder="1" applyAlignment="1">
      <alignment horizontal="center"/>
    </xf>
    <xf numFmtId="0" fontId="0" fillId="52" borderId="63" xfId="0" applyFill="1" applyBorder="1" applyAlignment="1">
      <alignment horizontal="center"/>
    </xf>
    <xf numFmtId="0" fontId="0" fillId="51" borderId="63" xfId="0" applyFill="1" applyBorder="1" applyAlignment="1">
      <alignment horizontal="center"/>
    </xf>
    <xf numFmtId="0" fontId="0" fillId="51" borderId="63" xfId="0" applyFill="1" applyBorder="1"/>
    <xf numFmtId="177" fontId="0" fillId="51" borderId="63" xfId="0" applyNumberFormat="1" applyFill="1" applyBorder="1"/>
    <xf numFmtId="0" fontId="0" fillId="50" borderId="63" xfId="0" applyFill="1" applyBorder="1" applyAlignment="1">
      <alignment horizontal="center"/>
    </xf>
    <xf numFmtId="0" fontId="0" fillId="50" borderId="63" xfId="0" applyFill="1" applyBorder="1"/>
    <xf numFmtId="177" fontId="0" fillId="50" borderId="63" xfId="0" applyNumberFormat="1" applyFill="1" applyBorder="1"/>
    <xf numFmtId="2" fontId="0" fillId="50" borderId="63" xfId="0" applyNumberFormat="1" applyFill="1" applyBorder="1"/>
    <xf numFmtId="2" fontId="0" fillId="51" borderId="63" xfId="0" applyNumberFormat="1" applyFill="1" applyBorder="1"/>
    <xf numFmtId="0" fontId="8" fillId="50" borderId="63" xfId="0" applyFont="1" applyFill="1" applyBorder="1"/>
    <xf numFmtId="0" fontId="8" fillId="0" borderId="63" xfId="0" applyFont="1" applyBorder="1" applyAlignment="1">
      <alignment horizontal="left"/>
    </xf>
    <xf numFmtId="0" fontId="0" fillId="67" borderId="63" xfId="0" applyFill="1" applyBorder="1" applyAlignment="1">
      <alignment horizontal="center"/>
    </xf>
    <xf numFmtId="0" fontId="0" fillId="67" borderId="63" xfId="0" applyFill="1" applyBorder="1"/>
    <xf numFmtId="177" fontId="0" fillId="67" borderId="63" xfId="0" applyNumberFormat="1" applyFill="1" applyBorder="1"/>
    <xf numFmtId="0" fontId="0" fillId="67" borderId="60" xfId="0" applyFill="1" applyBorder="1" applyAlignment="1">
      <alignment horizontal="center"/>
    </xf>
    <xf numFmtId="0" fontId="0" fillId="67" borderId="60" xfId="0" applyFill="1" applyBorder="1"/>
    <xf numFmtId="0" fontId="1" fillId="67" borderId="63" xfId="0" applyFont="1" applyFill="1" applyBorder="1" applyAlignment="1">
      <alignment horizontal="center"/>
    </xf>
    <xf numFmtId="0" fontId="15" fillId="41" borderId="63" xfId="0" applyFont="1" applyFill="1" applyBorder="1"/>
    <xf numFmtId="1" fontId="0" fillId="0" borderId="63" xfId="0" applyNumberFormat="1" applyBorder="1"/>
    <xf numFmtId="170" fontId="0" fillId="0" borderId="63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5" fillId="36" borderId="63" xfId="0" applyFont="1" applyFill="1" applyBorder="1"/>
    <xf numFmtId="0" fontId="15" fillId="36" borderId="63" xfId="0" applyFont="1" applyFill="1" applyBorder="1" applyAlignment="1">
      <alignment horizontal="center"/>
    </xf>
    <xf numFmtId="0" fontId="15" fillId="38" borderId="63" xfId="0" applyFont="1" applyFill="1" applyBorder="1" applyAlignment="1">
      <alignment horizontal="center"/>
    </xf>
    <xf numFmtId="0" fontId="15" fillId="39" borderId="63" xfId="0" applyFont="1" applyFill="1" applyBorder="1" applyAlignment="1">
      <alignment horizontal="center"/>
    </xf>
    <xf numFmtId="0" fontId="22" fillId="30" borderId="63" xfId="0" applyFont="1" applyFill="1" applyBorder="1" applyAlignment="1">
      <alignment horizontal="center" vertical="center"/>
    </xf>
    <xf numFmtId="0" fontId="0" fillId="61" borderId="63" xfId="0" applyFill="1" applyBorder="1"/>
    <xf numFmtId="164" fontId="0" fillId="0" borderId="63" xfId="3" applyFont="1" applyBorder="1" applyAlignment="1">
      <alignment horizontal="center"/>
    </xf>
    <xf numFmtId="0" fontId="14" fillId="59" borderId="63" xfId="0" applyFont="1" applyFill="1" applyBorder="1"/>
    <xf numFmtId="170" fontId="0" fillId="0" borderId="63" xfId="0" applyNumberFormat="1" applyBorder="1"/>
    <xf numFmtId="2" fontId="0" fillId="67" borderId="63" xfId="0" applyNumberFormat="1" applyFill="1" applyBorder="1"/>
    <xf numFmtId="2" fontId="0" fillId="67" borderId="60" xfId="0" applyNumberFormat="1" applyFill="1" applyBorder="1"/>
    <xf numFmtId="0" fontId="8" fillId="67" borderId="63" xfId="0" applyFont="1" applyFill="1" applyBorder="1"/>
    <xf numFmtId="178" fontId="11" fillId="21" borderId="66" xfId="0" applyNumberFormat="1" applyFont="1" applyFill="1" applyBorder="1" applyAlignment="1">
      <alignment horizontal="center" vertical="center"/>
    </xf>
    <xf numFmtId="0" fontId="40" fillId="0" borderId="0" xfId="4" applyFont="1" applyAlignment="1">
      <alignment horizontal="center"/>
    </xf>
    <xf numFmtId="0" fontId="40" fillId="0" borderId="0" xfId="0" applyFont="1" applyAlignment="1">
      <alignment horizontal="center"/>
    </xf>
    <xf numFmtId="0" fontId="41" fillId="30" borderId="33" xfId="0" applyFont="1" applyFill="1" applyBorder="1" applyAlignment="1">
      <alignment horizontal="center" vertical="center"/>
    </xf>
    <xf numFmtId="0" fontId="40" fillId="0" borderId="0" xfId="0" applyFont="1"/>
    <xf numFmtId="0" fontId="7" fillId="0" borderId="63" xfId="0" applyFont="1" applyBorder="1"/>
    <xf numFmtId="0" fontId="7" fillId="0" borderId="63" xfId="0" applyFont="1" applyBorder="1" applyAlignment="1">
      <alignment horizontal="center"/>
    </xf>
    <xf numFmtId="14" fontId="7" fillId="0" borderId="63" xfId="0" applyNumberFormat="1" applyFont="1" applyBorder="1" applyAlignment="1">
      <alignment horizontal="center"/>
    </xf>
    <xf numFmtId="0" fontId="31" fillId="69" borderId="76" xfId="0" applyFont="1" applyFill="1" applyBorder="1" applyAlignment="1">
      <alignment horizontal="left" wrapText="1"/>
    </xf>
    <xf numFmtId="166" fontId="31" fillId="70" borderId="77" xfId="0" applyNumberFormat="1" applyFont="1" applyFill="1" applyBorder="1"/>
    <xf numFmtId="165" fontId="31" fillId="70" borderId="78" xfId="2" applyNumberFormat="1" applyFont="1" applyFill="1" applyBorder="1"/>
    <xf numFmtId="0" fontId="42" fillId="0" borderId="78" xfId="0" applyFont="1" applyBorder="1"/>
    <xf numFmtId="0" fontId="31" fillId="71" borderId="77" xfId="0" applyFont="1" applyFill="1" applyBorder="1" applyAlignment="1">
      <alignment horizontal="left" wrapText="1"/>
    </xf>
    <xf numFmtId="166" fontId="31" fillId="72" borderId="77" xfId="0" applyNumberFormat="1" applyFont="1" applyFill="1" applyBorder="1"/>
    <xf numFmtId="165" fontId="31" fillId="72" borderId="78" xfId="2" applyNumberFormat="1" applyFont="1" applyFill="1" applyBorder="1"/>
    <xf numFmtId="166" fontId="0" fillId="0" borderId="0" xfId="0" applyNumberFormat="1"/>
    <xf numFmtId="0" fontId="1" fillId="0" borderId="63" xfId="0" applyFont="1" applyBorder="1" applyAlignment="1">
      <alignment horizontal="right"/>
    </xf>
    <xf numFmtId="0" fontId="8" fillId="0" borderId="82" xfId="0" applyFont="1" applyBorder="1"/>
    <xf numFmtId="166" fontId="8" fillId="0" borderId="63" xfId="0" applyNumberFormat="1" applyFont="1" applyBorder="1"/>
    <xf numFmtId="165" fontId="31" fillId="0" borderId="83" xfId="2" applyNumberFormat="1" applyFont="1" applyBorder="1"/>
    <xf numFmtId="0" fontId="0" fillId="0" borderId="83" xfId="0" applyBorder="1"/>
    <xf numFmtId="0" fontId="30" fillId="0" borderId="63" xfId="0" applyFont="1" applyBorder="1"/>
    <xf numFmtId="0" fontId="30" fillId="0" borderId="82" xfId="0" applyFont="1" applyBorder="1" applyAlignment="1">
      <alignment horizontal="right"/>
    </xf>
    <xf numFmtId="166" fontId="30" fillId="0" borderId="63" xfId="1" applyNumberFormat="1" applyFont="1" applyBorder="1"/>
    <xf numFmtId="165" fontId="30" fillId="0" borderId="83" xfId="2" applyNumberFormat="1" applyFont="1" applyBorder="1"/>
    <xf numFmtId="0" fontId="30" fillId="0" borderId="83" xfId="0" applyFont="1" applyBorder="1"/>
    <xf numFmtId="0" fontId="30" fillId="0" borderId="63" xfId="0" applyFont="1" applyBorder="1" applyAlignment="1">
      <alignment horizontal="right"/>
    </xf>
    <xf numFmtId="0" fontId="30" fillId="0" borderId="0" xfId="0" applyFont="1"/>
    <xf numFmtId="0" fontId="1" fillId="66" borderId="63" xfId="0" applyFont="1" applyFill="1" applyBorder="1" applyAlignment="1">
      <alignment horizontal="left" wrapText="1"/>
    </xf>
    <xf numFmtId="176" fontId="0" fillId="60" borderId="63" xfId="0" applyNumberFormat="1" applyFill="1" applyBorder="1"/>
    <xf numFmtId="176" fontId="0" fillId="60" borderId="63" xfId="0" applyNumberFormat="1" applyFill="1" applyBorder="1" applyAlignment="1">
      <alignment horizontal="center"/>
    </xf>
    <xf numFmtId="176" fontId="0" fillId="0" borderId="63" xfId="0" applyNumberFormat="1" applyBorder="1"/>
    <xf numFmtId="0" fontId="8" fillId="0" borderId="82" xfId="0" applyFont="1" applyBorder="1" applyAlignment="1">
      <alignment horizontal="left"/>
    </xf>
    <xf numFmtId="166" fontId="0" fillId="0" borderId="63" xfId="0" applyNumberFormat="1" applyBorder="1"/>
    <xf numFmtId="0" fontId="1" fillId="71" borderId="63" xfId="0" applyFont="1" applyFill="1" applyBorder="1" applyAlignment="1">
      <alignment horizontal="left"/>
    </xf>
    <xf numFmtId="176" fontId="0" fillId="61" borderId="63" xfId="0" applyNumberFormat="1" applyFill="1" applyBorder="1"/>
    <xf numFmtId="176" fontId="30" fillId="0" borderId="63" xfId="0" applyNumberFormat="1" applyFont="1" applyBorder="1"/>
    <xf numFmtId="0" fontId="0" fillId="0" borderId="63" xfId="0" applyBorder="1" applyAlignment="1">
      <alignment horizontal="right"/>
    </xf>
    <xf numFmtId="0" fontId="30" fillId="0" borderId="79" xfId="0" applyFont="1" applyBorder="1" applyAlignment="1">
      <alignment horizontal="right"/>
    </xf>
    <xf numFmtId="176" fontId="0" fillId="0" borderId="80" xfId="0" applyNumberFormat="1" applyBorder="1"/>
    <xf numFmtId="165" fontId="30" fillId="0" borderId="81" xfId="2" applyNumberFormat="1" applyFont="1" applyBorder="1"/>
    <xf numFmtId="0" fontId="0" fillId="0" borderId="81" xfId="0" applyBorder="1"/>
    <xf numFmtId="0" fontId="30" fillId="0" borderId="80" xfId="0" applyFont="1" applyBorder="1" applyAlignment="1">
      <alignment horizontal="right"/>
    </xf>
    <xf numFmtId="0" fontId="7" fillId="0" borderId="63" xfId="0" applyFont="1" applyBorder="1" applyAlignment="1">
      <alignment wrapText="1"/>
    </xf>
    <xf numFmtId="0" fontId="7" fillId="0" borderId="63" xfId="0" applyFont="1" applyBorder="1" applyAlignment="1">
      <alignment horizontal="center" wrapText="1"/>
    </xf>
    <xf numFmtId="14" fontId="7" fillId="0" borderId="63" xfId="0" applyNumberFormat="1" applyFont="1" applyBorder="1" applyAlignment="1">
      <alignment wrapText="1"/>
    </xf>
    <xf numFmtId="14" fontId="0" fillId="0" borderId="63" xfId="0" applyNumberFormat="1" applyBorder="1" applyAlignment="1">
      <alignment horizontal="left"/>
    </xf>
    <xf numFmtId="0" fontId="26" fillId="0" borderId="63" xfId="0" applyFont="1" applyBorder="1"/>
    <xf numFmtId="166" fontId="26" fillId="0" borderId="63" xfId="0" applyNumberFormat="1" applyFont="1" applyBorder="1"/>
    <xf numFmtId="0" fontId="26" fillId="0" borderId="0" xfId="0" applyFont="1"/>
    <xf numFmtId="0" fontId="1" fillId="72" borderId="63" xfId="0" applyFont="1" applyFill="1" applyBorder="1" applyAlignment="1">
      <alignment horizontal="center"/>
    </xf>
    <xf numFmtId="166" fontId="0" fillId="0" borderId="63" xfId="1" applyNumberFormat="1" applyFont="1" applyBorder="1" applyAlignment="1">
      <alignment horizontal="center"/>
    </xf>
    <xf numFmtId="166" fontId="0" fillId="0" borderId="63" xfId="1" applyNumberFormat="1" applyFont="1" applyBorder="1"/>
    <xf numFmtId="0" fontId="1" fillId="55" borderId="63" xfId="0" applyFont="1" applyFill="1" applyBorder="1" applyAlignment="1">
      <alignment horizontal="center" wrapText="1"/>
    </xf>
    <xf numFmtId="1" fontId="1" fillId="55" borderId="63" xfId="0" applyNumberFormat="1" applyFont="1" applyFill="1" applyBorder="1" applyAlignment="1">
      <alignment horizontal="center" wrapText="1"/>
    </xf>
    <xf numFmtId="0" fontId="43" fillId="57" borderId="63" xfId="0" applyFont="1" applyFill="1" applyBorder="1" applyAlignment="1">
      <alignment horizontal="left"/>
    </xf>
    <xf numFmtId="176" fontId="32" fillId="57" borderId="63" xfId="0" applyNumberFormat="1" applyFont="1" applyFill="1" applyBorder="1" applyAlignment="1">
      <alignment horizontal="center"/>
    </xf>
    <xf numFmtId="176" fontId="43" fillId="57" borderId="63" xfId="0" applyNumberFormat="1" applyFont="1" applyFill="1" applyBorder="1"/>
    <xf numFmtId="0" fontId="43" fillId="56" borderId="63" xfId="0" applyFont="1" applyFill="1" applyBorder="1" applyAlignment="1">
      <alignment horizontal="left"/>
    </xf>
    <xf numFmtId="176" fontId="32" fillId="56" borderId="63" xfId="0" applyNumberFormat="1" applyFont="1" applyFill="1" applyBorder="1" applyAlignment="1">
      <alignment horizontal="center"/>
    </xf>
    <xf numFmtId="176" fontId="43" fillId="56" borderId="63" xfId="0" applyNumberFormat="1" applyFont="1" applyFill="1" applyBorder="1"/>
    <xf numFmtId="176" fontId="8" fillId="66" borderId="63" xfId="0" applyNumberFormat="1" applyFont="1" applyFill="1" applyBorder="1" applyAlignment="1">
      <alignment horizontal="center"/>
    </xf>
    <xf numFmtId="0" fontId="44" fillId="66" borderId="63" xfId="0" applyFont="1" applyFill="1" applyBorder="1" applyAlignment="1">
      <alignment horizontal="left"/>
    </xf>
    <xf numFmtId="0" fontId="44" fillId="66" borderId="63" xfId="0" applyFont="1" applyFill="1" applyBorder="1" applyAlignment="1">
      <alignment horizontal="left" wrapText="1"/>
    </xf>
    <xf numFmtId="176" fontId="33" fillId="66" borderId="63" xfId="0" applyNumberFormat="1" applyFont="1" applyFill="1" applyBorder="1" applyAlignment="1">
      <alignment horizontal="center"/>
    </xf>
    <xf numFmtId="176" fontId="44" fillId="60" borderId="63" xfId="0" applyNumberFormat="1" applyFont="1" applyFill="1" applyBorder="1"/>
    <xf numFmtId="0" fontId="1" fillId="71" borderId="63" xfId="0" applyFont="1" applyFill="1" applyBorder="1" applyAlignment="1">
      <alignment horizontal="left" wrapText="1"/>
    </xf>
    <xf numFmtId="176" fontId="8" fillId="71" borderId="63" xfId="0" applyNumberFormat="1" applyFont="1" applyFill="1" applyBorder="1" applyAlignment="1">
      <alignment horizontal="center"/>
    </xf>
    <xf numFmtId="0" fontId="24" fillId="71" borderId="63" xfId="0" applyFont="1" applyFill="1" applyBorder="1" applyAlignment="1">
      <alignment horizontal="left" wrapText="1"/>
    </xf>
    <xf numFmtId="0" fontId="24" fillId="71" borderId="63" xfId="0" applyFont="1" applyFill="1" applyBorder="1" applyAlignment="1">
      <alignment horizontal="left"/>
    </xf>
    <xf numFmtId="176" fontId="9" fillId="71" borderId="63" xfId="0" applyNumberFormat="1" applyFont="1" applyFill="1" applyBorder="1" applyAlignment="1">
      <alignment horizontal="center"/>
    </xf>
    <xf numFmtId="176" fontId="24" fillId="61" borderId="63" xfId="0" applyNumberFormat="1" applyFont="1" applyFill="1" applyBorder="1"/>
    <xf numFmtId="172" fontId="47" fillId="21" borderId="24" xfId="3" applyNumberFormat="1" applyFont="1" applyFill="1" applyBorder="1" applyAlignment="1">
      <alignment horizontal="right" vertical="center"/>
    </xf>
    <xf numFmtId="172" fontId="48" fillId="21" borderId="24" xfId="3" applyNumberFormat="1" applyFont="1" applyFill="1" applyBorder="1" applyAlignment="1">
      <alignment horizontal="right" vertical="center"/>
    </xf>
    <xf numFmtId="3" fontId="0" fillId="0" borderId="0" xfId="0" applyNumberFormat="1"/>
    <xf numFmtId="171" fontId="14" fillId="73" borderId="0" xfId="0" applyNumberFormat="1" applyFont="1" applyFill="1" applyAlignment="1">
      <alignment horizontal="center"/>
    </xf>
    <xf numFmtId="0" fontId="49" fillId="74" borderId="63" xfId="4" applyFont="1" applyFill="1" applyBorder="1"/>
    <xf numFmtId="0" fontId="49" fillId="74" borderId="63" xfId="4" applyFont="1" applyFill="1" applyBorder="1" applyAlignment="1">
      <alignment horizontal="center"/>
    </xf>
    <xf numFmtId="0" fontId="28" fillId="74" borderId="63" xfId="4" applyFont="1" applyFill="1" applyBorder="1" applyAlignment="1">
      <alignment horizontal="center"/>
    </xf>
    <xf numFmtId="0" fontId="52" fillId="0" borderId="0" xfId="4" applyFont="1"/>
    <xf numFmtId="1" fontId="52" fillId="0" borderId="0" xfId="4" applyNumberFormat="1" applyFont="1" applyAlignment="1">
      <alignment horizontal="right"/>
    </xf>
    <xf numFmtId="0" fontId="53" fillId="0" borderId="0" xfId="4" applyFont="1" applyAlignment="1">
      <alignment horizontal="center"/>
    </xf>
    <xf numFmtId="1" fontId="54" fillId="0" borderId="0" xfId="4" applyNumberFormat="1" applyFont="1" applyAlignment="1">
      <alignment horizontal="right"/>
    </xf>
    <xf numFmtId="0" fontId="52" fillId="0" borderId="0" xfId="4" applyFont="1" applyAlignment="1">
      <alignment horizontal="center"/>
    </xf>
    <xf numFmtId="2" fontId="55" fillId="0" borderId="63" xfId="4" applyNumberFormat="1" applyFont="1" applyBorder="1" applyAlignment="1">
      <alignment horizontal="center"/>
    </xf>
    <xf numFmtId="0" fontId="27" fillId="61" borderId="63" xfId="4" applyFont="1" applyFill="1" applyBorder="1" applyAlignment="1">
      <alignment horizontal="center"/>
    </xf>
    <xf numFmtId="0" fontId="49" fillId="41" borderId="63" xfId="4" applyFont="1" applyFill="1" applyBorder="1"/>
    <xf numFmtId="0" fontId="50" fillId="41" borderId="63" xfId="4" applyFont="1" applyFill="1" applyBorder="1"/>
    <xf numFmtId="0" fontId="50" fillId="41" borderId="63" xfId="4" applyFont="1" applyFill="1" applyBorder="1" applyAlignment="1">
      <alignment horizontal="center"/>
    </xf>
    <xf numFmtId="0" fontId="29" fillId="41" borderId="63" xfId="4" applyFont="1" applyFill="1" applyBorder="1" applyAlignment="1">
      <alignment horizontal="center"/>
    </xf>
    <xf numFmtId="0" fontId="29" fillId="41" borderId="63" xfId="4" applyFont="1" applyFill="1" applyBorder="1" applyAlignment="1">
      <alignment horizontal="left"/>
    </xf>
    <xf numFmtId="0" fontId="49" fillId="76" borderId="63" xfId="4" applyFont="1" applyFill="1" applyBorder="1"/>
    <xf numFmtId="0" fontId="50" fillId="76" borderId="63" xfId="4" applyFont="1" applyFill="1" applyBorder="1"/>
    <xf numFmtId="0" fontId="50" fillId="76" borderId="63" xfId="4" applyFont="1" applyFill="1" applyBorder="1" applyAlignment="1">
      <alignment horizontal="center"/>
    </xf>
    <xf numFmtId="0" fontId="29" fillId="76" borderId="63" xfId="4" applyFont="1" applyFill="1" applyBorder="1" applyAlignment="1">
      <alignment horizontal="center"/>
    </xf>
    <xf numFmtId="0" fontId="29" fillId="76" borderId="63" xfId="4" applyFont="1" applyFill="1" applyBorder="1" applyAlignment="1">
      <alignment horizontal="left"/>
    </xf>
    <xf numFmtId="0" fontId="50" fillId="56" borderId="63" xfId="4" applyFont="1" applyFill="1" applyBorder="1"/>
    <xf numFmtId="0" fontId="50" fillId="56" borderId="63" xfId="4" applyFont="1" applyFill="1" applyBorder="1" applyAlignment="1">
      <alignment horizontal="center"/>
    </xf>
    <xf numFmtId="0" fontId="29" fillId="56" borderId="63" xfId="4" applyFont="1" applyFill="1" applyBorder="1" applyAlignment="1">
      <alignment horizontal="center"/>
    </xf>
    <xf numFmtId="0" fontId="29" fillId="56" borderId="63" xfId="4" applyFont="1" applyFill="1" applyBorder="1" applyAlignment="1">
      <alignment horizontal="left"/>
    </xf>
    <xf numFmtId="1" fontId="52" fillId="0" borderId="0" xfId="4" applyNumberFormat="1" applyFont="1"/>
    <xf numFmtId="176" fontId="56" fillId="60" borderId="63" xfId="0" applyNumberFormat="1" applyFont="1" applyFill="1" applyBorder="1"/>
    <xf numFmtId="176" fontId="56" fillId="60" borderId="63" xfId="0" applyNumberFormat="1" applyFont="1" applyFill="1" applyBorder="1" applyAlignment="1">
      <alignment horizontal="center"/>
    </xf>
    <xf numFmtId="176" fontId="57" fillId="60" borderId="63" xfId="0" applyNumberFormat="1" applyFont="1" applyFill="1" applyBorder="1"/>
    <xf numFmtId="176" fontId="56" fillId="61" borderId="63" xfId="0" applyNumberFormat="1" applyFont="1" applyFill="1" applyBorder="1"/>
    <xf numFmtId="166" fontId="26" fillId="0" borderId="0" xfId="0" applyNumberFormat="1" applyFont="1"/>
    <xf numFmtId="166" fontId="1" fillId="0" borderId="63" xfId="0" applyNumberFormat="1" applyFont="1" applyBorder="1" applyAlignment="1">
      <alignment horizontal="center"/>
    </xf>
    <xf numFmtId="172" fontId="22" fillId="21" borderId="63" xfId="3" applyNumberFormat="1" applyFont="1" applyFill="1" applyBorder="1" applyAlignment="1">
      <alignment horizontal="center" vertical="center"/>
    </xf>
    <xf numFmtId="0" fontId="0" fillId="69" borderId="63" xfId="0" applyFill="1" applyBorder="1"/>
    <xf numFmtId="14" fontId="0" fillId="0" borderId="0" xfId="0" applyNumberFormat="1" applyAlignment="1">
      <alignment horizontal="left"/>
    </xf>
    <xf numFmtId="0" fontId="58" fillId="0" borderId="0" xfId="0" quotePrefix="1" applyFont="1" applyAlignment="1">
      <alignment horizontal="center"/>
    </xf>
    <xf numFmtId="0" fontId="1" fillId="51" borderId="63" xfId="0" applyFont="1" applyFill="1" applyBorder="1" applyAlignment="1">
      <alignment horizontal="center"/>
    </xf>
    <xf numFmtId="0" fontId="27" fillId="71" borderId="63" xfId="4" applyFont="1" applyFill="1" applyBorder="1" applyAlignment="1">
      <alignment horizontal="right"/>
    </xf>
    <xf numFmtId="0" fontId="0" fillId="79" borderId="63" xfId="0" applyFill="1" applyBorder="1" applyAlignment="1">
      <alignment horizontal="center"/>
    </xf>
    <xf numFmtId="166" fontId="0" fillId="0" borderId="0" xfId="1" applyNumberFormat="1" applyFont="1"/>
    <xf numFmtId="0" fontId="37" fillId="69" borderId="28" xfId="4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56" xfId="0" applyFont="1" applyBorder="1"/>
    <xf numFmtId="170" fontId="1" fillId="0" borderId="56" xfId="0" applyNumberFormat="1" applyFont="1" applyBorder="1"/>
    <xf numFmtId="0" fontId="16" fillId="49" borderId="66" xfId="0" applyFont="1" applyFill="1" applyBorder="1" applyAlignment="1">
      <alignment horizontal="right" vertical="center"/>
    </xf>
    <xf numFmtId="0" fontId="16" fillId="49" borderId="66" xfId="0" applyFont="1" applyFill="1" applyBorder="1" applyAlignment="1">
      <alignment horizontal="center" vertical="center"/>
    </xf>
    <xf numFmtId="0" fontId="59" fillId="71" borderId="66" xfId="0" applyFont="1" applyFill="1" applyBorder="1" applyAlignment="1">
      <alignment horizontal="center" vertical="center"/>
    </xf>
    <xf numFmtId="173" fontId="0" fillId="0" borderId="3" xfId="0" applyNumberFormat="1" applyBorder="1" applyAlignment="1">
      <alignment horizontal="center"/>
    </xf>
    <xf numFmtId="173" fontId="0" fillId="0" borderId="49" xfId="0" applyNumberFormat="1" applyBorder="1" applyAlignment="1">
      <alignment horizontal="center"/>
    </xf>
    <xf numFmtId="173" fontId="0" fillId="0" borderId="47" xfId="0" applyNumberFormat="1" applyBorder="1" applyAlignment="1">
      <alignment horizontal="center"/>
    </xf>
    <xf numFmtId="173" fontId="0" fillId="0" borderId="46" xfId="0" applyNumberFormat="1" applyBorder="1" applyAlignment="1">
      <alignment horizontal="center"/>
    </xf>
    <xf numFmtId="0" fontId="0" fillId="0" borderId="66" xfId="0" applyBorder="1" applyAlignment="1">
      <alignment horizontal="center" vertical="center"/>
    </xf>
    <xf numFmtId="174" fontId="0" fillId="0" borderId="53" xfId="0" applyNumberFormat="1" applyBorder="1" applyAlignment="1">
      <alignment horizontal="center"/>
    </xf>
    <xf numFmtId="173" fontId="1" fillId="0" borderId="1" xfId="4" applyNumberFormat="1" applyFont="1" applyBorder="1"/>
    <xf numFmtId="9" fontId="0" fillId="0" borderId="47" xfId="2" applyFont="1" applyBorder="1" applyAlignment="1">
      <alignment horizontal="center"/>
    </xf>
    <xf numFmtId="0" fontId="1" fillId="46" borderId="55" xfId="0" applyFont="1" applyFill="1" applyBorder="1" applyAlignment="1">
      <alignment horizontal="center"/>
    </xf>
    <xf numFmtId="0" fontId="0" fillId="0" borderId="84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3" fontId="0" fillId="0" borderId="53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49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177" fontId="0" fillId="67" borderId="60" xfId="0" applyNumberFormat="1" applyFill="1" applyBorder="1"/>
    <xf numFmtId="169" fontId="0" fillId="0" borderId="0" xfId="3" applyNumberFormat="1" applyFont="1"/>
    <xf numFmtId="172" fontId="0" fillId="0" borderId="0" xfId="0" applyNumberFormat="1"/>
    <xf numFmtId="0" fontId="0" fillId="66" borderId="63" xfId="0" applyFill="1" applyBorder="1"/>
    <xf numFmtId="177" fontId="0" fillId="66" borderId="63" xfId="0" applyNumberFormat="1" applyFill="1" applyBorder="1"/>
    <xf numFmtId="2" fontId="0" fillId="66" borderId="63" xfId="0" applyNumberFormat="1" applyFill="1" applyBorder="1"/>
    <xf numFmtId="0" fontId="1" fillId="80" borderId="0" xfId="0" applyFont="1" applyFill="1" applyAlignment="1">
      <alignment horizontal="left"/>
    </xf>
    <xf numFmtId="0" fontId="1" fillId="80" borderId="0" xfId="0" applyFont="1" applyFill="1" applyAlignment="1">
      <alignment horizontal="center"/>
    </xf>
    <xf numFmtId="3" fontId="1" fillId="8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72" borderId="0" xfId="0" applyFont="1" applyFill="1" applyAlignment="1">
      <alignment horizontal="center"/>
    </xf>
    <xf numFmtId="170" fontId="1" fillId="0" borderId="63" xfId="0" applyNumberFormat="1" applyFont="1" applyBorder="1"/>
    <xf numFmtId="0" fontId="0" fillId="66" borderId="63" xfId="0" applyFill="1" applyBorder="1" applyAlignment="1">
      <alignment horizontal="center"/>
    </xf>
    <xf numFmtId="0" fontId="0" fillId="66" borderId="60" xfId="0" applyFill="1" applyBorder="1"/>
    <xf numFmtId="0" fontId="0" fillId="79" borderId="0" xfId="0" applyFill="1"/>
    <xf numFmtId="0" fontId="0" fillId="66" borderId="66" xfId="4" applyFont="1" applyFill="1" applyBorder="1" applyAlignment="1">
      <alignment horizontal="right"/>
    </xf>
    <xf numFmtId="0" fontId="8" fillId="0" borderId="63" xfId="0" applyFont="1" applyBorder="1" applyAlignment="1">
      <alignment horizontal="left"/>
    </xf>
    <xf numFmtId="0" fontId="1" fillId="58" borderId="6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58" borderId="6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1" fillId="0" borderId="56" xfId="0" applyFont="1" applyBorder="1" applyAlignment="1">
      <alignment horizontal="left"/>
    </xf>
    <xf numFmtId="0" fontId="8" fillId="54" borderId="62" xfId="0" applyFont="1" applyFill="1" applyBorder="1" applyAlignment="1">
      <alignment horizontal="center"/>
    </xf>
    <xf numFmtId="0" fontId="1" fillId="66" borderId="63" xfId="0" applyFont="1" applyFill="1" applyBorder="1" applyAlignment="1">
      <alignment horizontal="left" vertical="top" wrapText="1"/>
    </xf>
    <xf numFmtId="0" fontId="1" fillId="71" borderId="63" xfId="0" applyFont="1" applyFill="1" applyBorder="1" applyAlignment="1">
      <alignment horizontal="left" vertical="top" wrapText="1"/>
    </xf>
    <xf numFmtId="177" fontId="26" fillId="54" borderId="62" xfId="0" applyNumberFormat="1" applyFont="1" applyFill="1" applyBorder="1" applyAlignment="1">
      <alignment horizontal="center"/>
    </xf>
    <xf numFmtId="0" fontId="26" fillId="54" borderId="62" xfId="0" applyFont="1" applyFill="1" applyBorder="1" applyAlignment="1">
      <alignment horizontal="center"/>
    </xf>
    <xf numFmtId="0" fontId="18" fillId="22" borderId="25" xfId="0" applyFont="1" applyFill="1" applyBorder="1" applyAlignment="1">
      <alignment horizontal="center" vertical="top" wrapText="1"/>
    </xf>
    <xf numFmtId="0" fontId="19" fillId="23" borderId="26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6" borderId="54" xfId="0" applyFont="1" applyFill="1" applyBorder="1" applyAlignment="1">
      <alignment horizontal="center"/>
    </xf>
    <xf numFmtId="0" fontId="1" fillId="62" borderId="6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3" borderId="65" xfId="0" applyFill="1" applyBorder="1" applyAlignment="1">
      <alignment horizontal="center"/>
    </xf>
    <xf numFmtId="0" fontId="0" fillId="64" borderId="66" xfId="0" applyFill="1" applyBorder="1" applyAlignment="1">
      <alignment horizontal="center"/>
    </xf>
    <xf numFmtId="14" fontId="0" fillId="0" borderId="0" xfId="0" applyNumberFormat="1"/>
    <xf numFmtId="1" fontId="1" fillId="0" borderId="1" xfId="4" applyNumberFormat="1" applyFont="1" applyBorder="1" applyAlignment="1">
      <alignment horizontal="center"/>
    </xf>
    <xf numFmtId="0" fontId="49" fillId="74" borderId="82" xfId="4" applyFont="1" applyFill="1" applyBorder="1"/>
    <xf numFmtId="0" fontId="49" fillId="74" borderId="83" xfId="4" applyFont="1" applyFill="1" applyBorder="1"/>
    <xf numFmtId="0" fontId="30" fillId="81" borderId="85" xfId="0" applyFont="1" applyFill="1" applyBorder="1" applyAlignment="1">
      <alignment horizontal="center"/>
    </xf>
    <xf numFmtId="0" fontId="0" fillId="81" borderId="0" xfId="0" applyFill="1" applyAlignment="1">
      <alignment horizontal="center"/>
    </xf>
    <xf numFmtId="0" fontId="29" fillId="82" borderId="63" xfId="4" applyFont="1" applyFill="1" applyBorder="1" applyAlignment="1">
      <alignment horizontal="center"/>
    </xf>
    <xf numFmtId="0" fontId="61" fillId="74" borderId="63" xfId="4" applyFont="1" applyFill="1" applyBorder="1" applyAlignment="1">
      <alignment horizontal="center"/>
    </xf>
    <xf numFmtId="0" fontId="28" fillId="74" borderId="63" xfId="4" applyFont="1" applyFill="1" applyBorder="1" applyAlignment="1">
      <alignment horizontal="left"/>
    </xf>
    <xf numFmtId="0" fontId="50" fillId="74" borderId="80" xfId="4" applyFont="1" applyFill="1" applyBorder="1" applyAlignment="1">
      <alignment horizontal="left"/>
    </xf>
    <xf numFmtId="0" fontId="50" fillId="74" borderId="80" xfId="4" applyFont="1" applyFill="1" applyBorder="1" applyAlignment="1">
      <alignment horizontal="center"/>
    </xf>
    <xf numFmtId="0" fontId="29" fillId="74" borderId="80" xfId="4" applyFont="1" applyFill="1" applyBorder="1" applyAlignment="1">
      <alignment horizontal="center"/>
    </xf>
    <xf numFmtId="0" fontId="51" fillId="67" borderId="79" xfId="4" applyFont="1" applyFill="1" applyBorder="1" applyAlignment="1">
      <alignment horizontal="left"/>
    </xf>
    <xf numFmtId="0" fontId="51" fillId="67" borderId="81" xfId="4" applyFont="1" applyFill="1" applyBorder="1" applyAlignment="1">
      <alignment horizontal="left"/>
    </xf>
    <xf numFmtId="0" fontId="51" fillId="67" borderId="80" xfId="4" applyFont="1" applyFill="1" applyBorder="1" applyAlignment="1">
      <alignment horizontal="left"/>
    </xf>
    <xf numFmtId="0" fontId="29" fillId="75" borderId="80" xfId="4" applyFont="1" applyFill="1" applyBorder="1" applyAlignment="1">
      <alignment horizontal="center"/>
    </xf>
    <xf numFmtId="0" fontId="62" fillId="67" borderId="86" xfId="4" applyFont="1" applyFill="1" applyBorder="1" applyAlignment="1">
      <alignment horizontal="center"/>
    </xf>
    <xf numFmtId="0" fontId="51" fillId="67" borderId="80" xfId="4" applyFont="1" applyFill="1" applyBorder="1" applyAlignment="1">
      <alignment horizontal="center"/>
    </xf>
    <xf numFmtId="0" fontId="29" fillId="74" borderId="80" xfId="4" applyFont="1" applyFill="1" applyBorder="1" applyAlignment="1">
      <alignment horizontal="left"/>
    </xf>
    <xf numFmtId="0" fontId="63" fillId="74" borderId="80" xfId="4" applyFont="1" applyFill="1" applyBorder="1" applyAlignment="1">
      <alignment horizontal="center"/>
    </xf>
    <xf numFmtId="0" fontId="52" fillId="0" borderId="63" xfId="4" applyFont="1" applyBorder="1"/>
    <xf numFmtId="1" fontId="52" fillId="0" borderId="63" xfId="4" applyNumberFormat="1" applyFont="1" applyBorder="1" applyAlignment="1">
      <alignment horizontal="right"/>
    </xf>
    <xf numFmtId="0" fontId="53" fillId="0" borderId="63" xfId="4" applyFont="1" applyBorder="1" applyAlignment="1">
      <alignment horizontal="center"/>
    </xf>
    <xf numFmtId="14" fontId="27" fillId="0" borderId="63" xfId="4" applyNumberFormat="1" applyFont="1" applyBorder="1" applyAlignment="1">
      <alignment horizontal="center"/>
    </xf>
    <xf numFmtId="2" fontId="55" fillId="0" borderId="82" xfId="4" applyNumberFormat="1" applyFont="1" applyBorder="1"/>
    <xf numFmtId="2" fontId="55" fillId="0" borderId="83" xfId="4" applyNumberFormat="1" applyFont="1" applyBorder="1" applyAlignment="1">
      <alignment horizontal="right"/>
    </xf>
    <xf numFmtId="2" fontId="55" fillId="0" borderId="63" xfId="4" applyNumberFormat="1" applyFont="1" applyBorder="1"/>
    <xf numFmtId="1" fontId="27" fillId="0" borderId="63" xfId="4" applyNumberFormat="1" applyFont="1" applyBorder="1" applyAlignment="1">
      <alignment horizontal="center"/>
    </xf>
    <xf numFmtId="0" fontId="27" fillId="0" borderId="63" xfId="4" applyFont="1" applyBorder="1" applyAlignment="1">
      <alignment horizontal="center"/>
    </xf>
    <xf numFmtId="1" fontId="26" fillId="0" borderId="85" xfId="0" applyNumberFormat="1" applyFont="1" applyBorder="1" applyAlignment="1">
      <alignment horizontal="center"/>
    </xf>
    <xf numFmtId="0" fontId="52" fillId="0" borderId="63" xfId="4" applyFont="1" applyBorder="1" applyAlignment="1">
      <alignment horizontal="center"/>
    </xf>
    <xf numFmtId="170" fontId="27" fillId="61" borderId="63" xfId="4" applyNumberFormat="1" applyFont="1" applyFill="1" applyBorder="1" applyAlignment="1">
      <alignment horizontal="center"/>
    </xf>
    <xf numFmtId="0" fontId="64" fillId="61" borderId="63" xfId="4" applyFont="1" applyFill="1" applyBorder="1" applyAlignment="1">
      <alignment horizontal="center"/>
    </xf>
    <xf numFmtId="0" fontId="65" fillId="0" borderId="63" xfId="4" quotePrefix="1" applyFont="1" applyBorder="1" applyAlignment="1">
      <alignment horizontal="center"/>
    </xf>
    <xf numFmtId="49" fontId="65" fillId="0" borderId="0" xfId="4" quotePrefix="1" applyNumberFormat="1" applyFont="1" applyAlignment="1">
      <alignment horizontal="left"/>
    </xf>
    <xf numFmtId="0" fontId="50" fillId="41" borderId="82" xfId="4" applyFont="1" applyFill="1" applyBorder="1"/>
    <xf numFmtId="0" fontId="50" fillId="41" borderId="83" xfId="4" applyFont="1" applyFill="1" applyBorder="1"/>
    <xf numFmtId="1" fontId="30" fillId="83" borderId="85" xfId="0" applyNumberFormat="1" applyFont="1" applyFill="1" applyBorder="1" applyAlignment="1">
      <alignment horizontal="center"/>
    </xf>
    <xf numFmtId="0" fontId="0" fillId="83" borderId="63" xfId="0" applyFill="1" applyBorder="1" applyAlignment="1">
      <alignment horizontal="center"/>
    </xf>
    <xf numFmtId="0" fontId="29" fillId="41" borderId="87" xfId="4" applyFont="1" applyFill="1" applyBorder="1" applyAlignment="1">
      <alignment horizontal="center"/>
    </xf>
    <xf numFmtId="0" fontId="63" fillId="41" borderId="63" xfId="4" applyFont="1" applyFill="1" applyBorder="1" applyAlignment="1">
      <alignment horizontal="center"/>
    </xf>
    <xf numFmtId="0" fontId="50" fillId="41" borderId="80" xfId="4" applyFont="1" applyFill="1" applyBorder="1" applyAlignment="1">
      <alignment horizontal="left"/>
    </xf>
    <xf numFmtId="0" fontId="50" fillId="41" borderId="80" xfId="4" applyFont="1" applyFill="1" applyBorder="1" applyAlignment="1">
      <alignment horizontal="center"/>
    </xf>
    <xf numFmtId="0" fontId="29" fillId="41" borderId="80" xfId="4" applyFont="1" applyFill="1" applyBorder="1" applyAlignment="1">
      <alignment horizontal="center"/>
    </xf>
    <xf numFmtId="0" fontId="29" fillId="31" borderId="80" xfId="4" applyFont="1" applyFill="1" applyBorder="1" applyAlignment="1">
      <alignment horizontal="center"/>
    </xf>
    <xf numFmtId="0" fontId="29" fillId="41" borderId="80" xfId="4" applyFont="1" applyFill="1" applyBorder="1" applyAlignment="1">
      <alignment horizontal="left"/>
    </xf>
    <xf numFmtId="0" fontId="63" fillId="41" borderId="80" xfId="4" applyFont="1" applyFill="1" applyBorder="1" applyAlignment="1">
      <alignment horizontal="center"/>
    </xf>
    <xf numFmtId="0" fontId="27" fillId="65" borderId="63" xfId="4" applyFont="1" applyFill="1" applyBorder="1" applyAlignment="1">
      <alignment horizontal="right"/>
    </xf>
    <xf numFmtId="14" fontId="27" fillId="0" borderId="0" xfId="4" applyNumberFormat="1" applyFont="1" applyAlignment="1">
      <alignment horizontal="center"/>
    </xf>
    <xf numFmtId="2" fontId="55" fillId="0" borderId="83" xfId="4" applyNumberFormat="1" applyFont="1" applyBorder="1"/>
    <xf numFmtId="1" fontId="27" fillId="0" borderId="0" xfId="4" applyNumberFormat="1" applyFont="1" applyAlignment="1">
      <alignment horizontal="center"/>
    </xf>
    <xf numFmtId="0" fontId="65" fillId="0" borderId="0" xfId="4" applyFont="1" applyAlignment="1">
      <alignment horizontal="center"/>
    </xf>
    <xf numFmtId="49" fontId="66" fillId="0" borderId="0" xfId="4" applyNumberFormat="1" applyFont="1" applyAlignment="1">
      <alignment horizontal="left"/>
    </xf>
    <xf numFmtId="0" fontId="67" fillId="65" borderId="63" xfId="4" applyFont="1" applyFill="1" applyBorder="1" applyAlignment="1">
      <alignment horizontal="right"/>
    </xf>
    <xf numFmtId="0" fontId="68" fillId="0" borderId="0" xfId="4" applyFont="1" applyAlignment="1">
      <alignment horizontal="center"/>
    </xf>
    <xf numFmtId="1" fontId="54" fillId="0" borderId="63" xfId="4" applyNumberFormat="1" applyFont="1" applyBorder="1" applyAlignment="1">
      <alignment horizontal="right"/>
    </xf>
    <xf numFmtId="0" fontId="65" fillId="0" borderId="0" xfId="4" quotePrefix="1" applyFont="1" applyAlignment="1">
      <alignment horizontal="center"/>
    </xf>
    <xf numFmtId="0" fontId="50" fillId="76" borderId="82" xfId="4" applyFont="1" applyFill="1" applyBorder="1"/>
    <xf numFmtId="0" fontId="50" fillId="76" borderId="83" xfId="4" applyFont="1" applyFill="1" applyBorder="1"/>
    <xf numFmtId="0" fontId="30" fillId="84" borderId="85" xfId="0" applyFont="1" applyFill="1" applyBorder="1" applyAlignment="1">
      <alignment horizontal="center"/>
    </xf>
    <xf numFmtId="0" fontId="0" fillId="84" borderId="63" xfId="0" applyFill="1" applyBorder="1" applyAlignment="1">
      <alignment horizontal="center"/>
    </xf>
    <xf numFmtId="0" fontId="29" fillId="76" borderId="63" xfId="4" applyFont="1" applyFill="1" applyBorder="1" applyAlignment="1">
      <alignment horizontal="center"/>
    </xf>
    <xf numFmtId="0" fontId="63" fillId="76" borderId="63" xfId="4" applyFont="1" applyFill="1" applyBorder="1" applyAlignment="1">
      <alignment horizontal="center"/>
    </xf>
    <xf numFmtId="0" fontId="50" fillId="76" borderId="80" xfId="4" applyFont="1" applyFill="1" applyBorder="1" applyAlignment="1">
      <alignment horizontal="left"/>
    </xf>
    <xf numFmtId="0" fontId="50" fillId="76" borderId="80" xfId="4" applyFont="1" applyFill="1" applyBorder="1" applyAlignment="1">
      <alignment horizontal="center"/>
    </xf>
    <xf numFmtId="0" fontId="29" fillId="76" borderId="80" xfId="4" applyFont="1" applyFill="1" applyBorder="1" applyAlignment="1">
      <alignment horizontal="center"/>
    </xf>
    <xf numFmtId="0" fontId="29" fillId="77" borderId="80" xfId="4" applyFont="1" applyFill="1" applyBorder="1" applyAlignment="1">
      <alignment horizontal="center"/>
    </xf>
    <xf numFmtId="0" fontId="29" fillId="76" borderId="80" xfId="4" applyFont="1" applyFill="1" applyBorder="1" applyAlignment="1">
      <alignment horizontal="left"/>
    </xf>
    <xf numFmtId="0" fontId="63" fillId="76" borderId="80" xfId="4" applyFont="1" applyFill="1" applyBorder="1" applyAlignment="1">
      <alignment horizontal="center"/>
    </xf>
    <xf numFmtId="0" fontId="27" fillId="66" borderId="63" xfId="4" applyFont="1" applyFill="1" applyBorder="1" applyAlignment="1">
      <alignment horizontal="right"/>
    </xf>
    <xf numFmtId="2" fontId="55" fillId="0" borderId="82" xfId="4" applyNumberFormat="1" applyFont="1" applyBorder="1" applyAlignment="1">
      <alignment horizontal="center"/>
    </xf>
    <xf numFmtId="49" fontId="65" fillId="0" borderId="0" xfId="4" applyNumberFormat="1" applyFont="1" applyAlignment="1">
      <alignment horizontal="left"/>
    </xf>
    <xf numFmtId="0" fontId="49" fillId="85" borderId="63" xfId="4" applyFont="1" applyFill="1" applyBorder="1"/>
    <xf numFmtId="0" fontId="50" fillId="56" borderId="82" xfId="4" applyFont="1" applyFill="1" applyBorder="1"/>
    <xf numFmtId="0" fontId="50" fillId="56" borderId="83" xfId="4" applyFont="1" applyFill="1" applyBorder="1"/>
    <xf numFmtId="0" fontId="30" fillId="86" borderId="85" xfId="0" applyFont="1" applyFill="1" applyBorder="1" applyAlignment="1">
      <alignment horizontal="center"/>
    </xf>
    <xf numFmtId="0" fontId="0" fillId="86" borderId="63" xfId="0" applyFill="1" applyBorder="1" applyAlignment="1">
      <alignment horizontal="center"/>
    </xf>
    <xf numFmtId="0" fontId="29" fillId="56" borderId="63" xfId="4" applyFont="1" applyFill="1" applyBorder="1" applyAlignment="1">
      <alignment horizontal="center"/>
    </xf>
    <xf numFmtId="0" fontId="63" fillId="56" borderId="63" xfId="4" applyFont="1" applyFill="1" applyBorder="1" applyAlignment="1">
      <alignment horizontal="center"/>
    </xf>
    <xf numFmtId="0" fontId="50" fillId="56" borderId="80" xfId="4" applyFont="1" applyFill="1" applyBorder="1" applyAlignment="1">
      <alignment horizontal="left"/>
    </xf>
    <xf numFmtId="0" fontId="50" fillId="56" borderId="80" xfId="4" applyFont="1" applyFill="1" applyBorder="1" applyAlignment="1">
      <alignment horizontal="center"/>
    </xf>
    <xf numFmtId="0" fontId="29" fillId="56" borderId="80" xfId="4" applyFont="1" applyFill="1" applyBorder="1" applyAlignment="1">
      <alignment horizontal="center"/>
    </xf>
    <xf numFmtId="0" fontId="29" fillId="78" borderId="80" xfId="4" applyFont="1" applyFill="1" applyBorder="1" applyAlignment="1">
      <alignment horizontal="center"/>
    </xf>
    <xf numFmtId="0" fontId="29" fillId="56" borderId="80" xfId="4" applyFont="1" applyFill="1" applyBorder="1" applyAlignment="1">
      <alignment horizontal="left"/>
    </xf>
    <xf numFmtId="0" fontId="63" fillId="56" borderId="80" xfId="4" applyFont="1" applyFill="1" applyBorder="1" applyAlignment="1">
      <alignment horizontal="center"/>
    </xf>
    <xf numFmtId="0" fontId="65" fillId="0" borderId="63" xfId="4" applyFont="1" applyBorder="1" applyAlignment="1">
      <alignment horizontal="center"/>
    </xf>
    <xf numFmtId="0" fontId="67" fillId="66" borderId="63" xfId="4" applyFont="1" applyFill="1" applyBorder="1" applyAlignment="1">
      <alignment horizontal="right"/>
    </xf>
    <xf numFmtId="49" fontId="68" fillId="0" borderId="0" xfId="4" applyNumberFormat="1" applyFont="1" applyAlignment="1">
      <alignment horizontal="left"/>
    </xf>
    <xf numFmtId="170" fontId="26" fillId="0" borderId="85" xfId="0" applyNumberFormat="1" applyFont="1" applyBorder="1" applyAlignment="1">
      <alignment horizontal="center"/>
    </xf>
    <xf numFmtId="49" fontId="60" fillId="0" borderId="0" xfId="4" quotePrefix="1" applyNumberFormat="1" applyFont="1" applyAlignment="1">
      <alignment horizontal="left"/>
    </xf>
    <xf numFmtId="49" fontId="60" fillId="0" borderId="0" xfId="4" applyNumberFormat="1" applyFont="1" applyAlignment="1">
      <alignment horizontal="left"/>
    </xf>
    <xf numFmtId="0" fontId="66" fillId="0" borderId="0" xfId="4" quotePrefix="1" applyFont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HI\projects\current\hattrick\z_Biblioteca.xlsx" TargetMode="External"/><Relationship Id="rId1" Type="http://schemas.openxmlformats.org/officeDocument/2006/relationships/externalLinkPath" Target="z_Bibliote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istencia"/>
      <sheetName val="Tabla_HTMS"/>
      <sheetName val="TablasEntreno"/>
      <sheetName val="Sueldos"/>
      <sheetName val="EntrenamientoManual"/>
      <sheetName val="Entrenador"/>
      <sheetName val="Tarjetas"/>
      <sheetName val="BajarEntrenamiento"/>
      <sheetName val="Aficionados"/>
      <sheetName val="Calificaciones_POS&lt;T60"/>
      <sheetName val="Calificaciones_POS&gt;T60"/>
      <sheetName val="Posesion"/>
      <sheetName val="Logros"/>
      <sheetName val="Estadio_Destruccion"/>
      <sheetName val="Bepero_penalty"/>
      <sheetName val="Forma"/>
      <sheetName val="Confianza_Esperitu"/>
      <sheetName val="Sustituciones"/>
    </sheetNames>
    <sheetDataSet>
      <sheetData sheetId="0"/>
      <sheetData sheetId="1">
        <row r="4">
          <cell r="A4">
            <v>0.99</v>
          </cell>
          <cell r="B4">
            <v>0</v>
          </cell>
          <cell r="C4">
            <v>0.99</v>
          </cell>
          <cell r="D4">
            <v>0</v>
          </cell>
          <cell r="E4">
            <v>0.99</v>
          </cell>
          <cell r="F4">
            <v>0</v>
          </cell>
          <cell r="G4">
            <v>0.99</v>
          </cell>
          <cell r="H4">
            <v>0</v>
          </cell>
          <cell r="I4">
            <v>0.99</v>
          </cell>
          <cell r="J4">
            <v>0</v>
          </cell>
          <cell r="K4">
            <v>0.99</v>
          </cell>
          <cell r="L4">
            <v>0</v>
          </cell>
          <cell r="M4">
            <v>0.99</v>
          </cell>
          <cell r="N4">
            <v>0</v>
          </cell>
        </row>
        <row r="5">
          <cell r="A5">
            <v>1.99</v>
          </cell>
          <cell r="B5">
            <v>33</v>
          </cell>
          <cell r="C5">
            <v>1.99</v>
          </cell>
          <cell r="D5">
            <v>30</v>
          </cell>
          <cell r="E5">
            <v>1.99</v>
          </cell>
          <cell r="F5">
            <v>34</v>
          </cell>
          <cell r="G5">
            <v>1.99</v>
          </cell>
          <cell r="H5">
            <v>30</v>
          </cell>
          <cell r="I5">
            <v>1.99</v>
          </cell>
          <cell r="J5">
            <v>31</v>
          </cell>
          <cell r="K5">
            <v>1.99</v>
          </cell>
          <cell r="L5">
            <v>33</v>
          </cell>
          <cell r="M5">
            <v>1.99</v>
          </cell>
          <cell r="N5">
            <v>21</v>
          </cell>
        </row>
        <row r="6">
          <cell r="A6">
            <v>2.99</v>
          </cell>
          <cell r="B6">
            <v>50</v>
          </cell>
          <cell r="C6">
            <v>2.99</v>
          </cell>
          <cell r="D6">
            <v>41</v>
          </cell>
          <cell r="E6">
            <v>2.99</v>
          </cell>
          <cell r="F6">
            <v>55</v>
          </cell>
          <cell r="G6">
            <v>2.99</v>
          </cell>
          <cell r="H6">
            <v>43</v>
          </cell>
          <cell r="I6">
            <v>2.99</v>
          </cell>
          <cell r="J6">
            <v>48</v>
          </cell>
          <cell r="K6">
            <v>2.99</v>
          </cell>
          <cell r="L6">
            <v>52</v>
          </cell>
          <cell r="M6">
            <v>2.99</v>
          </cell>
          <cell r="N6">
            <v>24</v>
          </cell>
        </row>
        <row r="7">
          <cell r="A7">
            <v>3.99</v>
          </cell>
          <cell r="B7">
            <v>73</v>
          </cell>
          <cell r="C7">
            <v>3.99</v>
          </cell>
          <cell r="D7">
            <v>57</v>
          </cell>
          <cell r="E7">
            <v>3.99</v>
          </cell>
          <cell r="F7">
            <v>81</v>
          </cell>
          <cell r="G7">
            <v>3.99</v>
          </cell>
          <cell r="H7">
            <v>59</v>
          </cell>
          <cell r="I7">
            <v>3.99</v>
          </cell>
          <cell r="J7">
            <v>68</v>
          </cell>
          <cell r="K7">
            <v>3.99</v>
          </cell>
          <cell r="L7">
            <v>75</v>
          </cell>
          <cell r="M7">
            <v>3.99</v>
          </cell>
          <cell r="N7">
            <v>28</v>
          </cell>
        </row>
        <row r="8">
          <cell r="A8">
            <v>4.99</v>
          </cell>
          <cell r="B8">
            <v>100</v>
          </cell>
          <cell r="C8">
            <v>4.99</v>
          </cell>
          <cell r="D8">
            <v>74</v>
          </cell>
          <cell r="E8">
            <v>4.99</v>
          </cell>
          <cell r="F8">
            <v>114</v>
          </cell>
          <cell r="G8">
            <v>4.99</v>
          </cell>
          <cell r="H8">
            <v>78</v>
          </cell>
          <cell r="I8">
            <v>4.99</v>
          </cell>
          <cell r="J8">
            <v>92</v>
          </cell>
          <cell r="K8">
            <v>4.99</v>
          </cell>
          <cell r="L8">
            <v>104</v>
          </cell>
          <cell r="M8">
            <v>4.99</v>
          </cell>
          <cell r="N8">
            <v>34</v>
          </cell>
        </row>
        <row r="9">
          <cell r="A9">
            <v>5.99</v>
          </cell>
          <cell r="B9">
            <v>130</v>
          </cell>
          <cell r="C9">
            <v>5.99</v>
          </cell>
          <cell r="D9">
            <v>94</v>
          </cell>
          <cell r="E9">
            <v>5.99</v>
          </cell>
          <cell r="F9">
            <v>150</v>
          </cell>
          <cell r="G9">
            <v>5.99</v>
          </cell>
          <cell r="H9">
            <v>99</v>
          </cell>
          <cell r="I9">
            <v>5.99</v>
          </cell>
          <cell r="J9">
            <v>121</v>
          </cell>
          <cell r="K9">
            <v>5.99</v>
          </cell>
          <cell r="L9">
            <v>135</v>
          </cell>
          <cell r="M9">
            <v>5.99</v>
          </cell>
          <cell r="N9">
            <v>40</v>
          </cell>
        </row>
        <row r="10">
          <cell r="A10">
            <v>6.99</v>
          </cell>
          <cell r="B10">
            <v>166</v>
          </cell>
          <cell r="C10">
            <v>6.99</v>
          </cell>
          <cell r="D10">
            <v>117</v>
          </cell>
          <cell r="E10">
            <v>6.99</v>
          </cell>
          <cell r="F10">
            <v>191</v>
          </cell>
          <cell r="G10">
            <v>6.99</v>
          </cell>
          <cell r="H10">
            <v>123</v>
          </cell>
          <cell r="I10">
            <v>6.99</v>
          </cell>
          <cell r="J10">
            <v>154</v>
          </cell>
          <cell r="K10">
            <v>6.99</v>
          </cell>
          <cell r="L10">
            <v>172</v>
          </cell>
          <cell r="M10">
            <v>6.99</v>
          </cell>
          <cell r="N10">
            <v>47</v>
          </cell>
        </row>
        <row r="11">
          <cell r="A11">
            <v>7</v>
          </cell>
          <cell r="B11">
            <v>206</v>
          </cell>
          <cell r="C11">
            <v>7</v>
          </cell>
          <cell r="D11">
            <v>141</v>
          </cell>
          <cell r="E11">
            <v>7</v>
          </cell>
          <cell r="F11">
            <v>237</v>
          </cell>
          <cell r="G11">
            <v>7</v>
          </cell>
          <cell r="H11">
            <v>150</v>
          </cell>
          <cell r="I11">
            <v>7</v>
          </cell>
          <cell r="J11">
            <v>190</v>
          </cell>
          <cell r="K11">
            <v>7</v>
          </cell>
          <cell r="L11">
            <v>213</v>
          </cell>
          <cell r="M11">
            <v>7</v>
          </cell>
          <cell r="N11">
            <v>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6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2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" type="button" dataOnly="0" labelOnly="1" outline="0"/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86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8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field="2" type="button" dataOnly="0" labelOnly="1" outline="0" axis="axisRow" fieldPosition="0"/>
    </format>
    <format dxfId="81">
      <pivotArea dataOnly="0" labelOnly="1" grandRow="1" outline="0" fieldPosition="0"/>
    </format>
    <format dxfId="80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78">
      <pivotArea field="2" type="button" dataOnly="0" labelOnly="1" outline="0" axis="axisRow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7"/>
  <sheetViews>
    <sheetView workbookViewId="0">
      <selection activeCell="K10" sqref="K10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6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439" t="s">
        <v>0</v>
      </c>
      <c r="B1" s="439"/>
      <c r="C1" s="439"/>
      <c r="E1" s="440" t="s">
        <v>1</v>
      </c>
      <c r="F1" s="440"/>
      <c r="G1" s="440"/>
      <c r="H1" s="440"/>
    </row>
    <row r="2" spans="1:21" x14ac:dyDescent="0.25">
      <c r="A2" s="441">
        <v>45194</v>
      </c>
      <c r="B2" s="441"/>
      <c r="C2" s="441"/>
      <c r="E2" s="56" t="s">
        <v>2</v>
      </c>
      <c r="F2" s="2" t="s">
        <v>3</v>
      </c>
      <c r="G2" s="70">
        <v>43276</v>
      </c>
      <c r="H2" t="s">
        <v>4</v>
      </c>
    </row>
    <row r="3" spans="1:21" x14ac:dyDescent="0.25">
      <c r="E3" s="56" t="s">
        <v>5</v>
      </c>
      <c r="F3" s="127" t="s">
        <v>6</v>
      </c>
      <c r="G3" s="70">
        <v>43258</v>
      </c>
      <c r="H3" t="s">
        <v>7</v>
      </c>
    </row>
    <row r="4" spans="1:21" s="237" customFormat="1" ht="10.5" customHeight="1" x14ac:dyDescent="0.3"/>
    <row r="5" spans="1:21" s="237" customFormat="1" ht="18.75" x14ac:dyDescent="0.3">
      <c r="B5" s="438" t="s">
        <v>8</v>
      </c>
      <c r="C5" s="438"/>
      <c r="D5" s="238"/>
      <c r="G5" s="438" t="s">
        <v>9</v>
      </c>
      <c r="H5" s="438"/>
      <c r="I5" s="438"/>
      <c r="J5" s="239"/>
      <c r="K5" s="239"/>
      <c r="L5" s="438" t="s">
        <v>10</v>
      </c>
      <c r="M5" s="438"/>
      <c r="N5" s="238"/>
      <c r="O5" s="240" t="s">
        <v>11</v>
      </c>
      <c r="S5" s="438" t="s">
        <v>12</v>
      </c>
      <c r="T5" s="438"/>
    </row>
    <row r="6" spans="1:21" s="238" customFormat="1" x14ac:dyDescent="0.25">
      <c r="A6" s="238">
        <v>1</v>
      </c>
      <c r="B6" s="393">
        <v>140</v>
      </c>
      <c r="C6" s="250" t="s">
        <v>31</v>
      </c>
      <c r="D6" s="251" t="s">
        <v>14</v>
      </c>
      <c r="F6" s="243">
        <v>1</v>
      </c>
      <c r="G6" s="264">
        <v>436</v>
      </c>
      <c r="H6" s="260" t="s">
        <v>15</v>
      </c>
      <c r="I6" s="260" t="s">
        <v>16</v>
      </c>
      <c r="K6" s="243">
        <v>1</v>
      </c>
      <c r="L6" s="264">
        <v>283</v>
      </c>
      <c r="M6" s="260" t="s">
        <v>17</v>
      </c>
      <c r="N6" s="260" t="s">
        <v>18</v>
      </c>
      <c r="O6" s="279">
        <f>L6/G9</f>
        <v>0.80857142857142861</v>
      </c>
      <c r="P6" s="260"/>
      <c r="R6" s="238">
        <v>1</v>
      </c>
      <c r="S6" s="244" t="s">
        <v>19</v>
      </c>
      <c r="T6" s="245" t="s">
        <v>20</v>
      </c>
      <c r="U6" s="246" t="s">
        <v>21</v>
      </c>
    </row>
    <row r="7" spans="1:21" s="238" customFormat="1" x14ac:dyDescent="0.25">
      <c r="A7" s="238">
        <v>2</v>
      </c>
      <c r="B7" s="241">
        <v>129</v>
      </c>
      <c r="C7" s="242" t="s">
        <v>13</v>
      </c>
      <c r="D7" s="242" t="s">
        <v>14</v>
      </c>
      <c r="F7" s="243">
        <v>2</v>
      </c>
      <c r="G7" s="264">
        <v>419</v>
      </c>
      <c r="H7" s="260" t="s">
        <v>23</v>
      </c>
      <c r="I7" s="261" t="s">
        <v>24</v>
      </c>
      <c r="K7" s="243">
        <v>2</v>
      </c>
      <c r="L7" s="187">
        <v>136</v>
      </c>
      <c r="M7" s="188" t="s">
        <v>65</v>
      </c>
      <c r="N7" s="188" t="s">
        <v>28</v>
      </c>
      <c r="O7" s="189">
        <f>L7/G16</f>
        <v>0.47719298245614034</v>
      </c>
      <c r="P7" s="188"/>
      <c r="R7" s="238">
        <v>2</v>
      </c>
      <c r="S7" s="248" t="s">
        <v>25</v>
      </c>
      <c r="T7" s="242" t="s">
        <v>13</v>
      </c>
      <c r="U7" s="242" t="s">
        <v>14</v>
      </c>
    </row>
    <row r="8" spans="1:21" s="238" customFormat="1" x14ac:dyDescent="0.25">
      <c r="A8" s="238">
        <v>3</v>
      </c>
      <c r="B8" s="247">
        <v>66</v>
      </c>
      <c r="C8" s="245" t="s">
        <v>22</v>
      </c>
      <c r="D8" s="246" t="s">
        <v>14</v>
      </c>
      <c r="F8" s="243">
        <v>3</v>
      </c>
      <c r="G8" s="264">
        <v>364</v>
      </c>
      <c r="H8" s="260" t="s">
        <v>27</v>
      </c>
      <c r="I8" s="261" t="s">
        <v>28</v>
      </c>
      <c r="K8" s="243">
        <v>3</v>
      </c>
      <c r="L8" s="264">
        <v>132</v>
      </c>
      <c r="M8" s="260" t="s">
        <v>15</v>
      </c>
      <c r="N8" s="260" t="s">
        <v>16</v>
      </c>
      <c r="O8" s="279">
        <f>L8/G6</f>
        <v>0.30275229357798167</v>
      </c>
      <c r="P8" s="260"/>
      <c r="R8" s="238">
        <v>2</v>
      </c>
      <c r="S8" s="259" t="s">
        <v>25</v>
      </c>
      <c r="T8" s="260" t="s">
        <v>15</v>
      </c>
      <c r="U8" s="260" t="s">
        <v>16</v>
      </c>
    </row>
    <row r="9" spans="1:21" s="237" customFormat="1" ht="18.75" x14ac:dyDescent="0.3">
      <c r="A9" s="238">
        <v>4</v>
      </c>
      <c r="B9" s="244">
        <v>46</v>
      </c>
      <c r="C9" s="245" t="s">
        <v>26</v>
      </c>
      <c r="D9" s="246" t="s">
        <v>14</v>
      </c>
      <c r="F9" s="243">
        <v>4</v>
      </c>
      <c r="G9" s="252">
        <v>350</v>
      </c>
      <c r="H9" s="253" t="s">
        <v>32</v>
      </c>
      <c r="I9" s="254" t="s">
        <v>18</v>
      </c>
      <c r="K9" s="243">
        <v>3</v>
      </c>
      <c r="L9" s="264">
        <v>132</v>
      </c>
      <c r="M9" s="260" t="s">
        <v>29</v>
      </c>
      <c r="N9" s="260" t="s">
        <v>30</v>
      </c>
      <c r="O9" s="279">
        <f>L9/G10</f>
        <v>0.38709677419354838</v>
      </c>
      <c r="P9" s="260"/>
      <c r="R9" s="238">
        <v>2</v>
      </c>
      <c r="S9" s="259" t="s">
        <v>25</v>
      </c>
      <c r="T9" s="260" t="s">
        <v>27</v>
      </c>
      <c r="U9" s="261" t="s">
        <v>28</v>
      </c>
    </row>
    <row r="10" spans="1:21" s="238" customFormat="1" x14ac:dyDescent="0.25">
      <c r="A10" s="238">
        <v>5</v>
      </c>
      <c r="B10" s="249">
        <v>11</v>
      </c>
      <c r="C10" s="250" t="s">
        <v>726</v>
      </c>
      <c r="D10" s="251" t="s">
        <v>14</v>
      </c>
      <c r="F10" s="243">
        <v>5</v>
      </c>
      <c r="G10" s="259">
        <v>341</v>
      </c>
      <c r="H10" s="260" t="s">
        <v>29</v>
      </c>
      <c r="I10" s="260" t="s">
        <v>30</v>
      </c>
      <c r="K10" s="243">
        <v>5</v>
      </c>
      <c r="L10" s="252">
        <v>100</v>
      </c>
      <c r="M10" s="253" t="s">
        <v>33</v>
      </c>
      <c r="N10" s="253" t="s">
        <v>28</v>
      </c>
      <c r="O10" s="255">
        <f>L10/G12</f>
        <v>0.31948881789137379</v>
      </c>
      <c r="P10" s="253"/>
      <c r="R10" s="238">
        <v>2</v>
      </c>
      <c r="S10" s="244" t="s">
        <v>25</v>
      </c>
      <c r="T10" s="245" t="s">
        <v>35</v>
      </c>
      <c r="U10" s="245" t="s">
        <v>21</v>
      </c>
    </row>
    <row r="11" spans="1:21" s="238" customFormat="1" x14ac:dyDescent="0.25">
      <c r="A11" s="238">
        <v>5</v>
      </c>
      <c r="B11" s="259">
        <v>9</v>
      </c>
      <c r="C11" s="260" t="s">
        <v>623</v>
      </c>
      <c r="D11" s="261" t="s">
        <v>14</v>
      </c>
      <c r="F11" s="243">
        <v>6</v>
      </c>
      <c r="G11" s="249">
        <v>318</v>
      </c>
      <c r="H11" s="250" t="s">
        <v>13</v>
      </c>
      <c r="I11" s="250" t="s">
        <v>14</v>
      </c>
      <c r="K11" s="243">
        <v>6</v>
      </c>
      <c r="L11" s="249">
        <v>97</v>
      </c>
      <c r="M11" s="250" t="s">
        <v>58</v>
      </c>
      <c r="N11" s="250" t="s">
        <v>28</v>
      </c>
      <c r="O11" s="256">
        <f>L11/G18</f>
        <v>0.36329588014981273</v>
      </c>
      <c r="P11" s="250"/>
      <c r="R11" s="238">
        <v>2</v>
      </c>
      <c r="S11" s="244" t="s">
        <v>25</v>
      </c>
      <c r="T11" s="245" t="s">
        <v>38</v>
      </c>
      <c r="U11" s="246" t="s">
        <v>24</v>
      </c>
    </row>
    <row r="12" spans="1:21" s="238" customFormat="1" ht="18.75" x14ac:dyDescent="0.3">
      <c r="A12" s="238">
        <v>6</v>
      </c>
      <c r="B12" s="252">
        <v>2</v>
      </c>
      <c r="C12" s="253" t="s">
        <v>34</v>
      </c>
      <c r="D12" s="253" t="s">
        <v>14</v>
      </c>
      <c r="F12" s="243">
        <v>7</v>
      </c>
      <c r="G12" s="252">
        <v>313</v>
      </c>
      <c r="H12" s="253" t="s">
        <v>33</v>
      </c>
      <c r="I12" s="254" t="s">
        <v>28</v>
      </c>
      <c r="K12" s="243">
        <v>7</v>
      </c>
      <c r="L12" s="259">
        <v>95</v>
      </c>
      <c r="M12" s="260" t="s">
        <v>27</v>
      </c>
      <c r="N12" s="261" t="s">
        <v>28</v>
      </c>
      <c r="O12" s="279">
        <f>L12/G8</f>
        <v>0.26098901098901101</v>
      </c>
      <c r="P12" s="281"/>
      <c r="R12" s="238">
        <v>7</v>
      </c>
      <c r="S12" s="252" t="s">
        <v>41</v>
      </c>
      <c r="T12" s="253" t="s">
        <v>42</v>
      </c>
      <c r="U12" s="253" t="s">
        <v>37</v>
      </c>
    </row>
    <row r="13" spans="1:21" s="238" customFormat="1" ht="18.75" x14ac:dyDescent="0.3">
      <c r="A13" s="238">
        <v>7</v>
      </c>
      <c r="B13" s="252">
        <v>1</v>
      </c>
      <c r="C13" s="253" t="s">
        <v>36</v>
      </c>
      <c r="D13" s="253" t="s">
        <v>37</v>
      </c>
      <c r="F13" s="243">
        <v>8</v>
      </c>
      <c r="G13" s="252">
        <v>312</v>
      </c>
      <c r="H13" s="253" t="s">
        <v>40</v>
      </c>
      <c r="I13" s="254" t="s">
        <v>30</v>
      </c>
      <c r="J13" s="237"/>
      <c r="K13" s="243">
        <v>8</v>
      </c>
      <c r="L13" s="252">
        <v>90</v>
      </c>
      <c r="M13" s="253" t="s">
        <v>20</v>
      </c>
      <c r="N13" s="253" t="s">
        <v>21</v>
      </c>
      <c r="O13" s="255">
        <f>L13/G31</f>
        <v>0.61643835616438358</v>
      </c>
      <c r="P13" s="253">
        <v>169</v>
      </c>
      <c r="Q13" s="237"/>
      <c r="R13" s="238">
        <v>7</v>
      </c>
      <c r="S13" s="252" t="s">
        <v>41</v>
      </c>
      <c r="T13" s="253" t="s">
        <v>33</v>
      </c>
      <c r="U13" s="254" t="s">
        <v>28</v>
      </c>
    </row>
    <row r="14" spans="1:21" s="238" customFormat="1" ht="18.75" x14ac:dyDescent="0.3">
      <c r="A14" s="238">
        <v>7</v>
      </c>
      <c r="B14" s="252">
        <v>1</v>
      </c>
      <c r="C14" s="253" t="s">
        <v>39</v>
      </c>
      <c r="D14" s="253" t="s">
        <v>24</v>
      </c>
      <c r="E14" s="237"/>
      <c r="F14" s="243">
        <v>9</v>
      </c>
      <c r="G14" s="252">
        <v>299</v>
      </c>
      <c r="H14" s="253" t="s">
        <v>43</v>
      </c>
      <c r="I14" s="254" t="s">
        <v>28</v>
      </c>
      <c r="K14" s="243">
        <v>9</v>
      </c>
      <c r="L14" s="252">
        <v>85</v>
      </c>
      <c r="M14" s="253" t="s">
        <v>40</v>
      </c>
      <c r="N14" s="254" t="s">
        <v>30</v>
      </c>
      <c r="O14" s="255">
        <f>L14/G13</f>
        <v>0.27243589743589741</v>
      </c>
      <c r="P14" s="257"/>
      <c r="R14" s="238">
        <v>7</v>
      </c>
      <c r="S14" s="252" t="s">
        <v>41</v>
      </c>
      <c r="T14" s="253" t="s">
        <v>23</v>
      </c>
      <c r="U14" s="254" t="s">
        <v>24</v>
      </c>
    </row>
    <row r="15" spans="1:21" s="238" customFormat="1" x14ac:dyDescent="0.25">
      <c r="A15" s="238">
        <v>7</v>
      </c>
      <c r="B15" s="259">
        <v>1</v>
      </c>
      <c r="C15" s="260" t="s">
        <v>79</v>
      </c>
      <c r="D15" s="261" t="s">
        <v>37</v>
      </c>
      <c r="F15" s="243">
        <v>10</v>
      </c>
      <c r="G15" s="252">
        <v>285</v>
      </c>
      <c r="H15" s="253" t="s">
        <v>44</v>
      </c>
      <c r="I15" s="254" t="s">
        <v>28</v>
      </c>
      <c r="K15" s="243">
        <v>9</v>
      </c>
      <c r="L15" s="252">
        <v>85</v>
      </c>
      <c r="M15" s="253" t="s">
        <v>44</v>
      </c>
      <c r="N15" s="254" t="s">
        <v>28</v>
      </c>
      <c r="O15" s="255">
        <f>L15/G15</f>
        <v>0.2982456140350877</v>
      </c>
      <c r="P15" s="253"/>
      <c r="R15" s="238">
        <v>7</v>
      </c>
      <c r="S15" s="249" t="s">
        <v>41</v>
      </c>
      <c r="T15" s="188" t="s">
        <v>689</v>
      </c>
      <c r="U15" s="188" t="s">
        <v>28</v>
      </c>
    </row>
    <row r="16" spans="1:21" s="238" customFormat="1" ht="18.75" x14ac:dyDescent="0.3">
      <c r="A16" s="237"/>
      <c r="B16" s="243"/>
      <c r="C16" s="243"/>
      <c r="D16" s="243"/>
      <c r="F16" s="243">
        <v>11</v>
      </c>
      <c r="G16" s="187">
        <v>285</v>
      </c>
      <c r="H16" s="188" t="s">
        <v>65</v>
      </c>
      <c r="I16" s="188" t="s">
        <v>28</v>
      </c>
      <c r="K16" s="243">
        <v>11</v>
      </c>
      <c r="L16" s="259">
        <v>84</v>
      </c>
      <c r="M16" s="260" t="s">
        <v>23</v>
      </c>
      <c r="N16" s="261" t="s">
        <v>24</v>
      </c>
      <c r="O16" s="279">
        <f>L16/G7</f>
        <v>0.20047732696897375</v>
      </c>
      <c r="P16" s="260"/>
      <c r="R16" s="238">
        <v>11</v>
      </c>
      <c r="S16" s="249" t="s">
        <v>41</v>
      </c>
      <c r="T16" s="250" t="s">
        <v>690</v>
      </c>
      <c r="U16" s="251" t="s">
        <v>28</v>
      </c>
    </row>
    <row r="17" spans="1:21" s="238" customFormat="1" ht="18.75" x14ac:dyDescent="0.3">
      <c r="B17" s="258" t="s">
        <v>45</v>
      </c>
      <c r="C17" s="258"/>
      <c r="F17" s="243">
        <v>12</v>
      </c>
      <c r="G17" s="252">
        <v>277</v>
      </c>
      <c r="H17" s="253" t="s">
        <v>46</v>
      </c>
      <c r="I17" s="254" t="s">
        <v>24</v>
      </c>
      <c r="K17" s="243">
        <v>12</v>
      </c>
      <c r="L17" s="252">
        <v>68</v>
      </c>
      <c r="M17" s="253" t="s">
        <v>46</v>
      </c>
      <c r="N17" s="254" t="s">
        <v>24</v>
      </c>
      <c r="O17" s="255">
        <f>L17/G17</f>
        <v>0.24548736462093862</v>
      </c>
      <c r="P17" s="253"/>
      <c r="R17" s="238">
        <v>11</v>
      </c>
      <c r="S17" s="259" t="s">
        <v>47</v>
      </c>
      <c r="T17" s="260" t="s">
        <v>29</v>
      </c>
      <c r="U17" s="261" t="s">
        <v>30</v>
      </c>
    </row>
    <row r="18" spans="1:21" s="238" customFormat="1" x14ac:dyDescent="0.25">
      <c r="A18" s="238">
        <v>1</v>
      </c>
      <c r="B18" s="248">
        <v>267</v>
      </c>
      <c r="C18" s="242" t="s">
        <v>13</v>
      </c>
      <c r="D18" s="242" t="s">
        <v>14</v>
      </c>
      <c r="F18" s="243">
        <v>13</v>
      </c>
      <c r="G18" s="187">
        <v>267</v>
      </c>
      <c r="H18" s="188" t="s">
        <v>58</v>
      </c>
      <c r="I18" s="188" t="s">
        <v>28</v>
      </c>
      <c r="K18" s="243">
        <v>13</v>
      </c>
      <c r="L18" s="187">
        <v>68</v>
      </c>
      <c r="M18" s="188" t="s">
        <v>72</v>
      </c>
      <c r="N18" s="188" t="s">
        <v>28</v>
      </c>
      <c r="O18" s="189">
        <f>L18/G21</f>
        <v>0.26771653543307089</v>
      </c>
      <c r="P18" s="188"/>
      <c r="R18" s="238">
        <v>11</v>
      </c>
      <c r="S18" s="252" t="s">
        <v>47</v>
      </c>
      <c r="T18" s="253" t="s">
        <v>40</v>
      </c>
      <c r="U18" s="254" t="s">
        <v>30</v>
      </c>
    </row>
    <row r="19" spans="1:21" s="238" customFormat="1" x14ac:dyDescent="0.25">
      <c r="A19" s="238">
        <v>2</v>
      </c>
      <c r="B19" s="187">
        <v>121</v>
      </c>
      <c r="C19" s="188" t="s">
        <v>58</v>
      </c>
      <c r="D19" s="188" t="s">
        <v>28</v>
      </c>
      <c r="F19" s="243">
        <v>14</v>
      </c>
      <c r="G19" s="187">
        <v>255</v>
      </c>
      <c r="H19" s="188" t="s">
        <v>68</v>
      </c>
      <c r="I19" s="188" t="s">
        <v>28</v>
      </c>
      <c r="K19" s="243">
        <v>14</v>
      </c>
      <c r="L19" s="187">
        <v>66</v>
      </c>
      <c r="M19" s="188" t="s">
        <v>66</v>
      </c>
      <c r="N19" s="188" t="s">
        <v>28</v>
      </c>
      <c r="O19" s="189">
        <f>L19/G22</f>
        <v>0.26190476190476192</v>
      </c>
      <c r="P19" s="188"/>
      <c r="R19" s="238">
        <v>11</v>
      </c>
      <c r="S19" s="259" t="s">
        <v>47</v>
      </c>
      <c r="T19" s="263" t="s">
        <v>553</v>
      </c>
      <c r="U19" s="261" t="s">
        <v>28</v>
      </c>
    </row>
    <row r="20" spans="1:21" s="238" customFormat="1" x14ac:dyDescent="0.25">
      <c r="A20" s="238">
        <v>3</v>
      </c>
      <c r="B20" s="244">
        <v>88</v>
      </c>
      <c r="C20" s="245" t="s">
        <v>26</v>
      </c>
      <c r="D20" s="246" t="s">
        <v>14</v>
      </c>
      <c r="F20" s="243">
        <v>14</v>
      </c>
      <c r="G20" s="187">
        <v>254</v>
      </c>
      <c r="H20" s="260" t="s">
        <v>31</v>
      </c>
      <c r="I20" s="261" t="s">
        <v>14</v>
      </c>
      <c r="K20" s="243">
        <v>14</v>
      </c>
      <c r="L20" s="249">
        <v>63</v>
      </c>
      <c r="M20" s="260" t="s">
        <v>48</v>
      </c>
      <c r="N20" s="261" t="s">
        <v>18</v>
      </c>
      <c r="O20" s="279">
        <f>L20/G32</f>
        <v>0.4315068493150685</v>
      </c>
      <c r="P20" s="260"/>
      <c r="R20" s="238">
        <v>11</v>
      </c>
      <c r="S20" s="259" t="s">
        <v>47</v>
      </c>
      <c r="T20" s="263" t="s">
        <v>593</v>
      </c>
      <c r="U20" s="261" t="s">
        <v>28</v>
      </c>
    </row>
    <row r="21" spans="1:21" s="238" customFormat="1" x14ac:dyDescent="0.25">
      <c r="A21" s="238">
        <v>4</v>
      </c>
      <c r="B21" s="244">
        <v>83</v>
      </c>
      <c r="C21" s="245" t="s">
        <v>23</v>
      </c>
      <c r="D21" s="246" t="s">
        <v>24</v>
      </c>
      <c r="F21" s="243">
        <v>14</v>
      </c>
      <c r="G21" s="187">
        <v>254</v>
      </c>
      <c r="H21" s="188" t="s">
        <v>72</v>
      </c>
      <c r="I21" s="188" t="s">
        <v>28</v>
      </c>
      <c r="K21" s="243">
        <v>16</v>
      </c>
      <c r="L21" s="252">
        <v>61</v>
      </c>
      <c r="M21" s="253" t="s">
        <v>43</v>
      </c>
      <c r="N21" s="253" t="s">
        <v>28</v>
      </c>
      <c r="O21" s="255">
        <f>L21/G14</f>
        <v>0.20401337792642141</v>
      </c>
      <c r="P21" s="253"/>
      <c r="R21" s="238">
        <v>11</v>
      </c>
      <c r="S21" s="259" t="s">
        <v>47</v>
      </c>
      <c r="T21" s="263" t="s">
        <v>64</v>
      </c>
      <c r="U21" s="263" t="s">
        <v>28</v>
      </c>
    </row>
    <row r="22" spans="1:21" s="238" customFormat="1" x14ac:dyDescent="0.25">
      <c r="A22" s="238">
        <v>5</v>
      </c>
      <c r="B22" s="259">
        <v>42</v>
      </c>
      <c r="C22" s="260" t="s">
        <v>51</v>
      </c>
      <c r="D22" s="260" t="s">
        <v>28</v>
      </c>
      <c r="F22" s="243">
        <v>17</v>
      </c>
      <c r="G22" s="187">
        <v>252</v>
      </c>
      <c r="H22" s="188" t="s">
        <v>66</v>
      </c>
      <c r="I22" s="188" t="s">
        <v>28</v>
      </c>
      <c r="K22" s="243">
        <v>17</v>
      </c>
      <c r="L22" s="187">
        <v>57</v>
      </c>
      <c r="M22" s="188" t="s">
        <v>68</v>
      </c>
      <c r="N22" s="188" t="s">
        <v>28</v>
      </c>
      <c r="O22" s="189">
        <f>L22/G19</f>
        <v>0.22352941176470589</v>
      </c>
      <c r="P22" s="188"/>
      <c r="R22" s="238">
        <v>11</v>
      </c>
      <c r="S22" s="249" t="s">
        <v>47</v>
      </c>
      <c r="T22" s="250" t="s">
        <v>622</v>
      </c>
      <c r="U22" s="251" t="s">
        <v>28</v>
      </c>
    </row>
    <row r="23" spans="1:21" s="238" customFormat="1" x14ac:dyDescent="0.25">
      <c r="A23" s="238">
        <v>6</v>
      </c>
      <c r="B23" s="259">
        <v>38</v>
      </c>
      <c r="C23" s="260" t="s">
        <v>552</v>
      </c>
      <c r="D23" s="261" t="s">
        <v>28</v>
      </c>
      <c r="F23" s="243">
        <v>18</v>
      </c>
      <c r="G23" s="262">
        <v>233</v>
      </c>
      <c r="H23" s="263" t="s">
        <v>64</v>
      </c>
      <c r="I23" s="263" t="s">
        <v>28</v>
      </c>
      <c r="K23" s="243">
        <v>18</v>
      </c>
      <c r="L23" s="252">
        <v>53</v>
      </c>
      <c r="M23" s="253" t="s">
        <v>36</v>
      </c>
      <c r="N23" s="253" t="s">
        <v>37</v>
      </c>
      <c r="O23" s="255">
        <f>L23/G26</f>
        <v>0.26237623762376239</v>
      </c>
      <c r="P23" s="253"/>
      <c r="R23" s="238">
        <v>18</v>
      </c>
      <c r="S23" s="249" t="s">
        <v>47</v>
      </c>
      <c r="T23" s="250" t="s">
        <v>680</v>
      </c>
      <c r="U23" s="251" t="s">
        <v>28</v>
      </c>
    </row>
    <row r="24" spans="1:21" s="238" customFormat="1" x14ac:dyDescent="0.25">
      <c r="A24" s="238">
        <v>7</v>
      </c>
      <c r="B24" s="262">
        <v>26</v>
      </c>
      <c r="C24" s="263" t="s">
        <v>450</v>
      </c>
      <c r="D24" s="263" t="s">
        <v>28</v>
      </c>
      <c r="F24" s="243">
        <v>19</v>
      </c>
      <c r="G24" s="187">
        <v>227</v>
      </c>
      <c r="H24" s="188" t="s">
        <v>449</v>
      </c>
      <c r="I24" s="188" t="s">
        <v>37</v>
      </c>
      <c r="K24" s="243">
        <v>19</v>
      </c>
      <c r="L24" s="187">
        <v>43</v>
      </c>
      <c r="M24" s="263" t="s">
        <v>64</v>
      </c>
      <c r="N24" s="263" t="s">
        <v>28</v>
      </c>
      <c r="O24" s="280">
        <f>L24/G23</f>
        <v>0.18454935622317598</v>
      </c>
      <c r="P24" s="263"/>
      <c r="R24" s="238">
        <v>18</v>
      </c>
      <c r="S24" s="252" t="s">
        <v>49</v>
      </c>
      <c r="T24" s="253" t="s">
        <v>44</v>
      </c>
      <c r="U24" s="254" t="s">
        <v>28</v>
      </c>
    </row>
    <row r="25" spans="1:21" x14ac:dyDescent="0.25">
      <c r="A25" s="238">
        <v>8</v>
      </c>
      <c r="B25" s="252">
        <v>21</v>
      </c>
      <c r="C25" s="253" t="s">
        <v>50</v>
      </c>
      <c r="D25" s="253" t="s">
        <v>30</v>
      </c>
      <c r="E25" s="238"/>
      <c r="F25" s="243">
        <v>20</v>
      </c>
      <c r="G25" s="187">
        <v>208</v>
      </c>
      <c r="H25" s="188" t="s">
        <v>74</v>
      </c>
      <c r="I25" s="188" t="s">
        <v>37</v>
      </c>
      <c r="K25" s="243">
        <v>20</v>
      </c>
      <c r="L25" s="252">
        <v>33</v>
      </c>
      <c r="M25" s="253" t="s">
        <v>42</v>
      </c>
      <c r="N25" s="253" t="s">
        <v>37</v>
      </c>
      <c r="O25" s="255">
        <f>L25/G31</f>
        <v>0.22602739726027396</v>
      </c>
      <c r="P25" s="253">
        <v>79</v>
      </c>
      <c r="R25" s="238">
        <v>18</v>
      </c>
      <c r="S25" s="252" t="s">
        <v>49</v>
      </c>
      <c r="T25" s="253" t="s">
        <v>43</v>
      </c>
      <c r="U25" s="254" t="s">
        <v>28</v>
      </c>
    </row>
    <row r="26" spans="1:21" x14ac:dyDescent="0.25">
      <c r="A26" s="238">
        <v>9</v>
      </c>
      <c r="B26" s="434">
        <v>19</v>
      </c>
      <c r="C26" s="424" t="s">
        <v>680</v>
      </c>
      <c r="D26" s="425" t="s">
        <v>28</v>
      </c>
      <c r="F26" s="243">
        <v>21</v>
      </c>
      <c r="G26" s="252">
        <v>202</v>
      </c>
      <c r="H26" s="253" t="s">
        <v>36</v>
      </c>
      <c r="I26" s="254" t="s">
        <v>24</v>
      </c>
      <c r="K26" s="243">
        <v>21</v>
      </c>
      <c r="L26" s="187">
        <v>33</v>
      </c>
      <c r="M26" s="188" t="s">
        <v>74</v>
      </c>
      <c r="N26" s="188" t="s">
        <v>37</v>
      </c>
      <c r="O26" s="189">
        <f>L26/G25</f>
        <v>0.15865384615384615</v>
      </c>
      <c r="P26" s="253"/>
      <c r="R26" s="238">
        <v>18</v>
      </c>
      <c r="S26" s="252" t="s">
        <v>49</v>
      </c>
      <c r="T26" s="253" t="s">
        <v>32</v>
      </c>
      <c r="U26" s="254" t="s">
        <v>18</v>
      </c>
    </row>
    <row r="27" spans="1:21" x14ac:dyDescent="0.25">
      <c r="A27" s="238">
        <v>9</v>
      </c>
      <c r="B27" s="252">
        <v>10</v>
      </c>
      <c r="C27" s="253" t="s">
        <v>32</v>
      </c>
      <c r="D27" s="254" t="s">
        <v>18</v>
      </c>
      <c r="F27" s="243">
        <v>21</v>
      </c>
      <c r="G27" s="252">
        <v>202</v>
      </c>
      <c r="H27" s="253" t="s">
        <v>22</v>
      </c>
      <c r="I27" s="254" t="s">
        <v>14</v>
      </c>
      <c r="K27" s="243">
        <v>22</v>
      </c>
      <c r="L27" s="252">
        <v>32</v>
      </c>
      <c r="M27" s="253" t="s">
        <v>35</v>
      </c>
      <c r="N27" s="253" t="s">
        <v>21</v>
      </c>
      <c r="O27" s="255"/>
      <c r="P27" s="253"/>
      <c r="R27" s="238">
        <v>18</v>
      </c>
      <c r="S27" s="259" t="s">
        <v>49</v>
      </c>
      <c r="T27" s="260" t="s">
        <v>31</v>
      </c>
      <c r="U27" s="261" t="s">
        <v>14</v>
      </c>
    </row>
    <row r="28" spans="1:21" x14ac:dyDescent="0.25">
      <c r="A28" s="238">
        <v>11</v>
      </c>
      <c r="B28" s="252">
        <v>8</v>
      </c>
      <c r="C28" s="253" t="s">
        <v>33</v>
      </c>
      <c r="D28" s="254" t="s">
        <v>28</v>
      </c>
      <c r="F28" s="243">
        <v>21</v>
      </c>
      <c r="G28" s="252">
        <v>172</v>
      </c>
      <c r="H28" s="253" t="s">
        <v>42</v>
      </c>
      <c r="I28" s="253" t="s">
        <v>37</v>
      </c>
      <c r="K28" s="243">
        <v>23</v>
      </c>
      <c r="L28" s="249">
        <v>32</v>
      </c>
      <c r="M28" s="188" t="s">
        <v>449</v>
      </c>
      <c r="N28" s="188" t="s">
        <v>37</v>
      </c>
      <c r="O28" s="256">
        <f>L28/G24</f>
        <v>0.14096916299559473</v>
      </c>
      <c r="P28" s="250"/>
      <c r="R28" s="238">
        <v>18</v>
      </c>
      <c r="S28" s="249" t="s">
        <v>49</v>
      </c>
      <c r="T28" s="250" t="s">
        <v>726</v>
      </c>
      <c r="U28" s="251" t="s">
        <v>14</v>
      </c>
    </row>
    <row r="29" spans="1:21" x14ac:dyDescent="0.25">
      <c r="A29" s="238">
        <v>11</v>
      </c>
      <c r="B29" s="259">
        <v>8</v>
      </c>
      <c r="C29" s="263" t="s">
        <v>593</v>
      </c>
      <c r="D29" s="261" t="s">
        <v>28</v>
      </c>
      <c r="F29" s="243">
        <v>24</v>
      </c>
      <c r="G29" s="187">
        <v>156</v>
      </c>
      <c r="H29" s="188" t="s">
        <v>455</v>
      </c>
      <c r="I29" s="188" t="s">
        <v>37</v>
      </c>
      <c r="K29" s="243">
        <v>23</v>
      </c>
      <c r="L29" s="252">
        <v>27</v>
      </c>
      <c r="M29" s="253" t="s">
        <v>53</v>
      </c>
      <c r="N29" s="253" t="s">
        <v>28</v>
      </c>
      <c r="O29" s="255">
        <f>L29/G35</f>
        <v>0.24324324324324326</v>
      </c>
      <c r="P29" s="253"/>
      <c r="R29" s="238">
        <v>18</v>
      </c>
      <c r="S29" s="249" t="s">
        <v>49</v>
      </c>
      <c r="T29" s="188" t="s">
        <v>65</v>
      </c>
      <c r="U29" s="251" t="s">
        <v>28</v>
      </c>
    </row>
    <row r="30" spans="1:21" x14ac:dyDescent="0.25">
      <c r="A30" s="238">
        <v>13</v>
      </c>
      <c r="B30" s="252">
        <v>6</v>
      </c>
      <c r="C30" s="253" t="s">
        <v>55</v>
      </c>
      <c r="D30" s="254" t="s">
        <v>28</v>
      </c>
      <c r="F30" s="243">
        <v>24</v>
      </c>
      <c r="G30" s="252">
        <v>146</v>
      </c>
      <c r="H30" s="253" t="s">
        <v>26</v>
      </c>
      <c r="I30" s="254" t="s">
        <v>14</v>
      </c>
      <c r="K30" s="243">
        <v>25</v>
      </c>
      <c r="L30" s="249">
        <v>27</v>
      </c>
      <c r="M30" s="263" t="s">
        <v>553</v>
      </c>
      <c r="N30" s="261" t="s">
        <v>28</v>
      </c>
      <c r="O30" s="279"/>
      <c r="P30" s="260"/>
      <c r="R30" s="238">
        <v>18</v>
      </c>
      <c r="S30" s="249" t="s">
        <v>49</v>
      </c>
      <c r="T30" s="188" t="s">
        <v>66</v>
      </c>
      <c r="U30" s="251" t="s">
        <v>28</v>
      </c>
    </row>
    <row r="31" spans="1:21" x14ac:dyDescent="0.25">
      <c r="A31" s="238">
        <v>14</v>
      </c>
      <c r="B31" s="259">
        <v>5</v>
      </c>
      <c r="C31" s="260" t="s">
        <v>27</v>
      </c>
      <c r="D31" s="261" t="s">
        <v>28</v>
      </c>
      <c r="F31" s="243">
        <v>24</v>
      </c>
      <c r="G31" s="252">
        <v>146</v>
      </c>
      <c r="H31" s="253" t="s">
        <v>20</v>
      </c>
      <c r="I31" s="253" t="s">
        <v>21</v>
      </c>
      <c r="K31" s="243">
        <v>26</v>
      </c>
      <c r="L31" s="249">
        <v>24</v>
      </c>
      <c r="M31" s="260" t="s">
        <v>57</v>
      </c>
      <c r="N31" s="260" t="s">
        <v>37</v>
      </c>
      <c r="O31" s="279">
        <f>L31/G34</f>
        <v>0.20869565217391303</v>
      </c>
      <c r="P31" s="260"/>
      <c r="R31" s="238">
        <v>18</v>
      </c>
      <c r="S31" s="249" t="s">
        <v>49</v>
      </c>
      <c r="T31" s="188" t="s">
        <v>727</v>
      </c>
      <c r="U31" s="188" t="s">
        <v>28</v>
      </c>
    </row>
    <row r="32" spans="1:21" x14ac:dyDescent="0.25">
      <c r="A32" s="238">
        <v>14</v>
      </c>
      <c r="B32" s="252">
        <v>5</v>
      </c>
      <c r="C32" s="253" t="s">
        <v>59</v>
      </c>
      <c r="D32" s="254" t="s">
        <v>28</v>
      </c>
      <c r="F32" s="243">
        <v>27</v>
      </c>
      <c r="G32" s="249">
        <v>146</v>
      </c>
      <c r="H32" s="260" t="s">
        <v>56</v>
      </c>
      <c r="I32" s="261" t="s">
        <v>18</v>
      </c>
      <c r="K32" s="243">
        <v>27</v>
      </c>
      <c r="L32" s="187">
        <v>22</v>
      </c>
      <c r="M32" s="263" t="s">
        <v>78</v>
      </c>
      <c r="N32" s="263" t="s">
        <v>37</v>
      </c>
      <c r="O32" s="280">
        <f>L32/G29</f>
        <v>0.14102564102564102</v>
      </c>
      <c r="P32" s="263"/>
      <c r="R32" s="238">
        <v>18</v>
      </c>
      <c r="S32" s="249" t="s">
        <v>49</v>
      </c>
      <c r="T32" s="188" t="s">
        <v>72</v>
      </c>
      <c r="U32" s="251" t="s">
        <v>28</v>
      </c>
    </row>
    <row r="33" spans="1:21" x14ac:dyDescent="0.25">
      <c r="A33" s="238">
        <v>16</v>
      </c>
      <c r="B33" s="183">
        <v>4</v>
      </c>
      <c r="C33" s="184" t="s">
        <v>62</v>
      </c>
      <c r="D33" s="185" t="s">
        <v>18</v>
      </c>
      <c r="F33" s="243">
        <v>28</v>
      </c>
      <c r="G33" s="187">
        <v>121</v>
      </c>
      <c r="H33" s="263" t="s">
        <v>77</v>
      </c>
      <c r="I33" s="263" t="s">
        <v>37</v>
      </c>
      <c r="K33" s="243">
        <v>28</v>
      </c>
      <c r="L33" s="252">
        <v>19</v>
      </c>
      <c r="M33" s="253" t="s">
        <v>60</v>
      </c>
      <c r="N33" s="254" t="s">
        <v>61</v>
      </c>
      <c r="O33" s="255"/>
      <c r="P33" s="263"/>
      <c r="R33" s="238">
        <v>28</v>
      </c>
      <c r="S33" s="259" t="s">
        <v>572</v>
      </c>
      <c r="T33" s="260" t="s">
        <v>552</v>
      </c>
      <c r="U33" s="261" t="s">
        <v>28</v>
      </c>
    </row>
    <row r="34" spans="1:21" x14ac:dyDescent="0.25">
      <c r="A34" s="238">
        <v>17</v>
      </c>
      <c r="B34" s="262">
        <v>3</v>
      </c>
      <c r="C34" s="263" t="s">
        <v>56</v>
      </c>
      <c r="D34" s="421" t="s">
        <v>18</v>
      </c>
      <c r="F34" s="243">
        <v>29</v>
      </c>
      <c r="G34" s="249">
        <v>115</v>
      </c>
      <c r="H34" s="260" t="s">
        <v>57</v>
      </c>
      <c r="I34" s="260" t="s">
        <v>24</v>
      </c>
      <c r="K34" s="243">
        <v>29</v>
      </c>
      <c r="L34" s="259">
        <v>19</v>
      </c>
      <c r="M34" s="424" t="s">
        <v>622</v>
      </c>
      <c r="N34" s="425" t="s">
        <v>28</v>
      </c>
      <c r="O34" s="426"/>
      <c r="P34" s="424"/>
      <c r="R34" s="238">
        <v>28</v>
      </c>
      <c r="S34" s="259" t="s">
        <v>572</v>
      </c>
      <c r="T34" s="263" t="s">
        <v>454</v>
      </c>
      <c r="U34" s="261" t="s">
        <v>28</v>
      </c>
    </row>
    <row r="35" spans="1:21" x14ac:dyDescent="0.25">
      <c r="A35" s="238">
        <v>17</v>
      </c>
      <c r="B35" s="262">
        <v>3</v>
      </c>
      <c r="C35" s="263" t="s">
        <v>64</v>
      </c>
      <c r="D35" s="421" t="s">
        <v>28</v>
      </c>
      <c r="F35" s="243">
        <v>30</v>
      </c>
      <c r="G35" s="252">
        <v>111</v>
      </c>
      <c r="H35" s="253" t="s">
        <v>53</v>
      </c>
      <c r="I35" s="253" t="s">
        <v>28</v>
      </c>
      <c r="K35" s="243">
        <v>30</v>
      </c>
      <c r="L35" s="259">
        <v>18</v>
      </c>
      <c r="M35" s="250" t="s">
        <v>680</v>
      </c>
      <c r="N35" s="251" t="s">
        <v>28</v>
      </c>
      <c r="O35" s="426"/>
      <c r="P35" s="424"/>
      <c r="R35" s="238">
        <v>28</v>
      </c>
      <c r="S35" s="249" t="s">
        <v>572</v>
      </c>
      <c r="T35" s="188" t="s">
        <v>58</v>
      </c>
      <c r="U35" s="188" t="s">
        <v>28</v>
      </c>
    </row>
    <row r="36" spans="1:21" x14ac:dyDescent="0.25">
      <c r="A36" s="238">
        <v>19</v>
      </c>
      <c r="B36" s="183">
        <v>2</v>
      </c>
      <c r="C36" s="184" t="s">
        <v>22</v>
      </c>
      <c r="D36" s="185" t="s">
        <v>14</v>
      </c>
      <c r="F36" s="243">
        <v>31</v>
      </c>
      <c r="G36" s="183">
        <v>102</v>
      </c>
      <c r="H36" s="184" t="s">
        <v>553</v>
      </c>
      <c r="I36" s="184" t="s">
        <v>28</v>
      </c>
      <c r="K36" s="243">
        <v>30</v>
      </c>
      <c r="L36" s="262">
        <v>17</v>
      </c>
      <c r="M36" s="260" t="s">
        <v>552</v>
      </c>
      <c r="N36" s="261" t="s">
        <v>28</v>
      </c>
      <c r="O36" s="279"/>
      <c r="P36" s="260"/>
      <c r="R36" s="238">
        <v>28</v>
      </c>
      <c r="S36" s="249" t="s">
        <v>572</v>
      </c>
      <c r="T36" s="188" t="s">
        <v>68</v>
      </c>
      <c r="U36" s="251" t="s">
        <v>28</v>
      </c>
    </row>
    <row r="37" spans="1:21" x14ac:dyDescent="0.25">
      <c r="A37" s="238">
        <v>19</v>
      </c>
      <c r="B37" s="259">
        <v>2</v>
      </c>
      <c r="C37" s="260" t="s">
        <v>29</v>
      </c>
      <c r="D37" s="260" t="s">
        <v>30</v>
      </c>
      <c r="F37" s="243"/>
      <c r="G37" s="243"/>
      <c r="H37" s="243"/>
      <c r="I37" s="243"/>
      <c r="K37" s="243">
        <v>32</v>
      </c>
      <c r="L37" s="259">
        <v>17</v>
      </c>
      <c r="M37" s="424" t="s">
        <v>690</v>
      </c>
      <c r="N37" s="425" t="s">
        <v>28</v>
      </c>
      <c r="O37" s="436"/>
      <c r="P37" s="436"/>
      <c r="R37" s="238">
        <v>28</v>
      </c>
      <c r="S37" s="249" t="s">
        <v>572</v>
      </c>
      <c r="T37" s="188" t="s">
        <v>624</v>
      </c>
      <c r="U37" s="188" t="s">
        <v>37</v>
      </c>
    </row>
    <row r="38" spans="1:21" x14ac:dyDescent="0.25">
      <c r="A38" s="238">
        <v>21</v>
      </c>
      <c r="B38" s="183">
        <v>1</v>
      </c>
      <c r="C38" s="184" t="s">
        <v>60</v>
      </c>
      <c r="D38" s="185" t="s">
        <v>18</v>
      </c>
      <c r="F38" s="243"/>
      <c r="G38" s="243"/>
      <c r="H38" s="243"/>
      <c r="I38" s="243"/>
      <c r="K38" s="243">
        <v>32</v>
      </c>
      <c r="L38" s="183">
        <v>15</v>
      </c>
      <c r="M38" s="184" t="s">
        <v>59</v>
      </c>
      <c r="N38" s="185" t="s">
        <v>28</v>
      </c>
      <c r="O38" s="186"/>
      <c r="P38" s="184"/>
      <c r="R38" s="238">
        <v>28</v>
      </c>
      <c r="S38" s="259" t="s">
        <v>572</v>
      </c>
      <c r="T38" s="263" t="s">
        <v>594</v>
      </c>
      <c r="U38" s="261" t="s">
        <v>28</v>
      </c>
    </row>
    <row r="39" spans="1:21" x14ac:dyDescent="0.25">
      <c r="A39" s="238">
        <v>21</v>
      </c>
      <c r="B39" s="183">
        <v>1</v>
      </c>
      <c r="C39" s="184" t="s">
        <v>36</v>
      </c>
      <c r="D39" s="184" t="s">
        <v>37</v>
      </c>
      <c r="G39"/>
      <c r="K39" s="243">
        <v>32</v>
      </c>
      <c r="L39" s="187">
        <v>15</v>
      </c>
      <c r="M39" s="263" t="s">
        <v>77</v>
      </c>
      <c r="N39" s="263" t="s">
        <v>37</v>
      </c>
      <c r="O39" s="280">
        <f>L39/G33</f>
        <v>0.12396694214876033</v>
      </c>
      <c r="P39" s="263"/>
      <c r="R39" s="238">
        <v>28</v>
      </c>
      <c r="S39" s="249" t="s">
        <v>52</v>
      </c>
      <c r="T39" s="188" t="s">
        <v>449</v>
      </c>
      <c r="U39" s="188" t="s">
        <v>37</v>
      </c>
    </row>
    <row r="40" spans="1:21" x14ac:dyDescent="0.25">
      <c r="A40" s="238">
        <v>21</v>
      </c>
      <c r="B40" s="183">
        <v>1</v>
      </c>
      <c r="C40" s="184" t="s">
        <v>40</v>
      </c>
      <c r="D40" s="185" t="s">
        <v>30</v>
      </c>
      <c r="G40"/>
      <c r="K40" s="243">
        <v>35</v>
      </c>
      <c r="L40" s="249">
        <v>14</v>
      </c>
      <c r="M40" s="260" t="s">
        <v>456</v>
      </c>
      <c r="N40" s="261" t="s">
        <v>37</v>
      </c>
      <c r="O40" s="279"/>
      <c r="P40" s="260"/>
      <c r="R40" s="238"/>
      <c r="S40" s="259" t="s">
        <v>52</v>
      </c>
      <c r="T40" s="260" t="s">
        <v>48</v>
      </c>
      <c r="U40" s="261" t="s">
        <v>18</v>
      </c>
    </row>
    <row r="41" spans="1:21" x14ac:dyDescent="0.25">
      <c r="A41" s="238">
        <v>21</v>
      </c>
      <c r="B41" s="183">
        <v>1</v>
      </c>
      <c r="C41" s="184" t="s">
        <v>38</v>
      </c>
      <c r="D41" s="185" t="s">
        <v>37</v>
      </c>
      <c r="G41"/>
      <c r="K41" s="243">
        <v>36</v>
      </c>
      <c r="L41" s="249">
        <v>14</v>
      </c>
      <c r="M41" s="260" t="s">
        <v>450</v>
      </c>
      <c r="N41" s="261" t="s">
        <v>28</v>
      </c>
      <c r="O41" s="279"/>
      <c r="P41" s="260"/>
      <c r="R41" s="238"/>
      <c r="S41" s="259" t="s">
        <v>52</v>
      </c>
      <c r="T41" s="263" t="s">
        <v>457</v>
      </c>
      <c r="U41" s="261" t="s">
        <v>28</v>
      </c>
    </row>
    <row r="42" spans="1:21" x14ac:dyDescent="0.25">
      <c r="B42" s="174">
        <f>SUM(B18:B41)</f>
        <v>765</v>
      </c>
      <c r="G42"/>
      <c r="K42" s="243">
        <v>36</v>
      </c>
      <c r="L42" s="259">
        <v>13</v>
      </c>
      <c r="M42" s="188" t="s">
        <v>689</v>
      </c>
      <c r="N42" s="435" t="s">
        <v>28</v>
      </c>
      <c r="O42" s="426"/>
      <c r="P42" s="424"/>
      <c r="R42" s="238"/>
      <c r="S42" s="249" t="s">
        <v>52</v>
      </c>
      <c r="T42" s="188" t="s">
        <v>74</v>
      </c>
      <c r="U42" s="188" t="s">
        <v>37</v>
      </c>
    </row>
    <row r="43" spans="1:21" x14ac:dyDescent="0.25">
      <c r="B43" s="56"/>
      <c r="G43"/>
      <c r="K43" s="243">
        <v>36</v>
      </c>
      <c r="L43" s="183">
        <v>12</v>
      </c>
      <c r="M43" s="184" t="s">
        <v>63</v>
      </c>
      <c r="N43" s="185" t="s">
        <v>18</v>
      </c>
      <c r="O43" s="186"/>
      <c r="P43" s="184"/>
      <c r="R43" s="238"/>
      <c r="S43" s="252" t="s">
        <v>54</v>
      </c>
      <c r="T43" s="253" t="s">
        <v>46</v>
      </c>
      <c r="U43" s="254" t="s">
        <v>24</v>
      </c>
    </row>
    <row r="44" spans="1:21" x14ac:dyDescent="0.25">
      <c r="B44" s="56"/>
      <c r="G44"/>
      <c r="K44" s="243">
        <v>39</v>
      </c>
      <c r="L44" s="183">
        <v>11</v>
      </c>
      <c r="M44" s="184" t="s">
        <v>22</v>
      </c>
      <c r="N44" s="185" t="s">
        <v>14</v>
      </c>
      <c r="O44" s="186">
        <f>L44/G27</f>
        <v>5.4455445544554455E-2</v>
      </c>
      <c r="P44" s="184"/>
      <c r="S44" s="262" t="s">
        <v>54</v>
      </c>
      <c r="T44" s="263" t="s">
        <v>51</v>
      </c>
      <c r="U44" s="263" t="s">
        <v>28</v>
      </c>
    </row>
    <row r="45" spans="1:21" x14ac:dyDescent="0.25">
      <c r="B45" s="56"/>
      <c r="G45"/>
      <c r="K45" s="243">
        <v>39</v>
      </c>
      <c r="L45" s="187">
        <v>11</v>
      </c>
      <c r="M45" s="263" t="s">
        <v>594</v>
      </c>
      <c r="N45" s="263" t="s">
        <v>28</v>
      </c>
      <c r="O45" s="280"/>
      <c r="P45" s="263"/>
      <c r="S45" s="262" t="s">
        <v>54</v>
      </c>
      <c r="T45" s="263" t="s">
        <v>450</v>
      </c>
      <c r="U45" s="263" t="s">
        <v>28</v>
      </c>
    </row>
    <row r="46" spans="1:21" x14ac:dyDescent="0.25">
      <c r="B46" s="56"/>
      <c r="K46" s="243">
        <v>39</v>
      </c>
      <c r="L46" s="183">
        <v>10</v>
      </c>
      <c r="M46" s="184" t="s">
        <v>39</v>
      </c>
      <c r="N46" s="185" t="s">
        <v>24</v>
      </c>
      <c r="O46" s="186"/>
      <c r="P46" s="184"/>
    </row>
    <row r="47" spans="1:21" x14ac:dyDescent="0.25">
      <c r="B47" s="56"/>
      <c r="K47" s="243">
        <v>42</v>
      </c>
      <c r="L47" s="183">
        <v>10</v>
      </c>
      <c r="M47" s="184" t="s">
        <v>67</v>
      </c>
      <c r="N47" s="185" t="s">
        <v>18</v>
      </c>
      <c r="O47" s="186"/>
      <c r="P47" s="184"/>
    </row>
    <row r="48" spans="1:21" x14ac:dyDescent="0.25">
      <c r="B48" s="56"/>
      <c r="K48" s="243">
        <v>42</v>
      </c>
      <c r="L48" s="249">
        <v>10</v>
      </c>
      <c r="M48" s="263" t="s">
        <v>593</v>
      </c>
      <c r="N48" s="261" t="s">
        <v>28</v>
      </c>
      <c r="O48" s="279"/>
      <c r="P48" s="260"/>
    </row>
    <row r="49" spans="2:16" x14ac:dyDescent="0.25">
      <c r="B49" s="56"/>
      <c r="K49" s="243">
        <v>44</v>
      </c>
      <c r="L49" s="183">
        <v>9</v>
      </c>
      <c r="M49" s="184" t="s">
        <v>69</v>
      </c>
      <c r="N49" s="184" t="s">
        <v>18</v>
      </c>
      <c r="O49" s="186"/>
      <c r="P49" s="184"/>
    </row>
    <row r="50" spans="2:16" x14ac:dyDescent="0.25">
      <c r="B50" s="56"/>
      <c r="K50" s="243">
        <v>45</v>
      </c>
      <c r="L50" s="183">
        <v>9</v>
      </c>
      <c r="M50" s="184" t="s">
        <v>70</v>
      </c>
      <c r="N50" s="184" t="s">
        <v>18</v>
      </c>
      <c r="O50" s="186"/>
      <c r="P50" s="184"/>
    </row>
    <row r="51" spans="2:16" x14ac:dyDescent="0.25">
      <c r="B51" s="56"/>
      <c r="K51" s="243">
        <v>45</v>
      </c>
      <c r="L51" s="183">
        <v>8</v>
      </c>
      <c r="M51" s="184" t="s">
        <v>71</v>
      </c>
      <c r="N51" s="184" t="s">
        <v>24</v>
      </c>
      <c r="O51" s="186"/>
      <c r="P51" s="184"/>
    </row>
    <row r="52" spans="2:16" x14ac:dyDescent="0.25">
      <c r="B52" s="56"/>
      <c r="K52" s="243">
        <v>47</v>
      </c>
      <c r="L52" s="249">
        <v>7</v>
      </c>
      <c r="M52" s="263" t="s">
        <v>454</v>
      </c>
      <c r="N52" s="261" t="s">
        <v>28</v>
      </c>
      <c r="O52" s="279"/>
      <c r="P52" s="260"/>
    </row>
    <row r="53" spans="2:16" x14ac:dyDescent="0.25">
      <c r="B53" s="56"/>
      <c r="K53" s="243">
        <v>48</v>
      </c>
      <c r="L53" s="183">
        <v>6</v>
      </c>
      <c r="M53" s="184" t="s">
        <v>26</v>
      </c>
      <c r="N53" s="185" t="s">
        <v>14</v>
      </c>
      <c r="O53" s="186"/>
      <c r="P53" s="184"/>
    </row>
    <row r="54" spans="2:16" x14ac:dyDescent="0.25">
      <c r="B54" s="56"/>
      <c r="K54" s="243">
        <v>48</v>
      </c>
      <c r="L54" s="183">
        <v>5</v>
      </c>
      <c r="M54" s="184" t="s">
        <v>73</v>
      </c>
      <c r="N54" s="184" t="s">
        <v>30</v>
      </c>
      <c r="O54" s="186"/>
      <c r="P54" s="184"/>
    </row>
    <row r="55" spans="2:16" x14ac:dyDescent="0.25">
      <c r="B55" s="56"/>
      <c r="K55" s="243">
        <v>48</v>
      </c>
      <c r="L55" s="249">
        <v>5</v>
      </c>
      <c r="M55" s="260" t="s">
        <v>457</v>
      </c>
      <c r="N55" s="261" t="s">
        <v>28</v>
      </c>
      <c r="O55" s="279"/>
      <c r="P55" s="260"/>
    </row>
    <row r="56" spans="2:16" x14ac:dyDescent="0.25">
      <c r="B56" s="56"/>
      <c r="K56" s="243">
        <v>51</v>
      </c>
      <c r="L56" s="249">
        <v>5</v>
      </c>
      <c r="M56" s="250" t="s">
        <v>31</v>
      </c>
      <c r="N56" s="251" t="s">
        <v>14</v>
      </c>
      <c r="O56" s="256"/>
      <c r="P56" s="250"/>
    </row>
    <row r="57" spans="2:16" x14ac:dyDescent="0.25">
      <c r="B57" s="56"/>
      <c r="K57" s="243">
        <v>51</v>
      </c>
      <c r="L57" s="187">
        <v>4</v>
      </c>
      <c r="M57" s="263" t="s">
        <v>79</v>
      </c>
      <c r="N57" s="263" t="s">
        <v>37</v>
      </c>
      <c r="O57" s="280"/>
      <c r="P57" s="263"/>
    </row>
    <row r="58" spans="2:16" x14ac:dyDescent="0.25">
      <c r="B58" s="56"/>
      <c r="K58" s="243">
        <v>53</v>
      </c>
      <c r="L58" s="183">
        <v>3</v>
      </c>
      <c r="M58" s="184" t="s">
        <v>75</v>
      </c>
      <c r="N58" s="184" t="s">
        <v>21</v>
      </c>
      <c r="O58" s="186"/>
      <c r="P58" s="184"/>
    </row>
    <row r="59" spans="2:16" x14ac:dyDescent="0.25">
      <c r="B59" s="56"/>
      <c r="K59" s="243">
        <v>53</v>
      </c>
      <c r="L59" s="183">
        <v>3</v>
      </c>
      <c r="M59" s="184" t="s">
        <v>76</v>
      </c>
      <c r="N59" s="184" t="s">
        <v>28</v>
      </c>
      <c r="O59" s="186"/>
      <c r="P59" s="184"/>
    </row>
    <row r="60" spans="2:16" x14ac:dyDescent="0.25">
      <c r="B60" s="56"/>
      <c r="K60" s="243">
        <v>53</v>
      </c>
      <c r="L60" s="183">
        <v>3</v>
      </c>
      <c r="M60" s="184" t="s">
        <v>38</v>
      </c>
      <c r="N60" s="184" t="s">
        <v>24</v>
      </c>
      <c r="O60" s="186"/>
      <c r="P60" s="184">
        <v>49</v>
      </c>
    </row>
    <row r="61" spans="2:16" x14ac:dyDescent="0.25">
      <c r="B61" s="56"/>
      <c r="K61" s="243">
        <v>53</v>
      </c>
      <c r="L61" s="262">
        <v>3</v>
      </c>
      <c r="M61" s="263" t="s">
        <v>51</v>
      </c>
      <c r="N61" s="263" t="s">
        <v>28</v>
      </c>
      <c r="O61" s="280"/>
      <c r="P61" s="263"/>
    </row>
    <row r="62" spans="2:16" x14ac:dyDescent="0.25">
      <c r="B62" s="56"/>
      <c r="K62" s="243">
        <v>57</v>
      </c>
      <c r="L62" s="249">
        <v>3</v>
      </c>
      <c r="M62" s="250" t="s">
        <v>728</v>
      </c>
      <c r="N62" s="250" t="s">
        <v>37</v>
      </c>
      <c r="O62" s="256"/>
      <c r="P62" s="250">
        <v>3</v>
      </c>
    </row>
    <row r="63" spans="2:16" x14ac:dyDescent="0.25">
      <c r="B63" s="56"/>
      <c r="K63" s="243"/>
      <c r="L63" s="187">
        <v>2</v>
      </c>
      <c r="M63" s="188" t="s">
        <v>13</v>
      </c>
      <c r="N63" s="188" t="s">
        <v>14</v>
      </c>
      <c r="O63" s="189">
        <f>L63/G11</f>
        <v>6.2893081761006293E-3</v>
      </c>
      <c r="P63" s="188">
        <v>3</v>
      </c>
    </row>
    <row r="64" spans="2:16" x14ac:dyDescent="0.25">
      <c r="B64" s="56"/>
      <c r="K64" s="243"/>
      <c r="L64" s="249">
        <v>2</v>
      </c>
      <c r="M64" s="250" t="s">
        <v>691</v>
      </c>
      <c r="N64" s="250" t="s">
        <v>28</v>
      </c>
      <c r="O64" s="256"/>
      <c r="P64" s="250"/>
    </row>
    <row r="65" spans="2:16" x14ac:dyDescent="0.25">
      <c r="B65" s="56"/>
      <c r="K65" s="243">
        <v>58</v>
      </c>
      <c r="L65" s="262">
        <v>1</v>
      </c>
      <c r="M65" s="263" t="s">
        <v>80</v>
      </c>
      <c r="N65" s="263" t="s">
        <v>30</v>
      </c>
      <c r="O65" s="280"/>
      <c r="P65" s="263"/>
    </row>
    <row r="66" spans="2:16" x14ac:dyDescent="0.25">
      <c r="K66" s="243">
        <v>58</v>
      </c>
      <c r="L66" s="262">
        <v>1</v>
      </c>
      <c r="M66" s="263" t="s">
        <v>81</v>
      </c>
      <c r="N66" s="263" t="s">
        <v>30</v>
      </c>
      <c r="O66" s="280"/>
      <c r="P66" s="263"/>
    </row>
    <row r="67" spans="2:16" x14ac:dyDescent="0.25">
      <c r="L67" s="175">
        <f>SUM(L6:L66)</f>
        <v>2332</v>
      </c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O47 O6:O29 O49:O66 O38:O44 O31:O3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66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6"/>
      <c r="N2" s="49" t="e">
        <f>SUM(N4:N14)</f>
        <v>#REF!</v>
      </c>
      <c r="Y2" s="49" t="e">
        <f>SUM(Y4:Y14)</f>
        <v>#REF!</v>
      </c>
    </row>
    <row r="3" spans="1:28" x14ac:dyDescent="0.25">
      <c r="A3" s="78" t="s">
        <v>167</v>
      </c>
      <c r="B3" s="76" t="s">
        <v>83</v>
      </c>
      <c r="C3" s="76" t="s">
        <v>168</v>
      </c>
      <c r="D3" s="76" t="s">
        <v>169</v>
      </c>
      <c r="E3" s="76" t="s">
        <v>170</v>
      </c>
      <c r="F3" s="76" t="s">
        <v>86</v>
      </c>
      <c r="G3" s="76" t="s">
        <v>104</v>
      </c>
      <c r="H3" s="76" t="s">
        <v>105</v>
      </c>
      <c r="I3" s="76" t="s">
        <v>106</v>
      </c>
      <c r="J3" s="76" t="s">
        <v>107</v>
      </c>
      <c r="K3" s="76" t="s">
        <v>108</v>
      </c>
      <c r="L3" s="76" t="s">
        <v>109</v>
      </c>
      <c r="M3" s="76" t="s">
        <v>87</v>
      </c>
      <c r="N3" s="76" t="s">
        <v>171</v>
      </c>
      <c r="P3" s="76" t="s">
        <v>170</v>
      </c>
      <c r="Q3" s="76" t="s">
        <v>86</v>
      </c>
      <c r="R3" s="76" t="s">
        <v>104</v>
      </c>
      <c r="S3" s="76" t="s">
        <v>105</v>
      </c>
      <c r="T3" s="76" t="s">
        <v>106</v>
      </c>
      <c r="U3" s="76" t="s">
        <v>107</v>
      </c>
      <c r="V3" s="76" t="s">
        <v>108</v>
      </c>
      <c r="W3" s="76" t="s">
        <v>109</v>
      </c>
      <c r="X3" s="76" t="s">
        <v>87</v>
      </c>
      <c r="Y3" s="76" t="s">
        <v>171</v>
      </c>
      <c r="AA3" s="56" t="s">
        <v>172</v>
      </c>
      <c r="AB3">
        <v>0</v>
      </c>
    </row>
    <row r="4" spans="1:28" x14ac:dyDescent="0.25">
      <c r="A4" s="236" t="e">
        <f>PLANTILLA!#REF!</f>
        <v>#REF!</v>
      </c>
      <c r="B4" s="66" t="s">
        <v>14</v>
      </c>
      <c r="C4" s="173" t="e">
        <f>PLANTILLA!#REF!</f>
        <v>#REF!</v>
      </c>
      <c r="D4" s="67" t="e">
        <f>PLANTILLA!#REF!</f>
        <v>#REF!</v>
      </c>
      <c r="E4" s="67" t="e">
        <f>PLANTILLA!#REF!</f>
        <v>#REF!</v>
      </c>
      <c r="F4" s="121" t="e">
        <f>PLANTILLA!#REF!</f>
        <v>#REF!</v>
      </c>
      <c r="G4" s="82" t="e">
        <f>PLANTILLA!#REF!</f>
        <v>#REF!</v>
      </c>
      <c r="H4" s="82" t="e">
        <f>PLANTILLA!#REF!</f>
        <v>#REF!</v>
      </c>
      <c r="I4" s="82" t="e">
        <f>PLANTILLA!#REF!</f>
        <v>#REF!</v>
      </c>
      <c r="J4" s="82" t="e">
        <f>PLANTILLA!#REF!</f>
        <v>#REF!</v>
      </c>
      <c r="K4" s="82" t="e">
        <f>PLANTILLA!#REF!</f>
        <v>#REF!</v>
      </c>
      <c r="L4" s="82" t="e">
        <f>PLANTILLA!#REF!</f>
        <v>#REF!</v>
      </c>
      <c r="M4" s="82" t="e">
        <f>PLANTILLA!#REF!</f>
        <v>#REF!</v>
      </c>
      <c r="N4" s="90" t="e">
        <f>PLANTILLA!#REF!</f>
        <v>#REF!</v>
      </c>
      <c r="P4" s="67" t="e">
        <f>E4</f>
        <v>#REF!</v>
      </c>
      <c r="Q4" s="121" t="e">
        <f>F4+$AB$7*7</f>
        <v>#REF!</v>
      </c>
      <c r="R4" s="82" t="e">
        <f>G4</f>
        <v>#REF!</v>
      </c>
      <c r="S4" s="82" t="e">
        <f t="shared" ref="S4:X4" si="0">H4</f>
        <v>#REF!</v>
      </c>
      <c r="T4" s="82" t="e">
        <f t="shared" si="0"/>
        <v>#REF!</v>
      </c>
      <c r="U4" s="82" t="e">
        <f t="shared" si="0"/>
        <v>#REF!</v>
      </c>
      <c r="V4" s="82" t="e">
        <f t="shared" si="0"/>
        <v>#REF!</v>
      </c>
      <c r="W4" s="82" t="e">
        <f t="shared" si="0"/>
        <v>#REF!</v>
      </c>
      <c r="X4" s="82" t="e">
        <f t="shared" si="0"/>
        <v>#REF!</v>
      </c>
      <c r="Y4" s="90" t="e">
        <f>N4</f>
        <v>#REF!</v>
      </c>
      <c r="AA4" s="56" t="s">
        <v>173</v>
      </c>
      <c r="AB4">
        <v>7</v>
      </c>
    </row>
    <row r="5" spans="1:28" x14ac:dyDescent="0.25">
      <c r="A5" s="236" t="e">
        <f>PLANTILLA!#REF!</f>
        <v>#REF!</v>
      </c>
      <c r="B5" s="66" t="s">
        <v>37</v>
      </c>
      <c r="C5" s="173" t="str">
        <f>PLANTILLA!C6</f>
        <v>A. Grimaud</v>
      </c>
      <c r="D5" s="67" t="str">
        <f>PLANTILLA!E6</f>
        <v>Ráp</v>
      </c>
      <c r="E5" s="67" t="str">
        <f>PLANTILLA!D6</f>
        <v>32.79</v>
      </c>
      <c r="F5" s="121" t="e">
        <f>PLANTILLA!#REF!</f>
        <v>#REF!</v>
      </c>
      <c r="G5" s="82">
        <f>PLANTILLA!U6</f>
        <v>0</v>
      </c>
      <c r="H5" s="82">
        <f>PLANTILLA!V6</f>
        <v>14</v>
      </c>
      <c r="I5" s="82">
        <f>PLANTILLA!W6</f>
        <v>10</v>
      </c>
      <c r="J5" s="82">
        <f>PLANTILLA!X6</f>
        <v>2</v>
      </c>
      <c r="K5" s="82">
        <f>PLANTILLA!Y6</f>
        <v>3</v>
      </c>
      <c r="L5" s="82">
        <f>PLANTILLA!Z6</f>
        <v>7</v>
      </c>
      <c r="M5" s="82">
        <f>PLANTILLA!AA6</f>
        <v>18</v>
      </c>
      <c r="N5" s="90">
        <f>PLANTILLA!S6</f>
        <v>22860</v>
      </c>
      <c r="P5" s="67" t="str">
        <f t="shared" ref="P5:P14" si="1">E5</f>
        <v>32.79</v>
      </c>
      <c r="Q5" s="121" t="e">
        <f t="shared" ref="Q5:Q14" si="2">F5+$AB$7*7</f>
        <v>#REF!</v>
      </c>
      <c r="R5" s="82">
        <f t="shared" ref="R5:R15" si="3">G5</f>
        <v>0</v>
      </c>
      <c r="S5" s="82">
        <f t="shared" ref="S5:S15" si="4">H5</f>
        <v>14</v>
      </c>
      <c r="T5" s="82">
        <f t="shared" ref="T5:T9" si="5">I5</f>
        <v>10</v>
      </c>
      <c r="U5" s="82">
        <f t="shared" ref="U5:U15" si="6">J5</f>
        <v>2</v>
      </c>
      <c r="V5" s="82">
        <f t="shared" ref="V5:V15" si="7">K5</f>
        <v>3</v>
      </c>
      <c r="W5" s="82">
        <f t="shared" ref="W5:W15" si="8">L5</f>
        <v>7</v>
      </c>
      <c r="X5" s="82">
        <f t="shared" ref="X5:X15" si="9">M5</f>
        <v>18</v>
      </c>
      <c r="Y5" s="90">
        <f t="shared" ref="Y5:Y15" si="10">N5</f>
        <v>22860</v>
      </c>
      <c r="AA5" s="56" t="s">
        <v>157</v>
      </c>
      <c r="AB5">
        <v>0</v>
      </c>
    </row>
    <row r="6" spans="1:28" x14ac:dyDescent="0.25">
      <c r="A6" s="236">
        <f>PLANTILLA!A10</f>
        <v>11</v>
      </c>
      <c r="B6" s="66" t="s">
        <v>37</v>
      </c>
      <c r="C6" s="173" t="str">
        <f>PLANTILLA!C7</f>
        <v>C. Mosser</v>
      </c>
      <c r="D6" s="67" t="str">
        <f>PLANTILLA!E7</f>
        <v>Cab</v>
      </c>
      <c r="E6" s="67" t="str">
        <f>PLANTILLA!D7</f>
        <v>30.96</v>
      </c>
      <c r="F6" s="121" t="e">
        <f>PLANTILLA!#REF!</f>
        <v>#REF!</v>
      </c>
      <c r="G6" s="82">
        <f>PLANTILLA!U7</f>
        <v>1</v>
      </c>
      <c r="H6" s="82">
        <f>PLANTILLA!V7</f>
        <v>15</v>
      </c>
      <c r="I6" s="82">
        <f>PLANTILLA!W7</f>
        <v>3</v>
      </c>
      <c r="J6" s="82">
        <f>PLANTILLA!X7</f>
        <v>6</v>
      </c>
      <c r="K6" s="82">
        <f>PLANTILLA!Y7</f>
        <v>2</v>
      </c>
      <c r="L6" s="82">
        <f>PLANTILLA!Z7</f>
        <v>11</v>
      </c>
      <c r="M6" s="82">
        <f>PLANTILLA!AA7</f>
        <v>19</v>
      </c>
      <c r="N6" s="90">
        <f>PLANTILLA!S7</f>
        <v>33996</v>
      </c>
      <c r="P6" s="67">
        <v>23</v>
      </c>
      <c r="Q6" s="121" t="e">
        <f>F6+$AB$7*7-112</f>
        <v>#REF!</v>
      </c>
      <c r="R6" s="82">
        <f t="shared" si="3"/>
        <v>1</v>
      </c>
      <c r="S6" s="82">
        <f t="shared" si="4"/>
        <v>15</v>
      </c>
      <c r="T6" s="82">
        <f t="shared" si="5"/>
        <v>3</v>
      </c>
      <c r="U6" s="82">
        <f t="shared" si="6"/>
        <v>6</v>
      </c>
      <c r="V6" s="82">
        <f t="shared" si="7"/>
        <v>2</v>
      </c>
      <c r="W6" s="82">
        <f t="shared" si="8"/>
        <v>11</v>
      </c>
      <c r="X6" s="82">
        <f t="shared" si="9"/>
        <v>19</v>
      </c>
      <c r="Y6" s="90">
        <f t="shared" si="10"/>
        <v>33996</v>
      </c>
      <c r="AA6" s="56" t="s">
        <v>156</v>
      </c>
      <c r="AB6">
        <v>0</v>
      </c>
    </row>
    <row r="7" spans="1:28" x14ac:dyDescent="0.25">
      <c r="A7" s="236" t="e">
        <f>PLANTILLA!#REF!</f>
        <v>#REF!</v>
      </c>
      <c r="B7" s="66" t="s">
        <v>37</v>
      </c>
      <c r="C7" s="173" t="str">
        <f>PLANTILLA!C5</f>
        <v>V. Gardner</v>
      </c>
      <c r="D7" s="67" t="str">
        <f>PLANTILLA!E5</f>
        <v/>
      </c>
      <c r="E7" s="67" t="str">
        <f>PLANTILLA!D5</f>
        <v>32.68</v>
      </c>
      <c r="F7" s="121" t="e">
        <f>PLANTILLA!#REF!</f>
        <v>#REF!</v>
      </c>
      <c r="G7" s="82">
        <f>PLANTILLA!U5</f>
        <v>0</v>
      </c>
      <c r="H7" s="82">
        <f>PLANTILLA!V5</f>
        <v>15</v>
      </c>
      <c r="I7" s="82">
        <f>PLANTILLA!W5</f>
        <v>8</v>
      </c>
      <c r="J7" s="82">
        <f>PLANTILLA!X5</f>
        <v>3</v>
      </c>
      <c r="K7" s="82">
        <f>PLANTILLA!Y5</f>
        <v>4</v>
      </c>
      <c r="L7" s="82">
        <f>PLANTILLA!Z5</f>
        <v>7</v>
      </c>
      <c r="M7" s="82">
        <f>PLANTILLA!AA5</f>
        <v>19</v>
      </c>
      <c r="N7" s="90">
        <f>PLANTILLA!S5</f>
        <v>18290</v>
      </c>
      <c r="P7" s="67">
        <v>23</v>
      </c>
      <c r="Q7" s="121" t="e">
        <f>F7+$AB$7*7-112</f>
        <v>#REF!</v>
      </c>
      <c r="R7" s="82">
        <f t="shared" si="3"/>
        <v>0</v>
      </c>
      <c r="S7" s="82">
        <f t="shared" si="4"/>
        <v>15</v>
      </c>
      <c r="T7" s="82">
        <f t="shared" si="5"/>
        <v>8</v>
      </c>
      <c r="U7" s="82">
        <f t="shared" si="6"/>
        <v>3</v>
      </c>
      <c r="V7" s="82">
        <f t="shared" si="7"/>
        <v>4</v>
      </c>
      <c r="W7" s="82">
        <f t="shared" si="8"/>
        <v>7</v>
      </c>
      <c r="X7" s="82">
        <f t="shared" si="9"/>
        <v>19</v>
      </c>
      <c r="Y7" s="90">
        <f t="shared" si="10"/>
        <v>18290</v>
      </c>
      <c r="AA7" s="56" t="s">
        <v>174</v>
      </c>
      <c r="AB7">
        <f>AB5+AB4+AB3+AB6</f>
        <v>7</v>
      </c>
    </row>
    <row r="8" spans="1:28" x14ac:dyDescent="0.25">
      <c r="A8" s="236">
        <f>PLANTILLA!A6</f>
        <v>13</v>
      </c>
      <c r="B8" s="66" t="s">
        <v>37</v>
      </c>
      <c r="C8" s="173" t="e">
        <f>PLANTILLA!#REF!</f>
        <v>#REF!</v>
      </c>
      <c r="D8" s="67" t="e">
        <f>PLANTILLA!#REF!</f>
        <v>#REF!</v>
      </c>
      <c r="E8" s="67" t="e">
        <f>PLANTILLA!#REF!</f>
        <v>#REF!</v>
      </c>
      <c r="F8" s="121" t="e">
        <f>PLANTILLA!#REF!</f>
        <v>#REF!</v>
      </c>
      <c r="G8" s="82" t="e">
        <f>PLANTILLA!#REF!</f>
        <v>#REF!</v>
      </c>
      <c r="H8" s="82" t="e">
        <f>PLANTILLA!#REF!</f>
        <v>#REF!</v>
      </c>
      <c r="I8" s="82" t="e">
        <f>PLANTILLA!#REF!</f>
        <v>#REF!</v>
      </c>
      <c r="J8" s="82" t="e">
        <f>PLANTILLA!#REF!</f>
        <v>#REF!</v>
      </c>
      <c r="K8" s="82" t="e">
        <f>PLANTILLA!#REF!</f>
        <v>#REF!</v>
      </c>
      <c r="L8" s="82" t="e">
        <f>PLANTILLA!#REF!</f>
        <v>#REF!</v>
      </c>
      <c r="M8" s="82" t="e">
        <f>PLANTILLA!#REF!</f>
        <v>#REF!</v>
      </c>
      <c r="N8" s="90" t="e">
        <f>PLANTILLA!#REF!</f>
        <v>#REF!</v>
      </c>
      <c r="P8" s="67" t="e">
        <f t="shared" si="1"/>
        <v>#REF!</v>
      </c>
      <c r="Q8" s="121" t="e">
        <f t="shared" si="2"/>
        <v>#REF!</v>
      </c>
      <c r="R8" s="82" t="e">
        <f t="shared" si="3"/>
        <v>#REF!</v>
      </c>
      <c r="S8" s="82" t="e">
        <f t="shared" si="4"/>
        <v>#REF!</v>
      </c>
      <c r="T8" s="82" t="e">
        <f t="shared" si="5"/>
        <v>#REF!</v>
      </c>
      <c r="U8" s="82" t="e">
        <f t="shared" si="6"/>
        <v>#REF!</v>
      </c>
      <c r="V8" s="82" t="e">
        <f t="shared" si="7"/>
        <v>#REF!</v>
      </c>
      <c r="W8" s="82" t="e">
        <f t="shared" si="8"/>
        <v>#REF!</v>
      </c>
      <c r="X8" s="82" t="e">
        <f t="shared" si="9"/>
        <v>#REF!</v>
      </c>
      <c r="Y8" s="90" t="e">
        <f t="shared" si="10"/>
        <v>#REF!</v>
      </c>
      <c r="AA8" s="56" t="s">
        <v>175</v>
      </c>
      <c r="AB8" s="68">
        <f>AB7/16</f>
        <v>0.4375</v>
      </c>
    </row>
    <row r="9" spans="1:28" x14ac:dyDescent="0.25">
      <c r="A9" s="236">
        <f>PLANTILLA!A7</f>
        <v>5</v>
      </c>
      <c r="B9" s="66" t="s">
        <v>37</v>
      </c>
      <c r="C9" s="173" t="str">
        <f>PLANTILLA!C8</f>
        <v>P. Tuderek</v>
      </c>
      <c r="D9" s="67" t="str">
        <f>PLANTILLA!E8</f>
        <v>Cab</v>
      </c>
      <c r="E9" s="67" t="str">
        <f>PLANTILLA!D8</f>
        <v>32.57</v>
      </c>
      <c r="F9" s="121" t="e">
        <f>PLANTILLA!#REF!</f>
        <v>#REF!</v>
      </c>
      <c r="G9" s="82">
        <f>PLANTILLA!U8</f>
        <v>0</v>
      </c>
      <c r="H9" s="82">
        <f>PLANTILLA!V8</f>
        <v>11</v>
      </c>
      <c r="I9" s="82">
        <f>PLANTILLA!W8</f>
        <v>15</v>
      </c>
      <c r="J9" s="82">
        <f>PLANTILLA!X8</f>
        <v>2</v>
      </c>
      <c r="K9" s="82">
        <f>PLANTILLA!Y8</f>
        <v>3</v>
      </c>
      <c r="L9" s="82">
        <f>PLANTILLA!Z8</f>
        <v>8</v>
      </c>
      <c r="M9" s="82">
        <f>PLANTILLA!AA8</f>
        <v>20</v>
      </c>
      <c r="N9" s="90">
        <f>PLANTILLA!S8</f>
        <v>28524</v>
      </c>
      <c r="P9" s="67">
        <v>22</v>
      </c>
      <c r="Q9" s="121" t="e">
        <f>F9+$AB$7*7-112</f>
        <v>#REF!</v>
      </c>
      <c r="R9" s="82">
        <f t="shared" si="3"/>
        <v>0</v>
      </c>
      <c r="S9" s="82">
        <f t="shared" si="4"/>
        <v>11</v>
      </c>
      <c r="T9" s="82">
        <f t="shared" si="5"/>
        <v>15</v>
      </c>
      <c r="U9" s="82">
        <f t="shared" si="6"/>
        <v>2</v>
      </c>
      <c r="V9" s="82">
        <f t="shared" si="7"/>
        <v>3</v>
      </c>
      <c r="W9" s="82">
        <f t="shared" si="8"/>
        <v>8</v>
      </c>
      <c r="X9" s="82">
        <f t="shared" si="9"/>
        <v>20</v>
      </c>
      <c r="Y9" s="90">
        <f t="shared" si="10"/>
        <v>28524</v>
      </c>
    </row>
    <row r="10" spans="1:28" x14ac:dyDescent="0.25">
      <c r="A10" s="236">
        <f>PLANTILLA!A5</f>
        <v>6</v>
      </c>
      <c r="B10" s="66" t="s">
        <v>176</v>
      </c>
      <c r="C10" s="173" t="str">
        <f>PLANTILLA!C14</f>
        <v>S. Hovhannesyan</v>
      </c>
      <c r="D10" s="67" t="str">
        <f>PLANTILLA!E14</f>
        <v>Cab</v>
      </c>
      <c r="E10" s="67" t="str">
        <f>PLANTILLA!D14</f>
        <v>31.71</v>
      </c>
      <c r="F10" s="121" t="e">
        <f>PLANTILLA!#REF!</f>
        <v>#REF!</v>
      </c>
      <c r="G10" s="82">
        <f>PLANTILLA!U14</f>
        <v>0</v>
      </c>
      <c r="H10" s="82">
        <f>PLANTILLA!V14</f>
        <v>13</v>
      </c>
      <c r="I10" s="82">
        <f>PLANTILLA!W14</f>
        <v>16</v>
      </c>
      <c r="J10" s="82">
        <f>PLANTILLA!X14</f>
        <v>2</v>
      </c>
      <c r="K10" s="82">
        <f>PLANTILLA!Y14</f>
        <v>2</v>
      </c>
      <c r="L10" s="82">
        <f>PLANTILLA!Z14</f>
        <v>8</v>
      </c>
      <c r="M10" s="82">
        <f>PLANTILLA!AA14</f>
        <v>19</v>
      </c>
      <c r="N10" s="90">
        <f>PLANTILLA!S14</f>
        <v>55080</v>
      </c>
      <c r="P10" s="67" t="str">
        <f t="shared" si="1"/>
        <v>31.71</v>
      </c>
      <c r="Q10" s="121" t="e">
        <f t="shared" si="2"/>
        <v>#REF!</v>
      </c>
      <c r="R10" s="82">
        <f t="shared" si="3"/>
        <v>0</v>
      </c>
      <c r="S10" s="82">
        <f t="shared" si="4"/>
        <v>13</v>
      </c>
      <c r="T10" s="82">
        <f>I10+$AB$4/9</f>
        <v>16.777777777777779</v>
      </c>
      <c r="U10" s="82">
        <f t="shared" si="6"/>
        <v>2</v>
      </c>
      <c r="V10" s="82">
        <f t="shared" si="7"/>
        <v>2</v>
      </c>
      <c r="W10" s="82">
        <f t="shared" si="8"/>
        <v>8</v>
      </c>
      <c r="X10" s="82">
        <f t="shared" si="9"/>
        <v>19</v>
      </c>
      <c r="Y10" s="90">
        <f t="shared" si="10"/>
        <v>55080</v>
      </c>
    </row>
    <row r="11" spans="1:28" x14ac:dyDescent="0.25">
      <c r="A11" s="236" t="e">
        <f>PLANTILLA!#REF!</f>
        <v>#REF!</v>
      </c>
      <c r="B11" s="66" t="s">
        <v>176</v>
      </c>
      <c r="C11" s="173" t="str">
        <f>PLANTILLA!C15</f>
        <v>M. Bondarewski</v>
      </c>
      <c r="D11" s="67" t="str">
        <f>PLANTILLA!E15</f>
        <v>Ráp</v>
      </c>
      <c r="E11" s="67" t="str">
        <f>PLANTILLA!D15</f>
        <v>32.71</v>
      </c>
      <c r="F11" s="121" t="e">
        <f>PLANTILLA!#REF!</f>
        <v>#REF!</v>
      </c>
      <c r="G11" s="82">
        <f>PLANTILLA!U15</f>
        <v>0</v>
      </c>
      <c r="H11" s="82">
        <f>PLANTILLA!V15</f>
        <v>8</v>
      </c>
      <c r="I11" s="82">
        <f>PLANTILLA!W15</f>
        <v>15</v>
      </c>
      <c r="J11" s="82">
        <f>PLANTILLA!X15</f>
        <v>4</v>
      </c>
      <c r="K11" s="82">
        <f>PLANTILLA!Y15</f>
        <v>4</v>
      </c>
      <c r="L11" s="82">
        <f>PLANTILLA!Z15</f>
        <v>9</v>
      </c>
      <c r="M11" s="82">
        <f>PLANTILLA!AA15</f>
        <v>20</v>
      </c>
      <c r="N11" s="90">
        <f>PLANTILLA!S15</f>
        <v>32196</v>
      </c>
      <c r="P11" s="67">
        <v>22</v>
      </c>
      <c r="Q11" s="121" t="e">
        <f>F11+$AB$7*7-112</f>
        <v>#REF!</v>
      </c>
      <c r="R11" s="82">
        <f t="shared" si="3"/>
        <v>0</v>
      </c>
      <c r="S11" s="82">
        <f t="shared" si="4"/>
        <v>8</v>
      </c>
      <c r="T11" s="82">
        <f>I11+$AB$4/9</f>
        <v>15.777777777777779</v>
      </c>
      <c r="U11" s="82">
        <f t="shared" si="6"/>
        <v>4</v>
      </c>
      <c r="V11" s="82">
        <f t="shared" si="7"/>
        <v>4</v>
      </c>
      <c r="W11" s="82">
        <f t="shared" si="8"/>
        <v>9</v>
      </c>
      <c r="X11" s="82">
        <f t="shared" si="9"/>
        <v>20</v>
      </c>
      <c r="Y11" s="90">
        <f t="shared" si="10"/>
        <v>32196</v>
      </c>
    </row>
    <row r="12" spans="1:28" x14ac:dyDescent="0.25">
      <c r="A12" s="236">
        <f>PLANTILLA!A8</f>
        <v>12</v>
      </c>
      <c r="B12" s="66" t="s">
        <v>176</v>
      </c>
      <c r="C12" s="173" t="str">
        <f>PLANTILLA!C16</f>
        <v>I. Stone</v>
      </c>
      <c r="D12" s="67" t="str">
        <f>PLANTILLA!E16</f>
        <v>Ráp</v>
      </c>
      <c r="E12" s="67">
        <f>PLANTILLA!D16</f>
        <v>31110</v>
      </c>
      <c r="F12" s="121" t="e">
        <f>PLANTILLA!#REF!</f>
        <v>#REF!</v>
      </c>
      <c r="G12" s="82">
        <f>PLANTILLA!U16</f>
        <v>0</v>
      </c>
      <c r="H12" s="82">
        <f>PLANTILLA!V16</f>
        <v>9</v>
      </c>
      <c r="I12" s="82">
        <f>PLANTILLA!W16</f>
        <v>14</v>
      </c>
      <c r="J12" s="82">
        <f>PLANTILLA!X16</f>
        <v>2</v>
      </c>
      <c r="K12" s="82">
        <f>PLANTILLA!Y16</f>
        <v>6</v>
      </c>
      <c r="L12" s="82">
        <f>PLANTILLA!Z16</f>
        <v>10</v>
      </c>
      <c r="M12" s="82">
        <f>PLANTILLA!AA16</f>
        <v>19</v>
      </c>
      <c r="N12" s="90">
        <f>PLANTILLA!S16</f>
        <v>23970</v>
      </c>
      <c r="P12" s="67">
        <v>23</v>
      </c>
      <c r="Q12" s="121" t="e">
        <f t="shared" ref="Q12:Q13" si="11">F12+$AB$7*7-112</f>
        <v>#REF!</v>
      </c>
      <c r="R12" s="82">
        <f t="shared" si="3"/>
        <v>0</v>
      </c>
      <c r="S12" s="82">
        <f t="shared" si="4"/>
        <v>9</v>
      </c>
      <c r="T12" s="82">
        <f>14+2/12</f>
        <v>14.166666666666666</v>
      </c>
      <c r="U12" s="82">
        <f t="shared" si="6"/>
        <v>2</v>
      </c>
      <c r="V12" s="82">
        <f t="shared" si="7"/>
        <v>6</v>
      </c>
      <c r="W12" s="82">
        <f t="shared" si="8"/>
        <v>10</v>
      </c>
      <c r="X12" s="82">
        <f t="shared" si="9"/>
        <v>19</v>
      </c>
      <c r="Y12" s="90">
        <f t="shared" si="10"/>
        <v>23970</v>
      </c>
    </row>
    <row r="13" spans="1:28" x14ac:dyDescent="0.25">
      <c r="A13" s="236">
        <f>PLANTILLA!A14</f>
        <v>7</v>
      </c>
      <c r="B13" s="66" t="s">
        <v>176</v>
      </c>
      <c r="C13" s="173" t="str">
        <f>PLANTILLA!C17</f>
        <v>I. Vanags</v>
      </c>
      <c r="D13" s="67" t="str">
        <f>PLANTILLA!E17</f>
        <v>Cab</v>
      </c>
      <c r="E13" s="67" t="str">
        <f>PLANTILLA!D17</f>
        <v>32.55</v>
      </c>
      <c r="F13" s="121" t="e">
        <f>PLANTILLA!#REF!</f>
        <v>#REF!</v>
      </c>
      <c r="G13" s="82">
        <f>PLANTILLA!U17</f>
        <v>0</v>
      </c>
      <c r="H13" s="82">
        <f>PLANTILLA!V17</f>
        <v>10</v>
      </c>
      <c r="I13" s="82">
        <f>PLANTILLA!W17</f>
        <v>15</v>
      </c>
      <c r="J13" s="82">
        <f>PLANTILLA!X17</f>
        <v>2</v>
      </c>
      <c r="K13" s="82">
        <f>PLANTILLA!Y17</f>
        <v>3</v>
      </c>
      <c r="L13" s="82">
        <f>PLANTILLA!Z17</f>
        <v>8</v>
      </c>
      <c r="M13" s="82">
        <f>PLANTILLA!AA17</f>
        <v>19</v>
      </c>
      <c r="N13" s="90">
        <f>PLANTILLA!S17</f>
        <v>33060</v>
      </c>
      <c r="P13" s="67">
        <v>23</v>
      </c>
      <c r="Q13" s="121" t="e">
        <f t="shared" si="11"/>
        <v>#REF!</v>
      </c>
      <c r="R13" s="82">
        <f t="shared" si="3"/>
        <v>0</v>
      </c>
      <c r="S13" s="82">
        <f t="shared" si="4"/>
        <v>10</v>
      </c>
      <c r="T13" s="82">
        <f>14+2/12</f>
        <v>14.166666666666666</v>
      </c>
      <c r="U13" s="82">
        <f t="shared" si="6"/>
        <v>2</v>
      </c>
      <c r="V13" s="82">
        <f t="shared" si="7"/>
        <v>3</v>
      </c>
      <c r="W13" s="82">
        <f t="shared" si="8"/>
        <v>8</v>
      </c>
      <c r="X13" s="82">
        <f t="shared" si="9"/>
        <v>19</v>
      </c>
      <c r="Y13" s="90">
        <f t="shared" si="10"/>
        <v>33060</v>
      </c>
    </row>
    <row r="14" spans="1:28" x14ac:dyDescent="0.25">
      <c r="A14" s="236">
        <f>PLANTILLA!A15</f>
        <v>9</v>
      </c>
      <c r="B14" s="66" t="s">
        <v>176</v>
      </c>
      <c r="C14" s="173" t="str">
        <f>PLANTILLA!C13</f>
        <v>S. Sawczyn</v>
      </c>
      <c r="D14" s="67" t="str">
        <f>PLANTILLA!E13</f>
        <v>Imp</v>
      </c>
      <c r="E14" s="67" t="str">
        <f>PLANTILLA!D13</f>
        <v>31.70</v>
      </c>
      <c r="F14" s="121" t="e">
        <f>PLANTILLA!#REF!</f>
        <v>#REF!</v>
      </c>
      <c r="G14" s="82">
        <f>PLANTILLA!U13</f>
        <v>0</v>
      </c>
      <c r="H14" s="82">
        <f>PLANTILLA!V13</f>
        <v>12</v>
      </c>
      <c r="I14" s="82">
        <f>PLANTILLA!W13</f>
        <v>14</v>
      </c>
      <c r="J14" s="82">
        <f>PLANTILLA!X13</f>
        <v>3</v>
      </c>
      <c r="K14" s="82">
        <f>PLANTILLA!Y13</f>
        <v>6</v>
      </c>
      <c r="L14" s="82">
        <f>PLANTILLA!Z13</f>
        <v>9</v>
      </c>
      <c r="M14" s="82">
        <f>PLANTILLA!AA13</f>
        <v>19</v>
      </c>
      <c r="N14" s="90">
        <f>PLANTILLA!S13</f>
        <v>23424</v>
      </c>
      <c r="P14" s="67" t="str">
        <f t="shared" si="1"/>
        <v>31.70</v>
      </c>
      <c r="Q14" s="121" t="e">
        <f t="shared" si="2"/>
        <v>#REF!</v>
      </c>
      <c r="R14" s="82">
        <f t="shared" si="3"/>
        <v>0</v>
      </c>
      <c r="S14" s="82">
        <f t="shared" si="4"/>
        <v>12</v>
      </c>
      <c r="T14" s="82">
        <v>13</v>
      </c>
      <c r="U14" s="82">
        <f t="shared" si="6"/>
        <v>3</v>
      </c>
      <c r="V14" s="82">
        <f t="shared" si="7"/>
        <v>6</v>
      </c>
      <c r="W14" s="82">
        <f t="shared" si="8"/>
        <v>9</v>
      </c>
      <c r="X14" s="82">
        <f t="shared" si="9"/>
        <v>19</v>
      </c>
      <c r="Y14" s="90">
        <f t="shared" si="10"/>
        <v>23424</v>
      </c>
    </row>
    <row r="15" spans="1:28" x14ac:dyDescent="0.25">
      <c r="A15" s="236">
        <f>PLANTILLA!A16</f>
        <v>8</v>
      </c>
      <c r="B15" s="66" t="s">
        <v>176</v>
      </c>
      <c r="C15" s="173" t="str">
        <f>PLANTILLA!C11</f>
        <v>纪 (J.) 昌永 (Changyong)</v>
      </c>
      <c r="D15" s="67" t="str">
        <f>PLANTILLA!E11</f>
        <v>Cab</v>
      </c>
      <c r="E15" s="67" t="str">
        <f>PLANTILLA!D11</f>
        <v>33.43</v>
      </c>
      <c r="F15" s="121" t="e">
        <f>PLANTILLA!#REF!</f>
        <v>#REF!</v>
      </c>
      <c r="G15" s="82">
        <f>PLANTILLA!U11</f>
        <v>0</v>
      </c>
      <c r="H15" s="82">
        <f>PLANTILLA!V11</f>
        <v>13</v>
      </c>
      <c r="I15" s="82">
        <f>PLANTILLA!W11</f>
        <v>16</v>
      </c>
      <c r="J15" s="82">
        <f>PLANTILLA!X11</f>
        <v>3</v>
      </c>
      <c r="K15" s="82">
        <f>PLANTILLA!Y11</f>
        <v>3</v>
      </c>
      <c r="L15" s="82">
        <f>PLANTILLA!Z11</f>
        <v>9</v>
      </c>
      <c r="M15" s="82">
        <f>PLANTILLA!AA11</f>
        <v>19</v>
      </c>
      <c r="N15" s="90">
        <f>PLANTILLA!S11</f>
        <v>44112</v>
      </c>
      <c r="P15" s="67">
        <v>23</v>
      </c>
      <c r="Q15" s="121" t="e">
        <f>F15+$AB$7*7-112</f>
        <v>#REF!</v>
      </c>
      <c r="R15" s="82">
        <f t="shared" si="3"/>
        <v>0</v>
      </c>
      <c r="S15" s="82">
        <f t="shared" si="4"/>
        <v>13</v>
      </c>
      <c r="T15" s="82">
        <f>13+7/9</f>
        <v>13.777777777777779</v>
      </c>
      <c r="U15" s="82">
        <f t="shared" si="6"/>
        <v>3</v>
      </c>
      <c r="V15" s="82">
        <f t="shared" si="7"/>
        <v>3</v>
      </c>
      <c r="W15" s="82">
        <f t="shared" si="8"/>
        <v>9</v>
      </c>
      <c r="X15" s="82">
        <f t="shared" si="9"/>
        <v>19</v>
      </c>
      <c r="Y15" s="90">
        <f t="shared" si="10"/>
        <v>44112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A7E2-1E61-4E04-B8C4-B894DBB3C8D7}">
  <dimension ref="A1:W19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1.28515625" bestFit="1" customWidth="1"/>
    <col min="6" max="6" width="19.7109375" bestFit="1" customWidth="1"/>
    <col min="18" max="18" width="4.5703125" bestFit="1" customWidth="1"/>
    <col min="19" max="19" width="4.140625" bestFit="1" customWidth="1"/>
    <col min="20" max="22" width="4.5703125" bestFit="1" customWidth="1"/>
    <col min="23" max="23" width="22" bestFit="1" customWidth="1"/>
  </cols>
  <sheetData>
    <row r="1" spans="1:23" x14ac:dyDescent="0.25">
      <c r="A1" s="427" t="s">
        <v>491</v>
      </c>
      <c r="B1" s="428" t="s">
        <v>625</v>
      </c>
      <c r="C1" s="428" t="s">
        <v>626</v>
      </c>
      <c r="D1" s="428" t="s">
        <v>627</v>
      </c>
      <c r="E1" s="428" t="s">
        <v>628</v>
      </c>
      <c r="F1" s="428" t="s">
        <v>203</v>
      </c>
      <c r="G1" s="432" t="s">
        <v>578</v>
      </c>
      <c r="H1" s="432" t="s">
        <v>206</v>
      </c>
      <c r="I1" s="432" t="s">
        <v>629</v>
      </c>
      <c r="J1" s="432" t="s">
        <v>678</v>
      </c>
      <c r="K1" s="429" t="s">
        <v>492</v>
      </c>
      <c r="L1" s="429" t="s">
        <v>630</v>
      </c>
      <c r="M1" s="429" t="s">
        <v>148</v>
      </c>
      <c r="N1" s="429" t="s">
        <v>495</v>
      </c>
      <c r="O1" s="429" t="s">
        <v>241</v>
      </c>
      <c r="P1" s="429" t="s">
        <v>631</v>
      </c>
      <c r="Q1" s="428" t="s">
        <v>213</v>
      </c>
      <c r="R1" s="428" t="s">
        <v>130</v>
      </c>
      <c r="S1" s="428" t="s">
        <v>632</v>
      </c>
      <c r="T1" s="428" t="s">
        <v>143</v>
      </c>
      <c r="U1" s="428" t="s">
        <v>125</v>
      </c>
      <c r="V1" s="428" t="s">
        <v>133</v>
      </c>
      <c r="W1" s="427" t="s">
        <v>633</v>
      </c>
    </row>
    <row r="2" spans="1:23" x14ac:dyDescent="0.25">
      <c r="A2" s="398" t="s">
        <v>635</v>
      </c>
      <c r="B2" s="56" t="s">
        <v>636</v>
      </c>
      <c r="C2" s="213">
        <v>37713</v>
      </c>
      <c r="D2" s="56" t="s">
        <v>637</v>
      </c>
      <c r="E2" s="56" t="s">
        <v>638</v>
      </c>
      <c r="F2" s="56" t="s">
        <v>675</v>
      </c>
      <c r="G2" s="56">
        <v>333</v>
      </c>
      <c r="H2" s="56">
        <v>379</v>
      </c>
      <c r="I2" s="56">
        <v>45</v>
      </c>
      <c r="J2" s="56">
        <v>800</v>
      </c>
      <c r="K2" s="430">
        <v>2082660</v>
      </c>
      <c r="L2" s="430">
        <v>460704</v>
      </c>
      <c r="M2" s="430" t="s">
        <v>639</v>
      </c>
      <c r="N2" s="431">
        <v>6</v>
      </c>
      <c r="O2" s="431">
        <v>13.5</v>
      </c>
      <c r="P2" s="431">
        <v>7.25</v>
      </c>
      <c r="Q2" s="56">
        <v>15</v>
      </c>
      <c r="R2" s="56">
        <v>5</v>
      </c>
      <c r="S2" s="56">
        <v>1</v>
      </c>
      <c r="T2" s="56">
        <v>3</v>
      </c>
      <c r="U2" s="56">
        <v>1</v>
      </c>
      <c r="V2" s="56">
        <v>4</v>
      </c>
      <c r="W2" s="398">
        <v>352</v>
      </c>
    </row>
    <row r="3" spans="1:23" x14ac:dyDescent="0.25">
      <c r="A3" s="398" t="s">
        <v>640</v>
      </c>
      <c r="B3" s="56" t="s">
        <v>641</v>
      </c>
      <c r="C3" s="213">
        <v>41400</v>
      </c>
      <c r="D3" s="56" t="s">
        <v>642</v>
      </c>
      <c r="E3" s="56" t="s">
        <v>643</v>
      </c>
      <c r="F3" s="56" t="s">
        <v>676</v>
      </c>
      <c r="G3" s="56">
        <v>486</v>
      </c>
      <c r="H3" s="56">
        <v>476</v>
      </c>
      <c r="I3" s="56">
        <v>-10</v>
      </c>
      <c r="J3" s="56">
        <v>492</v>
      </c>
      <c r="K3" s="430">
        <v>1416010</v>
      </c>
      <c r="L3" s="430">
        <v>390594</v>
      </c>
      <c r="M3" s="430" t="s">
        <v>644</v>
      </c>
      <c r="N3" s="431">
        <v>6</v>
      </c>
      <c r="O3" s="431">
        <v>11.5</v>
      </c>
      <c r="P3" s="431">
        <v>6.75</v>
      </c>
      <c r="Q3" s="56">
        <v>17</v>
      </c>
      <c r="R3" s="56">
        <v>0</v>
      </c>
      <c r="S3" s="56">
        <v>2</v>
      </c>
      <c r="T3" s="56">
        <v>2</v>
      </c>
      <c r="U3" s="56">
        <v>5</v>
      </c>
      <c r="V3" s="56">
        <v>6</v>
      </c>
      <c r="W3" s="398">
        <v>352</v>
      </c>
    </row>
    <row r="4" spans="1:23" x14ac:dyDescent="0.25">
      <c r="A4" s="398" t="s">
        <v>497</v>
      </c>
      <c r="B4" s="56" t="s">
        <v>645</v>
      </c>
      <c r="C4" s="213">
        <v>41400</v>
      </c>
      <c r="D4" s="56" t="s">
        <v>646</v>
      </c>
      <c r="E4" s="56" t="s">
        <v>647</v>
      </c>
      <c r="F4" s="56" t="s">
        <v>677</v>
      </c>
      <c r="G4" s="56">
        <v>324</v>
      </c>
      <c r="H4" s="56">
        <v>258</v>
      </c>
      <c r="I4" s="56">
        <v>-65</v>
      </c>
      <c r="J4" s="56">
        <v>449</v>
      </c>
      <c r="K4" s="430">
        <v>526690</v>
      </c>
      <c r="L4" s="430">
        <v>216056</v>
      </c>
      <c r="M4" s="430" t="s">
        <v>648</v>
      </c>
      <c r="N4" s="431">
        <v>5.75</v>
      </c>
      <c r="O4" s="431">
        <v>14</v>
      </c>
      <c r="P4" s="431">
        <v>6.5</v>
      </c>
      <c r="Q4" s="56">
        <v>17</v>
      </c>
      <c r="R4" s="56">
        <v>4</v>
      </c>
      <c r="S4" s="56">
        <v>0</v>
      </c>
      <c r="T4" s="56">
        <v>3</v>
      </c>
      <c r="U4" s="56">
        <v>3</v>
      </c>
      <c r="V4" s="56">
        <v>5</v>
      </c>
      <c r="W4" s="398" t="s">
        <v>113</v>
      </c>
    </row>
    <row r="5" spans="1:23" x14ac:dyDescent="0.25">
      <c r="A5" s="398" t="s">
        <v>649</v>
      </c>
      <c r="B5" s="56" t="s">
        <v>650</v>
      </c>
      <c r="C5" s="213">
        <v>41568</v>
      </c>
      <c r="D5" s="56" t="s">
        <v>651</v>
      </c>
      <c r="E5" s="56" t="s">
        <v>652</v>
      </c>
      <c r="F5" s="56" t="s">
        <v>676</v>
      </c>
      <c r="G5" s="56">
        <v>481</v>
      </c>
      <c r="H5" s="56">
        <v>433</v>
      </c>
      <c r="I5" s="56">
        <v>-48</v>
      </c>
      <c r="J5" s="56">
        <v>479</v>
      </c>
      <c r="K5" s="430">
        <v>876490</v>
      </c>
      <c r="L5" s="430">
        <v>402440</v>
      </c>
      <c r="M5" s="430" t="s">
        <v>653</v>
      </c>
      <c r="N5" s="431">
        <v>5.75</v>
      </c>
      <c r="O5" s="431">
        <v>16.5</v>
      </c>
      <c r="P5" s="431">
        <v>6.5</v>
      </c>
      <c r="Q5" s="56">
        <v>16</v>
      </c>
      <c r="R5" s="56">
        <v>5</v>
      </c>
      <c r="S5" s="56">
        <v>2</v>
      </c>
      <c r="T5" s="56">
        <v>2</v>
      </c>
      <c r="U5" s="56">
        <v>1</v>
      </c>
      <c r="V5" s="56">
        <v>4</v>
      </c>
      <c r="W5" s="398">
        <v>352</v>
      </c>
    </row>
    <row r="6" spans="1:23" x14ac:dyDescent="0.25">
      <c r="A6" s="398" t="s">
        <v>654</v>
      </c>
      <c r="B6" s="56" t="s">
        <v>655</v>
      </c>
      <c r="C6" s="213">
        <v>38732</v>
      </c>
      <c r="D6" s="56" t="s">
        <v>656</v>
      </c>
      <c r="E6" s="56" t="s">
        <v>657</v>
      </c>
      <c r="F6" s="56" t="s">
        <v>675</v>
      </c>
      <c r="G6" s="56">
        <v>398</v>
      </c>
      <c r="H6" s="56">
        <v>342</v>
      </c>
      <c r="I6" s="56">
        <v>-56</v>
      </c>
      <c r="J6" s="56">
        <v>445</v>
      </c>
      <c r="K6" s="430">
        <v>2401210</v>
      </c>
      <c r="L6" s="430">
        <v>368518</v>
      </c>
      <c r="M6" s="430" t="s">
        <v>658</v>
      </c>
      <c r="N6" s="431">
        <v>6.25</v>
      </c>
      <c r="O6" s="431">
        <v>11.75</v>
      </c>
      <c r="P6" s="431">
        <v>6.5</v>
      </c>
      <c r="Q6" s="56">
        <v>14</v>
      </c>
      <c r="R6" s="56">
        <v>4</v>
      </c>
      <c r="S6" s="56">
        <v>1</v>
      </c>
      <c r="T6" s="56">
        <v>3</v>
      </c>
      <c r="U6" s="56">
        <v>3</v>
      </c>
      <c r="V6" s="56">
        <v>3</v>
      </c>
      <c r="W6" s="398" t="s">
        <v>659</v>
      </c>
    </row>
    <row r="7" spans="1:23" x14ac:dyDescent="0.25">
      <c r="A7" s="238" t="s">
        <v>660</v>
      </c>
      <c r="B7" s="56" t="s">
        <v>661</v>
      </c>
      <c r="C7" s="213">
        <v>40975</v>
      </c>
      <c r="D7" s="56" t="s">
        <v>662</v>
      </c>
      <c r="E7" s="56" t="s">
        <v>663</v>
      </c>
      <c r="F7" s="56" t="s">
        <v>673</v>
      </c>
      <c r="G7" s="56">
        <v>372</v>
      </c>
      <c r="H7" s="56">
        <v>366</v>
      </c>
      <c r="I7" s="56">
        <v>-6</v>
      </c>
      <c r="J7" s="56">
        <v>1093</v>
      </c>
      <c r="K7" s="430">
        <v>2236490</v>
      </c>
      <c r="L7" s="430">
        <v>422676</v>
      </c>
      <c r="M7" s="430" t="s">
        <v>664</v>
      </c>
      <c r="N7" s="431">
        <v>6</v>
      </c>
      <c r="O7" s="431">
        <v>9.75</v>
      </c>
      <c r="P7" s="431">
        <v>6.25</v>
      </c>
      <c r="Q7" s="56">
        <v>14</v>
      </c>
      <c r="R7" s="56">
        <v>6</v>
      </c>
      <c r="S7" s="56">
        <v>1</v>
      </c>
      <c r="T7" s="56">
        <v>2</v>
      </c>
      <c r="U7" s="56">
        <v>1</v>
      </c>
      <c r="V7" s="56">
        <v>2</v>
      </c>
      <c r="W7" s="398">
        <v>352</v>
      </c>
    </row>
    <row r="8" spans="1:23" x14ac:dyDescent="0.25">
      <c r="A8" s="398" t="s">
        <v>665</v>
      </c>
      <c r="B8" s="56" t="s">
        <v>666</v>
      </c>
      <c r="C8" s="213">
        <v>39630</v>
      </c>
      <c r="D8" s="56" t="s">
        <v>667</v>
      </c>
      <c r="E8" s="56" t="s">
        <v>668</v>
      </c>
      <c r="F8" s="56" t="s">
        <v>674</v>
      </c>
      <c r="G8" s="56">
        <v>361</v>
      </c>
      <c r="H8" s="56">
        <v>293</v>
      </c>
      <c r="I8" s="56">
        <v>-68</v>
      </c>
      <c r="J8" s="56">
        <v>673</v>
      </c>
      <c r="K8" s="430">
        <v>2695780</v>
      </c>
      <c r="L8" s="430">
        <v>479678</v>
      </c>
      <c r="M8" s="430" t="s">
        <v>669</v>
      </c>
      <c r="N8" s="431">
        <v>6</v>
      </c>
      <c r="O8" s="431">
        <v>8.25</v>
      </c>
      <c r="P8" s="431">
        <v>6.5</v>
      </c>
      <c r="Q8" s="56">
        <v>16</v>
      </c>
      <c r="R8" s="56">
        <v>3</v>
      </c>
      <c r="S8" s="56">
        <v>1</v>
      </c>
      <c r="T8" s="56">
        <v>5</v>
      </c>
      <c r="U8" s="56">
        <v>2</v>
      </c>
      <c r="V8" s="56">
        <v>2</v>
      </c>
      <c r="W8" s="398">
        <v>253</v>
      </c>
    </row>
    <row r="9" spans="1:23" x14ac:dyDescent="0.25">
      <c r="A9" s="238" t="s">
        <v>517</v>
      </c>
      <c r="B9" s="56" t="s">
        <v>634</v>
      </c>
      <c r="C9" s="213">
        <v>41400</v>
      </c>
      <c r="D9" s="56" t="s">
        <v>670</v>
      </c>
      <c r="E9" s="56" t="s">
        <v>671</v>
      </c>
      <c r="F9" s="56" t="s">
        <v>672</v>
      </c>
      <c r="G9" s="56">
        <v>175</v>
      </c>
      <c r="H9" s="56">
        <v>99</v>
      </c>
      <c r="I9" s="56">
        <v>-76</v>
      </c>
      <c r="J9" s="56">
        <v>183</v>
      </c>
      <c r="K9" s="430">
        <v>1816250</v>
      </c>
      <c r="L9" s="430">
        <v>365344</v>
      </c>
      <c r="M9" s="430" t="s">
        <v>679</v>
      </c>
      <c r="N9" s="431">
        <v>6</v>
      </c>
      <c r="O9" s="431">
        <v>9.75</v>
      </c>
      <c r="P9" s="431">
        <v>7.5</v>
      </c>
      <c r="Q9" s="56">
        <v>14</v>
      </c>
      <c r="R9" s="56">
        <v>2</v>
      </c>
      <c r="S9" s="56">
        <v>0</v>
      </c>
      <c r="T9" s="56">
        <v>2</v>
      </c>
      <c r="U9" s="56">
        <v>5</v>
      </c>
      <c r="V9" s="56">
        <v>4</v>
      </c>
      <c r="W9" s="398" t="s">
        <v>113</v>
      </c>
    </row>
    <row r="11" spans="1:23" x14ac:dyDescent="0.25">
      <c r="A11" s="427" t="s">
        <v>491</v>
      </c>
      <c r="B11" s="428" t="s">
        <v>625</v>
      </c>
      <c r="C11" s="428" t="s">
        <v>626</v>
      </c>
      <c r="D11" s="428" t="s">
        <v>627</v>
      </c>
      <c r="E11" s="428" t="s">
        <v>628</v>
      </c>
      <c r="F11" s="428" t="s">
        <v>203</v>
      </c>
      <c r="G11" s="432" t="s">
        <v>578</v>
      </c>
      <c r="H11" s="432" t="s">
        <v>206</v>
      </c>
      <c r="I11" s="432" t="s">
        <v>629</v>
      </c>
      <c r="J11" s="432" t="s">
        <v>678</v>
      </c>
      <c r="K11" s="429" t="s">
        <v>492</v>
      </c>
      <c r="L11" s="429" t="s">
        <v>630</v>
      </c>
      <c r="M11" s="429" t="s">
        <v>148</v>
      </c>
      <c r="N11" s="429" t="s">
        <v>495</v>
      </c>
      <c r="O11" s="429" t="s">
        <v>241</v>
      </c>
      <c r="P11" s="429" t="s">
        <v>631</v>
      </c>
      <c r="Q11" s="428" t="s">
        <v>213</v>
      </c>
      <c r="R11" s="428" t="s">
        <v>130</v>
      </c>
      <c r="S11" s="428" t="s">
        <v>632</v>
      </c>
      <c r="T11" s="428" t="s">
        <v>143</v>
      </c>
      <c r="U11" s="428" t="s">
        <v>125</v>
      </c>
      <c r="V11" s="428" t="s">
        <v>133</v>
      </c>
      <c r="W11" s="427" t="s">
        <v>633</v>
      </c>
    </row>
    <row r="12" spans="1:23" x14ac:dyDescent="0.25">
      <c r="A12" s="398" t="s">
        <v>635</v>
      </c>
      <c r="B12" s="56" t="s">
        <v>636</v>
      </c>
      <c r="C12" s="213">
        <v>37713</v>
      </c>
      <c r="D12" s="56" t="s">
        <v>637</v>
      </c>
      <c r="E12" s="56" t="s">
        <v>638</v>
      </c>
      <c r="F12" s="56" t="s">
        <v>694</v>
      </c>
      <c r="G12" s="56">
        <v>374</v>
      </c>
      <c r="H12" s="56">
        <v>386</v>
      </c>
      <c r="I12" s="56">
        <f>H12-G12</f>
        <v>12</v>
      </c>
      <c r="J12" s="56">
        <v>811</v>
      </c>
      <c r="K12" s="430">
        <v>2147</v>
      </c>
      <c r="L12" s="430">
        <v>499</v>
      </c>
      <c r="M12" s="430" t="s">
        <v>695</v>
      </c>
      <c r="N12" s="431">
        <v>5.5</v>
      </c>
      <c r="O12" s="431">
        <v>13.5</v>
      </c>
      <c r="P12" s="431">
        <v>7</v>
      </c>
      <c r="Q12" s="56">
        <v>17</v>
      </c>
      <c r="R12" s="56">
        <v>5</v>
      </c>
      <c r="S12" s="56">
        <v>0</v>
      </c>
      <c r="T12" s="56">
        <v>4</v>
      </c>
      <c r="U12" s="56">
        <v>2</v>
      </c>
      <c r="V12" s="56">
        <v>5</v>
      </c>
      <c r="W12" s="398">
        <v>352</v>
      </c>
    </row>
    <row r="13" spans="1:23" x14ac:dyDescent="0.25">
      <c r="A13" s="398" t="s">
        <v>640</v>
      </c>
      <c r="B13" s="56" t="s">
        <v>641</v>
      </c>
      <c r="C13" s="213">
        <v>41400</v>
      </c>
      <c r="D13" s="56" t="s">
        <v>642</v>
      </c>
      <c r="E13" s="56" t="s">
        <v>643</v>
      </c>
      <c r="F13" s="56" t="s">
        <v>673</v>
      </c>
      <c r="G13" s="56">
        <v>510</v>
      </c>
      <c r="H13" s="56">
        <v>487</v>
      </c>
      <c r="I13" s="56">
        <f t="shared" ref="I13:I19" si="0">H13-G13</f>
        <v>-23</v>
      </c>
      <c r="J13" s="56">
        <v>510</v>
      </c>
      <c r="K13" s="430">
        <v>737</v>
      </c>
      <c r="L13" s="430">
        <v>311</v>
      </c>
      <c r="M13" s="430" t="s">
        <v>696</v>
      </c>
      <c r="N13" s="431">
        <v>6.25</v>
      </c>
      <c r="O13" s="431">
        <v>12.25</v>
      </c>
      <c r="P13" s="431">
        <v>6.25</v>
      </c>
      <c r="Q13" s="56">
        <v>20</v>
      </c>
      <c r="R13" s="56">
        <v>0</v>
      </c>
      <c r="S13" s="56">
        <v>2</v>
      </c>
      <c r="T13" s="56">
        <v>3</v>
      </c>
      <c r="U13" s="56">
        <v>2</v>
      </c>
      <c r="V13" s="56">
        <v>8</v>
      </c>
      <c r="W13" s="398">
        <v>352</v>
      </c>
    </row>
    <row r="14" spans="1:23" x14ac:dyDescent="0.25">
      <c r="A14" s="398" t="s">
        <v>697</v>
      </c>
      <c r="B14" s="56" t="s">
        <v>698</v>
      </c>
      <c r="C14" s="213">
        <v>42184</v>
      </c>
      <c r="D14" s="56" t="s">
        <v>646</v>
      </c>
      <c r="E14" s="56" t="s">
        <v>699</v>
      </c>
      <c r="F14" s="56" t="s">
        <v>701</v>
      </c>
      <c r="G14" s="56">
        <v>201</v>
      </c>
      <c r="H14" s="56">
        <v>187</v>
      </c>
      <c r="I14" s="56">
        <f t="shared" si="0"/>
        <v>-14</v>
      </c>
      <c r="J14" s="56">
        <v>234</v>
      </c>
      <c r="K14" s="430">
        <v>2151</v>
      </c>
      <c r="L14" s="430">
        <v>495</v>
      </c>
      <c r="M14" s="430" t="s">
        <v>702</v>
      </c>
      <c r="N14" s="431">
        <v>6</v>
      </c>
      <c r="O14" s="431">
        <v>11.25</v>
      </c>
      <c r="P14" s="431">
        <v>7</v>
      </c>
      <c r="Q14" s="56">
        <v>13</v>
      </c>
      <c r="R14" s="56">
        <v>2</v>
      </c>
      <c r="S14" s="56">
        <v>0</v>
      </c>
      <c r="T14" s="56">
        <v>2</v>
      </c>
      <c r="U14" s="56">
        <v>1</v>
      </c>
      <c r="V14" s="56">
        <v>5</v>
      </c>
      <c r="W14" s="398">
        <v>352</v>
      </c>
    </row>
    <row r="15" spans="1:23" x14ac:dyDescent="0.25">
      <c r="A15" s="238" t="s">
        <v>660</v>
      </c>
      <c r="B15" s="56" t="s">
        <v>661</v>
      </c>
      <c r="C15" s="213">
        <v>40975</v>
      </c>
      <c r="D15" s="56" t="s">
        <v>703</v>
      </c>
      <c r="E15" s="56" t="s">
        <v>663</v>
      </c>
      <c r="F15" s="56" t="s">
        <v>704</v>
      </c>
      <c r="G15" s="56">
        <v>388</v>
      </c>
      <c r="H15" s="56">
        <v>368</v>
      </c>
      <c r="I15" s="56">
        <f>H15-G15</f>
        <v>-20</v>
      </c>
      <c r="J15" s="56">
        <v>1118</v>
      </c>
      <c r="K15" s="430">
        <v>1985</v>
      </c>
      <c r="L15" s="430">
        <v>395</v>
      </c>
      <c r="M15" s="430" t="s">
        <v>705</v>
      </c>
      <c r="N15" s="431">
        <v>5.75</v>
      </c>
      <c r="O15" s="431">
        <v>10.25</v>
      </c>
      <c r="P15" s="431">
        <v>7</v>
      </c>
      <c r="Q15" s="56">
        <v>16</v>
      </c>
      <c r="R15" s="56">
        <v>6</v>
      </c>
      <c r="S15" s="56">
        <v>2</v>
      </c>
      <c r="T15" s="56">
        <v>2</v>
      </c>
      <c r="U15" s="56">
        <v>1</v>
      </c>
      <c r="V15" s="56">
        <v>2</v>
      </c>
      <c r="W15" s="398">
        <v>352</v>
      </c>
    </row>
    <row r="16" spans="1:23" x14ac:dyDescent="0.25">
      <c r="A16" s="398" t="s">
        <v>706</v>
      </c>
      <c r="B16" s="56" t="s">
        <v>707</v>
      </c>
      <c r="C16" s="213">
        <v>40158</v>
      </c>
      <c r="D16" s="56" t="s">
        <v>667</v>
      </c>
      <c r="E16" s="56" t="s">
        <v>668</v>
      </c>
      <c r="F16" s="56" t="s">
        <v>708</v>
      </c>
      <c r="G16" s="56">
        <v>631</v>
      </c>
      <c r="H16" s="56">
        <v>554</v>
      </c>
      <c r="I16" s="56">
        <f t="shared" si="0"/>
        <v>-77</v>
      </c>
      <c r="J16" s="56">
        <v>814</v>
      </c>
      <c r="K16" s="430">
        <v>1723</v>
      </c>
      <c r="L16" s="430">
        <v>449</v>
      </c>
      <c r="M16" s="430" t="s">
        <v>709</v>
      </c>
      <c r="N16" s="431">
        <v>5.75</v>
      </c>
      <c r="O16" s="431">
        <v>16.25</v>
      </c>
      <c r="P16" s="431">
        <v>6.75</v>
      </c>
      <c r="Q16" s="56">
        <v>13</v>
      </c>
      <c r="R16" s="56">
        <v>3</v>
      </c>
      <c r="S16" s="56">
        <v>1</v>
      </c>
      <c r="T16" s="56">
        <v>3</v>
      </c>
      <c r="U16" s="56">
        <v>1</v>
      </c>
      <c r="V16" s="56">
        <v>3</v>
      </c>
      <c r="W16" s="398">
        <v>352</v>
      </c>
    </row>
    <row r="17" spans="1:23" x14ac:dyDescent="0.25">
      <c r="A17" s="398" t="s">
        <v>710</v>
      </c>
      <c r="B17" s="56" t="s">
        <v>711</v>
      </c>
      <c r="C17" s="213">
        <v>41405</v>
      </c>
      <c r="D17" s="56" t="s">
        <v>662</v>
      </c>
      <c r="E17" s="56" t="s">
        <v>671</v>
      </c>
      <c r="F17" s="56" t="s">
        <v>700</v>
      </c>
      <c r="G17" s="56">
        <v>230</v>
      </c>
      <c r="H17" s="56">
        <v>211</v>
      </c>
      <c r="I17" s="56">
        <f t="shared" si="0"/>
        <v>-19</v>
      </c>
      <c r="J17" s="56">
        <v>312</v>
      </c>
      <c r="K17" s="430">
        <v>722</v>
      </c>
      <c r="L17" s="430">
        <v>351</v>
      </c>
      <c r="M17" s="430" t="s">
        <v>712</v>
      </c>
      <c r="N17" s="431">
        <v>5.25</v>
      </c>
      <c r="O17" s="431">
        <v>9.75</v>
      </c>
      <c r="P17" s="431">
        <v>6.25</v>
      </c>
      <c r="Q17" s="56">
        <v>15</v>
      </c>
      <c r="R17" s="56">
        <v>10</v>
      </c>
      <c r="S17" s="56">
        <v>0</v>
      </c>
      <c r="T17" s="56">
        <v>0</v>
      </c>
      <c r="U17" s="56">
        <v>0</v>
      </c>
      <c r="V17" s="56">
        <v>3</v>
      </c>
      <c r="W17" s="398" t="s">
        <v>113</v>
      </c>
    </row>
    <row r="18" spans="1:23" x14ac:dyDescent="0.25">
      <c r="A18" s="238" t="s">
        <v>517</v>
      </c>
      <c r="B18" s="56" t="s">
        <v>634</v>
      </c>
      <c r="C18" s="213">
        <v>41400</v>
      </c>
      <c r="D18" s="56" t="s">
        <v>670</v>
      </c>
      <c r="E18" s="56" t="s">
        <v>671</v>
      </c>
      <c r="F18" s="56" t="s">
        <v>713</v>
      </c>
      <c r="G18" s="56">
        <v>215</v>
      </c>
      <c r="H18" s="56">
        <v>128</v>
      </c>
      <c r="I18" s="56">
        <f>H18-G18</f>
        <v>-87</v>
      </c>
      <c r="J18" s="56">
        <v>201</v>
      </c>
      <c r="K18" s="430">
        <v>1536</v>
      </c>
      <c r="L18" s="430">
        <v>430</v>
      </c>
      <c r="M18" s="430" t="s">
        <v>714</v>
      </c>
      <c r="N18" s="431">
        <v>6.25</v>
      </c>
      <c r="O18" s="431">
        <v>11.5</v>
      </c>
      <c r="P18" s="431">
        <v>7</v>
      </c>
      <c r="Q18" s="56">
        <f>18-3</f>
        <v>15</v>
      </c>
      <c r="R18" s="56">
        <v>5</v>
      </c>
      <c r="S18" s="56">
        <v>0</v>
      </c>
      <c r="T18" s="56">
        <v>0</v>
      </c>
      <c r="U18" s="56">
        <v>4</v>
      </c>
      <c r="V18" s="56">
        <v>3</v>
      </c>
      <c r="W18" s="398" t="s">
        <v>113</v>
      </c>
    </row>
    <row r="19" spans="1:23" x14ac:dyDescent="0.25">
      <c r="A19" s="398" t="s">
        <v>715</v>
      </c>
      <c r="B19" s="56" t="s">
        <v>716</v>
      </c>
      <c r="C19" s="213">
        <v>43172</v>
      </c>
      <c r="D19" s="56" t="s">
        <v>656</v>
      </c>
      <c r="E19" s="56" t="s">
        <v>638</v>
      </c>
      <c r="F19" s="56" t="s">
        <v>676</v>
      </c>
      <c r="G19" s="56">
        <v>104</v>
      </c>
      <c r="H19" s="56">
        <v>92</v>
      </c>
      <c r="I19" s="56">
        <f t="shared" si="0"/>
        <v>-12</v>
      </c>
      <c r="J19" s="56">
        <v>96</v>
      </c>
      <c r="K19" s="430">
        <v>2150</v>
      </c>
      <c r="L19" s="430">
        <v>447</v>
      </c>
      <c r="M19" s="430" t="s">
        <v>717</v>
      </c>
      <c r="N19" s="431">
        <v>6</v>
      </c>
      <c r="O19" s="431">
        <v>12.25</v>
      </c>
      <c r="P19" s="431">
        <v>7</v>
      </c>
      <c r="Q19" s="56">
        <v>15</v>
      </c>
      <c r="R19" s="56">
        <v>4</v>
      </c>
      <c r="S19" s="56">
        <v>2</v>
      </c>
      <c r="T19" s="56">
        <v>2</v>
      </c>
      <c r="U19" s="56">
        <v>0</v>
      </c>
      <c r="V19" s="56">
        <v>4</v>
      </c>
      <c r="W19" s="398">
        <v>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G7" sqref="G7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491</v>
      </c>
      <c r="B1" s="3" t="s">
        <v>203</v>
      </c>
      <c r="C1" s="3" t="s">
        <v>100</v>
      </c>
      <c r="D1" s="3" t="s">
        <v>171</v>
      </c>
      <c r="E1" s="3" t="s">
        <v>492</v>
      </c>
      <c r="F1" s="3" t="s">
        <v>493</v>
      </c>
      <c r="G1" s="3" t="s">
        <v>494</v>
      </c>
      <c r="H1" s="3" t="s">
        <v>498</v>
      </c>
      <c r="I1" s="3" t="s">
        <v>89</v>
      </c>
      <c r="J1" s="3" t="s">
        <v>496</v>
      </c>
      <c r="K1" s="3" t="s">
        <v>495</v>
      </c>
    </row>
    <row r="2" spans="1:11" x14ac:dyDescent="0.25">
      <c r="A2" t="s">
        <v>511</v>
      </c>
      <c r="B2" t="s">
        <v>510</v>
      </c>
      <c r="C2" s="356">
        <v>3109990</v>
      </c>
      <c r="D2" s="356">
        <v>485244</v>
      </c>
      <c r="E2" s="356">
        <v>2884270</v>
      </c>
      <c r="F2">
        <v>417264</v>
      </c>
      <c r="G2" t="s">
        <v>516</v>
      </c>
      <c r="H2" t="s">
        <v>512</v>
      </c>
      <c r="I2" t="s">
        <v>513</v>
      </c>
      <c r="J2" t="s">
        <v>514</v>
      </c>
      <c r="K2" t="s">
        <v>515</v>
      </c>
    </row>
    <row r="3" spans="1:11" x14ac:dyDescent="0.25">
      <c r="A3" t="s">
        <v>497</v>
      </c>
      <c r="B3" t="s">
        <v>503</v>
      </c>
      <c r="C3" s="356">
        <v>2218380</v>
      </c>
      <c r="D3" s="356">
        <v>439122</v>
      </c>
      <c r="E3" s="356">
        <v>2130650</v>
      </c>
      <c r="F3">
        <v>403908</v>
      </c>
      <c r="G3" t="s">
        <v>501</v>
      </c>
      <c r="H3" t="s">
        <v>499</v>
      </c>
      <c r="I3" t="s">
        <v>500</v>
      </c>
      <c r="J3" t="s">
        <v>502</v>
      </c>
      <c r="K3" t="s">
        <v>502</v>
      </c>
    </row>
    <row r="4" spans="1:11" x14ac:dyDescent="0.25">
      <c r="A4" t="s">
        <v>534</v>
      </c>
      <c r="B4" t="s">
        <v>537</v>
      </c>
      <c r="C4" s="356">
        <v>2225100</v>
      </c>
      <c r="D4" s="356">
        <v>417586</v>
      </c>
      <c r="E4" s="356">
        <v>2154750</v>
      </c>
      <c r="F4">
        <v>403098</v>
      </c>
      <c r="G4" t="s">
        <v>536</v>
      </c>
      <c r="H4" t="s">
        <v>535</v>
      </c>
      <c r="I4" t="s">
        <v>520</v>
      </c>
      <c r="J4" t="s">
        <v>520</v>
      </c>
      <c r="K4" t="s">
        <v>502</v>
      </c>
    </row>
    <row r="5" spans="1:11" x14ac:dyDescent="0.25">
      <c r="A5" s="238" t="s">
        <v>504</v>
      </c>
      <c r="B5" t="s">
        <v>510</v>
      </c>
      <c r="C5" s="356">
        <v>2301580</v>
      </c>
      <c r="D5" s="356">
        <v>379880</v>
      </c>
      <c r="E5" s="356">
        <v>2237810</v>
      </c>
      <c r="F5">
        <v>364254</v>
      </c>
      <c r="G5" t="s">
        <v>509</v>
      </c>
      <c r="H5" t="s">
        <v>505</v>
      </c>
      <c r="I5" t="s">
        <v>506</v>
      </c>
      <c r="J5" t="s">
        <v>507</v>
      </c>
      <c r="K5" t="s">
        <v>508</v>
      </c>
    </row>
    <row r="6" spans="1:11" x14ac:dyDescent="0.25">
      <c r="A6" s="238" t="s">
        <v>517</v>
      </c>
      <c r="B6" t="s">
        <v>521</v>
      </c>
      <c r="C6" s="356">
        <v>1508850</v>
      </c>
      <c r="D6" s="356">
        <v>366854</v>
      </c>
      <c r="E6" s="356">
        <v>1190260</v>
      </c>
      <c r="F6">
        <v>277768</v>
      </c>
      <c r="G6" t="s">
        <v>519</v>
      </c>
      <c r="H6" t="s">
        <v>518</v>
      </c>
      <c r="I6" t="s">
        <v>502</v>
      </c>
      <c r="J6" t="s">
        <v>514</v>
      </c>
      <c r="K6" t="s">
        <v>520</v>
      </c>
    </row>
    <row r="7" spans="1:11" x14ac:dyDescent="0.25">
      <c r="A7" s="238" t="s">
        <v>531</v>
      </c>
      <c r="B7" t="s">
        <v>510</v>
      </c>
      <c r="C7" s="356">
        <v>1565290</v>
      </c>
      <c r="D7" s="356">
        <v>325982</v>
      </c>
      <c r="E7" s="356">
        <v>1444630</v>
      </c>
      <c r="F7">
        <v>267216</v>
      </c>
      <c r="G7" t="s">
        <v>533</v>
      </c>
      <c r="H7" t="s">
        <v>532</v>
      </c>
      <c r="I7" t="s">
        <v>520</v>
      </c>
      <c r="J7" t="s">
        <v>520</v>
      </c>
      <c r="K7" t="s">
        <v>508</v>
      </c>
    </row>
    <row r="8" spans="1:11" x14ac:dyDescent="0.25">
      <c r="A8" s="238" t="s">
        <v>522</v>
      </c>
      <c r="B8" t="s">
        <v>510</v>
      </c>
      <c r="C8" s="356">
        <v>786840</v>
      </c>
      <c r="D8" s="356">
        <v>259780</v>
      </c>
      <c r="E8" s="356">
        <v>745500</v>
      </c>
      <c r="F8">
        <v>248346</v>
      </c>
      <c r="G8" t="s">
        <v>524</v>
      </c>
      <c r="H8" t="s">
        <v>523</v>
      </c>
      <c r="I8" t="s">
        <v>525</v>
      </c>
      <c r="J8" t="s">
        <v>526</v>
      </c>
      <c r="K8" t="s">
        <v>527</v>
      </c>
    </row>
    <row r="9" spans="1:11" x14ac:dyDescent="0.25">
      <c r="A9" s="238" t="s">
        <v>528</v>
      </c>
      <c r="B9" t="s">
        <v>510</v>
      </c>
      <c r="C9" s="356">
        <v>1052180</v>
      </c>
      <c r="D9" s="356">
        <v>251518</v>
      </c>
      <c r="E9" s="356">
        <v>955350</v>
      </c>
      <c r="F9">
        <v>219508</v>
      </c>
      <c r="G9" t="s">
        <v>530</v>
      </c>
      <c r="H9" t="s">
        <v>529</v>
      </c>
      <c r="I9" t="s">
        <v>502</v>
      </c>
      <c r="J9" t="s">
        <v>520</v>
      </c>
      <c r="K9" t="s">
        <v>527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59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L6" sqref="L6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6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7" width="6.140625" customWidth="1"/>
    <col min="18" max="18" width="8.28515625" bestFit="1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449" t="s">
        <v>227</v>
      </c>
      <c r="B1" s="449"/>
      <c r="C1" s="449"/>
      <c r="D1" s="449"/>
      <c r="E1" s="449"/>
      <c r="X1" t="s">
        <v>177</v>
      </c>
      <c r="AA1" t="s">
        <v>228</v>
      </c>
      <c r="AE1" t="s">
        <v>229</v>
      </c>
      <c r="AI1" t="s">
        <v>230</v>
      </c>
      <c r="AM1" t="s">
        <v>231</v>
      </c>
      <c r="AQ1" t="s">
        <v>232</v>
      </c>
      <c r="AX1" t="s">
        <v>233</v>
      </c>
      <c r="BE1" t="s">
        <v>234</v>
      </c>
      <c r="BJ1" t="s">
        <v>235</v>
      </c>
      <c r="BO1" t="s">
        <v>236</v>
      </c>
      <c r="BT1" t="s">
        <v>237</v>
      </c>
      <c r="BY1" t="s">
        <v>238</v>
      </c>
      <c r="CD1" t="s">
        <v>122</v>
      </c>
      <c r="CH1" t="s">
        <v>21</v>
      </c>
    </row>
    <row r="2" spans="1:89" x14ac:dyDescent="0.25">
      <c r="A2" s="124" t="s">
        <v>84</v>
      </c>
      <c r="B2" s="124" t="s">
        <v>170</v>
      </c>
      <c r="C2" s="124" t="s">
        <v>86</v>
      </c>
      <c r="D2" s="125" t="s">
        <v>169</v>
      </c>
      <c r="E2" s="124" t="s">
        <v>239</v>
      </c>
      <c r="F2" s="126" t="s">
        <v>240</v>
      </c>
      <c r="G2" s="126" t="s">
        <v>98</v>
      </c>
      <c r="H2" s="126" t="s">
        <v>99</v>
      </c>
      <c r="I2" s="127" t="s">
        <v>96</v>
      </c>
      <c r="J2" s="128" t="s">
        <v>241</v>
      </c>
      <c r="K2" s="128" t="s">
        <v>14</v>
      </c>
      <c r="L2" s="128" t="s">
        <v>37</v>
      </c>
      <c r="M2" s="128" t="s">
        <v>153</v>
      </c>
      <c r="N2" s="128" t="s">
        <v>30</v>
      </c>
      <c r="O2" s="128" t="s">
        <v>155</v>
      </c>
      <c r="P2" s="128" t="s">
        <v>156</v>
      </c>
      <c r="Q2" s="128" t="s">
        <v>157</v>
      </c>
      <c r="R2" s="129" t="s">
        <v>113</v>
      </c>
      <c r="S2" s="129" t="s">
        <v>693</v>
      </c>
      <c r="T2" s="129" t="s">
        <v>243</v>
      </c>
      <c r="U2" s="129" t="s">
        <v>244</v>
      </c>
      <c r="V2" s="129" t="s">
        <v>115</v>
      </c>
      <c r="W2" s="129" t="s">
        <v>116</v>
      </c>
      <c r="X2" s="130" t="s">
        <v>245</v>
      </c>
      <c r="Y2" s="130" t="s">
        <v>246</v>
      </c>
      <c r="Z2" s="130" t="s">
        <v>245</v>
      </c>
      <c r="AA2" s="131" t="s">
        <v>245</v>
      </c>
      <c r="AB2" s="131" t="s">
        <v>246</v>
      </c>
      <c r="AC2" s="131" t="s">
        <v>245</v>
      </c>
      <c r="AD2" s="131" t="s">
        <v>28</v>
      </c>
      <c r="AE2" s="131" t="s">
        <v>245</v>
      </c>
      <c r="AF2" s="131" t="s">
        <v>246</v>
      </c>
      <c r="AG2" s="131" t="s">
        <v>245</v>
      </c>
      <c r="AH2" s="131" t="s">
        <v>28</v>
      </c>
      <c r="AI2" s="130" t="s">
        <v>245</v>
      </c>
      <c r="AJ2" s="130" t="s">
        <v>246</v>
      </c>
      <c r="AK2" s="130" t="s">
        <v>28</v>
      </c>
      <c r="AL2" s="130" t="s">
        <v>247</v>
      </c>
      <c r="AM2" s="130" t="s">
        <v>245</v>
      </c>
      <c r="AN2" s="130" t="s">
        <v>246</v>
      </c>
      <c r="AO2" s="130" t="s">
        <v>28</v>
      </c>
      <c r="AP2" s="130" t="s">
        <v>247</v>
      </c>
      <c r="AQ2" s="130" t="s">
        <v>245</v>
      </c>
      <c r="AR2" s="130" t="s">
        <v>246</v>
      </c>
      <c r="AS2" s="130" t="s">
        <v>245</v>
      </c>
      <c r="AT2" s="130" t="s">
        <v>28</v>
      </c>
      <c r="AU2" s="130" t="s">
        <v>247</v>
      </c>
      <c r="AV2" s="130" t="s">
        <v>248</v>
      </c>
      <c r="AW2" s="130" t="s">
        <v>247</v>
      </c>
      <c r="AX2" s="130" t="s">
        <v>245</v>
      </c>
      <c r="AY2" s="130" t="s">
        <v>246</v>
      </c>
      <c r="AZ2" s="130" t="s">
        <v>245</v>
      </c>
      <c r="BA2" s="130" t="s">
        <v>28</v>
      </c>
      <c r="BB2" s="130" t="s">
        <v>247</v>
      </c>
      <c r="BC2" s="130" t="s">
        <v>248</v>
      </c>
      <c r="BD2" s="130" t="s">
        <v>247</v>
      </c>
      <c r="BE2" s="131" t="s">
        <v>245</v>
      </c>
      <c r="BF2" s="131" t="s">
        <v>246</v>
      </c>
      <c r="BG2" s="131" t="s">
        <v>28</v>
      </c>
      <c r="BH2" s="131" t="s">
        <v>247</v>
      </c>
      <c r="BI2" s="131" t="s">
        <v>248</v>
      </c>
      <c r="BJ2" s="131" t="s">
        <v>245</v>
      </c>
      <c r="BK2" s="131" t="s">
        <v>246</v>
      </c>
      <c r="BL2" s="131" t="s">
        <v>28</v>
      </c>
      <c r="BM2" s="131" t="s">
        <v>247</v>
      </c>
      <c r="BN2" s="131" t="s">
        <v>248</v>
      </c>
      <c r="BO2" s="130" t="s">
        <v>245</v>
      </c>
      <c r="BP2" s="130" t="s">
        <v>246</v>
      </c>
      <c r="BQ2" s="130" t="s">
        <v>28</v>
      </c>
      <c r="BR2" s="130" t="s">
        <v>247</v>
      </c>
      <c r="BS2" s="130" t="s">
        <v>248</v>
      </c>
      <c r="BT2" s="130" t="s">
        <v>245</v>
      </c>
      <c r="BU2" s="130" t="s">
        <v>246</v>
      </c>
      <c r="BV2" s="130" t="s">
        <v>28</v>
      </c>
      <c r="BW2" s="130" t="s">
        <v>247</v>
      </c>
      <c r="BX2" s="130" t="s">
        <v>248</v>
      </c>
      <c r="BY2" s="130" t="s">
        <v>245</v>
      </c>
      <c r="BZ2" s="130" t="s">
        <v>246</v>
      </c>
      <c r="CA2" s="130" t="s">
        <v>28</v>
      </c>
      <c r="CB2" s="130" t="s">
        <v>247</v>
      </c>
      <c r="CC2" s="130" t="s">
        <v>248</v>
      </c>
      <c r="CD2" s="131" t="s">
        <v>28</v>
      </c>
      <c r="CE2" s="131" t="s">
        <v>247</v>
      </c>
      <c r="CF2" s="131" t="s">
        <v>248</v>
      </c>
      <c r="CG2" s="131" t="s">
        <v>247</v>
      </c>
      <c r="CH2" s="130" t="s">
        <v>247</v>
      </c>
      <c r="CI2" s="130" t="s">
        <v>248</v>
      </c>
      <c r="CJ2" s="130" t="s">
        <v>247</v>
      </c>
      <c r="CK2" s="130" t="s">
        <v>28</v>
      </c>
    </row>
    <row r="3" spans="1:89" x14ac:dyDescent="0.25">
      <c r="A3" t="e">
        <f>PLANTILLA!#REF!</f>
        <v>#REF!</v>
      </c>
      <c r="B3" s="56" t="e">
        <f>PLANTILLA!#REF!</f>
        <v>#REF!</v>
      </c>
      <c r="C3" s="90" t="e">
        <f>PLANTILLA!#REF!</f>
        <v>#REF!</v>
      </c>
      <c r="D3" s="56" t="e">
        <f>PLANTILLA!#REF!</f>
        <v>#REF!</v>
      </c>
      <c r="E3" s="167" t="e">
        <f>PLANTILLA!#REF!</f>
        <v>#REF!</v>
      </c>
      <c r="F3" s="90" t="e">
        <f>PLANTILLA!#REF!</f>
        <v>#REF!</v>
      </c>
      <c r="G3" s="99" t="e">
        <f t="shared" ref="G3" si="0">(F3/7)^0.5</f>
        <v>#REF!</v>
      </c>
      <c r="H3" s="99" t="e">
        <f t="shared" ref="H3" si="1">IF(F3=7,1,((F3+0.99)/7)^0.5)</f>
        <v>#REF!</v>
      </c>
      <c r="I3" s="132" t="e">
        <f>PLANTILLA!#REF!</f>
        <v>#REF!</v>
      </c>
      <c r="J3" s="133" t="e">
        <f>PLANTILLA!#REF!</f>
        <v>#REF!</v>
      </c>
      <c r="K3" s="48" t="e">
        <f>PLANTILLA!#REF!</f>
        <v>#REF!</v>
      </c>
      <c r="L3" s="48" t="e">
        <f>PLANTILLA!#REF!</f>
        <v>#REF!</v>
      </c>
      <c r="M3" s="48" t="e">
        <f>PLANTILLA!#REF!</f>
        <v>#REF!</v>
      </c>
      <c r="N3" s="48" t="e">
        <f>PLANTILLA!#REF!</f>
        <v>#REF!</v>
      </c>
      <c r="O3" s="48" t="e">
        <f>PLANTILLA!#REF!</f>
        <v>#REF!</v>
      </c>
      <c r="P3" s="48" t="e">
        <f>PLANTILLA!#REF!</f>
        <v>#REF!</v>
      </c>
      <c r="Q3" s="48" t="e">
        <f>PLANTILLA!#REF!</f>
        <v>#REF!</v>
      </c>
      <c r="R3" s="48" t="e">
        <f>PLANTILLA!#REF!</f>
        <v>#REF!</v>
      </c>
      <c r="S3" s="48" t="e">
        <f>PLANTILLA!#REF!</f>
        <v>#REF!</v>
      </c>
      <c r="T3" s="48"/>
      <c r="U3" s="48"/>
      <c r="V3" s="48" t="e">
        <f>PLANTILLA!#REF!</f>
        <v>#REF!</v>
      </c>
      <c r="W3" s="48" t="e">
        <f>PLANTILLA!#REF!</f>
        <v>#REF!</v>
      </c>
      <c r="X3" s="68" t="e">
        <f t="shared" ref="X3:X4" si="2">((K3+I3+(LOG(J3)*4/3))*0.597)+((L3+I3+(LOG(J3)*4/3))*0.276)</f>
        <v>#REF!</v>
      </c>
      <c r="Y3" s="68" t="e">
        <f t="shared" ref="Y3:Y4" si="3">((K3+I3+(LOG(J3)*4/3))*0.866)+((L3+I3+(LOG(J3)*4/3))*0.425)</f>
        <v>#REF!</v>
      </c>
      <c r="Z3" s="68" t="e">
        <f t="shared" ref="Z3:Z4" si="4">X3</f>
        <v>#REF!</v>
      </c>
      <c r="AA3" s="68" t="e">
        <f t="shared" ref="AA3:AA4" si="5">((L3+I3+(LOG(J3)*4/3))*0.516)</f>
        <v>#REF!</v>
      </c>
      <c r="AB3" s="68" t="e">
        <f t="shared" ref="AB3:AB4" si="6">(L3+I3+(LOG(J3)*4/3))*1</f>
        <v>#REF!</v>
      </c>
      <c r="AC3" s="68" t="e">
        <f t="shared" ref="AC3:AC4" si="7">AA3/2</f>
        <v>#REF!</v>
      </c>
      <c r="AD3" s="68" t="e">
        <f t="shared" ref="AD3:AD4" si="8">(M3+I3+(LOG(J3)*4/3))*0.238</f>
        <v>#REF!</v>
      </c>
      <c r="AE3" s="68" t="e">
        <f t="shared" ref="AE3:AE4" si="9">((L3+I3+(LOG(J3)*4/3))*0.378)</f>
        <v>#REF!</v>
      </c>
      <c r="AF3" s="68" t="e">
        <f t="shared" ref="AF3:AF4" si="10">(L3+I3+(LOG(J3)*4/3))*0.723</f>
        <v>#REF!</v>
      </c>
      <c r="AG3" s="68" t="e">
        <f t="shared" ref="AG3:AG4" si="11">AE3/2</f>
        <v>#REF!</v>
      </c>
      <c r="AH3" s="68" t="e">
        <f t="shared" ref="AH3:AH4" si="12">(M3+I3+(LOG(J3)*4/3))*0.385</f>
        <v>#REF!</v>
      </c>
      <c r="AI3" s="68" t="e">
        <f t="shared" ref="AI3:AI4" si="13">((L3+I3+(LOG(J3)*4/3))*0.92)</f>
        <v>#REF!</v>
      </c>
      <c r="AJ3" s="68" t="e">
        <f t="shared" ref="AJ3:AJ4" si="14">(L3+I3+(LOG(J3)*4/3))*0.414</f>
        <v>#REF!</v>
      </c>
      <c r="AK3" s="68" t="e">
        <f t="shared" ref="AK3:AK4" si="15">((M3+I3+(LOG(J3)*4/3))*0.167)</f>
        <v>#REF!</v>
      </c>
      <c r="AL3" s="68" t="e">
        <f t="shared" ref="AL3:AL4" si="16">(N3+I3+(LOG(J3)*4/3))*0.588</f>
        <v>#REF!</v>
      </c>
      <c r="AM3" s="68" t="e">
        <f t="shared" ref="AM3:AM4" si="17">((L3+I3+(LOG(J3)*4/3))*0.754)</f>
        <v>#REF!</v>
      </c>
      <c r="AN3" s="68" t="e">
        <f t="shared" ref="AN3:AN4" si="18">((L3+I3+(LOG(J3)*4/3))*0.708)</f>
        <v>#REF!</v>
      </c>
      <c r="AO3" s="68" t="e">
        <f t="shared" ref="AO3:AO4" si="19">((Q3+I3+(LOG(J3)*4/3))*0.167)</f>
        <v>#REF!</v>
      </c>
      <c r="AP3" s="68" t="e">
        <f t="shared" ref="AP3:AP4" si="20">((R3+I3+(LOG(J3)*4/3))*0.288)</f>
        <v>#REF!</v>
      </c>
      <c r="AQ3" s="68" t="e">
        <f t="shared" ref="AQ3:AQ4" si="21">((L3+I3+(LOG(J3)*4/3))*0.27)</f>
        <v>#REF!</v>
      </c>
      <c r="AR3" s="68" t="e">
        <f t="shared" ref="AR3:AR4" si="22">((L3+I3+(LOG(J3)*4/3))*0.594)</f>
        <v>#REF!</v>
      </c>
      <c r="AS3" s="68" t="e">
        <f t="shared" ref="AS3:AS4" si="23">AQ3/2</f>
        <v>#REF!</v>
      </c>
      <c r="AT3" s="68" t="e">
        <f t="shared" ref="AT3:AT4" si="24">((M3+I3+(LOG(J3)*4/3))*0.944)</f>
        <v>#REF!</v>
      </c>
      <c r="AU3" s="68" t="e">
        <f t="shared" ref="AU3:AU4" si="25">((O3+I3+(LOG(J3)*4/3))*0.13)</f>
        <v>#REF!</v>
      </c>
      <c r="AV3" s="68" t="e">
        <f t="shared" ref="AV3:AV4" si="26">((P3+I3+(LOG(J3)*4/3))*0.173)+((O3+I3+(LOG(J3)*4/3))*0.12)</f>
        <v>#REF!</v>
      </c>
      <c r="AW3" s="68" t="e">
        <f t="shared" ref="AW3:AW4" si="27">AU3/2</f>
        <v>#REF!</v>
      </c>
      <c r="AX3" s="68" t="e">
        <f t="shared" ref="AX3:AX4" si="28">((L3+I3+(LOG(J3)*4/3))*0.189)</f>
        <v>#REF!</v>
      </c>
      <c r="AY3" s="68" t="e">
        <f t="shared" ref="AY3:AY4" si="29">((L3+I3+(LOG(J3)*4/3))*0.4)</f>
        <v>#REF!</v>
      </c>
      <c r="AZ3" s="68" t="e">
        <f t="shared" ref="AZ3:AZ4" si="30">AX3/2</f>
        <v>#REF!</v>
      </c>
      <c r="BA3" s="68" t="e">
        <f t="shared" ref="BA3:BA4" si="31">((M3+I3+(LOG(J3)*4/3))*1)</f>
        <v>#REF!</v>
      </c>
      <c r="BB3" s="68" t="e">
        <f t="shared" ref="BB3:BB4" si="32">((O3+I3+(LOG(J3)*4/3))*0.253)</f>
        <v>#REF!</v>
      </c>
      <c r="BC3" s="68" t="e">
        <f t="shared" ref="BC3:BC4" si="33">((P3+I3+(LOG(J3)*4/3))*0.21)+((O3+I3+(LOG(J3)*4/3))*0.341)</f>
        <v>#REF!</v>
      </c>
      <c r="BD3" s="68" t="e">
        <f t="shared" ref="BD3:BD4" si="34">BB3/2</f>
        <v>#REF!</v>
      </c>
      <c r="BE3" s="68" t="e">
        <f t="shared" ref="BE3:BE4" si="35">((L3+I3+(LOG(J3)*4/3))*0.291)</f>
        <v>#REF!</v>
      </c>
      <c r="BF3" s="68" t="e">
        <f t="shared" ref="BF3:BF4" si="36">((L3+I3+(LOG(J3)*4/3))*0.348)</f>
        <v>#REF!</v>
      </c>
      <c r="BG3" s="68" t="e">
        <f t="shared" ref="BG3:BG4" si="37">((M3+I3+(LOG(J3)*4/3))*0.881)</f>
        <v>#REF!</v>
      </c>
      <c r="BH3" s="68" t="e">
        <f t="shared" ref="BH3:BH4" si="38">((N3+I3+(LOG(J3)*4/3))*0.574)+((O3+I3+(LOG(J3)*4/3))*0.315)</f>
        <v>#REF!</v>
      </c>
      <c r="BI3" s="68" t="e">
        <f t="shared" ref="BI3:BI4" si="39">((O3+I3+(LOG(J3)*4/3))*0.241)</f>
        <v>#REF!</v>
      </c>
      <c r="BJ3" s="68" t="e">
        <f t="shared" ref="BJ3:BJ4" si="40">((L3+I3+(LOG(J3)*4/3))*0.485)</f>
        <v>#REF!</v>
      </c>
      <c r="BK3" s="68" t="e">
        <f t="shared" ref="BK3:BK4" si="41">((L3+I3+(LOG(J3)*4/3))*0.264)</f>
        <v>#REF!</v>
      </c>
      <c r="BL3" s="68" t="e">
        <f t="shared" ref="BL3:BL4" si="42">((M3+I3+(LOG(J3)*4/3))*0.381)</f>
        <v>#REF!</v>
      </c>
      <c r="BM3" s="68" t="e">
        <f t="shared" ref="BM3:BM4" si="43">((N3+I3+(LOG(J3)*4/3))*0.673)+((O3+I3+(LOG(J3)*4/3))*0.201)</f>
        <v>#REF!</v>
      </c>
      <c r="BN3" s="68" t="e">
        <f t="shared" ref="BN3:BN4" si="44">((O3+I3+(LOG(J3)*4/3))*0.052)</f>
        <v>#REF!</v>
      </c>
      <c r="BO3" s="68" t="e">
        <f t="shared" ref="BO3:BO4" si="45">((L3+I3+(LOG(J3)*4/3))*0.18)</f>
        <v>#REF!</v>
      </c>
      <c r="BP3" s="68" t="e">
        <f t="shared" ref="BP3:BP4" si="46">(L3+I3+(LOG(J3)*4/3))*0.068</f>
        <v>#REF!</v>
      </c>
      <c r="BQ3" s="68" t="e">
        <f t="shared" ref="BQ3:BQ4" si="47">((M3+I3+(LOG(J3)*4/3))*0.305)</f>
        <v>#REF!</v>
      </c>
      <c r="BR3" s="68" t="e">
        <f t="shared" ref="BR3:BR4" si="48">((N3+I3+(LOG(J3)*4/3))*1)+((O3+I3+(LOG(J3)*4/3))*0.286)</f>
        <v>#REF!</v>
      </c>
      <c r="BS3" s="68" t="e">
        <f t="shared" ref="BS3:BS4" si="49">((O3+I3+(LOG(J3)*4/3))*0.135)</f>
        <v>#REF!</v>
      </c>
      <c r="BT3" s="68" t="e">
        <f t="shared" ref="BT3:BT4" si="50">((L3+I3+(LOG(J3)*4/3))*0.284)</f>
        <v>#REF!</v>
      </c>
      <c r="BU3" s="68" t="e">
        <f t="shared" ref="BU3:BU4" si="51">(L3+I3+(LOG(J3)*4/3))*0.244</f>
        <v>#REF!</v>
      </c>
      <c r="BV3" s="68" t="e">
        <f t="shared" ref="BV3:BV4" si="52">((M3+I3+(LOG(J3)*4/3))*0.455)</f>
        <v>#REF!</v>
      </c>
      <c r="BW3" s="68" t="e">
        <f t="shared" ref="BW3:BW4" si="53">((N3+I3+(LOG(J3)*4/3))*0.864)+((O3+I3+(LOG(J3)*4/3))*0.244)</f>
        <v>#REF!</v>
      </c>
      <c r="BX3" s="68" t="e">
        <f t="shared" ref="BX3:BX4" si="54">((O3+I3+(LOG(J3)*4/3))*0.121)</f>
        <v>#REF!</v>
      </c>
      <c r="BY3" s="68" t="e">
        <f t="shared" ref="BY3:BY4" si="55">((L3+I3+(LOG(J3)*4/3))*0.284)</f>
        <v>#REF!</v>
      </c>
      <c r="BZ3" s="68" t="e">
        <f t="shared" ref="BZ3:BZ4" si="56">((L3+I3+(LOG(J3)*4/3))*0.244)</f>
        <v>#REF!</v>
      </c>
      <c r="CA3" s="68" t="e">
        <f t="shared" ref="CA3:CA4" si="57">((M3+I3+(LOG(J3)*4/3))*0.631)</f>
        <v>#REF!</v>
      </c>
      <c r="CB3" s="68" t="e">
        <f t="shared" ref="CB3:CB4" si="58">((N3+I3+(LOG(J3)*4/3))*0.702)+((O3+I3+(LOG(J3)*4/3))*0.193)</f>
        <v>#REF!</v>
      </c>
      <c r="CC3" s="68" t="e">
        <f t="shared" ref="CC3:CC4" si="59">((O3+I3+(LOG(J3)*4/3))*0.148)</f>
        <v>#REF!</v>
      </c>
      <c r="CD3" s="68" t="e">
        <f t="shared" ref="CD3:CD4" si="60">((M3+I3+(LOG(J3)*4/3))*0.406)</f>
        <v>#REF!</v>
      </c>
      <c r="CE3" s="68" t="e">
        <f t="shared" ref="CE3:CE4" si="61">IF(D3="TEC",((N3+I3+(LOG(J3)*4/3))*0.15)+((O3+I3+(LOG(J3)*4/3))*0.324)+((P3+I3+(LOG(J3)*4/3))*0.127),(((N3+I3+(LOG(J3)*4/3))*0.144)+((O3+I3+(LOG(J3)*4/3))*0.25)+((P3+I3+(LOG(J3)*4/3))*0.127)))</f>
        <v>#REF!</v>
      </c>
      <c r="CF3" s="68" t="e">
        <f t="shared" ref="CF3:CF4" si="62">((O3+I3+(LOG(J3)*4/3))*0.543)+((P3+I3+(LOG(J3)*4/3))*0.583)</f>
        <v>#REF!</v>
      </c>
      <c r="CG3" s="68" t="e">
        <f t="shared" ref="CG3:CG4" si="63">CE3</f>
        <v>#REF!</v>
      </c>
      <c r="CH3" s="68" t="e">
        <f t="shared" ref="CH3:CH4" si="64">((P3+1+(LOG(J3)*4/3))*0.26)+((N3+I3+(LOG(J3)*4/3))*0.221)+((O3+I3+(LOG(J3)*4/3))*0.142)</f>
        <v>#REF!</v>
      </c>
      <c r="CI3" s="68" t="e">
        <f t="shared" ref="CI3:CI4" si="65">((P3+I3+(LOG(J3)*4/3))*1)+((O3+I3+(LOG(J3)*4/3))*0.369)</f>
        <v>#REF!</v>
      </c>
      <c r="CJ3" s="68" t="e">
        <f t="shared" ref="CJ3:CJ4" si="66">CH3</f>
        <v>#REF!</v>
      </c>
      <c r="CK3" s="68" t="e">
        <f t="shared" ref="CK3:CK4" si="67">((M3+I3+(LOG(J3)*4/3))*0.25)</f>
        <v>#REF!</v>
      </c>
    </row>
    <row r="4" spans="1:89" x14ac:dyDescent="0.25">
      <c r="A4" t="str">
        <f>PLANTILLA!C4</f>
        <v>A. Shafeeu</v>
      </c>
      <c r="B4" s="56" t="str">
        <f>PLANTILLA!D4</f>
        <v>30.89</v>
      </c>
      <c r="C4" s="90" t="e">
        <f>PLANTILLA!#REF!</f>
        <v>#REF!</v>
      </c>
      <c r="D4" s="56" t="str">
        <f>PLANTILLA!E4</f>
        <v/>
      </c>
      <c r="E4" s="167">
        <f>PLANTILLA!AN4</f>
        <v>45059</v>
      </c>
      <c r="F4" s="90">
        <f>PLANTILLA!N4</f>
        <v>6</v>
      </c>
      <c r="G4" s="99">
        <f t="shared" ref="G4:G18" si="68">(F4/7)^0.5</f>
        <v>0.92582009977255142</v>
      </c>
      <c r="H4" s="99">
        <f t="shared" ref="H4:H18" si="69">IF(F4=7,1,((F4+0.99)/7)^0.5)</f>
        <v>0.99928545900129484</v>
      </c>
      <c r="I4" s="132">
        <f ca="1">PLANTILLA!M4</f>
        <v>0.55790014502880092</v>
      </c>
      <c r="J4" s="133">
        <f>PLANTILLA!G4</f>
        <v>10</v>
      </c>
      <c r="K4" s="48">
        <f>PLANTILLA!U4</f>
        <v>15</v>
      </c>
      <c r="L4" s="48">
        <f>PLANTILLA!V4</f>
        <v>12</v>
      </c>
      <c r="M4" s="48">
        <f>PLANTILLA!W4</f>
        <v>0</v>
      </c>
      <c r="N4" s="48">
        <f>PLANTILLA!X4</f>
        <v>-1</v>
      </c>
      <c r="O4" s="48">
        <f>PLANTILLA!Y4</f>
        <v>2</v>
      </c>
      <c r="P4" s="48">
        <f>PLANTILLA!Z4</f>
        <v>2</v>
      </c>
      <c r="Q4" s="48">
        <f>PLANTILLA!AA4</f>
        <v>17</v>
      </c>
      <c r="R4" s="48">
        <f ca="1">PLANTILLA!AE4</f>
        <v>8.6764123444243619</v>
      </c>
      <c r="S4" s="48">
        <f ca="1">PLANTILLA!AF4</f>
        <v>9.3715964327798869</v>
      </c>
      <c r="T4" s="48"/>
      <c r="U4" s="48"/>
      <c r="V4" s="48">
        <f ca="1">PLANTILLA!AH4</f>
        <v>17.489883663763791</v>
      </c>
      <c r="W4" s="48">
        <f ca="1">PLANTILLA!AI4</f>
        <v>18.891233478362132</v>
      </c>
      <c r="X4" s="68">
        <f t="shared" ca="1" si="2"/>
        <v>13.918046826610144</v>
      </c>
      <c r="Y4" s="68">
        <f t="shared" ca="1" si="3"/>
        <v>20.531582420565517</v>
      </c>
      <c r="Z4" s="68">
        <f t="shared" ca="1" si="4"/>
        <v>13.918046826610144</v>
      </c>
      <c r="AA4" s="68">
        <f t="shared" ca="1" si="5"/>
        <v>7.1678764748348618</v>
      </c>
      <c r="AB4" s="68">
        <f t="shared" ca="1" si="6"/>
        <v>13.891233478362135</v>
      </c>
      <c r="AC4" s="68">
        <f t="shared" ca="1" si="7"/>
        <v>3.5839382374174309</v>
      </c>
      <c r="AD4" s="68">
        <f t="shared" ca="1" si="8"/>
        <v>0.45011356785018791</v>
      </c>
      <c r="AE4" s="68">
        <f t="shared" ca="1" si="9"/>
        <v>5.2508862548208874</v>
      </c>
      <c r="AF4" s="68">
        <f t="shared" ca="1" si="10"/>
        <v>10.043361804855824</v>
      </c>
      <c r="AG4" s="68">
        <f t="shared" ca="1" si="11"/>
        <v>2.6254431274104437</v>
      </c>
      <c r="AH4" s="68">
        <f t="shared" ca="1" si="12"/>
        <v>0.72812488916942164</v>
      </c>
      <c r="AI4" s="68">
        <f t="shared" ca="1" si="13"/>
        <v>12.779934800093166</v>
      </c>
      <c r="AJ4" s="68">
        <f t="shared" ca="1" si="14"/>
        <v>5.7509706600419239</v>
      </c>
      <c r="AK4" s="68">
        <f t="shared" ca="1" si="15"/>
        <v>0.3158359908864764</v>
      </c>
      <c r="AL4" s="68">
        <f t="shared" ca="1" si="16"/>
        <v>0.52404528527693484</v>
      </c>
      <c r="AM4" s="68">
        <f t="shared" ca="1" si="17"/>
        <v>10.473990042685051</v>
      </c>
      <c r="AN4" s="68">
        <f t="shared" ca="1" si="18"/>
        <v>9.8349933026803917</v>
      </c>
      <c r="AO4" s="68">
        <f t="shared" ca="1" si="19"/>
        <v>3.1548359908864763</v>
      </c>
      <c r="AP4" s="68">
        <f t="shared" ca="1" si="20"/>
        <v>3.0434819969625111</v>
      </c>
      <c r="AQ4" s="68">
        <f t="shared" ca="1" si="21"/>
        <v>3.7506330391577767</v>
      </c>
      <c r="AR4" s="68">
        <f t="shared" ca="1" si="22"/>
        <v>8.2513926861471081</v>
      </c>
      <c r="AS4" s="68">
        <f t="shared" ca="1" si="23"/>
        <v>1.8753165195788883</v>
      </c>
      <c r="AT4" s="68">
        <f t="shared" ca="1" si="24"/>
        <v>1.7853244035738545</v>
      </c>
      <c r="AU4" s="68">
        <f t="shared" ca="1" si="25"/>
        <v>0.50586035218707748</v>
      </c>
      <c r="AV4" s="68">
        <f t="shared" ca="1" si="26"/>
        <v>1.1401314091601054</v>
      </c>
      <c r="AW4" s="68">
        <f t="shared" ca="1" si="27"/>
        <v>0.25293017609353874</v>
      </c>
      <c r="AX4" s="68">
        <f t="shared" ca="1" si="28"/>
        <v>2.6254431274104437</v>
      </c>
      <c r="AY4" s="68">
        <f t="shared" ca="1" si="29"/>
        <v>5.5564933913448549</v>
      </c>
      <c r="AZ4" s="68">
        <f t="shared" ca="1" si="30"/>
        <v>1.3127215637052219</v>
      </c>
      <c r="BA4" s="68">
        <f t="shared" ca="1" si="31"/>
        <v>1.8912334783621341</v>
      </c>
      <c r="BB4" s="68">
        <f t="shared" ca="1" si="32"/>
        <v>0.98448207002562005</v>
      </c>
      <c r="BC4" s="68">
        <f t="shared" ca="1" si="33"/>
        <v>2.144069646577536</v>
      </c>
      <c r="BD4" s="68">
        <f t="shared" ca="1" si="34"/>
        <v>0.49224103501281002</v>
      </c>
      <c r="BE4" s="68">
        <f t="shared" ca="1" si="35"/>
        <v>4.0423489422033807</v>
      </c>
      <c r="BF4" s="68">
        <f t="shared" ca="1" si="36"/>
        <v>4.8341492504700225</v>
      </c>
      <c r="BG4" s="68">
        <f t="shared" ca="1" si="37"/>
        <v>1.6661766944370402</v>
      </c>
      <c r="BH4" s="68">
        <f t="shared" ca="1" si="38"/>
        <v>1.7373065622639374</v>
      </c>
      <c r="BI4" s="68">
        <f t="shared" ca="1" si="39"/>
        <v>0.93778726828527437</v>
      </c>
      <c r="BJ4" s="68">
        <f t="shared" ca="1" si="40"/>
        <v>6.7372482370056357</v>
      </c>
      <c r="BK4" s="68">
        <f t="shared" ca="1" si="41"/>
        <v>3.6672856382876038</v>
      </c>
      <c r="BL4" s="68">
        <f t="shared" ca="1" si="42"/>
        <v>0.72055995525597305</v>
      </c>
      <c r="BM4" s="68">
        <f t="shared" ca="1" si="43"/>
        <v>1.3819380600885054</v>
      </c>
      <c r="BN4" s="68">
        <f t="shared" ca="1" si="44"/>
        <v>0.20234414087483099</v>
      </c>
      <c r="BO4" s="68">
        <f t="shared" ca="1" si="45"/>
        <v>2.5004220261051842</v>
      </c>
      <c r="BP4" s="68">
        <f t="shared" ca="1" si="46"/>
        <v>0.94460387652862532</v>
      </c>
      <c r="BQ4" s="68">
        <f t="shared" ca="1" si="47"/>
        <v>0.57682621090045083</v>
      </c>
      <c r="BR4" s="68">
        <f t="shared" ca="1" si="48"/>
        <v>2.0041262531737045</v>
      </c>
      <c r="BS4" s="68">
        <f t="shared" ca="1" si="49"/>
        <v>0.52531651957888814</v>
      </c>
      <c r="BT4" s="68">
        <f t="shared" ca="1" si="50"/>
        <v>3.9451103078548462</v>
      </c>
      <c r="BU4" s="68">
        <f t="shared" ca="1" si="51"/>
        <v>3.389460968720361</v>
      </c>
      <c r="BV4" s="68">
        <f t="shared" ca="1" si="52"/>
        <v>0.86051123265477103</v>
      </c>
      <c r="BW4" s="68">
        <f t="shared" ca="1" si="53"/>
        <v>1.7194866940252447</v>
      </c>
      <c r="BX4" s="68">
        <f t="shared" ca="1" si="54"/>
        <v>0.47083925088181827</v>
      </c>
      <c r="BY4" s="68">
        <f t="shared" ca="1" si="55"/>
        <v>3.9451103078548462</v>
      </c>
      <c r="BZ4" s="68">
        <f t="shared" ca="1" si="56"/>
        <v>3.389460968720361</v>
      </c>
      <c r="CA4" s="68">
        <f t="shared" ca="1" si="57"/>
        <v>1.1933683248465066</v>
      </c>
      <c r="CB4" s="68">
        <f t="shared" ca="1" si="58"/>
        <v>1.3766539631341101</v>
      </c>
      <c r="CC4" s="68">
        <f t="shared" ca="1" si="59"/>
        <v>0.57590255479759589</v>
      </c>
      <c r="CD4" s="68">
        <f t="shared" ca="1" si="60"/>
        <v>0.76784079221502644</v>
      </c>
      <c r="CE4" s="68">
        <f t="shared" ca="1" si="61"/>
        <v>1.595332642226672</v>
      </c>
      <c r="CF4" s="68">
        <f t="shared" ca="1" si="62"/>
        <v>4.3815288966357633</v>
      </c>
      <c r="CG4" s="68">
        <f t="shared" ca="1" si="63"/>
        <v>1.595332642226672</v>
      </c>
      <c r="CH4" s="68">
        <f t="shared" ca="1" si="64"/>
        <v>1.8761844193121213</v>
      </c>
      <c r="CI4" s="68">
        <f t="shared" ca="1" si="65"/>
        <v>5.327098631877762</v>
      </c>
      <c r="CJ4" s="68">
        <f t="shared" ca="1" si="66"/>
        <v>1.8761844193121213</v>
      </c>
      <c r="CK4" s="68">
        <f t="shared" ca="1" si="67"/>
        <v>0.47280836959053352</v>
      </c>
    </row>
    <row r="5" spans="1:89" x14ac:dyDescent="0.25">
      <c r="A5" t="e">
        <f>PLANTILLA!#REF!</f>
        <v>#REF!</v>
      </c>
      <c r="B5" s="56" t="e">
        <f>PLANTILLA!#REF!</f>
        <v>#REF!</v>
      </c>
      <c r="C5" s="90" t="e">
        <f>PLANTILLA!#REF!</f>
        <v>#REF!</v>
      </c>
      <c r="D5" s="56" t="e">
        <f>PLANTILLA!#REF!</f>
        <v>#REF!</v>
      </c>
      <c r="E5" s="167" t="e">
        <f>PLANTILLA!#REF!</f>
        <v>#REF!</v>
      </c>
      <c r="F5" s="90" t="e">
        <f>PLANTILLA!#REF!</f>
        <v>#REF!</v>
      </c>
      <c r="G5" s="99" t="e">
        <f t="shared" si="68"/>
        <v>#REF!</v>
      </c>
      <c r="H5" s="99" t="e">
        <f t="shared" si="69"/>
        <v>#REF!</v>
      </c>
      <c r="I5" s="132" t="e">
        <f>PLANTILLA!#REF!</f>
        <v>#REF!</v>
      </c>
      <c r="J5" s="133" t="e">
        <f>PLANTILLA!#REF!</f>
        <v>#REF!</v>
      </c>
      <c r="K5" s="48" t="e">
        <f>PLANTILLA!#REF!</f>
        <v>#REF!</v>
      </c>
      <c r="L5" s="48" t="e">
        <f>PLANTILLA!#REF!</f>
        <v>#REF!</v>
      </c>
      <c r="M5" s="48" t="e">
        <f>PLANTILLA!#REF!</f>
        <v>#REF!</v>
      </c>
      <c r="N5" s="48" t="e">
        <f>PLANTILLA!#REF!</f>
        <v>#REF!</v>
      </c>
      <c r="O5" s="48" t="e">
        <f>PLANTILLA!#REF!</f>
        <v>#REF!</v>
      </c>
      <c r="P5" s="48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/>
      <c r="U5" s="48"/>
      <c r="V5" s="48" t="e">
        <f>PLANTILLA!#REF!</f>
        <v>#REF!</v>
      </c>
      <c r="W5" s="48" t="e">
        <f>PLANTILLA!#REF!</f>
        <v>#REF!</v>
      </c>
      <c r="X5" s="68" t="e">
        <f t="shared" ref="X5:X18" si="70">((K5+I5+(LOG(J5)*4/3))*0.597)+((L5+I5+(LOG(J5)*4/3))*0.276)</f>
        <v>#REF!</v>
      </c>
      <c r="Y5" s="68" t="e">
        <f t="shared" ref="Y5:Y18" si="71">((K5+I5+(LOG(J5)*4/3))*0.866)+((L5+I5+(LOG(J5)*4/3))*0.425)</f>
        <v>#REF!</v>
      </c>
      <c r="Z5" s="68" t="e">
        <f t="shared" ref="Z5:Z18" si="72">X5</f>
        <v>#REF!</v>
      </c>
      <c r="AA5" s="68" t="e">
        <f t="shared" ref="AA5:AA18" si="73">((L5+I5+(LOG(J5)*4/3))*0.516)</f>
        <v>#REF!</v>
      </c>
      <c r="AB5" s="68" t="e">
        <f t="shared" ref="AB5:AB18" si="74">(L5+I5+(LOG(J5)*4/3))*1</f>
        <v>#REF!</v>
      </c>
      <c r="AC5" s="68" t="e">
        <f t="shared" ref="AC5:AC18" si="75">AA5/2</f>
        <v>#REF!</v>
      </c>
      <c r="AD5" s="68" t="e">
        <f t="shared" ref="AD5:AD18" si="76">(M5+I5+(LOG(J5)*4/3))*0.238</f>
        <v>#REF!</v>
      </c>
      <c r="AE5" s="68" t="e">
        <f t="shared" ref="AE5:AE18" si="77">((L5+I5+(LOG(J5)*4/3))*0.378)</f>
        <v>#REF!</v>
      </c>
      <c r="AF5" s="68" t="e">
        <f t="shared" ref="AF5:AF18" si="78">(L5+I5+(LOG(J5)*4/3))*0.723</f>
        <v>#REF!</v>
      </c>
      <c r="AG5" s="68" t="e">
        <f t="shared" ref="AG5:AG18" si="79">AE5/2</f>
        <v>#REF!</v>
      </c>
      <c r="AH5" s="68" t="e">
        <f t="shared" ref="AH5:AH18" si="80">(M5+I5+(LOG(J5)*4/3))*0.385</f>
        <v>#REF!</v>
      </c>
      <c r="AI5" s="68" t="e">
        <f t="shared" ref="AI5:AI18" si="81">((L5+I5+(LOG(J5)*4/3))*0.92)</f>
        <v>#REF!</v>
      </c>
      <c r="AJ5" s="68" t="e">
        <f t="shared" ref="AJ5:AJ18" si="82">(L5+I5+(LOG(J5)*4/3))*0.414</f>
        <v>#REF!</v>
      </c>
      <c r="AK5" s="68" t="e">
        <f t="shared" ref="AK5:AK18" si="83">((M5+I5+(LOG(J5)*4/3))*0.167)</f>
        <v>#REF!</v>
      </c>
      <c r="AL5" s="68" t="e">
        <f t="shared" ref="AL5:AL18" si="84">(N5+I5+(LOG(J5)*4/3))*0.588</f>
        <v>#REF!</v>
      </c>
      <c r="AM5" s="68" t="e">
        <f t="shared" ref="AM5:AM18" si="85">((L5+I5+(LOG(J5)*4/3))*0.754)</f>
        <v>#REF!</v>
      </c>
      <c r="AN5" s="68" t="e">
        <f t="shared" ref="AN5:AN18" si="86">((L5+I5+(LOG(J5)*4/3))*0.708)</f>
        <v>#REF!</v>
      </c>
      <c r="AO5" s="68" t="e">
        <f t="shared" ref="AO5:AO18" si="87">((Q5+I5+(LOG(J5)*4/3))*0.167)</f>
        <v>#REF!</v>
      </c>
      <c r="AP5" s="68" t="e">
        <f t="shared" ref="AP5:AP18" si="88">((R5+I5+(LOG(J5)*4/3))*0.288)</f>
        <v>#REF!</v>
      </c>
      <c r="AQ5" s="68" t="e">
        <f t="shared" ref="AQ5:AQ18" si="89">((L5+I5+(LOG(J5)*4/3))*0.27)</f>
        <v>#REF!</v>
      </c>
      <c r="AR5" s="68" t="e">
        <f t="shared" ref="AR5:AR18" si="90">((L5+I5+(LOG(J5)*4/3))*0.594)</f>
        <v>#REF!</v>
      </c>
      <c r="AS5" s="68" t="e">
        <f t="shared" ref="AS5:AS18" si="91">AQ5/2</f>
        <v>#REF!</v>
      </c>
      <c r="AT5" s="68" t="e">
        <f t="shared" ref="AT5:AT18" si="92">((M5+I5+(LOG(J5)*4/3))*0.944)</f>
        <v>#REF!</v>
      </c>
      <c r="AU5" s="68" t="e">
        <f t="shared" ref="AU5:AU18" si="93">((O5+I5+(LOG(J5)*4/3))*0.13)</f>
        <v>#REF!</v>
      </c>
      <c r="AV5" s="68" t="e">
        <f t="shared" ref="AV5:AV18" si="94">((P5+I5+(LOG(J5)*4/3))*0.173)+((O5+I5+(LOG(J5)*4/3))*0.12)</f>
        <v>#REF!</v>
      </c>
      <c r="AW5" s="68" t="e">
        <f t="shared" ref="AW5:AW18" si="95">AU5/2</f>
        <v>#REF!</v>
      </c>
      <c r="AX5" s="68" t="e">
        <f t="shared" ref="AX5:AX18" si="96">((L5+I5+(LOG(J5)*4/3))*0.189)</f>
        <v>#REF!</v>
      </c>
      <c r="AY5" s="68" t="e">
        <f t="shared" ref="AY5:AY18" si="97">((L5+I5+(LOG(J5)*4/3))*0.4)</f>
        <v>#REF!</v>
      </c>
      <c r="AZ5" s="68" t="e">
        <f t="shared" ref="AZ5:AZ18" si="98">AX5/2</f>
        <v>#REF!</v>
      </c>
      <c r="BA5" s="68" t="e">
        <f t="shared" ref="BA5:BA18" si="99">((M5+I5+(LOG(J5)*4/3))*1)</f>
        <v>#REF!</v>
      </c>
      <c r="BB5" s="68" t="e">
        <f t="shared" ref="BB5:BB18" si="100">((O5+I5+(LOG(J5)*4/3))*0.253)</f>
        <v>#REF!</v>
      </c>
      <c r="BC5" s="68" t="e">
        <f t="shared" ref="BC5:BC18" si="101">((P5+I5+(LOG(J5)*4/3))*0.21)+((O5+I5+(LOG(J5)*4/3))*0.341)</f>
        <v>#REF!</v>
      </c>
      <c r="BD5" s="68" t="e">
        <f t="shared" ref="BD5:BD18" si="102">BB5/2</f>
        <v>#REF!</v>
      </c>
      <c r="BE5" s="68" t="e">
        <f t="shared" ref="BE5:BE18" si="103">((L5+I5+(LOG(J5)*4/3))*0.291)</f>
        <v>#REF!</v>
      </c>
      <c r="BF5" s="68" t="e">
        <f t="shared" ref="BF5:BF18" si="104">((L5+I5+(LOG(J5)*4/3))*0.348)</f>
        <v>#REF!</v>
      </c>
      <c r="BG5" s="68" t="e">
        <f t="shared" ref="BG5:BG18" si="105">((M5+I5+(LOG(J5)*4/3))*0.881)</f>
        <v>#REF!</v>
      </c>
      <c r="BH5" s="68" t="e">
        <f t="shared" ref="BH5:BH18" si="106">((N5+I5+(LOG(J5)*4/3))*0.574)+((O5+I5+(LOG(J5)*4/3))*0.315)</f>
        <v>#REF!</v>
      </c>
      <c r="BI5" s="68" t="e">
        <f t="shared" ref="BI5:BI18" si="107">((O5+I5+(LOG(J5)*4/3))*0.241)</f>
        <v>#REF!</v>
      </c>
      <c r="BJ5" s="68" t="e">
        <f t="shared" ref="BJ5:BJ18" si="108">((L5+I5+(LOG(J5)*4/3))*0.485)</f>
        <v>#REF!</v>
      </c>
      <c r="BK5" s="68" t="e">
        <f t="shared" ref="BK5:BK18" si="109">((L5+I5+(LOG(J5)*4/3))*0.264)</f>
        <v>#REF!</v>
      </c>
      <c r="BL5" s="68" t="e">
        <f t="shared" ref="BL5:BL18" si="110">((M5+I5+(LOG(J5)*4/3))*0.381)</f>
        <v>#REF!</v>
      </c>
      <c r="BM5" s="68" t="e">
        <f t="shared" ref="BM5:BM18" si="111">((N5+I5+(LOG(J5)*4/3))*0.673)+((O5+I5+(LOG(J5)*4/3))*0.201)</f>
        <v>#REF!</v>
      </c>
      <c r="BN5" s="68" t="e">
        <f t="shared" ref="BN5:BN18" si="112">((O5+I5+(LOG(J5)*4/3))*0.052)</f>
        <v>#REF!</v>
      </c>
      <c r="BO5" s="68" t="e">
        <f t="shared" ref="BO5:BO18" si="113">((L5+I5+(LOG(J5)*4/3))*0.18)</f>
        <v>#REF!</v>
      </c>
      <c r="BP5" s="68" t="e">
        <f t="shared" ref="BP5:BP18" si="114">(L5+I5+(LOG(J5)*4/3))*0.068</f>
        <v>#REF!</v>
      </c>
      <c r="BQ5" s="68" t="e">
        <f t="shared" ref="BQ5:BQ18" si="115">((M5+I5+(LOG(J5)*4/3))*0.305)</f>
        <v>#REF!</v>
      </c>
      <c r="BR5" s="68" t="e">
        <f t="shared" ref="BR5:BR18" si="116">((N5+I5+(LOG(J5)*4/3))*1)+((O5+I5+(LOG(J5)*4/3))*0.286)</f>
        <v>#REF!</v>
      </c>
      <c r="BS5" s="68" t="e">
        <f t="shared" ref="BS5:BS18" si="117">((O5+I5+(LOG(J5)*4/3))*0.135)</f>
        <v>#REF!</v>
      </c>
      <c r="BT5" s="68" t="e">
        <f t="shared" ref="BT5:BT18" si="118">((L5+I5+(LOG(J5)*4/3))*0.284)</f>
        <v>#REF!</v>
      </c>
      <c r="BU5" s="68" t="e">
        <f t="shared" ref="BU5:BU18" si="119">(L5+I5+(LOG(J5)*4/3))*0.244</f>
        <v>#REF!</v>
      </c>
      <c r="BV5" s="68" t="e">
        <f t="shared" ref="BV5:BV18" si="120">((M5+I5+(LOG(J5)*4/3))*0.455)</f>
        <v>#REF!</v>
      </c>
      <c r="BW5" s="68" t="e">
        <f t="shared" ref="BW5:BW18" si="121">((N5+I5+(LOG(J5)*4/3))*0.864)+((O5+I5+(LOG(J5)*4/3))*0.244)</f>
        <v>#REF!</v>
      </c>
      <c r="BX5" s="68" t="e">
        <f t="shared" ref="BX5:BX18" si="122">((O5+I5+(LOG(J5)*4/3))*0.121)</f>
        <v>#REF!</v>
      </c>
      <c r="BY5" s="68" t="e">
        <f t="shared" ref="BY5:BY18" si="123">((L5+I5+(LOG(J5)*4/3))*0.284)</f>
        <v>#REF!</v>
      </c>
      <c r="BZ5" s="68" t="e">
        <f t="shared" ref="BZ5:BZ18" si="124">((L5+I5+(LOG(J5)*4/3))*0.244)</f>
        <v>#REF!</v>
      </c>
      <c r="CA5" s="68" t="e">
        <f t="shared" ref="CA5:CA18" si="125">((M5+I5+(LOG(J5)*4/3))*0.631)</f>
        <v>#REF!</v>
      </c>
      <c r="CB5" s="68" t="e">
        <f t="shared" ref="CB5:CB18" si="126">((N5+I5+(LOG(J5)*4/3))*0.702)+((O5+I5+(LOG(J5)*4/3))*0.193)</f>
        <v>#REF!</v>
      </c>
      <c r="CC5" s="68" t="e">
        <f t="shared" ref="CC5:CC18" si="127">((O5+I5+(LOG(J5)*4/3))*0.148)</f>
        <v>#REF!</v>
      </c>
      <c r="CD5" s="68" t="e">
        <f t="shared" ref="CD5:CD18" si="128">((M5+I5+(LOG(J5)*4/3))*0.406)</f>
        <v>#REF!</v>
      </c>
      <c r="CE5" s="68" t="e">
        <f t="shared" ref="CE5:CE18" si="129">IF(D5="TEC",((N5+I5+(LOG(J5)*4/3))*0.15)+((O5+I5+(LOG(J5)*4/3))*0.324)+((P5+I5+(LOG(J5)*4/3))*0.127),(((N5+I5+(LOG(J5)*4/3))*0.144)+((O5+I5+(LOG(J5)*4/3))*0.25)+((P5+I5+(LOG(J5)*4/3))*0.127)))</f>
        <v>#REF!</v>
      </c>
      <c r="CF5" s="68" t="e">
        <f t="shared" ref="CF5:CF18" si="130">((O5+I5+(LOG(J5)*4/3))*0.543)+((P5+I5+(LOG(J5)*4/3))*0.583)</f>
        <v>#REF!</v>
      </c>
      <c r="CG5" s="68" t="e">
        <f t="shared" ref="CG5:CG18" si="131">CE5</f>
        <v>#REF!</v>
      </c>
      <c r="CH5" s="68" t="e">
        <f t="shared" ref="CH5:CH18" si="132">((P5+1+(LOG(J5)*4/3))*0.26)+((N5+I5+(LOG(J5)*4/3))*0.221)+((O5+I5+(LOG(J5)*4/3))*0.142)</f>
        <v>#REF!</v>
      </c>
      <c r="CI5" s="68" t="e">
        <f t="shared" ref="CI5:CI18" si="133">((P5+I5+(LOG(J5)*4/3))*1)+((O5+I5+(LOG(J5)*4/3))*0.369)</f>
        <v>#REF!</v>
      </c>
      <c r="CJ5" s="68" t="e">
        <f t="shared" ref="CJ5:CJ18" si="134">CH5</f>
        <v>#REF!</v>
      </c>
      <c r="CK5" s="68" t="e">
        <f t="shared" ref="CK5:CK18" si="135">((M5+I5+(LOG(J5)*4/3))*0.25)</f>
        <v>#REF!</v>
      </c>
    </row>
    <row r="6" spans="1:89" x14ac:dyDescent="0.25">
      <c r="A6" t="str">
        <f>PLANTILLA!C5</f>
        <v>V. Gardner</v>
      </c>
      <c r="B6" s="56" t="str">
        <f>PLANTILLA!D5</f>
        <v>32.68</v>
      </c>
      <c r="C6" s="90" t="e">
        <f>PLANTILLA!#REF!</f>
        <v>#REF!</v>
      </c>
      <c r="D6" s="56" t="str">
        <f>PLANTILLA!E5</f>
        <v/>
      </c>
      <c r="E6" s="167">
        <f>PLANTILLA!AN5</f>
        <v>43756</v>
      </c>
      <c r="F6" s="90">
        <f>PLANTILLA!N5</f>
        <v>6</v>
      </c>
      <c r="G6" s="99">
        <f t="shared" si="68"/>
        <v>0.92582009977255142</v>
      </c>
      <c r="H6" s="99">
        <f t="shared" si="69"/>
        <v>0.99928545900129484</v>
      </c>
      <c r="I6" s="132">
        <f ca="1">PLANTILLA!M5</f>
        <v>1</v>
      </c>
      <c r="J6" s="133">
        <f>PLANTILLA!G5</f>
        <v>10</v>
      </c>
      <c r="K6" s="48">
        <f>PLANTILLA!U5</f>
        <v>0</v>
      </c>
      <c r="L6" s="48">
        <f>PLANTILLA!V5</f>
        <v>15</v>
      </c>
      <c r="M6" s="48">
        <f>PLANTILLA!W5</f>
        <v>8</v>
      </c>
      <c r="N6" s="48">
        <f>PLANTILLA!X5</f>
        <v>3</v>
      </c>
      <c r="O6" s="48">
        <f>PLANTILLA!Y5</f>
        <v>4</v>
      </c>
      <c r="P6" s="48">
        <f>PLANTILLA!Z5</f>
        <v>7</v>
      </c>
      <c r="Q6" s="48">
        <f>PLANTILLA!AA5</f>
        <v>19</v>
      </c>
      <c r="R6" s="48">
        <f ca="1">PLANTILLA!AE5</f>
        <v>18.283685181650238</v>
      </c>
      <c r="S6" s="48">
        <f ca="1">PLANTILLA!AF5</f>
        <v>19.748637112266238</v>
      </c>
      <c r="T6" s="48"/>
      <c r="U6" s="48"/>
      <c r="V6" s="48">
        <f ca="1">PLANTILLA!AH5</f>
        <v>19.750828795147761</v>
      </c>
      <c r="W6" s="48">
        <f ca="1">PLANTILLA!AI5</f>
        <v>21.333333333333332</v>
      </c>
      <c r="X6" s="68">
        <f t="shared" ca="1" si="70"/>
        <v>6.1769999999999996</v>
      </c>
      <c r="Y6" s="68">
        <f t="shared" ca="1" si="71"/>
        <v>9.3873333333333324</v>
      </c>
      <c r="Z6" s="68">
        <f t="shared" ca="1" si="72"/>
        <v>6.1769999999999996</v>
      </c>
      <c r="AA6" s="68">
        <f t="shared" ca="1" si="73"/>
        <v>8.9439999999999991</v>
      </c>
      <c r="AB6" s="68">
        <f t="shared" ca="1" si="74"/>
        <v>17.333333333333332</v>
      </c>
      <c r="AC6" s="68">
        <f t="shared" ca="1" si="75"/>
        <v>4.4719999999999995</v>
      </c>
      <c r="AD6" s="68">
        <f t="shared" ca="1" si="76"/>
        <v>2.4593333333333334</v>
      </c>
      <c r="AE6" s="68">
        <f t="shared" ca="1" si="77"/>
        <v>6.5519999999999996</v>
      </c>
      <c r="AF6" s="68">
        <f t="shared" ca="1" si="78"/>
        <v>12.531999999999998</v>
      </c>
      <c r="AG6" s="68">
        <f t="shared" ca="1" si="79"/>
        <v>3.2759999999999998</v>
      </c>
      <c r="AH6" s="68">
        <f t="shared" ca="1" si="80"/>
        <v>3.9783333333333335</v>
      </c>
      <c r="AI6" s="68">
        <f t="shared" ca="1" si="81"/>
        <v>15.946666666666665</v>
      </c>
      <c r="AJ6" s="68">
        <f t="shared" ca="1" si="82"/>
        <v>7.1759999999999993</v>
      </c>
      <c r="AK6" s="68">
        <f t="shared" ca="1" si="83"/>
        <v>1.7256666666666669</v>
      </c>
      <c r="AL6" s="68">
        <f t="shared" ca="1" si="84"/>
        <v>3.1359999999999997</v>
      </c>
      <c r="AM6" s="68">
        <f t="shared" ca="1" si="85"/>
        <v>13.069333333333333</v>
      </c>
      <c r="AN6" s="68">
        <f t="shared" ca="1" si="86"/>
        <v>12.271999999999998</v>
      </c>
      <c r="AO6" s="68">
        <f t="shared" ca="1" si="87"/>
        <v>3.5626666666666669</v>
      </c>
      <c r="AP6" s="68">
        <f t="shared" ca="1" si="88"/>
        <v>5.9377013323152674</v>
      </c>
      <c r="AQ6" s="68">
        <f t="shared" ca="1" si="89"/>
        <v>4.68</v>
      </c>
      <c r="AR6" s="68">
        <f t="shared" ca="1" si="90"/>
        <v>10.295999999999999</v>
      </c>
      <c r="AS6" s="68">
        <f t="shared" ca="1" si="91"/>
        <v>2.34</v>
      </c>
      <c r="AT6" s="68">
        <f t="shared" ca="1" si="92"/>
        <v>9.754666666666667</v>
      </c>
      <c r="AU6" s="68">
        <f t="shared" ca="1" si="93"/>
        <v>0.82333333333333336</v>
      </c>
      <c r="AV6" s="68">
        <f t="shared" ca="1" si="94"/>
        <v>2.3746666666666667</v>
      </c>
      <c r="AW6" s="68">
        <f t="shared" ca="1" si="95"/>
        <v>0.41166666666666668</v>
      </c>
      <c r="AX6" s="68">
        <f t="shared" ca="1" si="96"/>
        <v>3.2759999999999998</v>
      </c>
      <c r="AY6" s="68">
        <f t="shared" ca="1" si="97"/>
        <v>6.9333333333333336</v>
      </c>
      <c r="AZ6" s="68">
        <f t="shared" ca="1" si="98"/>
        <v>1.6379999999999999</v>
      </c>
      <c r="BA6" s="68">
        <f t="shared" ca="1" si="99"/>
        <v>10.333333333333334</v>
      </c>
      <c r="BB6" s="68">
        <f t="shared" ca="1" si="100"/>
        <v>1.6023333333333332</v>
      </c>
      <c r="BC6" s="68">
        <f t="shared" ca="1" si="101"/>
        <v>4.1196666666666673</v>
      </c>
      <c r="BD6" s="68">
        <f t="shared" ca="1" si="102"/>
        <v>0.80116666666666658</v>
      </c>
      <c r="BE6" s="68">
        <f t="shared" ca="1" si="103"/>
        <v>5.0439999999999996</v>
      </c>
      <c r="BF6" s="68">
        <f t="shared" ca="1" si="104"/>
        <v>6.0319999999999991</v>
      </c>
      <c r="BG6" s="68">
        <f t="shared" ca="1" si="105"/>
        <v>9.1036666666666672</v>
      </c>
      <c r="BH6" s="68">
        <f t="shared" ca="1" si="106"/>
        <v>5.0563333333333329</v>
      </c>
      <c r="BI6" s="68">
        <f t="shared" ca="1" si="107"/>
        <v>1.5263333333333333</v>
      </c>
      <c r="BJ6" s="68">
        <f t="shared" ca="1" si="108"/>
        <v>8.4066666666666663</v>
      </c>
      <c r="BK6" s="68">
        <f t="shared" ca="1" si="109"/>
        <v>4.5759999999999996</v>
      </c>
      <c r="BL6" s="68">
        <f t="shared" ca="1" si="110"/>
        <v>3.9370000000000003</v>
      </c>
      <c r="BM6" s="68">
        <f t="shared" ca="1" si="111"/>
        <v>4.862333333333333</v>
      </c>
      <c r="BN6" s="68">
        <f t="shared" ca="1" si="112"/>
        <v>0.32933333333333331</v>
      </c>
      <c r="BO6" s="68">
        <f t="shared" ca="1" si="113"/>
        <v>3.1199999999999997</v>
      </c>
      <c r="BP6" s="68">
        <f t="shared" ca="1" si="114"/>
        <v>1.1786666666666668</v>
      </c>
      <c r="BQ6" s="68">
        <f t="shared" ca="1" si="115"/>
        <v>3.1516666666666668</v>
      </c>
      <c r="BR6" s="68">
        <f t="shared" ca="1" si="116"/>
        <v>7.1446666666666658</v>
      </c>
      <c r="BS6" s="68">
        <f t="shared" ca="1" si="117"/>
        <v>0.85499999999999998</v>
      </c>
      <c r="BT6" s="68">
        <f t="shared" ca="1" si="118"/>
        <v>4.9226666666666663</v>
      </c>
      <c r="BU6" s="68">
        <f t="shared" ca="1" si="119"/>
        <v>4.2293333333333329</v>
      </c>
      <c r="BV6" s="68">
        <f t="shared" ca="1" si="120"/>
        <v>4.7016666666666671</v>
      </c>
      <c r="BW6" s="68">
        <f t="shared" ca="1" si="121"/>
        <v>6.1533333333333324</v>
      </c>
      <c r="BX6" s="68">
        <f t="shared" ca="1" si="122"/>
        <v>0.76633333333333331</v>
      </c>
      <c r="BY6" s="68">
        <f t="shared" ca="1" si="123"/>
        <v>4.9226666666666663</v>
      </c>
      <c r="BZ6" s="68">
        <f t="shared" ca="1" si="124"/>
        <v>4.2293333333333329</v>
      </c>
      <c r="CA6" s="68">
        <f t="shared" ca="1" si="125"/>
        <v>6.5203333333333342</v>
      </c>
      <c r="CB6" s="68">
        <f t="shared" ca="1" si="126"/>
        <v>4.966333333333333</v>
      </c>
      <c r="CC6" s="68">
        <f t="shared" ca="1" si="127"/>
        <v>0.93733333333333324</v>
      </c>
      <c r="CD6" s="68">
        <f t="shared" ca="1" si="128"/>
        <v>4.195333333333334</v>
      </c>
      <c r="CE6" s="68">
        <f t="shared" ca="1" si="129"/>
        <v>3.5366666666666666</v>
      </c>
      <c r="CF6" s="68">
        <f t="shared" ca="1" si="130"/>
        <v>8.8803333333333327</v>
      </c>
      <c r="CG6" s="68">
        <f t="shared" ca="1" si="131"/>
        <v>3.5366666666666666</v>
      </c>
      <c r="CH6" s="68">
        <f t="shared" ca="1" si="132"/>
        <v>4.5046666666666662</v>
      </c>
      <c r="CI6" s="68">
        <f t="shared" ca="1" si="133"/>
        <v>11.670333333333334</v>
      </c>
      <c r="CJ6" s="68">
        <f t="shared" ca="1" si="134"/>
        <v>4.5046666666666662</v>
      </c>
      <c r="CK6" s="68">
        <f t="shared" ca="1" si="135"/>
        <v>2.5833333333333335</v>
      </c>
    </row>
    <row r="7" spans="1:89" x14ac:dyDescent="0.25">
      <c r="A7" t="str">
        <f>PLANTILLA!C6</f>
        <v>A. Grimaud</v>
      </c>
      <c r="B7" s="56" t="str">
        <f>PLANTILLA!D6</f>
        <v>32.79</v>
      </c>
      <c r="C7" s="90" t="e">
        <f>PLANTILLA!#REF!</f>
        <v>#REF!</v>
      </c>
      <c r="D7" s="56" t="str">
        <f>PLANTILLA!E6</f>
        <v>Ráp</v>
      </c>
      <c r="E7" s="167">
        <f>PLANTILLA!AN6</f>
        <v>43739</v>
      </c>
      <c r="F7" s="90">
        <f>PLANTILLA!N6</f>
        <v>6</v>
      </c>
      <c r="G7" s="99">
        <f t="shared" si="68"/>
        <v>0.92582009977255142</v>
      </c>
      <c r="H7" s="99">
        <f t="shared" si="69"/>
        <v>0.99928545900129484</v>
      </c>
      <c r="I7" s="132">
        <f ca="1">PLANTILLA!M6</f>
        <v>1</v>
      </c>
      <c r="J7" s="133">
        <f>PLANTILLA!G6</f>
        <v>12</v>
      </c>
      <c r="K7" s="48">
        <f>PLANTILLA!U6</f>
        <v>0</v>
      </c>
      <c r="L7" s="48">
        <f>PLANTILLA!V6</f>
        <v>14</v>
      </c>
      <c r="M7" s="48">
        <f>PLANTILLA!W6</f>
        <v>10</v>
      </c>
      <c r="N7" s="48">
        <f>PLANTILLA!X6</f>
        <v>2</v>
      </c>
      <c r="O7" s="48">
        <f>PLANTILLA!Y6</f>
        <v>3</v>
      </c>
      <c r="P7" s="48">
        <f>PLANTILLA!Z6</f>
        <v>7</v>
      </c>
      <c r="Q7" s="48">
        <f>PLANTILLA!AA6</f>
        <v>18</v>
      </c>
      <c r="R7" s="48">
        <f ca="1">PLANTILLA!AE6</f>
        <v>17.972408384955052</v>
      </c>
      <c r="S7" s="48">
        <f ca="1">PLANTILLA!AF6</f>
        <v>19.412419744797482</v>
      </c>
      <c r="T7" s="48"/>
      <c r="U7" s="48"/>
      <c r="V7" s="48">
        <f ca="1">PLANTILLA!AH6</f>
        <v>18.922752147529781</v>
      </c>
      <c r="W7" s="48">
        <f ca="1">PLANTILLA!AI6</f>
        <v>20.438908328063501</v>
      </c>
      <c r="X7" s="68">
        <f t="shared" ca="1" si="70"/>
        <v>5.9931669703994359</v>
      </c>
      <c r="Y7" s="68">
        <f t="shared" ca="1" si="71"/>
        <v>9.0986306515299784</v>
      </c>
      <c r="Z7" s="68">
        <f t="shared" ca="1" si="72"/>
        <v>5.9931669703994359</v>
      </c>
      <c r="AA7" s="68">
        <f t="shared" ca="1" si="73"/>
        <v>8.4824766972807666</v>
      </c>
      <c r="AB7" s="68">
        <f t="shared" ca="1" si="74"/>
        <v>16.438908328063501</v>
      </c>
      <c r="AC7" s="68">
        <f t="shared" ca="1" si="75"/>
        <v>4.2412383486403833</v>
      </c>
      <c r="AD7" s="68">
        <f t="shared" ca="1" si="76"/>
        <v>2.9604601820791125</v>
      </c>
      <c r="AE7" s="68">
        <f t="shared" ca="1" si="77"/>
        <v>6.2139073480080036</v>
      </c>
      <c r="AF7" s="68">
        <f t="shared" ca="1" si="78"/>
        <v>11.885330721189911</v>
      </c>
      <c r="AG7" s="68">
        <f t="shared" ca="1" si="79"/>
        <v>3.1069536740040018</v>
      </c>
      <c r="AH7" s="68">
        <f t="shared" ca="1" si="80"/>
        <v>4.7889797063044472</v>
      </c>
      <c r="AI7" s="68">
        <f t="shared" ca="1" si="81"/>
        <v>15.123795661818422</v>
      </c>
      <c r="AJ7" s="68">
        <f t="shared" ca="1" si="82"/>
        <v>6.805708047818289</v>
      </c>
      <c r="AK7" s="68">
        <f t="shared" ca="1" si="83"/>
        <v>2.0772976907866045</v>
      </c>
      <c r="AL7" s="68">
        <f t="shared" ca="1" si="84"/>
        <v>2.6100780969013377</v>
      </c>
      <c r="AM7" s="68">
        <f t="shared" ca="1" si="85"/>
        <v>12.39493687935988</v>
      </c>
      <c r="AN7" s="68">
        <f t="shared" ca="1" si="86"/>
        <v>11.638747096268958</v>
      </c>
      <c r="AO7" s="68">
        <f t="shared" ca="1" si="87"/>
        <v>3.4132976907866048</v>
      </c>
      <c r="AP7" s="68">
        <f t="shared" ca="1" si="88"/>
        <v>5.878459213349343</v>
      </c>
      <c r="AQ7" s="68">
        <f t="shared" ca="1" si="89"/>
        <v>4.4385052485771457</v>
      </c>
      <c r="AR7" s="68">
        <f t="shared" ca="1" si="90"/>
        <v>9.7647115468697194</v>
      </c>
      <c r="AS7" s="68">
        <f t="shared" ca="1" si="91"/>
        <v>2.2192526242885728</v>
      </c>
      <c r="AT7" s="68">
        <f t="shared" ca="1" si="92"/>
        <v>11.742329461691943</v>
      </c>
      <c r="AU7" s="68">
        <f t="shared" ca="1" si="93"/>
        <v>0.70705808264825498</v>
      </c>
      <c r="AV7" s="68">
        <f t="shared" ca="1" si="94"/>
        <v>2.2856001401226052</v>
      </c>
      <c r="AW7" s="68">
        <f t="shared" ca="1" si="95"/>
        <v>0.35352904132412749</v>
      </c>
      <c r="AX7" s="68">
        <f t="shared" ca="1" si="96"/>
        <v>3.1069536740040018</v>
      </c>
      <c r="AY7" s="68">
        <f t="shared" ca="1" si="97"/>
        <v>6.5755633312254007</v>
      </c>
      <c r="AZ7" s="68">
        <f t="shared" ca="1" si="98"/>
        <v>1.5534768370020009</v>
      </c>
      <c r="BA7" s="68">
        <f t="shared" ca="1" si="99"/>
        <v>12.4389083280635</v>
      </c>
      <c r="BB7" s="68">
        <f t="shared" ca="1" si="100"/>
        <v>1.3760438070000653</v>
      </c>
      <c r="BC7" s="68">
        <f t="shared" ca="1" si="101"/>
        <v>3.8368384887629885</v>
      </c>
      <c r="BD7" s="68">
        <f t="shared" ca="1" si="102"/>
        <v>0.68802190350003267</v>
      </c>
      <c r="BE7" s="68">
        <f t="shared" ca="1" si="103"/>
        <v>4.7837223234664785</v>
      </c>
      <c r="BF7" s="68">
        <f t="shared" ca="1" si="104"/>
        <v>5.7207400981660976</v>
      </c>
      <c r="BG7" s="68">
        <f t="shared" ca="1" si="105"/>
        <v>10.958678237023943</v>
      </c>
      <c r="BH7" s="68">
        <f t="shared" ca="1" si="106"/>
        <v>4.2611895036484508</v>
      </c>
      <c r="BI7" s="68">
        <f t="shared" ca="1" si="107"/>
        <v>1.3107769070633033</v>
      </c>
      <c r="BJ7" s="68">
        <f t="shared" ca="1" si="108"/>
        <v>7.9728705391107981</v>
      </c>
      <c r="BK7" s="68">
        <f t="shared" ca="1" si="109"/>
        <v>4.3398717986087645</v>
      </c>
      <c r="BL7" s="68">
        <f t="shared" ca="1" si="110"/>
        <v>4.7392240729921937</v>
      </c>
      <c r="BM7" s="68">
        <f t="shared" ca="1" si="111"/>
        <v>4.080605878727499</v>
      </c>
      <c r="BN7" s="68">
        <f t="shared" ca="1" si="112"/>
        <v>0.28282323305930196</v>
      </c>
      <c r="BO7" s="68">
        <f t="shared" ca="1" si="113"/>
        <v>2.95900349905143</v>
      </c>
      <c r="BP7" s="68">
        <f t="shared" ca="1" si="114"/>
        <v>1.1178457663083181</v>
      </c>
      <c r="BQ7" s="68">
        <f t="shared" ca="1" si="115"/>
        <v>3.7938670400593675</v>
      </c>
      <c r="BR7" s="68">
        <f t="shared" ca="1" si="116"/>
        <v>5.9944361098896604</v>
      </c>
      <c r="BS7" s="68">
        <f t="shared" ca="1" si="117"/>
        <v>0.73425262428857252</v>
      </c>
      <c r="BT7" s="68">
        <f t="shared" ca="1" si="118"/>
        <v>4.6686499651700339</v>
      </c>
      <c r="BU7" s="68">
        <f t="shared" ca="1" si="119"/>
        <v>4.0110936320474941</v>
      </c>
      <c r="BV7" s="68">
        <f t="shared" ca="1" si="120"/>
        <v>5.6597032892688928</v>
      </c>
      <c r="BW7" s="68">
        <f t="shared" ca="1" si="121"/>
        <v>5.162310427494357</v>
      </c>
      <c r="BX7" s="68">
        <f t="shared" ca="1" si="122"/>
        <v>0.65810790769568339</v>
      </c>
      <c r="BY7" s="68">
        <f t="shared" ca="1" si="123"/>
        <v>4.6686499651700339</v>
      </c>
      <c r="BZ7" s="68">
        <f t="shared" ca="1" si="124"/>
        <v>4.0110936320474941</v>
      </c>
      <c r="CA7" s="68">
        <f t="shared" ca="1" si="125"/>
        <v>7.8489511550080682</v>
      </c>
      <c r="CB7" s="68">
        <f t="shared" ca="1" si="126"/>
        <v>4.1658229536168321</v>
      </c>
      <c r="CC7" s="68">
        <f t="shared" ca="1" si="127"/>
        <v>0.80495843255339794</v>
      </c>
      <c r="CD7" s="68">
        <f t="shared" ca="1" si="128"/>
        <v>5.0501967811937813</v>
      </c>
      <c r="CE7" s="68">
        <f t="shared" ca="1" si="129"/>
        <v>3.1976712389210835</v>
      </c>
      <c r="CF7" s="68">
        <f t="shared" ca="1" si="130"/>
        <v>8.4562107773994999</v>
      </c>
      <c r="CG7" s="68">
        <f t="shared" ca="1" si="131"/>
        <v>3.1976712389210835</v>
      </c>
      <c r="CH7" s="68">
        <f t="shared" ca="1" si="132"/>
        <v>4.2074398883835604</v>
      </c>
      <c r="CI7" s="68">
        <f t="shared" ca="1" si="133"/>
        <v>11.445865501118931</v>
      </c>
      <c r="CJ7" s="68">
        <f t="shared" ca="1" si="134"/>
        <v>4.2074398883835604</v>
      </c>
      <c r="CK7" s="68">
        <f t="shared" ca="1" si="135"/>
        <v>3.1097270820158749</v>
      </c>
    </row>
    <row r="8" spans="1:89" x14ac:dyDescent="0.25">
      <c r="A8" t="str">
        <f>PLANTILLA!C7</f>
        <v>C. Mosser</v>
      </c>
      <c r="B8" s="56" t="str">
        <f>PLANTILLA!D7</f>
        <v>30.96</v>
      </c>
      <c r="C8" s="90" t="e">
        <f>PLANTILLA!#REF!</f>
        <v>#REF!</v>
      </c>
      <c r="D8" s="56" t="str">
        <f>PLANTILLA!E7</f>
        <v>Cab</v>
      </c>
      <c r="E8" s="167">
        <f>PLANTILLA!AN7</f>
        <v>45169</v>
      </c>
      <c r="F8" s="90">
        <f>PLANTILLA!N7</f>
        <v>4</v>
      </c>
      <c r="G8" s="99">
        <f t="shared" si="68"/>
        <v>0.7559289460184544</v>
      </c>
      <c r="H8" s="99">
        <f t="shared" si="69"/>
        <v>0.84430867747355465</v>
      </c>
      <c r="I8" s="132">
        <f ca="1">PLANTILLA!M7</f>
        <v>0.1895939470598198</v>
      </c>
      <c r="J8" s="133">
        <f>PLANTILLA!G7</f>
        <v>10</v>
      </c>
      <c r="K8" s="48">
        <f>PLANTILLA!U7</f>
        <v>1</v>
      </c>
      <c r="L8" s="48">
        <f>PLANTILLA!V7</f>
        <v>15</v>
      </c>
      <c r="M8" s="48">
        <f>PLANTILLA!W7</f>
        <v>3</v>
      </c>
      <c r="N8" s="48">
        <f>PLANTILLA!X7</f>
        <v>6</v>
      </c>
      <c r="O8" s="48">
        <f>PLANTILLA!Y7</f>
        <v>2</v>
      </c>
      <c r="P8" s="48">
        <f>PLANTILLA!Z7</f>
        <v>11</v>
      </c>
      <c r="Q8" s="48">
        <f>PLANTILLA!AA7</f>
        <v>19</v>
      </c>
      <c r="R8" s="48">
        <f ca="1">PLANTILLA!AE7</f>
        <v>18.594067879623122</v>
      </c>
      <c r="S8" s="48">
        <f ca="1">PLANTILLA!AF7</f>
        <v>24.597639735268437</v>
      </c>
      <c r="T8" s="48"/>
      <c r="U8" s="48"/>
      <c r="V8" s="48">
        <f ca="1">PLANTILLA!AH7</f>
        <v>15.51387478828098</v>
      </c>
      <c r="W8" s="48">
        <f ca="1">PLANTILLA!AI7</f>
        <v>17.345039310508216</v>
      </c>
      <c r="X8" s="68">
        <f t="shared" ca="1" si="70"/>
        <v>6.0665155157832231</v>
      </c>
      <c r="Y8" s="68">
        <f t="shared" ca="1" si="71"/>
        <v>9.2070991189875606</v>
      </c>
      <c r="Z8" s="68">
        <f t="shared" ca="1" si="72"/>
        <v>6.0665155157832231</v>
      </c>
      <c r="AA8" s="68">
        <f t="shared" ca="1" si="73"/>
        <v>8.5258304766828665</v>
      </c>
      <c r="AB8" s="68">
        <f t="shared" ca="1" si="74"/>
        <v>16.522927280393152</v>
      </c>
      <c r="AC8" s="68">
        <f t="shared" ca="1" si="75"/>
        <v>4.2629152383414333</v>
      </c>
      <c r="AD8" s="68">
        <f t="shared" ca="1" si="76"/>
        <v>1.0764566927335704</v>
      </c>
      <c r="AE8" s="68">
        <f t="shared" ca="1" si="77"/>
        <v>6.2456665119886114</v>
      </c>
      <c r="AF8" s="68">
        <f t="shared" ca="1" si="78"/>
        <v>11.946076423724248</v>
      </c>
      <c r="AG8" s="68">
        <f t="shared" ca="1" si="79"/>
        <v>3.1228332559943057</v>
      </c>
      <c r="AH8" s="68">
        <f t="shared" ca="1" si="80"/>
        <v>1.7413270029513641</v>
      </c>
      <c r="AI8" s="68">
        <f t="shared" ca="1" si="81"/>
        <v>15.201093097961699</v>
      </c>
      <c r="AJ8" s="68">
        <f t="shared" ca="1" si="82"/>
        <v>6.8404918940827644</v>
      </c>
      <c r="AK8" s="68">
        <f t="shared" ca="1" si="83"/>
        <v>0.75532885582565668</v>
      </c>
      <c r="AL8" s="68">
        <f t="shared" ca="1" si="84"/>
        <v>4.4234812408711734</v>
      </c>
      <c r="AM8" s="68">
        <f t="shared" ca="1" si="85"/>
        <v>12.458287169416437</v>
      </c>
      <c r="AN8" s="68">
        <f t="shared" ca="1" si="86"/>
        <v>11.698232514518351</v>
      </c>
      <c r="AO8" s="68">
        <f t="shared" ca="1" si="87"/>
        <v>3.4273288558256567</v>
      </c>
      <c r="AP8" s="68">
        <f t="shared" ca="1" si="88"/>
        <v>5.7936946060846859</v>
      </c>
      <c r="AQ8" s="68">
        <f t="shared" ca="1" si="89"/>
        <v>4.4611903657061509</v>
      </c>
      <c r="AR8" s="68">
        <f t="shared" ca="1" si="90"/>
        <v>9.8146188045535308</v>
      </c>
      <c r="AS8" s="68">
        <f t="shared" ca="1" si="91"/>
        <v>2.2305951828530755</v>
      </c>
      <c r="AT8" s="68">
        <f t="shared" ca="1" si="92"/>
        <v>4.2696433526911362</v>
      </c>
      <c r="AU8" s="68">
        <f t="shared" ca="1" si="93"/>
        <v>0.45798054645110992</v>
      </c>
      <c r="AV8" s="68">
        <f t="shared" ca="1" si="94"/>
        <v>2.5892176931551938</v>
      </c>
      <c r="AW8" s="68">
        <f t="shared" ca="1" si="95"/>
        <v>0.22899027322555496</v>
      </c>
      <c r="AX8" s="68">
        <f t="shared" ca="1" si="96"/>
        <v>3.1228332559943057</v>
      </c>
      <c r="AY8" s="68">
        <f t="shared" ca="1" si="97"/>
        <v>6.6091709121572606</v>
      </c>
      <c r="AZ8" s="68">
        <f t="shared" ca="1" si="98"/>
        <v>1.5614166279971529</v>
      </c>
      <c r="BA8" s="68">
        <f t="shared" ca="1" si="99"/>
        <v>4.5229272803931533</v>
      </c>
      <c r="BB8" s="68">
        <f t="shared" ca="1" si="100"/>
        <v>0.89130060193946781</v>
      </c>
      <c r="BC8" s="68">
        <f t="shared" ca="1" si="101"/>
        <v>3.8311329314966276</v>
      </c>
      <c r="BD8" s="68">
        <f t="shared" ca="1" si="102"/>
        <v>0.4456503009697339</v>
      </c>
      <c r="BE8" s="68">
        <f t="shared" ca="1" si="103"/>
        <v>4.808171838594407</v>
      </c>
      <c r="BF8" s="68">
        <f t="shared" ca="1" si="104"/>
        <v>5.749978693576816</v>
      </c>
      <c r="BG8" s="68">
        <f t="shared" ca="1" si="105"/>
        <v>3.9846989340263681</v>
      </c>
      <c r="BH8" s="68">
        <f t="shared" ca="1" si="106"/>
        <v>5.4278823522695125</v>
      </c>
      <c r="BI8" s="68">
        <f t="shared" ca="1" si="107"/>
        <v>0.84902547457474986</v>
      </c>
      <c r="BJ8" s="68">
        <f t="shared" ca="1" si="108"/>
        <v>8.013619730990678</v>
      </c>
      <c r="BK8" s="68">
        <f t="shared" ca="1" si="109"/>
        <v>4.3620528020237925</v>
      </c>
      <c r="BL8" s="68">
        <f t="shared" ca="1" si="110"/>
        <v>1.7232352938297915</v>
      </c>
      <c r="BM8" s="68">
        <f t="shared" ca="1" si="111"/>
        <v>5.7710384430636159</v>
      </c>
      <c r="BN8" s="68">
        <f t="shared" ca="1" si="112"/>
        <v>0.18319221858044396</v>
      </c>
      <c r="BO8" s="68">
        <f t="shared" ca="1" si="113"/>
        <v>2.9741269104707673</v>
      </c>
      <c r="BP8" s="68">
        <f t="shared" ca="1" si="114"/>
        <v>1.1235590550667345</v>
      </c>
      <c r="BQ8" s="68">
        <f t="shared" ca="1" si="115"/>
        <v>1.3794928205199117</v>
      </c>
      <c r="BR8" s="68">
        <f t="shared" ca="1" si="116"/>
        <v>8.5304844825855941</v>
      </c>
      <c r="BS8" s="68">
        <f t="shared" ca="1" si="117"/>
        <v>0.47559518285307573</v>
      </c>
      <c r="BT8" s="68">
        <f t="shared" ca="1" si="118"/>
        <v>4.6925113476316547</v>
      </c>
      <c r="BU8" s="68">
        <f t="shared" ca="1" si="119"/>
        <v>4.0315942564159286</v>
      </c>
      <c r="BV8" s="68">
        <f t="shared" ca="1" si="120"/>
        <v>2.0579319125788849</v>
      </c>
      <c r="BW8" s="68">
        <f t="shared" ca="1" si="121"/>
        <v>7.3594034266756125</v>
      </c>
      <c r="BX8" s="68">
        <f t="shared" ca="1" si="122"/>
        <v>0.42627420092757151</v>
      </c>
      <c r="BY8" s="68">
        <f t="shared" ca="1" si="123"/>
        <v>4.6925113476316547</v>
      </c>
      <c r="BZ8" s="68">
        <f t="shared" ca="1" si="124"/>
        <v>4.0315942564159286</v>
      </c>
      <c r="CA8" s="68">
        <f t="shared" ca="1" si="125"/>
        <v>2.8539671139280798</v>
      </c>
      <c r="CB8" s="68">
        <f t="shared" ca="1" si="126"/>
        <v>5.9610199159518711</v>
      </c>
      <c r="CC8" s="68">
        <f t="shared" ca="1" si="127"/>
        <v>0.52139323749818667</v>
      </c>
      <c r="CD8" s="68">
        <f t="shared" ca="1" si="128"/>
        <v>1.8363084758396204</v>
      </c>
      <c r="CE8" s="68">
        <f t="shared" ca="1" si="129"/>
        <v>3.5544451130848325</v>
      </c>
      <c r="CF8" s="68">
        <f t="shared" ca="1" si="130"/>
        <v>9.2138161177226898</v>
      </c>
      <c r="CG8" s="68">
        <f t="shared" ca="1" si="131"/>
        <v>3.5544451130848325</v>
      </c>
      <c r="CH8" s="68">
        <f t="shared" ca="1" si="132"/>
        <v>5.6294892694493814</v>
      </c>
      <c r="CI8" s="68">
        <f t="shared" ca="1" si="133"/>
        <v>13.822887446858227</v>
      </c>
      <c r="CJ8" s="68">
        <f t="shared" ca="1" si="134"/>
        <v>5.6294892694493814</v>
      </c>
      <c r="CK8" s="68">
        <f t="shared" ca="1" si="135"/>
        <v>1.1307318200982883</v>
      </c>
    </row>
    <row r="9" spans="1:89" x14ac:dyDescent="0.25">
      <c r="A9" t="str">
        <f>PLANTILLA!C8</f>
        <v>P. Tuderek</v>
      </c>
      <c r="B9" s="56" t="str">
        <f>PLANTILLA!D8</f>
        <v>32.57</v>
      </c>
      <c r="C9" s="90" t="e">
        <f>PLANTILLA!#REF!</f>
        <v>#REF!</v>
      </c>
      <c r="D9" s="56" t="str">
        <f>PLANTILLA!E8</f>
        <v>Cab</v>
      </c>
      <c r="E9" s="167">
        <f>PLANTILLA!AN8</f>
        <v>43626</v>
      </c>
      <c r="F9" s="90">
        <f>PLANTILLA!N8</f>
        <v>6</v>
      </c>
      <c r="G9" s="99">
        <f t="shared" si="68"/>
        <v>0.92582009977255142</v>
      </c>
      <c r="H9" s="99">
        <f t="shared" si="69"/>
        <v>0.99928545900129484</v>
      </c>
      <c r="I9" s="132">
        <f ca="1">PLANTILLA!M8</f>
        <v>1</v>
      </c>
      <c r="J9" s="133">
        <f>PLANTILLA!G8</f>
        <v>11</v>
      </c>
      <c r="K9" s="48">
        <f>PLANTILLA!U8</f>
        <v>0</v>
      </c>
      <c r="L9" s="48">
        <f>PLANTILLA!V8</f>
        <v>11</v>
      </c>
      <c r="M9" s="48">
        <f>PLANTILLA!W8</f>
        <v>15</v>
      </c>
      <c r="N9" s="48">
        <f>PLANTILLA!X8</f>
        <v>2</v>
      </c>
      <c r="O9" s="48">
        <f>PLANTILLA!Y8</f>
        <v>3</v>
      </c>
      <c r="P9" s="48">
        <f>PLANTILLA!Z8</f>
        <v>8</v>
      </c>
      <c r="Q9" s="48">
        <f>PLANTILLA!AA8</f>
        <v>20</v>
      </c>
      <c r="R9" s="48">
        <f ca="1">PLANTILLA!AE8</f>
        <v>20.432837941294881</v>
      </c>
      <c r="S9" s="48">
        <f ca="1">PLANTILLA!AF8</f>
        <v>22.069987405020335</v>
      </c>
      <c r="T9" s="48"/>
      <c r="U9" s="48"/>
      <c r="V9" s="48">
        <f ca="1">PLANTILLA!AH8</f>
        <v>20.727745134791039</v>
      </c>
      <c r="W9" s="48">
        <f ca="1">PLANTILLA!AI8</f>
        <v>22.388523580210968</v>
      </c>
      <c r="X9" s="68">
        <f t="shared" ca="1" si="70"/>
        <v>5.1211810855241744</v>
      </c>
      <c r="Y9" s="68">
        <f t="shared" ca="1" si="71"/>
        <v>7.7585839420523577</v>
      </c>
      <c r="Z9" s="68">
        <f t="shared" ca="1" si="72"/>
        <v>5.1211810855241744</v>
      </c>
      <c r="AA9" s="68">
        <f t="shared" ca="1" si="73"/>
        <v>6.9084781673888589</v>
      </c>
      <c r="AB9" s="68">
        <f t="shared" ca="1" si="74"/>
        <v>13.388523580210967</v>
      </c>
      <c r="AC9" s="68">
        <f t="shared" ca="1" si="75"/>
        <v>3.4542390836944294</v>
      </c>
      <c r="AD9" s="68">
        <f t="shared" ca="1" si="76"/>
        <v>4.1384686120902101</v>
      </c>
      <c r="AE9" s="68">
        <f t="shared" ca="1" si="77"/>
        <v>5.0608619133197452</v>
      </c>
      <c r="AF9" s="68">
        <f t="shared" ca="1" si="78"/>
        <v>9.6799025484925281</v>
      </c>
      <c r="AG9" s="68">
        <f t="shared" ca="1" si="79"/>
        <v>2.5304309566598726</v>
      </c>
      <c r="AH9" s="68">
        <f t="shared" ca="1" si="80"/>
        <v>6.6945815783812233</v>
      </c>
      <c r="AI9" s="68">
        <f t="shared" ca="1" si="81"/>
        <v>12.317441693794089</v>
      </c>
      <c r="AJ9" s="68">
        <f t="shared" ca="1" si="82"/>
        <v>5.5428487622073401</v>
      </c>
      <c r="AK9" s="68">
        <f t="shared" ca="1" si="83"/>
        <v>2.9038834378952321</v>
      </c>
      <c r="AL9" s="68">
        <f t="shared" ca="1" si="84"/>
        <v>2.580451865164048</v>
      </c>
      <c r="AM9" s="68">
        <f t="shared" ca="1" si="85"/>
        <v>10.094946779479068</v>
      </c>
      <c r="AN9" s="68">
        <f t="shared" ca="1" si="86"/>
        <v>9.4790746947893645</v>
      </c>
      <c r="AO9" s="68">
        <f t="shared" ca="1" si="87"/>
        <v>3.738883437895232</v>
      </c>
      <c r="AP9" s="68">
        <f t="shared" ca="1" si="88"/>
        <v>6.5725521181936841</v>
      </c>
      <c r="AQ9" s="68">
        <f t="shared" ca="1" si="89"/>
        <v>3.6149013666569614</v>
      </c>
      <c r="AR9" s="68">
        <f t="shared" ca="1" si="90"/>
        <v>7.9527830066453138</v>
      </c>
      <c r="AS9" s="68">
        <f t="shared" ca="1" si="91"/>
        <v>1.8074506833284807</v>
      </c>
      <c r="AT9" s="68">
        <f t="shared" ca="1" si="92"/>
        <v>16.414766259719155</v>
      </c>
      <c r="AU9" s="68">
        <f t="shared" ca="1" si="93"/>
        <v>0.70050806542742572</v>
      </c>
      <c r="AV9" s="68">
        <f t="shared" ca="1" si="94"/>
        <v>2.4438374090018131</v>
      </c>
      <c r="AW9" s="68">
        <f t="shared" ca="1" si="95"/>
        <v>0.35025403271371286</v>
      </c>
      <c r="AX9" s="68">
        <f t="shared" ca="1" si="96"/>
        <v>2.5304309566598726</v>
      </c>
      <c r="AY9" s="68">
        <f t="shared" ca="1" si="97"/>
        <v>5.3554094320843868</v>
      </c>
      <c r="AZ9" s="68">
        <f t="shared" ca="1" si="98"/>
        <v>1.2652154783299363</v>
      </c>
      <c r="BA9" s="68">
        <f t="shared" ca="1" si="99"/>
        <v>17.388523580210968</v>
      </c>
      <c r="BB9" s="68">
        <f t="shared" ca="1" si="100"/>
        <v>1.3632964657933746</v>
      </c>
      <c r="BC9" s="68">
        <f t="shared" ca="1" si="101"/>
        <v>4.0190764926962421</v>
      </c>
      <c r="BD9" s="68">
        <f t="shared" ca="1" si="102"/>
        <v>0.6816482328966873</v>
      </c>
      <c r="BE9" s="68">
        <f t="shared" ca="1" si="103"/>
        <v>3.8960603618413909</v>
      </c>
      <c r="BF9" s="68">
        <f t="shared" ca="1" si="104"/>
        <v>4.6592062059134163</v>
      </c>
      <c r="BG9" s="68">
        <f t="shared" ca="1" si="105"/>
        <v>15.319289274165863</v>
      </c>
      <c r="BH9" s="68">
        <f t="shared" ca="1" si="106"/>
        <v>4.2163974628075493</v>
      </c>
      <c r="BI9" s="68">
        <f t="shared" ca="1" si="107"/>
        <v>1.298634182830843</v>
      </c>
      <c r="BJ9" s="68">
        <f t="shared" ca="1" si="108"/>
        <v>6.4934339364023188</v>
      </c>
      <c r="BK9" s="68">
        <f t="shared" ca="1" si="109"/>
        <v>3.5345702251756954</v>
      </c>
      <c r="BL9" s="68">
        <f t="shared" ca="1" si="110"/>
        <v>6.6250274840603787</v>
      </c>
      <c r="BM9" s="68">
        <f t="shared" ca="1" si="111"/>
        <v>4.0365696091043848</v>
      </c>
      <c r="BN9" s="68">
        <f t="shared" ca="1" si="112"/>
        <v>0.28020322617097027</v>
      </c>
      <c r="BO9" s="68">
        <f t="shared" ca="1" si="113"/>
        <v>2.4099342444379741</v>
      </c>
      <c r="BP9" s="68">
        <f t="shared" ca="1" si="114"/>
        <v>0.9104196034543458</v>
      </c>
      <c r="BQ9" s="68">
        <f t="shared" ca="1" si="115"/>
        <v>5.3034996919643449</v>
      </c>
      <c r="BR9" s="68">
        <f t="shared" ca="1" si="116"/>
        <v>5.9296413241513033</v>
      </c>
      <c r="BS9" s="68">
        <f t="shared" ca="1" si="117"/>
        <v>0.72745068332848051</v>
      </c>
      <c r="BT9" s="68">
        <f t="shared" ca="1" si="118"/>
        <v>3.8023406967799143</v>
      </c>
      <c r="BU9" s="68">
        <f t="shared" ca="1" si="119"/>
        <v>3.2667997535714757</v>
      </c>
      <c r="BV9" s="68">
        <f t="shared" ca="1" si="120"/>
        <v>7.911778228995991</v>
      </c>
      <c r="BW9" s="68">
        <f t="shared" ca="1" si="121"/>
        <v>5.1064841268737506</v>
      </c>
      <c r="BX9" s="68">
        <f t="shared" ca="1" si="122"/>
        <v>0.65201135320552694</v>
      </c>
      <c r="BY9" s="68">
        <f t="shared" ca="1" si="123"/>
        <v>3.8023406967799143</v>
      </c>
      <c r="BZ9" s="68">
        <f t="shared" ca="1" si="124"/>
        <v>3.2667997535714757</v>
      </c>
      <c r="CA9" s="68">
        <f t="shared" ca="1" si="125"/>
        <v>10.972158379113122</v>
      </c>
      <c r="CB9" s="68">
        <f t="shared" ca="1" si="126"/>
        <v>4.1207286042888152</v>
      </c>
      <c r="CC9" s="68">
        <f t="shared" ca="1" si="127"/>
        <v>0.79750148987122305</v>
      </c>
      <c r="CD9" s="68">
        <f t="shared" ca="1" si="128"/>
        <v>7.0597405735656533</v>
      </c>
      <c r="CE9" s="68">
        <f t="shared" ca="1" si="129"/>
        <v>3.2984207852899137</v>
      </c>
      <c r="CF9" s="68">
        <f t="shared" ca="1" si="130"/>
        <v>8.9824775513175474</v>
      </c>
      <c r="CG9" s="68">
        <f t="shared" ca="1" si="131"/>
        <v>3.2984207852899137</v>
      </c>
      <c r="CH9" s="68">
        <f t="shared" ca="1" si="132"/>
        <v>4.4360501904714322</v>
      </c>
      <c r="CI9" s="68">
        <f t="shared" ca="1" si="133"/>
        <v>12.376888781308812</v>
      </c>
      <c r="CJ9" s="68">
        <f t="shared" ca="1" si="134"/>
        <v>4.4360501904714322</v>
      </c>
      <c r="CK9" s="68">
        <f t="shared" ca="1" si="135"/>
        <v>4.3471308950527421</v>
      </c>
    </row>
    <row r="10" spans="1:89" x14ac:dyDescent="0.25">
      <c r="A10" t="str">
        <f>PLANTILLA!C9</f>
        <v>T. McPhail</v>
      </c>
      <c r="B10" s="56" t="str">
        <f>PLANTILLA!D9</f>
        <v>32.88</v>
      </c>
      <c r="C10" s="90" t="e">
        <f>PLANTILLA!#REF!</f>
        <v>#REF!</v>
      </c>
      <c r="D10" s="56" t="str">
        <f>PLANTILLA!E9</f>
        <v>Imp</v>
      </c>
      <c r="E10" s="167">
        <f>PLANTILLA!AN9</f>
        <v>44751</v>
      </c>
      <c r="F10" s="90">
        <f>PLANTILLA!N9</f>
        <v>7</v>
      </c>
      <c r="G10" s="99">
        <f t="shared" si="68"/>
        <v>1</v>
      </c>
      <c r="H10" s="99">
        <f t="shared" si="69"/>
        <v>1</v>
      </c>
      <c r="I10" s="132">
        <f ca="1">PLANTILLA!M9</f>
        <v>1</v>
      </c>
      <c r="J10" s="133">
        <f>PLANTILLA!G9</f>
        <v>12</v>
      </c>
      <c r="K10" s="48">
        <f>PLANTILLA!U9</f>
        <v>0</v>
      </c>
      <c r="L10" s="48">
        <f>PLANTILLA!V9</f>
        <v>13</v>
      </c>
      <c r="M10" s="48">
        <f>PLANTILLA!W9</f>
        <v>14</v>
      </c>
      <c r="N10" s="48">
        <f>PLANTILLA!X9</f>
        <v>4</v>
      </c>
      <c r="O10" s="48">
        <f>PLANTILLA!Y9</f>
        <v>4</v>
      </c>
      <c r="P10" s="48">
        <f>PLANTILLA!Z9</f>
        <v>9</v>
      </c>
      <c r="Q10" s="48">
        <f>PLANTILLA!AA9</f>
        <v>17</v>
      </c>
      <c r="R10" s="48">
        <f ca="1">PLANTILLA!AE9</f>
        <v>22.182419744797478</v>
      </c>
      <c r="S10" s="48">
        <f ca="1">PLANTILLA!AF9</f>
        <v>22.182419744797478</v>
      </c>
      <c r="T10" s="48"/>
      <c r="U10" s="48"/>
      <c r="V10" s="48">
        <f ca="1">PLANTILLA!AH9</f>
        <v>19.438908328063501</v>
      </c>
      <c r="W10" s="48">
        <f ca="1">PLANTILLA!AI9</f>
        <v>19.438908328063501</v>
      </c>
      <c r="X10" s="68">
        <f t="shared" ca="1" si="70"/>
        <v>5.7171669703994352</v>
      </c>
      <c r="Y10" s="68">
        <f t="shared" ca="1" si="71"/>
        <v>8.6736306515299777</v>
      </c>
      <c r="Z10" s="68">
        <f t="shared" ca="1" si="72"/>
        <v>5.7171669703994352</v>
      </c>
      <c r="AA10" s="68">
        <f t="shared" ca="1" si="73"/>
        <v>7.9664766972807657</v>
      </c>
      <c r="AB10" s="68">
        <f t="shared" ca="1" si="74"/>
        <v>15.4389083280635</v>
      </c>
      <c r="AC10" s="68">
        <f t="shared" ca="1" si="75"/>
        <v>3.9832383486403828</v>
      </c>
      <c r="AD10" s="68">
        <f t="shared" ca="1" si="76"/>
        <v>3.9124601820791129</v>
      </c>
      <c r="AE10" s="68">
        <f t="shared" ca="1" si="77"/>
        <v>5.8359073480080026</v>
      </c>
      <c r="AF10" s="68">
        <f t="shared" ca="1" si="78"/>
        <v>11.16233072118991</v>
      </c>
      <c r="AG10" s="68">
        <f t="shared" ca="1" si="79"/>
        <v>2.9179536740040013</v>
      </c>
      <c r="AH10" s="68">
        <f t="shared" ca="1" si="80"/>
        <v>6.3289797063044482</v>
      </c>
      <c r="AI10" s="68">
        <f t="shared" ca="1" si="81"/>
        <v>14.20379566181842</v>
      </c>
      <c r="AJ10" s="68">
        <f t="shared" ca="1" si="82"/>
        <v>6.3917080478182884</v>
      </c>
      <c r="AK10" s="68">
        <f t="shared" ca="1" si="83"/>
        <v>2.7452976907866047</v>
      </c>
      <c r="AL10" s="68">
        <f t="shared" ca="1" si="84"/>
        <v>3.7860780969013375</v>
      </c>
      <c r="AM10" s="68">
        <f t="shared" ca="1" si="85"/>
        <v>11.640936879359879</v>
      </c>
      <c r="AN10" s="68">
        <f t="shared" ca="1" si="86"/>
        <v>10.930747096268957</v>
      </c>
      <c r="AO10" s="68">
        <f t="shared" ca="1" si="87"/>
        <v>3.246297690786605</v>
      </c>
      <c r="AP10" s="68">
        <f t="shared" ca="1" si="88"/>
        <v>7.0909424849839615</v>
      </c>
      <c r="AQ10" s="68">
        <f t="shared" ca="1" si="89"/>
        <v>4.1685052485771452</v>
      </c>
      <c r="AR10" s="68">
        <f t="shared" ca="1" si="90"/>
        <v>9.1707115468697182</v>
      </c>
      <c r="AS10" s="68">
        <f t="shared" ca="1" si="91"/>
        <v>2.0842526242885726</v>
      </c>
      <c r="AT10" s="68">
        <f t="shared" ca="1" si="92"/>
        <v>15.518329461691945</v>
      </c>
      <c r="AU10" s="68">
        <f t="shared" ca="1" si="93"/>
        <v>0.83705808264825499</v>
      </c>
      <c r="AV10" s="68">
        <f t="shared" ca="1" si="94"/>
        <v>2.7516001401226049</v>
      </c>
      <c r="AW10" s="68">
        <f t="shared" ca="1" si="95"/>
        <v>0.41852904132412749</v>
      </c>
      <c r="AX10" s="68">
        <f t="shared" ca="1" si="96"/>
        <v>2.9179536740040013</v>
      </c>
      <c r="AY10" s="68">
        <f t="shared" ca="1" si="97"/>
        <v>6.1755633312254004</v>
      </c>
      <c r="AZ10" s="68">
        <f t="shared" ca="1" si="98"/>
        <v>1.4589768370020006</v>
      </c>
      <c r="BA10" s="68">
        <f t="shared" ca="1" si="99"/>
        <v>16.438908328063501</v>
      </c>
      <c r="BB10" s="68">
        <f t="shared" ca="1" si="100"/>
        <v>1.6290438070000655</v>
      </c>
      <c r="BC10" s="68">
        <f t="shared" ca="1" si="101"/>
        <v>4.5978384887629886</v>
      </c>
      <c r="BD10" s="68">
        <f t="shared" ca="1" si="102"/>
        <v>0.81452190350003273</v>
      </c>
      <c r="BE10" s="68">
        <f t="shared" ca="1" si="103"/>
        <v>4.4927223234664782</v>
      </c>
      <c r="BF10" s="68">
        <f t="shared" ca="1" si="104"/>
        <v>5.3727400981660978</v>
      </c>
      <c r="BG10" s="68">
        <f t="shared" ca="1" si="105"/>
        <v>14.482678237023945</v>
      </c>
      <c r="BH10" s="68">
        <f t="shared" ca="1" si="106"/>
        <v>5.7241895036484509</v>
      </c>
      <c r="BI10" s="68">
        <f t="shared" ca="1" si="107"/>
        <v>1.5517769070633034</v>
      </c>
      <c r="BJ10" s="68">
        <f t="shared" ca="1" si="108"/>
        <v>7.4878705391107969</v>
      </c>
      <c r="BK10" s="68">
        <f t="shared" ca="1" si="109"/>
        <v>4.0758717986087643</v>
      </c>
      <c r="BL10" s="68">
        <f t="shared" ca="1" si="110"/>
        <v>6.2632240729921937</v>
      </c>
      <c r="BM10" s="68">
        <f t="shared" ca="1" si="111"/>
        <v>5.6276058787274987</v>
      </c>
      <c r="BN10" s="68">
        <f t="shared" ca="1" si="112"/>
        <v>0.33482323305930195</v>
      </c>
      <c r="BO10" s="68">
        <f t="shared" ca="1" si="113"/>
        <v>2.7790034990514298</v>
      </c>
      <c r="BP10" s="68">
        <f t="shared" ca="1" si="114"/>
        <v>1.0498457663083181</v>
      </c>
      <c r="BQ10" s="68">
        <f t="shared" ca="1" si="115"/>
        <v>5.0138670400593677</v>
      </c>
      <c r="BR10" s="68">
        <f t="shared" ca="1" si="116"/>
        <v>8.2804361098896599</v>
      </c>
      <c r="BS10" s="68">
        <f t="shared" ca="1" si="117"/>
        <v>0.86925262428857253</v>
      </c>
      <c r="BT10" s="68">
        <f t="shared" ca="1" si="118"/>
        <v>4.3846499651700332</v>
      </c>
      <c r="BU10" s="68">
        <f t="shared" ca="1" si="119"/>
        <v>3.7670936320474939</v>
      </c>
      <c r="BV10" s="68">
        <f t="shared" ca="1" si="120"/>
        <v>7.4797032892688931</v>
      </c>
      <c r="BW10" s="68">
        <f t="shared" ca="1" si="121"/>
        <v>7.1343104274943574</v>
      </c>
      <c r="BX10" s="68">
        <f t="shared" ca="1" si="122"/>
        <v>0.77910790769568339</v>
      </c>
      <c r="BY10" s="68">
        <f t="shared" ca="1" si="123"/>
        <v>4.3846499651700332</v>
      </c>
      <c r="BZ10" s="68">
        <f t="shared" ca="1" si="124"/>
        <v>3.7670936320474939</v>
      </c>
      <c r="CA10" s="68">
        <f t="shared" ca="1" si="125"/>
        <v>10.372951155008069</v>
      </c>
      <c r="CB10" s="68">
        <f t="shared" ca="1" si="126"/>
        <v>5.7628229536168316</v>
      </c>
      <c r="CC10" s="68">
        <f t="shared" ca="1" si="127"/>
        <v>0.95295843255339785</v>
      </c>
      <c r="CD10" s="68">
        <f t="shared" ca="1" si="128"/>
        <v>6.6741967811937819</v>
      </c>
      <c r="CE10" s="68">
        <f t="shared" ca="1" si="129"/>
        <v>3.9896712389210833</v>
      </c>
      <c r="CF10" s="68">
        <f t="shared" ca="1" si="130"/>
        <v>10.1652107773995</v>
      </c>
      <c r="CG10" s="68">
        <f t="shared" ca="1" si="131"/>
        <v>3.9896712389210833</v>
      </c>
      <c r="CH10" s="68">
        <f t="shared" ca="1" si="132"/>
        <v>5.3114398883835596</v>
      </c>
      <c r="CI10" s="68">
        <f t="shared" ca="1" si="133"/>
        <v>13.814865501118931</v>
      </c>
      <c r="CJ10" s="68">
        <f t="shared" ca="1" si="134"/>
        <v>5.3114398883835596</v>
      </c>
      <c r="CK10" s="68">
        <f t="shared" ca="1" si="135"/>
        <v>4.1097270820158753</v>
      </c>
    </row>
    <row r="11" spans="1:89" x14ac:dyDescent="0.25">
      <c r="A11" t="str">
        <f>PLANTILLA!C10</f>
        <v>K. Teglborg</v>
      </c>
      <c r="B11" s="56">
        <f>PLANTILLA!D10</f>
        <v>32101</v>
      </c>
      <c r="C11" s="90" t="e">
        <f>PLANTILLA!#REF!</f>
        <v>#REF!</v>
      </c>
      <c r="D11" s="56" t="str">
        <f>PLANTILLA!E10</f>
        <v>Cab</v>
      </c>
      <c r="E11" s="167">
        <f>PLANTILLA!AN10</f>
        <v>44897</v>
      </c>
      <c r="F11" s="90">
        <f>PLANTILLA!N10</f>
        <v>6</v>
      </c>
      <c r="G11" s="99">
        <f t="shared" si="68"/>
        <v>0.92582009977255142</v>
      </c>
      <c r="H11" s="99">
        <f t="shared" si="69"/>
        <v>0.99928545900129484</v>
      </c>
      <c r="I11" s="132">
        <f ca="1">PLANTILLA!M10</f>
        <v>0.92407450863301921</v>
      </c>
      <c r="J11" s="133">
        <f>PLANTILLA!G10</f>
        <v>14</v>
      </c>
      <c r="K11" s="48">
        <f>PLANTILLA!U10</f>
        <v>0</v>
      </c>
      <c r="L11" s="48">
        <f>PLANTILLA!V10</f>
        <v>11</v>
      </c>
      <c r="M11" s="48">
        <f>PLANTILLA!W10</f>
        <v>16</v>
      </c>
      <c r="N11" s="48">
        <f>PLANTILLA!X10</f>
        <v>2</v>
      </c>
      <c r="O11" s="48">
        <f>PLANTILLA!Y10</f>
        <v>2</v>
      </c>
      <c r="P11" s="48">
        <f>PLANTILLA!Z10</f>
        <v>9</v>
      </c>
      <c r="Q11" s="48">
        <f>PLANTILLA!AA10</f>
        <v>18</v>
      </c>
      <c r="R11" s="48">
        <f ca="1">PLANTILLA!AE10</f>
        <v>21.060327483571321</v>
      </c>
      <c r="S11" s="48">
        <f ca="1">PLANTILLA!AF10</f>
        <v>22.747753574096379</v>
      </c>
      <c r="T11" s="48"/>
      <c r="U11" s="48"/>
      <c r="V11" s="48">
        <f ca="1">PLANTILLA!AH10</f>
        <v>18.935099712810811</v>
      </c>
      <c r="W11" s="48">
        <f ca="1">PLANTILLA!AI10</f>
        <v>20.452245222870669</v>
      </c>
      <c r="X11" s="68">
        <f t="shared" ca="1" si="70"/>
        <v>5.1768100795660947</v>
      </c>
      <c r="Y11" s="68">
        <f t="shared" ca="1" si="71"/>
        <v>7.8408485827260339</v>
      </c>
      <c r="Z11" s="68">
        <f t="shared" ca="1" si="72"/>
        <v>5.1768100795660947</v>
      </c>
      <c r="AA11" s="68">
        <f t="shared" ca="1" si="73"/>
        <v>6.9413585350012657</v>
      </c>
      <c r="AB11" s="68">
        <f t="shared" ca="1" si="74"/>
        <v>13.452245222870669</v>
      </c>
      <c r="AC11" s="68">
        <f t="shared" ca="1" si="75"/>
        <v>3.4706792675006328</v>
      </c>
      <c r="AD11" s="68">
        <f t="shared" ca="1" si="76"/>
        <v>4.3916343630432193</v>
      </c>
      <c r="AE11" s="68">
        <f t="shared" ca="1" si="77"/>
        <v>5.0849486942451128</v>
      </c>
      <c r="AF11" s="68">
        <f t="shared" ca="1" si="78"/>
        <v>9.7259732961354928</v>
      </c>
      <c r="AG11" s="68">
        <f t="shared" ca="1" si="79"/>
        <v>2.5424743471225564</v>
      </c>
      <c r="AH11" s="68">
        <f t="shared" ca="1" si="80"/>
        <v>7.1041144108052077</v>
      </c>
      <c r="AI11" s="68">
        <f t="shared" ca="1" si="81"/>
        <v>12.376065605041017</v>
      </c>
      <c r="AJ11" s="68">
        <f t="shared" ca="1" si="82"/>
        <v>5.5692295222684569</v>
      </c>
      <c r="AK11" s="68">
        <f t="shared" ca="1" si="83"/>
        <v>3.0815249522194019</v>
      </c>
      <c r="AL11" s="68">
        <f t="shared" ca="1" si="84"/>
        <v>2.6179201910479537</v>
      </c>
      <c r="AM11" s="68">
        <f t="shared" ca="1" si="85"/>
        <v>10.142992898044485</v>
      </c>
      <c r="AN11" s="68">
        <f t="shared" ca="1" si="86"/>
        <v>9.5241896177924339</v>
      </c>
      <c r="AO11" s="68">
        <f t="shared" ca="1" si="87"/>
        <v>3.415524952219402</v>
      </c>
      <c r="AP11" s="68">
        <f t="shared" ca="1" si="88"/>
        <v>6.7716209394552926</v>
      </c>
      <c r="AQ11" s="68">
        <f t="shared" ca="1" si="89"/>
        <v>3.6321062101750807</v>
      </c>
      <c r="AR11" s="68">
        <f t="shared" ca="1" si="90"/>
        <v>7.9906336623851768</v>
      </c>
      <c r="AS11" s="68">
        <f t="shared" ca="1" si="91"/>
        <v>1.8160531050875404</v>
      </c>
      <c r="AT11" s="68">
        <f t="shared" ca="1" si="92"/>
        <v>17.418919490389911</v>
      </c>
      <c r="AU11" s="68">
        <f t="shared" ca="1" si="93"/>
        <v>0.57879187897318707</v>
      </c>
      <c r="AV11" s="68">
        <f t="shared" ca="1" si="94"/>
        <v>2.5155078503011059</v>
      </c>
      <c r="AW11" s="68">
        <f t="shared" ca="1" si="95"/>
        <v>0.28939593948659353</v>
      </c>
      <c r="AX11" s="68">
        <f t="shared" ca="1" si="96"/>
        <v>2.5424743471225564</v>
      </c>
      <c r="AY11" s="68">
        <f t="shared" ca="1" si="97"/>
        <v>5.3808980891482676</v>
      </c>
      <c r="AZ11" s="68">
        <f t="shared" ca="1" si="98"/>
        <v>1.2712371735612782</v>
      </c>
      <c r="BA11" s="68">
        <f t="shared" ca="1" si="99"/>
        <v>18.452245222870669</v>
      </c>
      <c r="BB11" s="68">
        <f t="shared" ca="1" si="100"/>
        <v>1.1264180413862794</v>
      </c>
      <c r="BC11" s="68">
        <f t="shared" ca="1" si="101"/>
        <v>3.923187117801739</v>
      </c>
      <c r="BD11" s="68">
        <f t="shared" ca="1" si="102"/>
        <v>0.56320902069313972</v>
      </c>
      <c r="BE11" s="68">
        <f t="shared" ca="1" si="103"/>
        <v>3.9146033598553642</v>
      </c>
      <c r="BF11" s="68">
        <f t="shared" ca="1" si="104"/>
        <v>4.6813813375589923</v>
      </c>
      <c r="BG11" s="68">
        <f t="shared" ca="1" si="105"/>
        <v>16.256428041349061</v>
      </c>
      <c r="BH11" s="68">
        <f t="shared" ca="1" si="106"/>
        <v>3.9580460031320253</v>
      </c>
      <c r="BI11" s="68">
        <f t="shared" ca="1" si="107"/>
        <v>1.0729910987118314</v>
      </c>
      <c r="BJ11" s="68">
        <f t="shared" ca="1" si="108"/>
        <v>6.5243389330922739</v>
      </c>
      <c r="BK11" s="68">
        <f t="shared" ca="1" si="109"/>
        <v>3.551392738837857</v>
      </c>
      <c r="BL11" s="68">
        <f t="shared" ca="1" si="110"/>
        <v>7.0303054299137253</v>
      </c>
      <c r="BM11" s="68">
        <f t="shared" ca="1" si="111"/>
        <v>3.8912623247889657</v>
      </c>
      <c r="BN11" s="68">
        <f t="shared" ca="1" si="112"/>
        <v>0.23151675158927482</v>
      </c>
      <c r="BO11" s="68">
        <f t="shared" ca="1" si="113"/>
        <v>2.4214041401167203</v>
      </c>
      <c r="BP11" s="68">
        <f t="shared" ca="1" si="114"/>
        <v>0.91475267515520553</v>
      </c>
      <c r="BQ11" s="68">
        <f t="shared" ca="1" si="115"/>
        <v>5.6279347929755543</v>
      </c>
      <c r="BR11" s="68">
        <f t="shared" ca="1" si="116"/>
        <v>5.7255873566116815</v>
      </c>
      <c r="BS11" s="68">
        <f t="shared" ca="1" si="117"/>
        <v>0.60105310508754051</v>
      </c>
      <c r="BT11" s="68">
        <f t="shared" ca="1" si="118"/>
        <v>3.8204376432952696</v>
      </c>
      <c r="BU11" s="68">
        <f t="shared" ca="1" si="119"/>
        <v>3.2823478343804431</v>
      </c>
      <c r="BV11" s="68">
        <f t="shared" ca="1" si="120"/>
        <v>8.3957715764061547</v>
      </c>
      <c r="BW11" s="68">
        <f t="shared" ca="1" si="121"/>
        <v>4.933087706940702</v>
      </c>
      <c r="BX11" s="68">
        <f t="shared" ca="1" si="122"/>
        <v>0.53872167196735099</v>
      </c>
      <c r="BY11" s="68">
        <f t="shared" ca="1" si="123"/>
        <v>3.8204376432952696</v>
      </c>
      <c r="BZ11" s="68">
        <f t="shared" ca="1" si="124"/>
        <v>3.2823478343804431</v>
      </c>
      <c r="CA11" s="68">
        <f t="shared" ca="1" si="125"/>
        <v>11.643366735631393</v>
      </c>
      <c r="CB11" s="68">
        <f t="shared" ca="1" si="126"/>
        <v>3.9847594744692492</v>
      </c>
      <c r="CC11" s="68">
        <f t="shared" ca="1" si="127"/>
        <v>0.65893229298485911</v>
      </c>
      <c r="CD11" s="68">
        <f t="shared" ca="1" si="128"/>
        <v>7.4916115604854925</v>
      </c>
      <c r="CE11" s="68">
        <f t="shared" ca="1" si="129"/>
        <v>3.2086197611156191</v>
      </c>
      <c r="CF11" s="68">
        <f t="shared" ca="1" si="130"/>
        <v>9.0942281209523728</v>
      </c>
      <c r="CG11" s="68">
        <f t="shared" ca="1" si="131"/>
        <v>3.2086197611156191</v>
      </c>
      <c r="CH11" s="68">
        <f t="shared" ca="1" si="132"/>
        <v>4.6134894016038421</v>
      </c>
      <c r="CI11" s="68">
        <f t="shared" ca="1" si="133"/>
        <v>13.095123710109947</v>
      </c>
      <c r="CJ11" s="68">
        <f t="shared" ca="1" si="134"/>
        <v>4.6134894016038421</v>
      </c>
      <c r="CK11" s="68">
        <f t="shared" ca="1" si="135"/>
        <v>4.6130613057176673</v>
      </c>
    </row>
    <row r="12" spans="1:89" x14ac:dyDescent="0.25">
      <c r="A12" t="str">
        <f>PLANTILLA!C11</f>
        <v>纪 (J.) 昌永 (Changyong)</v>
      </c>
      <c r="B12" s="56" t="str">
        <f>PLANTILLA!D11</f>
        <v>33.43</v>
      </c>
      <c r="C12" s="90" t="e">
        <f>PLANTILLA!#REF!</f>
        <v>#REF!</v>
      </c>
      <c r="D12" s="56" t="str">
        <f>PLANTILLA!E11</f>
        <v>Cab</v>
      </c>
      <c r="E12" s="167">
        <f>PLANTILLA!AN11</f>
        <v>44887</v>
      </c>
      <c r="F12" s="90">
        <f>PLANTILLA!N11</f>
        <v>6</v>
      </c>
      <c r="G12" s="99">
        <f t="shared" si="68"/>
        <v>0.92582009977255142</v>
      </c>
      <c r="H12" s="99">
        <f t="shared" si="69"/>
        <v>0.99928545900129484</v>
      </c>
      <c r="I12" s="132">
        <f ca="1">PLANTILLA!M11</f>
        <v>0.94386834847769996</v>
      </c>
      <c r="J12" s="133">
        <f>PLANTILLA!G11</f>
        <v>14</v>
      </c>
      <c r="K12" s="48">
        <f>PLANTILLA!U11</f>
        <v>0</v>
      </c>
      <c r="L12" s="48">
        <f>PLANTILLA!V11</f>
        <v>13</v>
      </c>
      <c r="M12" s="48">
        <f>PLANTILLA!W11</f>
        <v>16</v>
      </c>
      <c r="N12" s="48">
        <f>PLANTILLA!X11</f>
        <v>3</v>
      </c>
      <c r="O12" s="48">
        <f>PLANTILLA!Y11</f>
        <v>3</v>
      </c>
      <c r="P12" s="48">
        <f>PLANTILLA!Z11</f>
        <v>9</v>
      </c>
      <c r="Q12" s="48">
        <f>PLANTILLA!AA11</f>
        <v>19</v>
      </c>
      <c r="R12" s="48">
        <f ca="1">PLANTILLA!AE11</f>
        <v>21.610027970309773</v>
      </c>
      <c r="S12" s="48">
        <f ca="1">PLANTILLA!AF11</f>
        <v>23.341497960153127</v>
      </c>
      <c r="T12" s="48"/>
      <c r="U12" s="48"/>
      <c r="V12" s="48">
        <f ca="1">PLANTILLA!AH11</f>
        <v>19.879245347363248</v>
      </c>
      <c r="W12" s="48">
        <f ca="1">PLANTILLA!AI11</f>
        <v>21.47203906271535</v>
      </c>
      <c r="X12" s="68">
        <f t="shared" ca="1" si="70"/>
        <v>5.7460901017505011</v>
      </c>
      <c r="Y12" s="68">
        <f t="shared" ca="1" si="71"/>
        <v>8.7164024299655178</v>
      </c>
      <c r="Z12" s="68">
        <f t="shared" ca="1" si="72"/>
        <v>5.7460901017505011</v>
      </c>
      <c r="AA12" s="68">
        <f t="shared" ca="1" si="73"/>
        <v>7.9835721563611211</v>
      </c>
      <c r="AB12" s="68">
        <f t="shared" ca="1" si="74"/>
        <v>15.47203906271535</v>
      </c>
      <c r="AC12" s="68">
        <f t="shared" ca="1" si="75"/>
        <v>3.9917860781805605</v>
      </c>
      <c r="AD12" s="68">
        <f t="shared" ca="1" si="76"/>
        <v>4.3963452969262526</v>
      </c>
      <c r="AE12" s="68">
        <f t="shared" ca="1" si="77"/>
        <v>5.8484307657064027</v>
      </c>
      <c r="AF12" s="68">
        <f t="shared" ca="1" si="78"/>
        <v>11.186284242343197</v>
      </c>
      <c r="AG12" s="68">
        <f t="shared" ca="1" si="79"/>
        <v>2.9242153828532014</v>
      </c>
      <c r="AH12" s="68">
        <f t="shared" ca="1" si="80"/>
        <v>7.1117350391454099</v>
      </c>
      <c r="AI12" s="68">
        <f t="shared" ca="1" si="81"/>
        <v>14.234275937698122</v>
      </c>
      <c r="AJ12" s="68">
        <f t="shared" ca="1" si="82"/>
        <v>6.4054241719641549</v>
      </c>
      <c r="AK12" s="68">
        <f t="shared" ca="1" si="83"/>
        <v>3.0848305234734634</v>
      </c>
      <c r="AL12" s="68">
        <f t="shared" ca="1" si="84"/>
        <v>3.217558968876626</v>
      </c>
      <c r="AM12" s="68">
        <f t="shared" ca="1" si="85"/>
        <v>11.665917453287374</v>
      </c>
      <c r="AN12" s="68">
        <f t="shared" ca="1" si="86"/>
        <v>10.954203656402466</v>
      </c>
      <c r="AO12" s="68">
        <f t="shared" ca="1" si="87"/>
        <v>3.5858305234734638</v>
      </c>
      <c r="AP12" s="68">
        <f t="shared" ca="1" si="88"/>
        <v>6.9356353055112345</v>
      </c>
      <c r="AQ12" s="68">
        <f t="shared" ca="1" si="89"/>
        <v>4.1774505469331444</v>
      </c>
      <c r="AR12" s="68">
        <f t="shared" ca="1" si="90"/>
        <v>9.1903912032529167</v>
      </c>
      <c r="AS12" s="68">
        <f t="shared" ca="1" si="91"/>
        <v>2.0887252734665722</v>
      </c>
      <c r="AT12" s="68">
        <f t="shared" ca="1" si="92"/>
        <v>17.437604875203288</v>
      </c>
      <c r="AU12" s="68">
        <f t="shared" ca="1" si="93"/>
        <v>0.71136507815299566</v>
      </c>
      <c r="AV12" s="68">
        <f t="shared" ca="1" si="94"/>
        <v>2.6413074453755971</v>
      </c>
      <c r="AW12" s="68">
        <f t="shared" ca="1" si="95"/>
        <v>0.35568253907649783</v>
      </c>
      <c r="AX12" s="68">
        <f t="shared" ca="1" si="96"/>
        <v>2.9242153828532014</v>
      </c>
      <c r="AY12" s="68">
        <f t="shared" ca="1" si="97"/>
        <v>6.1888156250861401</v>
      </c>
      <c r="AZ12" s="68">
        <f t="shared" ca="1" si="98"/>
        <v>1.4621076914266007</v>
      </c>
      <c r="BA12" s="68">
        <f t="shared" ca="1" si="99"/>
        <v>18.47203906271535</v>
      </c>
      <c r="BB12" s="68">
        <f t="shared" ca="1" si="100"/>
        <v>1.3844258828669838</v>
      </c>
      <c r="BC12" s="68">
        <f t="shared" ca="1" si="101"/>
        <v>4.2750935235561585</v>
      </c>
      <c r="BD12" s="68">
        <f t="shared" ca="1" si="102"/>
        <v>0.69221294143349188</v>
      </c>
      <c r="BE12" s="68">
        <f t="shared" ca="1" si="103"/>
        <v>4.5023633672501662</v>
      </c>
      <c r="BF12" s="68">
        <f t="shared" ca="1" si="104"/>
        <v>5.384269593824941</v>
      </c>
      <c r="BG12" s="68">
        <f t="shared" ca="1" si="105"/>
        <v>16.273866414252222</v>
      </c>
      <c r="BH12" s="68">
        <f t="shared" ca="1" si="106"/>
        <v>4.8646427267539467</v>
      </c>
      <c r="BI12" s="68">
        <f t="shared" ca="1" si="107"/>
        <v>1.3187614141143995</v>
      </c>
      <c r="BJ12" s="68">
        <f t="shared" ca="1" si="108"/>
        <v>7.5039389454169445</v>
      </c>
      <c r="BK12" s="68">
        <f t="shared" ca="1" si="109"/>
        <v>4.0846183125568523</v>
      </c>
      <c r="BL12" s="68">
        <f t="shared" ca="1" si="110"/>
        <v>7.0378468828945486</v>
      </c>
      <c r="BM12" s="68">
        <f t="shared" ca="1" si="111"/>
        <v>4.7825621408132166</v>
      </c>
      <c r="BN12" s="68">
        <f t="shared" ca="1" si="112"/>
        <v>0.28454603126119821</v>
      </c>
      <c r="BO12" s="68">
        <f t="shared" ca="1" si="113"/>
        <v>2.7849670312887627</v>
      </c>
      <c r="BP12" s="68">
        <f t="shared" ca="1" si="114"/>
        <v>1.0520986562646439</v>
      </c>
      <c r="BQ12" s="68">
        <f t="shared" ca="1" si="115"/>
        <v>5.6339719141281819</v>
      </c>
      <c r="BR12" s="68">
        <f t="shared" ca="1" si="116"/>
        <v>7.037042234651941</v>
      </c>
      <c r="BS12" s="68">
        <f t="shared" ca="1" si="117"/>
        <v>0.73872527346657235</v>
      </c>
      <c r="BT12" s="68">
        <f t="shared" ca="1" si="118"/>
        <v>4.3940590938111592</v>
      </c>
      <c r="BU12" s="68">
        <f t="shared" ca="1" si="119"/>
        <v>3.7751775313025453</v>
      </c>
      <c r="BV12" s="68">
        <f t="shared" ca="1" si="120"/>
        <v>8.4047777735354838</v>
      </c>
      <c r="BW12" s="68">
        <f t="shared" ca="1" si="121"/>
        <v>6.063019281488609</v>
      </c>
      <c r="BX12" s="68">
        <f t="shared" ca="1" si="122"/>
        <v>0.66211672658855747</v>
      </c>
      <c r="BY12" s="68">
        <f t="shared" ca="1" si="123"/>
        <v>4.3940590938111592</v>
      </c>
      <c r="BZ12" s="68">
        <f t="shared" ca="1" si="124"/>
        <v>3.7751775313025453</v>
      </c>
      <c r="CA12" s="68">
        <f t="shared" ca="1" si="125"/>
        <v>11.655856648573385</v>
      </c>
      <c r="CB12" s="68">
        <f t="shared" ca="1" si="126"/>
        <v>4.8974749611302384</v>
      </c>
      <c r="CC12" s="68">
        <f t="shared" ca="1" si="127"/>
        <v>0.80986178128187192</v>
      </c>
      <c r="CD12" s="68">
        <f t="shared" ca="1" si="128"/>
        <v>7.4996478594624323</v>
      </c>
      <c r="CE12" s="68">
        <f t="shared" ca="1" si="129"/>
        <v>3.6129323516746972</v>
      </c>
      <c r="CF12" s="68">
        <f t="shared" ca="1" si="130"/>
        <v>9.6595159846174834</v>
      </c>
      <c r="CG12" s="68">
        <f t="shared" ca="1" si="131"/>
        <v>3.6129323516746972</v>
      </c>
      <c r="CH12" s="68">
        <f t="shared" ca="1" si="132"/>
        <v>4.9836745654674619</v>
      </c>
      <c r="CI12" s="68">
        <f t="shared" ca="1" si="133"/>
        <v>13.491221476857314</v>
      </c>
      <c r="CJ12" s="68">
        <f t="shared" ca="1" si="134"/>
        <v>4.9836745654674619</v>
      </c>
      <c r="CK12" s="68">
        <f t="shared" ca="1" si="135"/>
        <v>4.6180097656788375</v>
      </c>
    </row>
    <row r="13" spans="1:89" x14ac:dyDescent="0.25">
      <c r="A13" t="str">
        <f>PLANTILLA!C12</f>
        <v>Y. Galitsky</v>
      </c>
      <c r="B13" s="56" t="str">
        <f>PLANTILLA!D12</f>
        <v>33.49</v>
      </c>
      <c r="C13" s="90" t="e">
        <f>PLANTILLA!#REF!</f>
        <v>#REF!</v>
      </c>
      <c r="D13" s="56" t="str">
        <f>PLANTILLA!E12</f>
        <v>Imp</v>
      </c>
      <c r="E13" s="167">
        <f>PLANTILLA!AN12</f>
        <v>44906</v>
      </c>
      <c r="F13" s="90">
        <f>PLANTILLA!N12</f>
        <v>5</v>
      </c>
      <c r="G13" s="99">
        <f t="shared" si="68"/>
        <v>0.84515425472851657</v>
      </c>
      <c r="H13" s="99">
        <f t="shared" si="69"/>
        <v>0.92504826128926143</v>
      </c>
      <c r="I13" s="132">
        <f ca="1">PLANTILLA!M12</f>
        <v>0.90605394289764585</v>
      </c>
      <c r="J13" s="133">
        <f>PLANTILLA!G12</f>
        <v>12</v>
      </c>
      <c r="K13" s="48">
        <f>PLANTILLA!U12</f>
        <v>0</v>
      </c>
      <c r="L13" s="48">
        <f>PLANTILLA!V12</f>
        <v>14</v>
      </c>
      <c r="M13" s="48">
        <f>PLANTILLA!W12</f>
        <v>15</v>
      </c>
      <c r="N13" s="48">
        <f>PLANTILLA!X12</f>
        <v>1</v>
      </c>
      <c r="O13" s="48">
        <f>PLANTILLA!Y12</f>
        <v>5</v>
      </c>
      <c r="P13" s="48">
        <f>PLANTILLA!Z12</f>
        <v>9</v>
      </c>
      <c r="Q13" s="48">
        <f>PLANTILLA!AA12</f>
        <v>18</v>
      </c>
      <c r="R13" s="48">
        <f ca="1">PLANTILLA!AE12</f>
        <v>19.036929676766327</v>
      </c>
      <c r="S13" s="48">
        <f ca="1">PLANTILLA!AF12</f>
        <v>22.524798958601274</v>
      </c>
      <c r="T13" s="48"/>
      <c r="U13" s="48"/>
      <c r="V13" s="48">
        <f ca="1">PLANTILLA!AH12</f>
        <v>17.194631425593958</v>
      </c>
      <c r="W13" s="48">
        <f ca="1">PLANTILLA!AI12</f>
        <v>18.835774999570045</v>
      </c>
      <c r="X13" s="68">
        <f t="shared" ca="1" si="70"/>
        <v>5.911152062549081</v>
      </c>
      <c r="Y13" s="68">
        <f t="shared" ca="1" si="71"/>
        <v>8.9773462918108393</v>
      </c>
      <c r="Z13" s="68">
        <f t="shared" ca="1" si="72"/>
        <v>5.911152062549081</v>
      </c>
      <c r="AA13" s="68">
        <f t="shared" ca="1" si="73"/>
        <v>8.4340005318159523</v>
      </c>
      <c r="AB13" s="68">
        <f t="shared" ca="1" si="74"/>
        <v>16.344962270961148</v>
      </c>
      <c r="AC13" s="68">
        <f t="shared" ca="1" si="75"/>
        <v>4.2170002659079762</v>
      </c>
      <c r="AD13" s="68">
        <f t="shared" ca="1" si="76"/>
        <v>4.1281010204887529</v>
      </c>
      <c r="AE13" s="68">
        <f t="shared" ca="1" si="77"/>
        <v>6.1783957384233137</v>
      </c>
      <c r="AF13" s="68">
        <f t="shared" ca="1" si="78"/>
        <v>11.817407721904909</v>
      </c>
      <c r="AG13" s="68">
        <f t="shared" ca="1" si="79"/>
        <v>3.0891978692116568</v>
      </c>
      <c r="AH13" s="68">
        <f t="shared" ca="1" si="80"/>
        <v>6.6778104743200419</v>
      </c>
      <c r="AI13" s="68">
        <f t="shared" ca="1" si="81"/>
        <v>15.037365289284256</v>
      </c>
      <c r="AJ13" s="68">
        <f t="shared" ca="1" si="82"/>
        <v>6.766814380177915</v>
      </c>
      <c r="AK13" s="68">
        <f t="shared" ca="1" si="83"/>
        <v>2.8966086992505118</v>
      </c>
      <c r="AL13" s="68">
        <f t="shared" ca="1" si="84"/>
        <v>1.9668378153251536</v>
      </c>
      <c r="AM13" s="68">
        <f t="shared" ca="1" si="85"/>
        <v>12.324101552304706</v>
      </c>
      <c r="AN13" s="68">
        <f t="shared" ca="1" si="86"/>
        <v>11.572233287840492</v>
      </c>
      <c r="AO13" s="68">
        <f t="shared" ca="1" si="87"/>
        <v>3.3976086992505117</v>
      </c>
      <c r="AP13" s="68">
        <f t="shared" ca="1" si="88"/>
        <v>6.157984880945512</v>
      </c>
      <c r="AQ13" s="68">
        <f t="shared" ca="1" si="89"/>
        <v>4.4131398131595105</v>
      </c>
      <c r="AR13" s="68">
        <f t="shared" ca="1" si="90"/>
        <v>9.7089075889509218</v>
      </c>
      <c r="AS13" s="68">
        <f t="shared" ca="1" si="91"/>
        <v>2.2065699065797553</v>
      </c>
      <c r="AT13" s="68">
        <f t="shared" ca="1" si="92"/>
        <v>16.373644383787322</v>
      </c>
      <c r="AU13" s="68">
        <f t="shared" ca="1" si="93"/>
        <v>0.95484509522494898</v>
      </c>
      <c r="AV13" s="68">
        <f t="shared" ca="1" si="94"/>
        <v>2.8440739453916155</v>
      </c>
      <c r="AW13" s="68">
        <f t="shared" ca="1" si="95"/>
        <v>0.47742254761247449</v>
      </c>
      <c r="AX13" s="68">
        <f t="shared" ca="1" si="96"/>
        <v>3.0891978692116568</v>
      </c>
      <c r="AY13" s="68">
        <f t="shared" ca="1" si="97"/>
        <v>6.537984908384459</v>
      </c>
      <c r="AZ13" s="68">
        <f t="shared" ca="1" si="98"/>
        <v>1.5445989346058284</v>
      </c>
      <c r="BA13" s="68">
        <f t="shared" ca="1" si="99"/>
        <v>17.344962270961148</v>
      </c>
      <c r="BB13" s="68">
        <f t="shared" ca="1" si="100"/>
        <v>1.8582754545531699</v>
      </c>
      <c r="BC13" s="68">
        <f t="shared" ca="1" si="101"/>
        <v>4.8870742112995913</v>
      </c>
      <c r="BD13" s="68">
        <f t="shared" ca="1" si="102"/>
        <v>0.92913772727658495</v>
      </c>
      <c r="BE13" s="68">
        <f t="shared" ca="1" si="103"/>
        <v>4.7563840208496933</v>
      </c>
      <c r="BF13" s="68">
        <f t="shared" ca="1" si="104"/>
        <v>5.6880468702944791</v>
      </c>
      <c r="BG13" s="68">
        <f t="shared" ca="1" si="105"/>
        <v>15.280911760716771</v>
      </c>
      <c r="BH13" s="68">
        <f t="shared" ca="1" si="106"/>
        <v>4.2336714588844586</v>
      </c>
      <c r="BI13" s="68">
        <f t="shared" ca="1" si="107"/>
        <v>1.7701359073016361</v>
      </c>
      <c r="BJ13" s="68">
        <f t="shared" ca="1" si="108"/>
        <v>7.927306701416156</v>
      </c>
      <c r="BK13" s="68">
        <f t="shared" ca="1" si="109"/>
        <v>4.3150700395337429</v>
      </c>
      <c r="BL13" s="68">
        <f t="shared" ca="1" si="110"/>
        <v>6.6084306252361973</v>
      </c>
      <c r="BM13" s="68">
        <f t="shared" ca="1" si="111"/>
        <v>3.7274970248200416</v>
      </c>
      <c r="BN13" s="68">
        <f t="shared" ca="1" si="112"/>
        <v>0.38193803808997956</v>
      </c>
      <c r="BO13" s="68">
        <f t="shared" ca="1" si="113"/>
        <v>2.9420932087730063</v>
      </c>
      <c r="BP13" s="68">
        <f t="shared" ca="1" si="114"/>
        <v>1.111457434425358</v>
      </c>
      <c r="BQ13" s="68">
        <f t="shared" ca="1" si="115"/>
        <v>5.2902134926431499</v>
      </c>
      <c r="BR13" s="68">
        <f t="shared" ca="1" si="116"/>
        <v>5.4456214804560332</v>
      </c>
      <c r="BS13" s="68">
        <f t="shared" ca="1" si="117"/>
        <v>0.99156990657975475</v>
      </c>
      <c r="BT13" s="68">
        <f t="shared" ca="1" si="118"/>
        <v>4.6419692849529657</v>
      </c>
      <c r="BU13" s="68">
        <f t="shared" ca="1" si="119"/>
        <v>3.9881707941145197</v>
      </c>
      <c r="BV13" s="68">
        <f t="shared" ca="1" si="120"/>
        <v>7.8919578332873224</v>
      </c>
      <c r="BW13" s="68">
        <f t="shared" ca="1" si="121"/>
        <v>4.6822181962249498</v>
      </c>
      <c r="BX13" s="68">
        <f t="shared" ca="1" si="122"/>
        <v>0.88874043478629861</v>
      </c>
      <c r="BY13" s="68">
        <f t="shared" ca="1" si="123"/>
        <v>4.6419692849529657</v>
      </c>
      <c r="BZ13" s="68">
        <f t="shared" ca="1" si="124"/>
        <v>3.9881707941145197</v>
      </c>
      <c r="CA13" s="68">
        <f t="shared" ca="1" si="125"/>
        <v>10.944671192976484</v>
      </c>
      <c r="CB13" s="68">
        <f t="shared" ca="1" si="126"/>
        <v>3.7657412325102255</v>
      </c>
      <c r="CC13" s="68">
        <f t="shared" ca="1" si="127"/>
        <v>1.0870544161022495</v>
      </c>
      <c r="CD13" s="68">
        <f t="shared" ca="1" si="128"/>
        <v>7.0420546820102263</v>
      </c>
      <c r="CE13" s="68">
        <f t="shared" ca="1" si="129"/>
        <v>3.7587253431707568</v>
      </c>
      <c r="CF13" s="68">
        <f t="shared" ca="1" si="130"/>
        <v>10.60242751710225</v>
      </c>
      <c r="CG13" s="68">
        <f t="shared" ca="1" si="131"/>
        <v>3.7587253431707568</v>
      </c>
      <c r="CH13" s="68">
        <f t="shared" ca="1" si="132"/>
        <v>4.7563374696554055</v>
      </c>
      <c r="CI13" s="68">
        <f t="shared" ca="1" si="133"/>
        <v>14.055253348945808</v>
      </c>
      <c r="CJ13" s="68">
        <f t="shared" ca="1" si="134"/>
        <v>4.7563374696554055</v>
      </c>
      <c r="CK13" s="68">
        <f t="shared" ca="1" si="135"/>
        <v>4.3362405677402869</v>
      </c>
    </row>
    <row r="14" spans="1:89" x14ac:dyDescent="0.25">
      <c r="A14" t="str">
        <f>PLANTILLA!C13</f>
        <v>S. Sawczyn</v>
      </c>
      <c r="B14" s="56" t="str">
        <f>PLANTILLA!D13</f>
        <v>31.70</v>
      </c>
      <c r="C14" s="90" t="e">
        <f>PLANTILLA!#REF!</f>
        <v>#REF!</v>
      </c>
      <c r="D14" s="56" t="str">
        <f>PLANTILLA!E13</f>
        <v>Imp</v>
      </c>
      <c r="E14" s="167">
        <f>PLANTILLA!AN13</f>
        <v>45160</v>
      </c>
      <c r="F14" s="90">
        <f>PLANTILLA!N13</f>
        <v>6</v>
      </c>
      <c r="G14" s="99">
        <f t="shared" si="68"/>
        <v>0.92582009977255142</v>
      </c>
      <c r="H14" s="99">
        <f t="shared" si="69"/>
        <v>0.99928545900129484</v>
      </c>
      <c r="I14" s="132">
        <f ca="1">PLANTILLA!M13</f>
        <v>0.23082846810273991</v>
      </c>
      <c r="J14" s="133">
        <f>PLANTILLA!G13</f>
        <v>11</v>
      </c>
      <c r="K14" s="48">
        <f>PLANTILLA!U13</f>
        <v>0</v>
      </c>
      <c r="L14" s="48">
        <f>PLANTILLA!V13</f>
        <v>12</v>
      </c>
      <c r="M14" s="48">
        <f>PLANTILLA!W13</f>
        <v>14</v>
      </c>
      <c r="N14" s="48">
        <f>PLANTILLA!X13</f>
        <v>3</v>
      </c>
      <c r="O14" s="48">
        <f>PLANTILLA!Y13</f>
        <v>6</v>
      </c>
      <c r="P14" s="48">
        <f>PLANTILLA!Z13</f>
        <v>9</v>
      </c>
      <c r="Q14" s="48">
        <f>PLANTILLA!AA13</f>
        <v>19</v>
      </c>
      <c r="R14" s="48">
        <f ca="1">PLANTILLA!AE13</f>
        <v>19.886725285711051</v>
      </c>
      <c r="S14" s="48">
        <f ca="1">PLANTILLA!AF13</f>
        <v>21.480118319527385</v>
      </c>
      <c r="T14" s="48"/>
      <c r="U14" s="48"/>
      <c r="V14" s="48">
        <f ca="1">PLANTILLA!AH13</f>
        <v>19.08981057061516</v>
      </c>
      <c r="W14" s="48">
        <f ca="1">PLANTILLA!AI13</f>
        <v>20.619352048313708</v>
      </c>
      <c r="X14" s="68">
        <f t="shared" ca="1" si="70"/>
        <v>4.725694338177866</v>
      </c>
      <c r="Y14" s="68">
        <f t="shared" ca="1" si="71"/>
        <v>7.1905834943729943</v>
      </c>
      <c r="Z14" s="68">
        <f t="shared" ca="1" si="72"/>
        <v>4.725694338177866</v>
      </c>
      <c r="AA14" s="68">
        <f t="shared" ca="1" si="73"/>
        <v>7.0275856569298725</v>
      </c>
      <c r="AB14" s="68">
        <f t="shared" ca="1" si="74"/>
        <v>13.619352048313706</v>
      </c>
      <c r="AC14" s="68">
        <f t="shared" ca="1" si="75"/>
        <v>3.5137928284649362</v>
      </c>
      <c r="AD14" s="68">
        <f t="shared" ca="1" si="76"/>
        <v>3.7174057874986617</v>
      </c>
      <c r="AE14" s="68">
        <f t="shared" ca="1" si="77"/>
        <v>5.1481150742625807</v>
      </c>
      <c r="AF14" s="68">
        <f t="shared" ca="1" si="78"/>
        <v>9.8467915309308083</v>
      </c>
      <c r="AG14" s="68">
        <f t="shared" ca="1" si="79"/>
        <v>2.5740575371312904</v>
      </c>
      <c r="AH14" s="68">
        <f t="shared" ca="1" si="80"/>
        <v>6.0134505386007771</v>
      </c>
      <c r="AI14" s="68">
        <f t="shared" ca="1" si="81"/>
        <v>12.52980388444861</v>
      </c>
      <c r="AJ14" s="68">
        <f t="shared" ca="1" si="82"/>
        <v>5.6384117480018743</v>
      </c>
      <c r="AK14" s="68">
        <f t="shared" ca="1" si="83"/>
        <v>2.608431792068389</v>
      </c>
      <c r="AL14" s="68">
        <f t="shared" ca="1" si="84"/>
        <v>2.7161790044084597</v>
      </c>
      <c r="AM14" s="68">
        <f t="shared" ca="1" si="85"/>
        <v>10.268991444428535</v>
      </c>
      <c r="AN14" s="68">
        <f t="shared" ca="1" si="86"/>
        <v>9.642501250206104</v>
      </c>
      <c r="AO14" s="68">
        <f t="shared" ca="1" si="87"/>
        <v>3.4434317920683895</v>
      </c>
      <c r="AP14" s="68">
        <f t="shared" ca="1" si="88"/>
        <v>6.1937502721991304</v>
      </c>
      <c r="AQ14" s="68">
        <f t="shared" ca="1" si="89"/>
        <v>3.677225053044701</v>
      </c>
      <c r="AR14" s="68">
        <f t="shared" ca="1" si="90"/>
        <v>8.0898951166983402</v>
      </c>
      <c r="AS14" s="68">
        <f t="shared" ca="1" si="91"/>
        <v>1.8386125265223505</v>
      </c>
      <c r="AT14" s="68">
        <f t="shared" ca="1" si="92"/>
        <v>14.744668333608137</v>
      </c>
      <c r="AU14" s="68">
        <f t="shared" ca="1" si="93"/>
        <v>0.99051576628078186</v>
      </c>
      <c r="AV14" s="68">
        <f t="shared" ca="1" si="94"/>
        <v>2.7514701501559156</v>
      </c>
      <c r="AW14" s="68">
        <f t="shared" ca="1" si="95"/>
        <v>0.49525788314039093</v>
      </c>
      <c r="AX14" s="68">
        <f t="shared" ca="1" si="96"/>
        <v>2.5740575371312904</v>
      </c>
      <c r="AY14" s="68">
        <f t="shared" ca="1" si="97"/>
        <v>5.4477408193254826</v>
      </c>
      <c r="AZ14" s="68">
        <f t="shared" ca="1" si="98"/>
        <v>1.2870287685656452</v>
      </c>
      <c r="BA14" s="68">
        <f t="shared" ca="1" si="99"/>
        <v>15.619352048313706</v>
      </c>
      <c r="BB14" s="68">
        <f t="shared" ca="1" si="100"/>
        <v>1.9276960682233677</v>
      </c>
      <c r="BC14" s="68">
        <f t="shared" ca="1" si="101"/>
        <v>4.8282629786208524</v>
      </c>
      <c r="BD14" s="68">
        <f t="shared" ca="1" si="102"/>
        <v>0.96384803411168385</v>
      </c>
      <c r="BE14" s="68">
        <f t="shared" ca="1" si="103"/>
        <v>3.9632314460592881</v>
      </c>
      <c r="BF14" s="68">
        <f t="shared" ca="1" si="104"/>
        <v>4.7395345128131696</v>
      </c>
      <c r="BG14" s="68">
        <f t="shared" ca="1" si="105"/>
        <v>13.760649154564375</v>
      </c>
      <c r="BH14" s="68">
        <f t="shared" ca="1" si="106"/>
        <v>5.0516039709508851</v>
      </c>
      <c r="BI14" s="68">
        <f t="shared" ca="1" si="107"/>
        <v>1.8362638436436032</v>
      </c>
      <c r="BJ14" s="68">
        <f t="shared" ca="1" si="108"/>
        <v>6.605385743432147</v>
      </c>
      <c r="BK14" s="68">
        <f t="shared" ca="1" si="109"/>
        <v>3.5955089407548186</v>
      </c>
      <c r="BL14" s="68">
        <f t="shared" ca="1" si="110"/>
        <v>5.9509731304075224</v>
      </c>
      <c r="BM14" s="68">
        <f t="shared" ca="1" si="111"/>
        <v>4.6403136902261801</v>
      </c>
      <c r="BN14" s="68">
        <f t="shared" ca="1" si="112"/>
        <v>0.3962063065123127</v>
      </c>
      <c r="BO14" s="68">
        <f t="shared" ca="1" si="113"/>
        <v>2.4514833686964672</v>
      </c>
      <c r="BP14" s="68">
        <f t="shared" ca="1" si="114"/>
        <v>0.92611593928533209</v>
      </c>
      <c r="BQ14" s="68">
        <f t="shared" ca="1" si="115"/>
        <v>4.7639023747356806</v>
      </c>
      <c r="BR14" s="68">
        <f t="shared" ca="1" si="116"/>
        <v>6.7984867341314263</v>
      </c>
      <c r="BS14" s="68">
        <f t="shared" ca="1" si="117"/>
        <v>1.0286125265223505</v>
      </c>
      <c r="BT14" s="68">
        <f t="shared" ca="1" si="118"/>
        <v>3.8678959817210923</v>
      </c>
      <c r="BU14" s="68">
        <f t="shared" ca="1" si="119"/>
        <v>3.3231218997885441</v>
      </c>
      <c r="BV14" s="68">
        <f t="shared" ca="1" si="120"/>
        <v>7.1068051819827369</v>
      </c>
      <c r="BW14" s="68">
        <f t="shared" ca="1" si="121"/>
        <v>5.8502420695315873</v>
      </c>
      <c r="BX14" s="68">
        <f t="shared" ca="1" si="122"/>
        <v>0.92194159784595842</v>
      </c>
      <c r="BY14" s="68">
        <f t="shared" ca="1" si="123"/>
        <v>3.8678959817210923</v>
      </c>
      <c r="BZ14" s="68">
        <f t="shared" ca="1" si="124"/>
        <v>3.3231218997885441</v>
      </c>
      <c r="CA14" s="68">
        <f t="shared" ca="1" si="125"/>
        <v>9.8558111424859494</v>
      </c>
      <c r="CB14" s="68">
        <f t="shared" ca="1" si="126"/>
        <v>4.7133200832407676</v>
      </c>
      <c r="CC14" s="68">
        <f t="shared" ca="1" si="127"/>
        <v>1.1276641031504284</v>
      </c>
      <c r="CD14" s="68">
        <f t="shared" ca="1" si="128"/>
        <v>6.3414569316153653</v>
      </c>
      <c r="CE14" s="68">
        <f t="shared" ca="1" si="129"/>
        <v>3.9186824171714409</v>
      </c>
      <c r="CF14" s="68">
        <f t="shared" ca="1" si="130"/>
        <v>10.328390406401233</v>
      </c>
      <c r="CG14" s="68">
        <f t="shared" ca="1" si="131"/>
        <v>3.9186824171714409</v>
      </c>
      <c r="CH14" s="68">
        <f t="shared" ca="1" si="132"/>
        <v>5.0638409243927267</v>
      </c>
      <c r="CI14" s="68">
        <f t="shared" ca="1" si="133"/>
        <v>13.430892954141463</v>
      </c>
      <c r="CJ14" s="68">
        <f t="shared" ca="1" si="134"/>
        <v>5.0638409243927267</v>
      </c>
      <c r="CK14" s="68">
        <f t="shared" ca="1" si="135"/>
        <v>3.9048380120784265</v>
      </c>
    </row>
    <row r="15" spans="1:89" x14ac:dyDescent="0.25">
      <c r="A15" t="str">
        <f>PLANTILLA!C14</f>
        <v>S. Hovhannesyan</v>
      </c>
      <c r="B15" s="56" t="str">
        <f>PLANTILLA!D14</f>
        <v>31.71</v>
      </c>
      <c r="C15" s="90" t="e">
        <f>PLANTILLA!#REF!</f>
        <v>#REF!</v>
      </c>
      <c r="D15" s="56" t="str">
        <f>PLANTILLA!E14</f>
        <v>Cab</v>
      </c>
      <c r="E15" s="167">
        <f>PLANTILLA!AN14</f>
        <v>45051</v>
      </c>
      <c r="F15" s="90">
        <f>PLANTILLA!N14</f>
        <v>5</v>
      </c>
      <c r="G15" s="99">
        <f t="shared" si="68"/>
        <v>0.84515425472851657</v>
      </c>
      <c r="H15" s="99">
        <f t="shared" si="69"/>
        <v>0.92504826128926143</v>
      </c>
      <c r="I15" s="132">
        <f ca="1">PLANTILLA!M14</f>
        <v>0.57883918910490562</v>
      </c>
      <c r="J15" s="133">
        <f>PLANTILLA!G14</f>
        <v>11</v>
      </c>
      <c r="K15" s="48">
        <f>PLANTILLA!U14</f>
        <v>0</v>
      </c>
      <c r="L15" s="48">
        <f>PLANTILLA!V14</f>
        <v>13</v>
      </c>
      <c r="M15" s="48">
        <f>PLANTILLA!W14</f>
        <v>16</v>
      </c>
      <c r="N15" s="48">
        <f>PLANTILLA!X14</f>
        <v>2</v>
      </c>
      <c r="O15" s="48">
        <f>PLANTILLA!Y14</f>
        <v>2</v>
      </c>
      <c r="P15" s="48">
        <f>PLANTILLA!Z14</f>
        <v>8</v>
      </c>
      <c r="Q15" s="48">
        <f>PLANTILLA!AA14</f>
        <v>19</v>
      </c>
      <c r="R15" s="48">
        <f ca="1">PLANTILLA!AE14</f>
        <v>17.401068585788117</v>
      </c>
      <c r="S15" s="48">
        <f ca="1">PLANTILLA!AF14</f>
        <v>20.58922201294218</v>
      </c>
      <c r="T15" s="48"/>
      <c r="U15" s="48"/>
      <c r="V15" s="48">
        <f ca="1">PLANTILLA!AH14</f>
        <v>17.720655854923603</v>
      </c>
      <c r="W15" s="48">
        <f ca="1">PLANTILLA!AI14</f>
        <v>19.412005891055301</v>
      </c>
      <c r="X15" s="68">
        <f t="shared" ca="1" si="70"/>
        <v>5.3055076976127564</v>
      </c>
      <c r="Y15" s="68">
        <f t="shared" ca="1" si="71"/>
        <v>8.0648653351867914</v>
      </c>
      <c r="Z15" s="68">
        <f t="shared" ca="1" si="72"/>
        <v>5.3055076976127564</v>
      </c>
      <c r="AA15" s="68">
        <f t="shared" ca="1" si="73"/>
        <v>7.7231591889669904</v>
      </c>
      <c r="AB15" s="68">
        <f t="shared" ca="1" si="74"/>
        <v>14.967362769315873</v>
      </c>
      <c r="AC15" s="68">
        <f t="shared" ca="1" si="75"/>
        <v>3.8615795944834952</v>
      </c>
      <c r="AD15" s="68">
        <f t="shared" ca="1" si="76"/>
        <v>4.2762323390971773</v>
      </c>
      <c r="AE15" s="68">
        <f t="shared" ca="1" si="77"/>
        <v>5.6576631268013999</v>
      </c>
      <c r="AF15" s="68">
        <f t="shared" ca="1" si="78"/>
        <v>10.821403282215377</v>
      </c>
      <c r="AG15" s="68">
        <f t="shared" ca="1" si="79"/>
        <v>2.8288315634007</v>
      </c>
      <c r="AH15" s="68">
        <f t="shared" ca="1" si="80"/>
        <v>6.9174346661866108</v>
      </c>
      <c r="AI15" s="68">
        <f t="shared" ca="1" si="81"/>
        <v>13.769973747770603</v>
      </c>
      <c r="AJ15" s="68">
        <f t="shared" ca="1" si="82"/>
        <v>6.1964881864967714</v>
      </c>
      <c r="AK15" s="68">
        <f t="shared" ca="1" si="83"/>
        <v>3.0005495824757511</v>
      </c>
      <c r="AL15" s="68">
        <f t="shared" ca="1" si="84"/>
        <v>2.3328093083577324</v>
      </c>
      <c r="AM15" s="68">
        <f t="shared" ca="1" si="85"/>
        <v>11.285391528064169</v>
      </c>
      <c r="AN15" s="68">
        <f t="shared" ca="1" si="86"/>
        <v>10.596892840675638</v>
      </c>
      <c r="AO15" s="68">
        <f t="shared" ca="1" si="87"/>
        <v>3.501549582475751</v>
      </c>
      <c r="AP15" s="68">
        <f t="shared" ca="1" si="88"/>
        <v>5.5781082302699483</v>
      </c>
      <c r="AQ15" s="68">
        <f t="shared" ca="1" si="89"/>
        <v>4.0411879477152857</v>
      </c>
      <c r="AR15" s="68">
        <f t="shared" ca="1" si="90"/>
        <v>8.8906134849736276</v>
      </c>
      <c r="AS15" s="68">
        <f t="shared" ca="1" si="91"/>
        <v>2.0205939738576428</v>
      </c>
      <c r="AT15" s="68">
        <f t="shared" ca="1" si="92"/>
        <v>16.961190454234185</v>
      </c>
      <c r="AU15" s="68">
        <f t="shared" ca="1" si="93"/>
        <v>0.51575716001106342</v>
      </c>
      <c r="AV15" s="68">
        <f t="shared" ca="1" si="94"/>
        <v>2.2004372914095502</v>
      </c>
      <c r="AW15" s="68">
        <f t="shared" ca="1" si="95"/>
        <v>0.25787858000553171</v>
      </c>
      <c r="AX15" s="68">
        <f t="shared" ca="1" si="96"/>
        <v>2.8288315634007</v>
      </c>
      <c r="AY15" s="68">
        <f t="shared" ca="1" si="97"/>
        <v>5.9869451077263491</v>
      </c>
      <c r="AZ15" s="68">
        <f t="shared" ca="1" si="98"/>
        <v>1.41441578170035</v>
      </c>
      <c r="BA15" s="68">
        <f t="shared" ca="1" si="99"/>
        <v>17.967362769315873</v>
      </c>
      <c r="BB15" s="68">
        <f t="shared" ca="1" si="100"/>
        <v>1.0037427806369157</v>
      </c>
      <c r="BC15" s="68">
        <f t="shared" ca="1" si="101"/>
        <v>3.4460168858930453</v>
      </c>
      <c r="BD15" s="68">
        <f t="shared" ca="1" si="102"/>
        <v>0.50187139031845784</v>
      </c>
      <c r="BE15" s="68">
        <f t="shared" ca="1" si="103"/>
        <v>4.3555025658709186</v>
      </c>
      <c r="BF15" s="68">
        <f t="shared" ca="1" si="104"/>
        <v>5.2086422437219237</v>
      </c>
      <c r="BG15" s="68">
        <f t="shared" ca="1" si="105"/>
        <v>15.829246599767284</v>
      </c>
      <c r="BH15" s="68">
        <f t="shared" ca="1" si="106"/>
        <v>3.5269855019218102</v>
      </c>
      <c r="BI15" s="68">
        <f t="shared" ca="1" si="107"/>
        <v>0.95613442740512511</v>
      </c>
      <c r="BJ15" s="68">
        <f t="shared" ca="1" si="108"/>
        <v>7.2591709431181979</v>
      </c>
      <c r="BK15" s="68">
        <f t="shared" ca="1" si="109"/>
        <v>3.9513837710993904</v>
      </c>
      <c r="BL15" s="68">
        <f t="shared" ca="1" si="110"/>
        <v>6.8455652151093478</v>
      </c>
      <c r="BM15" s="68">
        <f t="shared" ca="1" si="111"/>
        <v>3.4674750603820721</v>
      </c>
      <c r="BN15" s="68">
        <f t="shared" ca="1" si="112"/>
        <v>0.20630286400442532</v>
      </c>
      <c r="BO15" s="68">
        <f t="shared" ca="1" si="113"/>
        <v>2.6941252984768571</v>
      </c>
      <c r="BP15" s="68">
        <f t="shared" ca="1" si="114"/>
        <v>1.0177806683134794</v>
      </c>
      <c r="BQ15" s="68">
        <f t="shared" ca="1" si="115"/>
        <v>5.4800456446413408</v>
      </c>
      <c r="BR15" s="68">
        <f t="shared" ca="1" si="116"/>
        <v>5.1020285213402108</v>
      </c>
      <c r="BS15" s="68">
        <f t="shared" ca="1" si="117"/>
        <v>0.53559397385764274</v>
      </c>
      <c r="BT15" s="68">
        <f t="shared" ca="1" si="118"/>
        <v>4.2507310264857079</v>
      </c>
      <c r="BU15" s="68">
        <f t="shared" ca="1" si="119"/>
        <v>3.652036515713073</v>
      </c>
      <c r="BV15" s="68">
        <f t="shared" ca="1" si="120"/>
        <v>8.1751500600387228</v>
      </c>
      <c r="BW15" s="68">
        <f t="shared" ca="1" si="121"/>
        <v>4.3958379484019856</v>
      </c>
      <c r="BX15" s="68">
        <f t="shared" ca="1" si="122"/>
        <v>0.48005089508722049</v>
      </c>
      <c r="BY15" s="68">
        <f t="shared" ca="1" si="123"/>
        <v>4.2507310264857079</v>
      </c>
      <c r="BZ15" s="68">
        <f t="shared" ca="1" si="124"/>
        <v>3.652036515713073</v>
      </c>
      <c r="CA15" s="68">
        <f t="shared" ca="1" si="125"/>
        <v>11.337405907438315</v>
      </c>
      <c r="CB15" s="68">
        <f t="shared" ca="1" si="126"/>
        <v>3.5507896785377051</v>
      </c>
      <c r="CC15" s="68">
        <f t="shared" ca="1" si="127"/>
        <v>0.58716968985874907</v>
      </c>
      <c r="CD15" s="68">
        <f t="shared" ca="1" si="128"/>
        <v>7.2947492843422452</v>
      </c>
      <c r="CE15" s="68">
        <f t="shared" ca="1" si="129"/>
        <v>2.828996002813569</v>
      </c>
      <c r="CF15" s="68">
        <f t="shared" ca="1" si="130"/>
        <v>7.965250478249672</v>
      </c>
      <c r="CG15" s="68">
        <f t="shared" ca="1" si="131"/>
        <v>2.828996002813569</v>
      </c>
      <c r="CH15" s="68">
        <f t="shared" ca="1" si="132"/>
        <v>4.1411688161165134</v>
      </c>
      <c r="CI15" s="68">
        <f t="shared" ca="1" si="133"/>
        <v>11.43131963119343</v>
      </c>
      <c r="CJ15" s="68">
        <f t="shared" ca="1" si="134"/>
        <v>4.1411688161165134</v>
      </c>
      <c r="CK15" s="68">
        <f t="shared" ca="1" si="135"/>
        <v>4.4918406923289682</v>
      </c>
    </row>
    <row r="16" spans="1:89" x14ac:dyDescent="0.25">
      <c r="A16" t="str">
        <f>PLANTILLA!C15</f>
        <v>M. Bondarewski</v>
      </c>
      <c r="B16" s="56" t="str">
        <f>PLANTILLA!D15</f>
        <v>32.71</v>
      </c>
      <c r="C16" s="90" t="e">
        <f>PLANTILLA!#REF!</f>
        <v>#REF!</v>
      </c>
      <c r="D16" s="56" t="str">
        <f>PLANTILLA!E15</f>
        <v>Ráp</v>
      </c>
      <c r="E16" s="167">
        <f>PLANTILLA!AN15</f>
        <v>43627</v>
      </c>
      <c r="F16" s="90">
        <f>PLANTILLA!N15</f>
        <v>5</v>
      </c>
      <c r="G16" s="99">
        <f t="shared" si="68"/>
        <v>0.84515425472851657</v>
      </c>
      <c r="H16" s="99">
        <f t="shared" si="69"/>
        <v>0.92504826128926143</v>
      </c>
      <c r="I16" s="132">
        <f ca="1">PLANTILLA!M15</f>
        <v>1</v>
      </c>
      <c r="J16" s="133">
        <f>PLANTILLA!G15</f>
        <v>13</v>
      </c>
      <c r="K16" s="48">
        <f>PLANTILLA!U15</f>
        <v>0</v>
      </c>
      <c r="L16" s="48">
        <f>PLANTILLA!V15</f>
        <v>8</v>
      </c>
      <c r="M16" s="48">
        <f>PLANTILLA!W15</f>
        <v>15</v>
      </c>
      <c r="N16" s="48">
        <f>PLANTILLA!X15</f>
        <v>4</v>
      </c>
      <c r="O16" s="48">
        <f>PLANTILLA!Y15</f>
        <v>4</v>
      </c>
      <c r="P16" s="48">
        <f>PLANTILLA!Z15</f>
        <v>9</v>
      </c>
      <c r="Q16" s="48">
        <f>PLANTILLA!AA15</f>
        <v>20</v>
      </c>
      <c r="R16" s="48">
        <f ca="1">PLANTILLA!AE15</f>
        <v>20.222223292878734</v>
      </c>
      <c r="S16" s="48">
        <f ca="1">PLANTILLA!AF15</f>
        <v>23.927257278465206</v>
      </c>
      <c r="T16" s="48"/>
      <c r="U16" s="48"/>
      <c r="V16" s="48">
        <f ca="1">PLANTILLA!AH15</f>
        <v>19.003511300937074</v>
      </c>
      <c r="W16" s="48">
        <f ca="1">PLANTILLA!AI15</f>
        <v>20.81730362265516</v>
      </c>
      <c r="X16" s="68">
        <f t="shared" ca="1" si="70"/>
        <v>4.3776300620851583</v>
      </c>
      <c r="Y16" s="68">
        <f t="shared" ca="1" si="71"/>
        <v>6.6084678237708356</v>
      </c>
      <c r="Z16" s="68">
        <f t="shared" ca="1" si="72"/>
        <v>4.3776300620851583</v>
      </c>
      <c r="AA16" s="68">
        <f t="shared" ca="1" si="73"/>
        <v>5.4103930263871041</v>
      </c>
      <c r="AB16" s="68">
        <f t="shared" ca="1" si="74"/>
        <v>10.485257803075783</v>
      </c>
      <c r="AC16" s="68">
        <f t="shared" ca="1" si="75"/>
        <v>2.705196513193552</v>
      </c>
      <c r="AD16" s="68">
        <f t="shared" ca="1" si="76"/>
        <v>4.1614913571320358</v>
      </c>
      <c r="AE16" s="68">
        <f t="shared" ca="1" si="77"/>
        <v>3.963427449562646</v>
      </c>
      <c r="AF16" s="68">
        <f t="shared" ca="1" si="78"/>
        <v>7.5808413916237907</v>
      </c>
      <c r="AG16" s="68">
        <f t="shared" ca="1" si="79"/>
        <v>1.981713724781323</v>
      </c>
      <c r="AH16" s="68">
        <f t="shared" ca="1" si="80"/>
        <v>6.7318242541841764</v>
      </c>
      <c r="AI16" s="68">
        <f t="shared" ca="1" si="81"/>
        <v>9.6464371788297196</v>
      </c>
      <c r="AJ16" s="68">
        <f t="shared" ca="1" si="82"/>
        <v>4.3408967304733741</v>
      </c>
      <c r="AK16" s="68">
        <f t="shared" ca="1" si="83"/>
        <v>2.9200380531136561</v>
      </c>
      <c r="AL16" s="68">
        <f t="shared" ca="1" si="84"/>
        <v>3.8133315882085599</v>
      </c>
      <c r="AM16" s="68">
        <f t="shared" ca="1" si="85"/>
        <v>7.9058843835191404</v>
      </c>
      <c r="AN16" s="68">
        <f t="shared" ca="1" si="86"/>
        <v>7.4235625245776538</v>
      </c>
      <c r="AO16" s="68">
        <f t="shared" ca="1" si="87"/>
        <v>3.755038053113656</v>
      </c>
      <c r="AP16" s="68">
        <f t="shared" ca="1" si="88"/>
        <v>6.5397545556349002</v>
      </c>
      <c r="AQ16" s="68">
        <f t="shared" ca="1" si="89"/>
        <v>2.8310196068304614</v>
      </c>
      <c r="AR16" s="68">
        <f t="shared" ca="1" si="90"/>
        <v>6.2282431350270144</v>
      </c>
      <c r="AS16" s="68">
        <f t="shared" ca="1" si="91"/>
        <v>1.4155098034152307</v>
      </c>
      <c r="AT16" s="68">
        <f t="shared" ca="1" si="92"/>
        <v>16.506083366103539</v>
      </c>
      <c r="AU16" s="68">
        <f t="shared" ca="1" si="93"/>
        <v>0.84308351439985174</v>
      </c>
      <c r="AV16" s="68">
        <f t="shared" ca="1" si="94"/>
        <v>2.7651805363012043</v>
      </c>
      <c r="AW16" s="68">
        <f t="shared" ca="1" si="95"/>
        <v>0.42154175719992587</v>
      </c>
      <c r="AX16" s="68">
        <f t="shared" ca="1" si="96"/>
        <v>1.981713724781323</v>
      </c>
      <c r="AY16" s="68">
        <f t="shared" ca="1" si="97"/>
        <v>4.194103121230313</v>
      </c>
      <c r="AZ16" s="68">
        <f t="shared" ca="1" si="98"/>
        <v>0.99085686239066151</v>
      </c>
      <c r="BA16" s="68">
        <f t="shared" ca="1" si="99"/>
        <v>17.485257803075783</v>
      </c>
      <c r="BB16" s="68">
        <f t="shared" ca="1" si="100"/>
        <v>1.640770224178173</v>
      </c>
      <c r="BC16" s="68">
        <f t="shared" ca="1" si="101"/>
        <v>4.6233770494947564</v>
      </c>
      <c r="BD16" s="68">
        <f t="shared" ca="1" si="102"/>
        <v>0.82038511208908649</v>
      </c>
      <c r="BE16" s="68">
        <f t="shared" ca="1" si="103"/>
        <v>3.0512100206950525</v>
      </c>
      <c r="BF16" s="68">
        <f t="shared" ca="1" si="104"/>
        <v>3.6488697154703722</v>
      </c>
      <c r="BG16" s="68">
        <f t="shared" ca="1" si="105"/>
        <v>15.404512124509765</v>
      </c>
      <c r="BH16" s="68">
        <f t="shared" ca="1" si="106"/>
        <v>5.7653941869343708</v>
      </c>
      <c r="BI16" s="68">
        <f t="shared" ca="1" si="107"/>
        <v>1.5629471305412637</v>
      </c>
      <c r="BJ16" s="68">
        <f t="shared" ca="1" si="108"/>
        <v>5.0853500344917544</v>
      </c>
      <c r="BK16" s="68">
        <f t="shared" ca="1" si="109"/>
        <v>2.7681080600120067</v>
      </c>
      <c r="BL16" s="68">
        <f t="shared" ca="1" si="110"/>
        <v>6.6618832229718734</v>
      </c>
      <c r="BM16" s="68">
        <f t="shared" ca="1" si="111"/>
        <v>5.6681153198882344</v>
      </c>
      <c r="BN16" s="68">
        <f t="shared" ca="1" si="112"/>
        <v>0.33723340575994065</v>
      </c>
      <c r="BO16" s="68">
        <f t="shared" ca="1" si="113"/>
        <v>1.8873464045536408</v>
      </c>
      <c r="BP16" s="68">
        <f t="shared" ca="1" si="114"/>
        <v>0.71299753060915327</v>
      </c>
      <c r="BQ16" s="68">
        <f t="shared" ca="1" si="115"/>
        <v>5.3330036299381138</v>
      </c>
      <c r="BR16" s="68">
        <f t="shared" ca="1" si="116"/>
        <v>8.3400415347554571</v>
      </c>
      <c r="BS16" s="68">
        <f t="shared" ca="1" si="117"/>
        <v>0.87550980341523066</v>
      </c>
      <c r="BT16" s="68">
        <f t="shared" ca="1" si="118"/>
        <v>2.977813216073522</v>
      </c>
      <c r="BU16" s="68">
        <f t="shared" ca="1" si="119"/>
        <v>2.558402903950491</v>
      </c>
      <c r="BV16" s="68">
        <f t="shared" ca="1" si="120"/>
        <v>7.955792300399481</v>
      </c>
      <c r="BW16" s="68">
        <f t="shared" ca="1" si="121"/>
        <v>7.1856656458079673</v>
      </c>
      <c r="BX16" s="68">
        <f t="shared" ca="1" si="122"/>
        <v>0.78471619417216965</v>
      </c>
      <c r="BY16" s="68">
        <f t="shared" ca="1" si="123"/>
        <v>2.977813216073522</v>
      </c>
      <c r="BZ16" s="68">
        <f t="shared" ca="1" si="124"/>
        <v>2.558402903950491</v>
      </c>
      <c r="CA16" s="68">
        <f t="shared" ca="1" si="125"/>
        <v>11.033197673740819</v>
      </c>
      <c r="CB16" s="68">
        <f t="shared" ca="1" si="126"/>
        <v>5.804305733752825</v>
      </c>
      <c r="CC16" s="68">
        <f t="shared" ca="1" si="127"/>
        <v>0.95981815485521582</v>
      </c>
      <c r="CD16" s="68">
        <f t="shared" ca="1" si="128"/>
        <v>7.0990146680487678</v>
      </c>
      <c r="CE16" s="68">
        <f t="shared" ca="1" si="129"/>
        <v>4.0138193154024826</v>
      </c>
      <c r="CF16" s="68">
        <f t="shared" ca="1" si="130"/>
        <v>10.217400286263331</v>
      </c>
      <c r="CG16" s="68">
        <f t="shared" ca="1" si="131"/>
        <v>4.0138193154024826</v>
      </c>
      <c r="CH16" s="68">
        <f t="shared" ca="1" si="132"/>
        <v>5.3403156113162122</v>
      </c>
      <c r="CI16" s="68">
        <f t="shared" ca="1" si="133"/>
        <v>13.878317932410747</v>
      </c>
      <c r="CJ16" s="68">
        <f t="shared" ca="1" si="134"/>
        <v>5.3403156113162122</v>
      </c>
      <c r="CK16" s="68">
        <f t="shared" ca="1" si="135"/>
        <v>4.3713144507689456</v>
      </c>
    </row>
    <row r="17" spans="1:89" x14ac:dyDescent="0.25">
      <c r="A17" t="str">
        <f>PLANTILLA!C16</f>
        <v>I. Stone</v>
      </c>
      <c r="B17" s="56">
        <f>PLANTILLA!D16</f>
        <v>31110</v>
      </c>
      <c r="C17" s="90" t="e">
        <f>PLANTILLA!#REF!</f>
        <v>#REF!</v>
      </c>
      <c r="D17" s="56" t="str">
        <f>PLANTILLA!E16</f>
        <v>Ráp</v>
      </c>
      <c r="E17" s="167">
        <f>PLANTILLA!AN16</f>
        <v>43633</v>
      </c>
      <c r="F17" s="90">
        <f>PLANTILLA!N16</f>
        <v>6</v>
      </c>
      <c r="G17" s="99">
        <f t="shared" si="68"/>
        <v>0.92582009977255142</v>
      </c>
      <c r="H17" s="99">
        <f t="shared" si="69"/>
        <v>0.99928545900129484</v>
      </c>
      <c r="I17" s="132">
        <f ca="1">PLANTILLA!M16</f>
        <v>1</v>
      </c>
      <c r="J17" s="133">
        <f>PLANTILLA!G16</f>
        <v>12</v>
      </c>
      <c r="K17" s="48">
        <f>PLANTILLA!U16</f>
        <v>0</v>
      </c>
      <c r="L17" s="48">
        <f>PLANTILLA!V16</f>
        <v>9</v>
      </c>
      <c r="M17" s="48">
        <f>PLANTILLA!W16</f>
        <v>14</v>
      </c>
      <c r="N17" s="48">
        <f>PLANTILLA!X16</f>
        <v>2</v>
      </c>
      <c r="O17" s="48">
        <f>PLANTILLA!Y16</f>
        <v>6</v>
      </c>
      <c r="P17" s="48">
        <f>PLANTILLA!Z16</f>
        <v>10</v>
      </c>
      <c r="Q17" s="48">
        <f>PLANTILLA!AA16</f>
        <v>19</v>
      </c>
      <c r="R17" s="48">
        <f ca="1">PLANTILLA!AE16</f>
        <v>23.092193536697255</v>
      </c>
      <c r="S17" s="48">
        <f ca="1">PLANTILLA!AF16</f>
        <v>24.942419744797476</v>
      </c>
      <c r="T17" s="48"/>
      <c r="U17" s="48"/>
      <c r="V17" s="48">
        <f ca="1">PLANTILLA!AH16</f>
        <v>19.848572247302336</v>
      </c>
      <c r="W17" s="48">
        <f ca="1">PLANTILLA!AI16</f>
        <v>21.438908328063501</v>
      </c>
      <c r="X17" s="68">
        <f t="shared" ca="1" si="70"/>
        <v>4.6131669703994351</v>
      </c>
      <c r="Y17" s="68">
        <f t="shared" ca="1" si="71"/>
        <v>6.9736306515299775</v>
      </c>
      <c r="Z17" s="68">
        <f t="shared" ca="1" si="72"/>
        <v>4.6131669703994351</v>
      </c>
      <c r="AA17" s="68">
        <f t="shared" ca="1" si="73"/>
        <v>5.9024766972807656</v>
      </c>
      <c r="AB17" s="68">
        <f t="shared" ca="1" si="74"/>
        <v>11.4389083280635</v>
      </c>
      <c r="AC17" s="68">
        <f t="shared" ca="1" si="75"/>
        <v>2.9512383486403828</v>
      </c>
      <c r="AD17" s="68">
        <f t="shared" ca="1" si="76"/>
        <v>3.9124601820791129</v>
      </c>
      <c r="AE17" s="68">
        <f t="shared" ca="1" si="77"/>
        <v>4.323907348008003</v>
      </c>
      <c r="AF17" s="68">
        <f t="shared" ca="1" si="78"/>
        <v>8.2703307211899091</v>
      </c>
      <c r="AG17" s="68">
        <f t="shared" ca="1" si="79"/>
        <v>2.1619536740040015</v>
      </c>
      <c r="AH17" s="68">
        <f t="shared" ca="1" si="80"/>
        <v>6.3289797063044482</v>
      </c>
      <c r="AI17" s="68">
        <f t="shared" ca="1" si="81"/>
        <v>10.52379566181842</v>
      </c>
      <c r="AJ17" s="68">
        <f t="shared" ca="1" si="82"/>
        <v>4.7357080478182887</v>
      </c>
      <c r="AK17" s="68">
        <f t="shared" ca="1" si="83"/>
        <v>2.7452976907866047</v>
      </c>
      <c r="AL17" s="68">
        <f t="shared" ca="1" si="84"/>
        <v>2.6100780969013377</v>
      </c>
      <c r="AM17" s="68">
        <f t="shared" ca="1" si="85"/>
        <v>8.6249368793598791</v>
      </c>
      <c r="AN17" s="68">
        <f t="shared" ca="1" si="86"/>
        <v>8.0987470962689567</v>
      </c>
      <c r="AO17" s="68">
        <f t="shared" ca="1" si="87"/>
        <v>3.5802976907866051</v>
      </c>
      <c r="AP17" s="68">
        <f t="shared" ca="1" si="88"/>
        <v>7.3529573370510972</v>
      </c>
      <c r="AQ17" s="68">
        <f t="shared" ca="1" si="89"/>
        <v>3.0885052485771451</v>
      </c>
      <c r="AR17" s="68">
        <f t="shared" ca="1" si="90"/>
        <v>6.7947115468697188</v>
      </c>
      <c r="AS17" s="68">
        <f t="shared" ca="1" si="91"/>
        <v>1.5442526242885726</v>
      </c>
      <c r="AT17" s="68">
        <f t="shared" ca="1" si="92"/>
        <v>15.518329461691945</v>
      </c>
      <c r="AU17" s="68">
        <f t="shared" ca="1" si="93"/>
        <v>1.097058082648255</v>
      </c>
      <c r="AV17" s="68">
        <f t="shared" ca="1" si="94"/>
        <v>3.1646001401226052</v>
      </c>
      <c r="AW17" s="68">
        <f t="shared" ca="1" si="95"/>
        <v>0.5485290413241275</v>
      </c>
      <c r="AX17" s="68">
        <f t="shared" ca="1" si="96"/>
        <v>2.1619536740040015</v>
      </c>
      <c r="AY17" s="68">
        <f t="shared" ca="1" si="97"/>
        <v>4.5755633312253998</v>
      </c>
      <c r="AZ17" s="68">
        <f t="shared" ca="1" si="98"/>
        <v>1.0809768370020008</v>
      </c>
      <c r="BA17" s="68">
        <f t="shared" ca="1" si="99"/>
        <v>16.438908328063501</v>
      </c>
      <c r="BB17" s="68">
        <f t="shared" ca="1" si="100"/>
        <v>2.1350438070000655</v>
      </c>
      <c r="BC17" s="68">
        <f t="shared" ca="1" si="101"/>
        <v>5.4898384887629881</v>
      </c>
      <c r="BD17" s="68">
        <f t="shared" ca="1" si="102"/>
        <v>1.0675219035000327</v>
      </c>
      <c r="BE17" s="68">
        <f t="shared" ca="1" si="103"/>
        <v>3.328722323466478</v>
      </c>
      <c r="BF17" s="68">
        <f t="shared" ca="1" si="104"/>
        <v>3.9807400981660974</v>
      </c>
      <c r="BG17" s="68">
        <f t="shared" ca="1" si="105"/>
        <v>14.482678237023945</v>
      </c>
      <c r="BH17" s="68">
        <f t="shared" ca="1" si="106"/>
        <v>5.2061895036484511</v>
      </c>
      <c r="BI17" s="68">
        <f t="shared" ca="1" si="107"/>
        <v>2.0337769070633032</v>
      </c>
      <c r="BJ17" s="68">
        <f t="shared" ca="1" si="108"/>
        <v>5.5478705391107974</v>
      </c>
      <c r="BK17" s="68">
        <f t="shared" ca="1" si="109"/>
        <v>3.0198717986087642</v>
      </c>
      <c r="BL17" s="68">
        <f t="shared" ca="1" si="110"/>
        <v>6.2632240729921937</v>
      </c>
      <c r="BM17" s="68">
        <f t="shared" ca="1" si="111"/>
        <v>4.6836058787274988</v>
      </c>
      <c r="BN17" s="68">
        <f t="shared" ca="1" si="112"/>
        <v>0.43882323305930193</v>
      </c>
      <c r="BO17" s="68">
        <f t="shared" ca="1" si="113"/>
        <v>2.0590034990514297</v>
      </c>
      <c r="BP17" s="68">
        <f t="shared" ca="1" si="114"/>
        <v>0.77784576630831803</v>
      </c>
      <c r="BQ17" s="68">
        <f t="shared" ca="1" si="115"/>
        <v>5.0138670400593677</v>
      </c>
      <c r="BR17" s="68">
        <f t="shared" ca="1" si="116"/>
        <v>6.85243610988966</v>
      </c>
      <c r="BS17" s="68">
        <f t="shared" ca="1" si="117"/>
        <v>1.1392526242885725</v>
      </c>
      <c r="BT17" s="68">
        <f t="shared" ca="1" si="118"/>
        <v>3.2486499651700336</v>
      </c>
      <c r="BU17" s="68">
        <f t="shared" ca="1" si="119"/>
        <v>2.7910936320474939</v>
      </c>
      <c r="BV17" s="68">
        <f t="shared" ca="1" si="120"/>
        <v>7.4797032892688931</v>
      </c>
      <c r="BW17" s="68">
        <f t="shared" ca="1" si="121"/>
        <v>5.8943104274943572</v>
      </c>
      <c r="BX17" s="68">
        <f t="shared" ca="1" si="122"/>
        <v>1.0211079076956835</v>
      </c>
      <c r="BY17" s="68">
        <f t="shared" ca="1" si="123"/>
        <v>3.2486499651700336</v>
      </c>
      <c r="BZ17" s="68">
        <f t="shared" ca="1" si="124"/>
        <v>2.7910936320474939</v>
      </c>
      <c r="CA17" s="68">
        <f t="shared" ca="1" si="125"/>
        <v>10.372951155008069</v>
      </c>
      <c r="CB17" s="68">
        <f t="shared" ca="1" si="126"/>
        <v>4.7448229536168318</v>
      </c>
      <c r="CC17" s="68">
        <f t="shared" ca="1" si="127"/>
        <v>1.2489584325533978</v>
      </c>
      <c r="CD17" s="68">
        <f t="shared" ca="1" si="128"/>
        <v>6.6741967811937819</v>
      </c>
      <c r="CE17" s="68">
        <f t="shared" ca="1" si="129"/>
        <v>4.3286712389210837</v>
      </c>
      <c r="CF17" s="68">
        <f t="shared" ca="1" si="130"/>
        <v>11.8342107773995</v>
      </c>
      <c r="CG17" s="68">
        <f t="shared" ca="1" si="131"/>
        <v>4.3286712389210837</v>
      </c>
      <c r="CH17" s="68">
        <f t="shared" ca="1" si="132"/>
        <v>5.4134398883835608</v>
      </c>
      <c r="CI17" s="68">
        <f t="shared" ca="1" si="133"/>
        <v>15.55286550111893</v>
      </c>
      <c r="CJ17" s="68">
        <f t="shared" ca="1" si="134"/>
        <v>5.4134398883835608</v>
      </c>
      <c r="CK17" s="68">
        <f t="shared" ca="1" si="135"/>
        <v>4.1097270820158753</v>
      </c>
    </row>
    <row r="18" spans="1:89" x14ac:dyDescent="0.25">
      <c r="A18" t="str">
        <f>PLANTILLA!C17</f>
        <v>I. Vanags</v>
      </c>
      <c r="B18" s="56" t="str">
        <f>PLANTILLA!D17</f>
        <v>32.55</v>
      </c>
      <c r="C18" s="90" t="e">
        <f>PLANTILLA!#REF!</f>
        <v>#REF!</v>
      </c>
      <c r="D18" s="56" t="str">
        <f>PLANTILLA!E17</f>
        <v>Cab</v>
      </c>
      <c r="E18" s="167">
        <f>PLANTILLA!AN17</f>
        <v>43626</v>
      </c>
      <c r="F18" s="90">
        <f>PLANTILLA!N17</f>
        <v>6</v>
      </c>
      <c r="G18" s="99">
        <f t="shared" si="68"/>
        <v>0.92582009977255142</v>
      </c>
      <c r="H18" s="99">
        <f t="shared" si="69"/>
        <v>0.99928545900129484</v>
      </c>
      <c r="I18" s="132">
        <f ca="1">PLANTILLA!M17</f>
        <v>1</v>
      </c>
      <c r="J18" s="133">
        <f>PLANTILLA!G17</f>
        <v>11</v>
      </c>
      <c r="K18" s="48">
        <f>PLANTILLA!U17</f>
        <v>0</v>
      </c>
      <c r="L18" s="48">
        <f>PLANTILLA!V17</f>
        <v>10</v>
      </c>
      <c r="M18" s="48">
        <f>PLANTILLA!W17</f>
        <v>15</v>
      </c>
      <c r="N18" s="48">
        <f>PLANTILLA!X17</f>
        <v>2</v>
      </c>
      <c r="O18" s="48">
        <f>PLANTILLA!Y17</f>
        <v>3</v>
      </c>
      <c r="P18" s="48">
        <f>PLANTILLA!Z17</f>
        <v>8</v>
      </c>
      <c r="Q18" s="48">
        <f>PLANTILLA!AA17</f>
        <v>19</v>
      </c>
      <c r="R18" s="48">
        <f ca="1">PLANTILLA!AE17</f>
        <v>19.923636886419978</v>
      </c>
      <c r="S18" s="48">
        <f ca="1">PLANTILLA!AF17</f>
        <v>21.519987405020338</v>
      </c>
      <c r="T18" s="48"/>
      <c r="U18" s="48"/>
      <c r="V18" s="48">
        <f ca="1">PLANTILLA!AH17</f>
        <v>19.801925035018488</v>
      </c>
      <c r="W18" s="48">
        <f ca="1">PLANTILLA!AI17</f>
        <v>21.388523580210968</v>
      </c>
      <c r="X18" s="68">
        <f t="shared" ca="1" si="70"/>
        <v>4.8451810855241746</v>
      </c>
      <c r="Y18" s="68">
        <f t="shared" ca="1" si="71"/>
        <v>7.333583942052357</v>
      </c>
      <c r="Z18" s="68">
        <f t="shared" ca="1" si="72"/>
        <v>4.8451810855241746</v>
      </c>
      <c r="AA18" s="68">
        <f t="shared" ca="1" si="73"/>
        <v>6.3924781673888589</v>
      </c>
      <c r="AB18" s="68">
        <f t="shared" ca="1" si="74"/>
        <v>12.388523580210967</v>
      </c>
      <c r="AC18" s="68">
        <f t="shared" ca="1" si="75"/>
        <v>3.1962390836944294</v>
      </c>
      <c r="AD18" s="68">
        <f t="shared" ca="1" si="76"/>
        <v>4.1384686120902101</v>
      </c>
      <c r="AE18" s="68">
        <f t="shared" ca="1" si="77"/>
        <v>4.6828619133197451</v>
      </c>
      <c r="AF18" s="68">
        <f t="shared" ca="1" si="78"/>
        <v>8.9569025484925291</v>
      </c>
      <c r="AG18" s="68">
        <f t="shared" ca="1" si="79"/>
        <v>2.3414309566598726</v>
      </c>
      <c r="AH18" s="68">
        <f t="shared" ca="1" si="80"/>
        <v>6.6945815783812233</v>
      </c>
      <c r="AI18" s="68">
        <f t="shared" ca="1" si="81"/>
        <v>11.397441693794089</v>
      </c>
      <c r="AJ18" s="68">
        <f t="shared" ca="1" si="82"/>
        <v>5.1288487622073395</v>
      </c>
      <c r="AK18" s="68">
        <f t="shared" ca="1" si="83"/>
        <v>2.9038834378952321</v>
      </c>
      <c r="AL18" s="68">
        <f t="shared" ca="1" si="84"/>
        <v>2.580451865164048</v>
      </c>
      <c r="AM18" s="68">
        <f t="shared" ca="1" si="85"/>
        <v>9.3409467794790686</v>
      </c>
      <c r="AN18" s="68">
        <f t="shared" ca="1" si="86"/>
        <v>8.7710746947893643</v>
      </c>
      <c r="AO18" s="68">
        <f t="shared" ca="1" si="87"/>
        <v>3.5718834378952318</v>
      </c>
      <c r="AP18" s="68">
        <f t="shared" ca="1" si="88"/>
        <v>6.425902214389712</v>
      </c>
      <c r="AQ18" s="68">
        <f t="shared" ca="1" si="89"/>
        <v>3.3449013666569614</v>
      </c>
      <c r="AR18" s="68">
        <f t="shared" ca="1" si="90"/>
        <v>7.3587830066453135</v>
      </c>
      <c r="AS18" s="68">
        <f t="shared" ca="1" si="91"/>
        <v>1.6724506833284807</v>
      </c>
      <c r="AT18" s="68">
        <f t="shared" ca="1" si="92"/>
        <v>16.414766259719155</v>
      </c>
      <c r="AU18" s="68">
        <f t="shared" ca="1" si="93"/>
        <v>0.70050806542742572</v>
      </c>
      <c r="AV18" s="68">
        <f t="shared" ca="1" si="94"/>
        <v>2.4438374090018131</v>
      </c>
      <c r="AW18" s="68">
        <f t="shared" ca="1" si="95"/>
        <v>0.35025403271371286</v>
      </c>
      <c r="AX18" s="68">
        <f t="shared" ca="1" si="96"/>
        <v>2.3414309566598726</v>
      </c>
      <c r="AY18" s="68">
        <f t="shared" ca="1" si="97"/>
        <v>4.9554094320843873</v>
      </c>
      <c r="AZ18" s="68">
        <f t="shared" ca="1" si="98"/>
        <v>1.1707154783299363</v>
      </c>
      <c r="BA18" s="68">
        <f t="shared" ca="1" si="99"/>
        <v>17.388523580210968</v>
      </c>
      <c r="BB18" s="68">
        <f t="shared" ca="1" si="100"/>
        <v>1.3632964657933746</v>
      </c>
      <c r="BC18" s="68">
        <f t="shared" ca="1" si="101"/>
        <v>4.0190764926962421</v>
      </c>
      <c r="BD18" s="68">
        <f t="shared" ca="1" si="102"/>
        <v>0.6816482328966873</v>
      </c>
      <c r="BE18" s="68">
        <f t="shared" ca="1" si="103"/>
        <v>3.605060361841391</v>
      </c>
      <c r="BF18" s="68">
        <f t="shared" ca="1" si="104"/>
        <v>4.3112062059134164</v>
      </c>
      <c r="BG18" s="68">
        <f t="shared" ca="1" si="105"/>
        <v>15.319289274165863</v>
      </c>
      <c r="BH18" s="68">
        <f t="shared" ca="1" si="106"/>
        <v>4.2163974628075493</v>
      </c>
      <c r="BI18" s="68">
        <f t="shared" ca="1" si="107"/>
        <v>1.298634182830843</v>
      </c>
      <c r="BJ18" s="68">
        <f t="shared" ca="1" si="108"/>
        <v>6.0084339364023185</v>
      </c>
      <c r="BK18" s="68">
        <f t="shared" ca="1" si="109"/>
        <v>3.2705702251756952</v>
      </c>
      <c r="BL18" s="68">
        <f t="shared" ca="1" si="110"/>
        <v>6.6250274840603787</v>
      </c>
      <c r="BM18" s="68">
        <f t="shared" ca="1" si="111"/>
        <v>4.0365696091043848</v>
      </c>
      <c r="BN18" s="68">
        <f t="shared" ca="1" si="112"/>
        <v>0.28020322617097027</v>
      </c>
      <c r="BO18" s="68">
        <f t="shared" ca="1" si="113"/>
        <v>2.2299342444379739</v>
      </c>
      <c r="BP18" s="68">
        <f t="shared" ca="1" si="114"/>
        <v>0.84241960345434574</v>
      </c>
      <c r="BQ18" s="68">
        <f t="shared" ca="1" si="115"/>
        <v>5.3034996919643449</v>
      </c>
      <c r="BR18" s="68">
        <f t="shared" ca="1" si="116"/>
        <v>5.9296413241513033</v>
      </c>
      <c r="BS18" s="68">
        <f t="shared" ca="1" si="117"/>
        <v>0.72745068332848051</v>
      </c>
      <c r="BT18" s="68">
        <f t="shared" ca="1" si="118"/>
        <v>3.518340696779914</v>
      </c>
      <c r="BU18" s="68">
        <f t="shared" ca="1" si="119"/>
        <v>3.0227997535714759</v>
      </c>
      <c r="BV18" s="68">
        <f t="shared" ca="1" si="120"/>
        <v>7.911778228995991</v>
      </c>
      <c r="BW18" s="68">
        <f t="shared" ca="1" si="121"/>
        <v>5.1064841268737506</v>
      </c>
      <c r="BX18" s="68">
        <f t="shared" ca="1" si="122"/>
        <v>0.65201135320552694</v>
      </c>
      <c r="BY18" s="68">
        <f t="shared" ca="1" si="123"/>
        <v>3.518340696779914</v>
      </c>
      <c r="BZ18" s="68">
        <f t="shared" ca="1" si="124"/>
        <v>3.0227997535714759</v>
      </c>
      <c r="CA18" s="68">
        <f t="shared" ca="1" si="125"/>
        <v>10.972158379113122</v>
      </c>
      <c r="CB18" s="68">
        <f t="shared" ca="1" si="126"/>
        <v>4.1207286042888152</v>
      </c>
      <c r="CC18" s="68">
        <f t="shared" ca="1" si="127"/>
        <v>0.79750148987122305</v>
      </c>
      <c r="CD18" s="68">
        <f t="shared" ca="1" si="128"/>
        <v>7.0597405735656533</v>
      </c>
      <c r="CE18" s="68">
        <f t="shared" ca="1" si="129"/>
        <v>3.2984207852899137</v>
      </c>
      <c r="CF18" s="68">
        <f t="shared" ca="1" si="130"/>
        <v>8.9824775513175474</v>
      </c>
      <c r="CG18" s="68">
        <f t="shared" ca="1" si="131"/>
        <v>3.2984207852899137</v>
      </c>
      <c r="CH18" s="68">
        <f t="shared" ca="1" si="132"/>
        <v>4.4360501904714322</v>
      </c>
      <c r="CI18" s="68">
        <f t="shared" ca="1" si="133"/>
        <v>12.376888781308812</v>
      </c>
      <c r="CJ18" s="68">
        <f t="shared" ca="1" si="134"/>
        <v>4.4360501904714322</v>
      </c>
      <c r="CK18" s="68">
        <f t="shared" ca="1" si="135"/>
        <v>4.3471308950527421</v>
      </c>
    </row>
    <row r="19" spans="1:89" ht="6" customHeight="1" x14ac:dyDescent="0.25">
      <c r="B19" s="56"/>
      <c r="C19" s="90"/>
      <c r="D19" s="56"/>
      <c r="E19" s="167"/>
      <c r="F19" s="90"/>
      <c r="G19" s="99"/>
      <c r="H19" s="99"/>
      <c r="I19" s="132"/>
      <c r="J19" s="133"/>
      <c r="K19" s="48"/>
      <c r="L19" s="48"/>
      <c r="M19" s="48"/>
      <c r="N19" s="48"/>
      <c r="O19" s="48"/>
      <c r="P19" s="48"/>
      <c r="Q19" s="48"/>
      <c r="R19" s="133"/>
      <c r="S19" s="133"/>
      <c r="T19" s="48"/>
      <c r="U19" s="48"/>
      <c r="V19" s="133"/>
      <c r="W19" s="133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</row>
    <row r="20" spans="1:89" ht="6" customHeight="1" x14ac:dyDescent="0.25">
      <c r="B20" s="56"/>
      <c r="C20" s="90"/>
      <c r="D20" s="56"/>
      <c r="E20" s="167"/>
      <c r="F20" s="90"/>
      <c r="G20" s="99"/>
      <c r="H20" s="99"/>
      <c r="I20" s="132"/>
      <c r="J20" s="133"/>
      <c r="K20" s="48"/>
      <c r="L20" s="48"/>
      <c r="M20" s="48"/>
      <c r="N20" s="48"/>
      <c r="O20" s="48"/>
      <c r="P20" s="48"/>
      <c r="Q20" s="48"/>
      <c r="R20" s="133"/>
      <c r="S20" s="133"/>
      <c r="T20" s="48"/>
      <c r="U20" s="48"/>
      <c r="V20" s="133"/>
      <c r="W20" s="133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</row>
    <row r="21" spans="1:89" ht="6" customHeight="1" x14ac:dyDescent="0.25">
      <c r="B21" s="56"/>
      <c r="C21" s="90"/>
      <c r="D21" s="56"/>
      <c r="E21" s="167"/>
      <c r="F21" s="90"/>
      <c r="G21" s="99"/>
      <c r="H21" s="99"/>
      <c r="I21" s="132"/>
      <c r="J21" s="133"/>
      <c r="K21" s="48"/>
      <c r="L21" s="48"/>
      <c r="M21" s="48"/>
      <c r="N21" s="48"/>
      <c r="O21" s="48"/>
      <c r="P21" s="48"/>
      <c r="Q21" s="48"/>
      <c r="R21" s="133"/>
      <c r="S21" s="133"/>
      <c r="T21" s="48"/>
      <c r="U21" s="48"/>
      <c r="V21" s="133"/>
      <c r="W21" s="133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</row>
    <row r="22" spans="1:89" ht="6" customHeight="1" x14ac:dyDescent="0.25">
      <c r="B22" s="56"/>
      <c r="C22" s="90"/>
      <c r="D22" s="56"/>
      <c r="E22" s="167"/>
      <c r="F22" s="90"/>
      <c r="G22" s="99"/>
      <c r="H22" s="99"/>
      <c r="I22" s="132"/>
      <c r="J22" s="133"/>
      <c r="K22" s="48"/>
      <c r="L22" s="48"/>
      <c r="M22" s="48"/>
      <c r="N22" s="48"/>
      <c r="O22" s="48"/>
      <c r="P22" s="48"/>
      <c r="Q22" s="48"/>
      <c r="R22" s="133"/>
      <c r="S22" s="133"/>
      <c r="T22" s="48"/>
      <c r="U22" s="48"/>
      <c r="V22" s="133"/>
      <c r="W22" s="133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</row>
    <row r="23" spans="1:89" ht="6" customHeight="1" x14ac:dyDescent="0.25">
      <c r="B23" s="56"/>
      <c r="C23" s="90"/>
      <c r="D23" s="56"/>
      <c r="E23" s="167"/>
      <c r="F23" s="90"/>
      <c r="G23" s="99"/>
      <c r="H23" s="99"/>
      <c r="I23" s="132"/>
      <c r="J23" s="133"/>
      <c r="K23" s="48"/>
      <c r="L23" s="48"/>
      <c r="M23" s="48"/>
      <c r="N23" s="48"/>
      <c r="O23" s="48"/>
      <c r="P23" s="48"/>
      <c r="Q23" s="48"/>
      <c r="R23" s="133"/>
      <c r="S23" s="133"/>
      <c r="T23" s="48"/>
      <c r="U23" s="48"/>
      <c r="V23" s="133"/>
      <c r="W23" s="133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</row>
    <row r="24" spans="1:89" ht="6" customHeight="1" x14ac:dyDescent="0.25">
      <c r="B24" s="56"/>
      <c r="C24" s="90"/>
      <c r="D24" s="56"/>
      <c r="E24" s="167"/>
      <c r="F24" s="90"/>
      <c r="G24" s="99"/>
      <c r="H24" s="99"/>
      <c r="I24" s="132"/>
      <c r="J24" s="133"/>
      <c r="K24" s="48"/>
      <c r="L24" s="48"/>
      <c r="M24" s="48"/>
      <c r="N24" s="48"/>
      <c r="O24" s="48"/>
      <c r="P24" s="48"/>
      <c r="Q24" s="48"/>
      <c r="R24" s="133"/>
      <c r="S24" s="133"/>
      <c r="T24" s="48"/>
      <c r="U24" s="48"/>
      <c r="V24" s="133"/>
      <c r="W24" s="133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</row>
    <row r="25" spans="1:89" ht="6" customHeight="1" x14ac:dyDescent="0.25">
      <c r="B25" s="56"/>
      <c r="C25" s="90"/>
      <c r="D25" s="56"/>
      <c r="E25" s="167"/>
      <c r="F25" s="90"/>
      <c r="G25" s="99"/>
      <c r="H25" s="99"/>
      <c r="I25" s="132"/>
      <c r="J25" s="133"/>
      <c r="K25" s="48"/>
      <c r="L25" s="48"/>
      <c r="M25" s="48"/>
      <c r="N25" s="48"/>
      <c r="O25" s="48"/>
      <c r="P25" s="48"/>
      <c r="Q25" s="48"/>
      <c r="R25" s="133"/>
      <c r="S25" s="133"/>
      <c r="T25" s="48"/>
      <c r="U25" s="48"/>
      <c r="V25" s="133"/>
      <c r="W25" s="133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</row>
    <row r="26" spans="1:89" ht="6" customHeight="1" x14ac:dyDescent="0.25">
      <c r="D26" s="56"/>
    </row>
    <row r="27" spans="1:89" ht="18.75" x14ac:dyDescent="0.3">
      <c r="A27" s="116" t="s">
        <v>249</v>
      </c>
      <c r="B27" s="116" t="s">
        <v>250</v>
      </c>
      <c r="C27" s="116"/>
      <c r="D27" s="117"/>
      <c r="L27" s="44"/>
      <c r="M27" s="44"/>
    </row>
    <row r="28" spans="1:89" x14ac:dyDescent="0.25">
      <c r="A28" s="66" t="s">
        <v>251</v>
      </c>
      <c r="B28" s="118">
        <v>1</v>
      </c>
      <c r="C28" s="134">
        <v>0.624</v>
      </c>
      <c r="D28" s="135">
        <v>0.24500000000000002</v>
      </c>
    </row>
    <row r="29" spans="1:89" x14ac:dyDescent="0.25">
      <c r="A29" s="66" t="s">
        <v>252</v>
      </c>
      <c r="B29" s="118">
        <v>1</v>
      </c>
      <c r="C29" s="134">
        <v>1.002</v>
      </c>
      <c r="D29" s="135">
        <v>0.34000000000000008</v>
      </c>
    </row>
    <row r="30" spans="1:89" x14ac:dyDescent="0.25">
      <c r="A30" s="66" t="s">
        <v>253</v>
      </c>
      <c r="B30" s="118">
        <v>1</v>
      </c>
      <c r="C30" s="134">
        <v>0.46800000000000008</v>
      </c>
      <c r="D30" s="135">
        <v>0.125</v>
      </c>
    </row>
    <row r="31" spans="1:89" x14ac:dyDescent="0.25">
      <c r="A31" s="66" t="s">
        <v>254</v>
      </c>
      <c r="B31" s="118">
        <v>1</v>
      </c>
      <c r="C31" s="134">
        <v>0.877</v>
      </c>
      <c r="D31" s="135">
        <v>0.25</v>
      </c>
    </row>
    <row r="32" spans="1:89" x14ac:dyDescent="0.25">
      <c r="A32" s="66" t="s">
        <v>255</v>
      </c>
      <c r="B32" s="118">
        <v>1</v>
      </c>
      <c r="C32" s="134">
        <v>0.59299999999999997</v>
      </c>
      <c r="D32" s="135">
        <v>0.19</v>
      </c>
    </row>
    <row r="34" spans="1:85" ht="15.75" x14ac:dyDescent="0.25">
      <c r="A34" s="450" t="s">
        <v>256</v>
      </c>
      <c r="B34" s="450"/>
      <c r="C34" s="450"/>
      <c r="D34" s="450"/>
      <c r="E34" s="450"/>
    </row>
    <row r="35" spans="1:85" x14ac:dyDescent="0.25">
      <c r="A35" s="124" t="s">
        <v>84</v>
      </c>
      <c r="B35" s="124" t="s">
        <v>170</v>
      </c>
      <c r="C35" s="124" t="s">
        <v>86</v>
      </c>
      <c r="D35" s="125" t="s">
        <v>169</v>
      </c>
      <c r="E35" s="124" t="s">
        <v>239</v>
      </c>
      <c r="F35" s="127" t="s">
        <v>96</v>
      </c>
      <c r="G35" s="128" t="s">
        <v>241</v>
      </c>
      <c r="H35" s="128" t="s">
        <v>14</v>
      </c>
      <c r="I35" s="128" t="s">
        <v>37</v>
      </c>
      <c r="J35" s="128" t="s">
        <v>153</v>
      </c>
      <c r="K35" s="128" t="s">
        <v>30</v>
      </c>
      <c r="L35" s="128" t="s">
        <v>155</v>
      </c>
      <c r="M35" s="128" t="s">
        <v>156</v>
      </c>
      <c r="N35" s="128" t="s">
        <v>157</v>
      </c>
      <c r="O35" s="129" t="s">
        <v>242</v>
      </c>
      <c r="P35" s="129" t="s">
        <v>113</v>
      </c>
      <c r="Q35" s="129" t="s">
        <v>243</v>
      </c>
      <c r="R35" s="129" t="s">
        <v>244</v>
      </c>
      <c r="S35" s="129" t="s">
        <v>115</v>
      </c>
      <c r="T35" s="130" t="s">
        <v>245</v>
      </c>
      <c r="U35" s="130" t="s">
        <v>246</v>
      </c>
      <c r="V35" s="130" t="s">
        <v>245</v>
      </c>
      <c r="W35" s="131" t="s">
        <v>245</v>
      </c>
      <c r="X35" s="131" t="s">
        <v>246</v>
      </c>
      <c r="Y35" s="131" t="s">
        <v>245</v>
      </c>
      <c r="Z35" s="131" t="s">
        <v>28</v>
      </c>
      <c r="AA35" s="131" t="s">
        <v>245</v>
      </c>
      <c r="AB35" s="131" t="s">
        <v>246</v>
      </c>
      <c r="AC35" s="131" t="s">
        <v>245</v>
      </c>
      <c r="AD35" s="131" t="s">
        <v>28</v>
      </c>
      <c r="AE35" s="130" t="s">
        <v>245</v>
      </c>
      <c r="AF35" s="130" t="s">
        <v>246</v>
      </c>
      <c r="AG35" s="130" t="s">
        <v>28</v>
      </c>
      <c r="AH35" s="130" t="s">
        <v>247</v>
      </c>
      <c r="AI35" s="130" t="s">
        <v>245</v>
      </c>
      <c r="AJ35" s="130" t="s">
        <v>246</v>
      </c>
      <c r="AK35" s="130" t="s">
        <v>28</v>
      </c>
      <c r="AL35" s="130" t="s">
        <v>247</v>
      </c>
      <c r="AM35" s="130" t="s">
        <v>245</v>
      </c>
      <c r="AN35" s="130" t="s">
        <v>246</v>
      </c>
      <c r="AO35" s="130" t="s">
        <v>245</v>
      </c>
      <c r="AP35" s="130" t="s">
        <v>28</v>
      </c>
      <c r="AQ35" s="130" t="s">
        <v>247</v>
      </c>
      <c r="AR35" s="130" t="s">
        <v>248</v>
      </c>
      <c r="AS35" s="130" t="s">
        <v>247</v>
      </c>
      <c r="AT35" s="130" t="s">
        <v>245</v>
      </c>
      <c r="AU35" s="130" t="s">
        <v>246</v>
      </c>
      <c r="AV35" s="130" t="s">
        <v>245</v>
      </c>
      <c r="AW35" s="130" t="s">
        <v>28</v>
      </c>
      <c r="AX35" s="130" t="s">
        <v>247</v>
      </c>
      <c r="AY35" s="130" t="s">
        <v>248</v>
      </c>
      <c r="AZ35" s="130" t="s">
        <v>247</v>
      </c>
      <c r="BA35" s="131" t="s">
        <v>245</v>
      </c>
      <c r="BB35" s="131" t="s">
        <v>246</v>
      </c>
      <c r="BC35" s="131" t="s">
        <v>28</v>
      </c>
      <c r="BD35" s="131" t="s">
        <v>247</v>
      </c>
      <c r="BE35" s="131" t="s">
        <v>248</v>
      </c>
      <c r="BF35" s="131" t="s">
        <v>245</v>
      </c>
      <c r="BG35" s="131" t="s">
        <v>246</v>
      </c>
      <c r="BH35" s="131" t="s">
        <v>28</v>
      </c>
      <c r="BI35" s="131" t="s">
        <v>247</v>
      </c>
      <c r="BJ35" s="131" t="s">
        <v>248</v>
      </c>
      <c r="BK35" s="130" t="s">
        <v>245</v>
      </c>
      <c r="BL35" s="130" t="s">
        <v>246</v>
      </c>
      <c r="BM35" s="130" t="s">
        <v>28</v>
      </c>
      <c r="BN35" s="130" t="s">
        <v>247</v>
      </c>
      <c r="BO35" s="130" t="s">
        <v>248</v>
      </c>
      <c r="BP35" s="130" t="s">
        <v>245</v>
      </c>
      <c r="BQ35" s="130" t="s">
        <v>246</v>
      </c>
      <c r="BR35" s="130" t="s">
        <v>28</v>
      </c>
      <c r="BS35" s="130" t="s">
        <v>247</v>
      </c>
      <c r="BT35" s="130" t="s">
        <v>248</v>
      </c>
      <c r="BU35" s="130" t="s">
        <v>245</v>
      </c>
      <c r="BV35" s="130" t="s">
        <v>246</v>
      </c>
      <c r="BW35" s="130" t="s">
        <v>28</v>
      </c>
      <c r="BX35" s="130" t="s">
        <v>247</v>
      </c>
      <c r="BY35" s="130" t="s">
        <v>248</v>
      </c>
      <c r="BZ35" s="131" t="s">
        <v>28</v>
      </c>
      <c r="CA35" s="131" t="s">
        <v>247</v>
      </c>
      <c r="CB35" s="131" t="s">
        <v>248</v>
      </c>
      <c r="CC35" s="131" t="s">
        <v>247</v>
      </c>
      <c r="CD35" s="130" t="s">
        <v>247</v>
      </c>
      <c r="CE35" s="130" t="s">
        <v>248</v>
      </c>
      <c r="CF35" s="130" t="s">
        <v>247</v>
      </c>
      <c r="CG35" s="130" t="s">
        <v>28</v>
      </c>
    </row>
    <row r="36" spans="1:85" x14ac:dyDescent="0.25">
      <c r="A36" t="e">
        <f t="shared" ref="A36:E45" si="136">A3</f>
        <v>#REF!</v>
      </c>
      <c r="B36" t="e">
        <f t="shared" si="136"/>
        <v>#REF!</v>
      </c>
      <c r="C36" s="49" t="e">
        <f t="shared" si="136"/>
        <v>#REF!</v>
      </c>
      <c r="D36" t="e">
        <f t="shared" si="136"/>
        <v>#REF!</v>
      </c>
      <c r="E36" s="167" t="e">
        <f t="shared" si="136"/>
        <v>#REF!</v>
      </c>
      <c r="F36" s="132" t="e">
        <f t="shared" ref="F36:F51" si="137">I3</f>
        <v>#REF!</v>
      </c>
      <c r="G36" s="133" t="e">
        <f t="shared" ref="G36:G51" si="138">J3</f>
        <v>#REF!</v>
      </c>
      <c r="H36" s="48" t="e">
        <f t="shared" ref="H36:H51" si="139">K3</f>
        <v>#REF!</v>
      </c>
      <c r="I36" s="48" t="e">
        <f t="shared" ref="I36:I51" si="140">L3</f>
        <v>#REF!</v>
      </c>
      <c r="J36" s="48" t="e">
        <f t="shared" ref="J36:J51" si="141">M3</f>
        <v>#REF!</v>
      </c>
      <c r="K36" s="48" t="e">
        <f t="shared" ref="K36:K51" si="142">N3</f>
        <v>#REF!</v>
      </c>
      <c r="L36" s="48" t="e">
        <f t="shared" ref="L36:L51" si="143">O3</f>
        <v>#REF!</v>
      </c>
      <c r="M36" s="48" t="e">
        <f t="shared" ref="M36:M51" si="144">P3</f>
        <v>#REF!</v>
      </c>
      <c r="N36" s="48" t="e">
        <f t="shared" ref="N36:N51" si="145">Q3</f>
        <v>#REF!</v>
      </c>
      <c r="O36" s="133" t="e">
        <f t="shared" ref="O36:O56" si="146">((2*(L36+1))+(I36+1))/8</f>
        <v>#REF!</v>
      </c>
      <c r="P36" s="133" t="e">
        <f t="shared" ref="P36:P56" si="147">1.66*(M36+(LOG(G36)*4/3)+F36)+0.55*(N36+(LOG(G36)*4/3)+F36)-7.6</f>
        <v>#REF!</v>
      </c>
      <c r="Q36" s="133" t="e">
        <f t="shared" ref="Q36:Q56" si="148">(0.5*M36+0.3*N36)/10</f>
        <v>#REF!</v>
      </c>
      <c r="R36" s="133" t="e">
        <f t="shared" ref="R36:R56" si="149">(0.4*I36+0.3*N36)/10</f>
        <v>#REF!</v>
      </c>
      <c r="S36" s="133" t="e">
        <f t="shared" ref="S36:S56" ca="1" si="150">IF(TODAY()-E36&gt;335,(N36+1+(LOG(G36)*4/3)),(N36+((TODAY()-E36)^0.5)/(336^0.5)+(LOG(G36)*4/3)))</f>
        <v>#REF!</v>
      </c>
      <c r="T36" s="68" t="e">
        <f t="shared" ref="T36:T56" si="151">((H36+F36+(LOG(G36)*4/3))*0.597)+((I36+F36+(LOG(G36)*4/3))*0.276)</f>
        <v>#REF!</v>
      </c>
      <c r="U36" s="68" t="e">
        <f t="shared" ref="U36:U56" si="152">((H36+F36+(LOG(G36)*4/3))*0.866)+((I36+F36+(LOG(G36)*4/3))*0.425)</f>
        <v>#REF!</v>
      </c>
      <c r="V36" s="68" t="e">
        <f t="shared" ref="V36:V56" si="153">T36</f>
        <v>#REF!</v>
      </c>
      <c r="W36" s="68" t="e">
        <f t="shared" ref="W36:W56" si="154">((I36+F36+(LOG(G36)*4/3))*0.516)</f>
        <v>#REF!</v>
      </c>
      <c r="X36" s="68" t="e">
        <f t="shared" ref="X36:X56" si="155">(I36+F36+(LOG(G36)*4/3))*1</f>
        <v>#REF!</v>
      </c>
      <c r="Y36" s="68" t="e">
        <f t="shared" ref="Y36:Y56" si="156">W36/2</f>
        <v>#REF!</v>
      </c>
      <c r="Z36" s="68" t="e">
        <f t="shared" ref="Z36:Z56" si="157">(J36+F36+(LOG(G36)*4/3))*0.238</f>
        <v>#REF!</v>
      </c>
      <c r="AA36" s="68" t="e">
        <f t="shared" ref="AA36:AA56" si="158">((I36+F36+(LOG(G36)*4/3))*0.378)</f>
        <v>#REF!</v>
      </c>
      <c r="AB36" s="68" t="e">
        <f t="shared" ref="AB36:AB56" si="159">(I36+F36+(LOG(G36)*4/3))*0.723</f>
        <v>#REF!</v>
      </c>
      <c r="AC36" s="68" t="e">
        <f t="shared" ref="AC36:AC56" si="160">AA36/2</f>
        <v>#REF!</v>
      </c>
      <c r="AD36" s="68" t="e">
        <f t="shared" ref="AD36:AD56" si="161">(J36+F36+(LOG(G36)*4/3))*0.385</f>
        <v>#REF!</v>
      </c>
      <c r="AE36" s="178" t="e">
        <f t="shared" ref="AE36:AE56" si="162">((I36+F36+(LOG(G36)*4/3))*0.92)</f>
        <v>#REF!</v>
      </c>
      <c r="AF36" s="68" t="e">
        <f t="shared" ref="AF36:AF56" si="163">(I36+F36+(LOG(G36)*4/3))*0.414</f>
        <v>#REF!</v>
      </c>
      <c r="AG36" s="68" t="e">
        <f t="shared" ref="AG36:AG56" si="164">((J36+F36+(LOG(G36)*4/3))*0.167)</f>
        <v>#REF!</v>
      </c>
      <c r="AH36" s="178" t="e">
        <f t="shared" ref="AH36:AH56" si="165">(K36+F36+(LOG(G36)*4/3))*0.588</f>
        <v>#REF!</v>
      </c>
      <c r="AI36" s="68" t="e">
        <f t="shared" ref="AI36:AI56" si="166">((I36+F36+(LOG(G36)*4/3))*0.754)</f>
        <v>#REF!</v>
      </c>
      <c r="AJ36" s="68" t="e">
        <f t="shared" ref="AJ36:AJ56" si="167">((I36+F36+(LOG(G36)*4/3))*0.708)</f>
        <v>#REF!</v>
      </c>
      <c r="AK36" s="68" t="e">
        <f t="shared" ref="AK36:AK56" si="168">((N36+F36+(LOG(G36)*4/3))*0.167)</f>
        <v>#REF!</v>
      </c>
      <c r="AL36" s="68" t="e">
        <f t="shared" ref="AL36:AL56" si="169">((O36+F36+(LOG(G36)*4/3))*0.288)</f>
        <v>#REF!</v>
      </c>
      <c r="AM36" s="68" t="e">
        <f t="shared" ref="AM36:AM56" si="170">((I36+F36+(LOG(G36)*4/3))*0.27)</f>
        <v>#REF!</v>
      </c>
      <c r="AN36" s="68" t="e">
        <f t="shared" ref="AN36:AN56" si="171">((I36+F36+(LOG(G36)*4/3))*0.594)</f>
        <v>#REF!</v>
      </c>
      <c r="AO36" s="68" t="e">
        <f t="shared" ref="AO36:AO56" si="172">AM36/2</f>
        <v>#REF!</v>
      </c>
      <c r="AP36" s="68" t="e">
        <f t="shared" ref="AP36:AP56" si="173">((J36+F36+(LOG(G36)*4/3))*0.944)</f>
        <v>#REF!</v>
      </c>
      <c r="AQ36" s="68" t="e">
        <f t="shared" ref="AQ36:AQ56" si="174">((L36+F36+(LOG(G36)*4/3))*0.13)</f>
        <v>#REF!</v>
      </c>
      <c r="AR36" s="68" t="e">
        <f t="shared" ref="AR36:AR56" si="175">((M36+F36+(LOG(G36)*4/3))*0.173)+((L36+F36+(LOG(G36)*4/3))*0.12)</f>
        <v>#REF!</v>
      </c>
      <c r="AS36" s="68" t="e">
        <f t="shared" ref="AS36:AS56" si="176">AQ36/2</f>
        <v>#REF!</v>
      </c>
      <c r="AT36" s="68" t="e">
        <f t="shared" ref="AT36:AT56" si="177">((I36+F36+(LOG(G36)*4/3))*0.189)</f>
        <v>#REF!</v>
      </c>
      <c r="AU36" s="68" t="e">
        <f t="shared" ref="AU36:AU56" si="178">((I36+F36+(LOG(G36)*4/3))*0.4)</f>
        <v>#REF!</v>
      </c>
      <c r="AV36" s="68" t="e">
        <f t="shared" ref="AV36:AV56" si="179">AT36/2</f>
        <v>#REF!</v>
      </c>
      <c r="AW36" s="68" t="e">
        <f t="shared" ref="AW36:AW56" si="180">((J36+F36+(LOG(G36)*4/3))*1)</f>
        <v>#REF!</v>
      </c>
      <c r="AX36" s="68" t="e">
        <f t="shared" ref="AX36:AX56" si="181">((L36+F36+(LOG(G36)*4/3))*0.253)</f>
        <v>#REF!</v>
      </c>
      <c r="AY36" s="68" t="e">
        <f t="shared" ref="AY36:AY56" si="182">((M36+F36+(LOG(G36)*4/3))*0.21)+((L36+F36+(LOG(G36)*4/3))*0.341)</f>
        <v>#REF!</v>
      </c>
      <c r="AZ36" s="68" t="e">
        <f t="shared" ref="AZ36:AZ56" si="183">AX36/2</f>
        <v>#REF!</v>
      </c>
      <c r="BA36" s="68" t="e">
        <f t="shared" ref="BA36:BA56" si="184">((I36+F36+(LOG(G36)*4/3))*0.291)</f>
        <v>#REF!</v>
      </c>
      <c r="BB36" s="68" t="e">
        <f t="shared" ref="BB36:BB56" si="185">((I36+F36+(LOG(G36)*4/3))*0.348)</f>
        <v>#REF!</v>
      </c>
      <c r="BC36" s="68" t="e">
        <f t="shared" ref="BC36:BC56" si="186">((J36+F36+(LOG(G36)*4/3))*0.881)</f>
        <v>#REF!</v>
      </c>
      <c r="BD36" s="68" t="e">
        <f t="shared" ref="BD36:BD56" si="187">((K36+F36+(LOG(G36)*4/3))*0.574)+((L36+F36+(LOG(G36)*4/3))*0.315)</f>
        <v>#REF!</v>
      </c>
      <c r="BE36" s="68" t="e">
        <f t="shared" ref="BE36:BE56" si="188">((L36+F36+(LOG(G36)*4/3))*0.241)</f>
        <v>#REF!</v>
      </c>
      <c r="BF36" s="68" t="e">
        <f t="shared" ref="BF36:BF56" si="189">((I36+F36+(LOG(G36)*4/3))*0.485)</f>
        <v>#REF!</v>
      </c>
      <c r="BG36" s="68" t="e">
        <f t="shared" ref="BG36:BG56" si="190">((I36+F36+(LOG(G36)*4/3))*0.264)</f>
        <v>#REF!</v>
      </c>
      <c r="BH36" s="68" t="e">
        <f t="shared" ref="BH36:BH56" si="191">((J36+F36+(LOG(G36)*4/3))*0.381)</f>
        <v>#REF!</v>
      </c>
      <c r="BI36" s="68" t="e">
        <f t="shared" ref="BI36:BI56" si="192">((K36+F36+(LOG(G36)*4/3))*0.673)+((L36+F36+(LOG(G36)*4/3))*0.201)</f>
        <v>#REF!</v>
      </c>
      <c r="BJ36" s="68" t="e">
        <f t="shared" ref="BJ36:BJ56" si="193">((L36+F36+(LOG(G36)*4/3))*0.052)</f>
        <v>#REF!</v>
      </c>
      <c r="BK36" s="68" t="e">
        <f t="shared" ref="BK36:BK56" si="194">((I36+F36+(LOG(G36)*4/3))*0.18)</f>
        <v>#REF!</v>
      </c>
      <c r="BL36" s="68" t="e">
        <f t="shared" ref="BL36:BL56" si="195">(I36+F36+(LOG(G36)*4/3))*0.068</f>
        <v>#REF!</v>
      </c>
      <c r="BM36" s="68" t="e">
        <f t="shared" ref="BM36:BM56" si="196">((J36+F36+(LOG(G36)*4/3))*0.305)</f>
        <v>#REF!</v>
      </c>
      <c r="BN36" s="68" t="e">
        <f t="shared" ref="BN36:BN56" si="197">((K36+F36+(LOG(G36)*4/3))*1)+((L36+F36+(LOG(G36)*4/3))*0.286)</f>
        <v>#REF!</v>
      </c>
      <c r="BO36" s="68" t="e">
        <f t="shared" ref="BO36:BO56" si="198">((L36+F36+(LOG(G36)*4/3))*0.135)</f>
        <v>#REF!</v>
      </c>
      <c r="BP36" s="68" t="e">
        <f t="shared" ref="BP36:BP56" si="199">((I36+F36+(LOG(G36)*4/3))*0.284)</f>
        <v>#REF!</v>
      </c>
      <c r="BQ36" s="68" t="e">
        <f t="shared" ref="BQ36:BQ56" si="200">(I36+F36+(LOG(G36)*4/3))*0.244</f>
        <v>#REF!</v>
      </c>
      <c r="BR36" s="68" t="e">
        <f t="shared" ref="BR36:BR56" si="201">((J36+F36+(LOG(G36)*4/3))*0.455)</f>
        <v>#REF!</v>
      </c>
      <c r="BS36" s="68" t="e">
        <f t="shared" ref="BS36:BS56" si="202">((K36+F36+(LOG(G36)*4/3))*0.864)+((L36+F36+(LOG(G36)*4/3))*0.244)</f>
        <v>#REF!</v>
      </c>
      <c r="BT36" s="68" t="e">
        <f t="shared" ref="BT36:BT56" si="203">((L36+F36+(LOG(G36)*4/3))*0.121)</f>
        <v>#REF!</v>
      </c>
      <c r="BU36" s="68" t="e">
        <f t="shared" ref="BU36:BU56" si="204">((I36+F36+(LOG(G36)*4/3))*0.284)</f>
        <v>#REF!</v>
      </c>
      <c r="BV36" s="68" t="e">
        <f t="shared" ref="BV36:BV56" si="205">((I36+F36+(LOG(G36)*4/3))*0.244)</f>
        <v>#REF!</v>
      </c>
      <c r="BW36" s="68" t="e">
        <f t="shared" ref="BW36:BW56" si="206">((J36+F36+(LOG(G36)*4/3))*0.631)</f>
        <v>#REF!</v>
      </c>
      <c r="BX36" s="68" t="e">
        <f t="shared" ref="BX36:BX56" si="207">((K36+F36+(LOG(G36)*4/3))*0.702)+((L36+F36+(LOG(G36)*4/3))*0.193)</f>
        <v>#REF!</v>
      </c>
      <c r="BY36" s="68" t="e">
        <f t="shared" ref="BY36:BY56" si="208">((L36+F36+(LOG(G36)*4/3))*0.148)</f>
        <v>#REF!</v>
      </c>
      <c r="BZ36" s="68" t="e">
        <f t="shared" ref="BZ36:BZ56" si="209">((J36+F36+(LOG(G36)*4/3))*0.406)</f>
        <v>#REF!</v>
      </c>
      <c r="CA36" s="68" t="e">
        <f t="shared" ref="CA36:CA56" si="210">IF(D36="TEC",((K36+F36+(LOG(G36)*4/3))*0.15)+((L36+F36+(LOG(G36)*4/3))*0.324)+((M36+F36+(LOG(G36)*4/3))*0.127),(((K36+F36+(LOG(G36)*4/3))*0.144)+((L36+F36+(LOG(G36)*4/3))*0.25)+((M36+F36+(LOG(G36)*4/3))*0.127)))</f>
        <v>#REF!</v>
      </c>
      <c r="CB36" s="68" t="e">
        <f t="shared" ref="CB36:CB56" si="211">((L36+F36+(LOG(G36)*4/3))*0.543)+((M36+F36+(LOG(G36)*4/3))*0.583)</f>
        <v>#REF!</v>
      </c>
      <c r="CC36" s="68" t="e">
        <f t="shared" ref="CC36:CC56" si="212">CA36</f>
        <v>#REF!</v>
      </c>
      <c r="CD36" s="68" t="e">
        <f t="shared" ref="CD36:CD56" si="213">((M36+1+(LOG(G36)*4/3))*0.26)+((K36+F36+(LOG(G36)*4/3))*0.221)+((L36+F36+(LOG(G36)*4/3))*0.142)</f>
        <v>#REF!</v>
      </c>
      <c r="CE36" s="68" t="e">
        <f t="shared" ref="CE36:CE56" si="214">((M36+F36+(LOG(G36)*4/3))*1)+((L36+F36+(LOG(G36)*4/3))*0.369)</f>
        <v>#REF!</v>
      </c>
      <c r="CF36" s="68" t="e">
        <f t="shared" ref="CF36:CF56" si="215">CD36</f>
        <v>#REF!</v>
      </c>
      <c r="CG36" s="68" t="e">
        <f t="shared" ref="CG36:CG56" si="216">((J36+F36+(LOG(G36)*4/3))*0.25)</f>
        <v>#REF!</v>
      </c>
    </row>
    <row r="37" spans="1:85" x14ac:dyDescent="0.25">
      <c r="A37" t="str">
        <f t="shared" si="136"/>
        <v>A. Shafeeu</v>
      </c>
      <c r="B37" t="str">
        <f t="shared" si="136"/>
        <v>30.89</v>
      </c>
      <c r="C37" s="49" t="e">
        <f t="shared" si="136"/>
        <v>#REF!</v>
      </c>
      <c r="D37" t="str">
        <f t="shared" si="136"/>
        <v/>
      </c>
      <c r="E37" s="167">
        <f t="shared" si="136"/>
        <v>45059</v>
      </c>
      <c r="F37" s="132">
        <f t="shared" ca="1" si="137"/>
        <v>0.55790014502880092</v>
      </c>
      <c r="G37" s="133">
        <f t="shared" si="138"/>
        <v>10</v>
      </c>
      <c r="H37" s="48">
        <f t="shared" si="139"/>
        <v>15</v>
      </c>
      <c r="I37" s="48">
        <f t="shared" si="140"/>
        <v>12</v>
      </c>
      <c r="J37" s="48">
        <f t="shared" si="141"/>
        <v>0</v>
      </c>
      <c r="K37" s="48">
        <f t="shared" si="142"/>
        <v>-1</v>
      </c>
      <c r="L37" s="48">
        <f t="shared" si="143"/>
        <v>2</v>
      </c>
      <c r="M37" s="48">
        <f t="shared" si="144"/>
        <v>2</v>
      </c>
      <c r="N37" s="48">
        <f t="shared" si="145"/>
        <v>17</v>
      </c>
      <c r="O37" s="133">
        <f t="shared" si="146"/>
        <v>2.375</v>
      </c>
      <c r="P37" s="133">
        <f t="shared" ca="1" si="147"/>
        <v>9.2496259871803179</v>
      </c>
      <c r="Q37" s="133">
        <f t="shared" si="148"/>
        <v>0.61</v>
      </c>
      <c r="R37" s="133">
        <f t="shared" si="149"/>
        <v>0.99</v>
      </c>
      <c r="S37" s="133">
        <f t="shared" ca="1" si="150"/>
        <v>18.96719902437972</v>
      </c>
      <c r="T37" s="68">
        <f t="shared" ca="1" si="151"/>
        <v>13.918046826610144</v>
      </c>
      <c r="U37" s="68">
        <f t="shared" ca="1" si="152"/>
        <v>20.531582420565517</v>
      </c>
      <c r="V37" s="68">
        <f t="shared" ca="1" si="153"/>
        <v>13.918046826610144</v>
      </c>
      <c r="W37" s="68">
        <f t="shared" ca="1" si="154"/>
        <v>7.1678764748348618</v>
      </c>
      <c r="X37" s="68">
        <f t="shared" ca="1" si="155"/>
        <v>13.891233478362135</v>
      </c>
      <c r="Y37" s="68">
        <f t="shared" ca="1" si="156"/>
        <v>3.5839382374174309</v>
      </c>
      <c r="Z37" s="68">
        <f t="shared" ca="1" si="157"/>
        <v>0.45011356785018791</v>
      </c>
      <c r="AA37" s="68">
        <f t="shared" ca="1" si="158"/>
        <v>5.2508862548208874</v>
      </c>
      <c r="AB37" s="68">
        <f t="shared" ca="1" si="159"/>
        <v>10.043361804855824</v>
      </c>
      <c r="AC37" s="68">
        <f t="shared" ca="1" si="160"/>
        <v>2.6254431274104437</v>
      </c>
      <c r="AD37" s="68">
        <f t="shared" ca="1" si="161"/>
        <v>0.72812488916942164</v>
      </c>
      <c r="AE37" s="178">
        <f t="shared" ca="1" si="162"/>
        <v>12.779934800093166</v>
      </c>
      <c r="AF37" s="68">
        <f t="shared" ca="1" si="163"/>
        <v>5.7509706600419239</v>
      </c>
      <c r="AG37" s="68">
        <f t="shared" ca="1" si="164"/>
        <v>0.3158359908864764</v>
      </c>
      <c r="AH37" s="178">
        <f t="shared" ca="1" si="165"/>
        <v>0.52404528527693484</v>
      </c>
      <c r="AI37" s="68">
        <f t="shared" ca="1" si="166"/>
        <v>10.473990042685051</v>
      </c>
      <c r="AJ37" s="68">
        <f t="shared" ca="1" si="167"/>
        <v>9.8349933026803917</v>
      </c>
      <c r="AK37" s="68">
        <f t="shared" ca="1" si="168"/>
        <v>3.1548359908864763</v>
      </c>
      <c r="AL37" s="68">
        <f t="shared" ca="1" si="169"/>
        <v>1.2286752417682947</v>
      </c>
      <c r="AM37" s="68">
        <f t="shared" ca="1" si="170"/>
        <v>3.7506330391577767</v>
      </c>
      <c r="AN37" s="68">
        <f t="shared" ca="1" si="171"/>
        <v>8.2513926861471081</v>
      </c>
      <c r="AO37" s="68">
        <f t="shared" ca="1" si="172"/>
        <v>1.8753165195788883</v>
      </c>
      <c r="AP37" s="68">
        <f t="shared" ca="1" si="173"/>
        <v>1.7853244035738545</v>
      </c>
      <c r="AQ37" s="68">
        <f t="shared" ca="1" si="174"/>
        <v>0.50586035218707748</v>
      </c>
      <c r="AR37" s="68">
        <f t="shared" ca="1" si="175"/>
        <v>1.1401314091601054</v>
      </c>
      <c r="AS37" s="68">
        <f t="shared" ca="1" si="176"/>
        <v>0.25293017609353874</v>
      </c>
      <c r="AT37" s="68">
        <f t="shared" ca="1" si="177"/>
        <v>2.6254431274104437</v>
      </c>
      <c r="AU37" s="68">
        <f t="shared" ca="1" si="178"/>
        <v>5.5564933913448549</v>
      </c>
      <c r="AV37" s="68">
        <f t="shared" ca="1" si="179"/>
        <v>1.3127215637052219</v>
      </c>
      <c r="AW37" s="68">
        <f t="shared" ca="1" si="180"/>
        <v>1.8912334783621341</v>
      </c>
      <c r="AX37" s="68">
        <f t="shared" ca="1" si="181"/>
        <v>0.98448207002562005</v>
      </c>
      <c r="AY37" s="68">
        <f t="shared" ca="1" si="182"/>
        <v>2.144069646577536</v>
      </c>
      <c r="AZ37" s="68">
        <f t="shared" ca="1" si="183"/>
        <v>0.49224103501281002</v>
      </c>
      <c r="BA37" s="68">
        <f t="shared" ca="1" si="184"/>
        <v>4.0423489422033807</v>
      </c>
      <c r="BB37" s="68">
        <f t="shared" ca="1" si="185"/>
        <v>4.8341492504700225</v>
      </c>
      <c r="BC37" s="68">
        <f t="shared" ca="1" si="186"/>
        <v>1.6661766944370402</v>
      </c>
      <c r="BD37" s="68">
        <f t="shared" ca="1" si="187"/>
        <v>1.7373065622639374</v>
      </c>
      <c r="BE37" s="68">
        <f t="shared" ca="1" si="188"/>
        <v>0.93778726828527437</v>
      </c>
      <c r="BF37" s="68">
        <f t="shared" ca="1" si="189"/>
        <v>6.7372482370056357</v>
      </c>
      <c r="BG37" s="68">
        <f t="shared" ca="1" si="190"/>
        <v>3.6672856382876038</v>
      </c>
      <c r="BH37" s="68">
        <f t="shared" ca="1" si="191"/>
        <v>0.72055995525597305</v>
      </c>
      <c r="BI37" s="68">
        <f t="shared" ca="1" si="192"/>
        <v>1.3819380600885054</v>
      </c>
      <c r="BJ37" s="68">
        <f t="shared" ca="1" si="193"/>
        <v>0.20234414087483099</v>
      </c>
      <c r="BK37" s="68">
        <f t="shared" ca="1" si="194"/>
        <v>2.5004220261051842</v>
      </c>
      <c r="BL37" s="68">
        <f t="shared" ca="1" si="195"/>
        <v>0.94460387652862532</v>
      </c>
      <c r="BM37" s="68">
        <f t="shared" ca="1" si="196"/>
        <v>0.57682621090045083</v>
      </c>
      <c r="BN37" s="68">
        <f t="shared" ca="1" si="197"/>
        <v>2.0041262531737045</v>
      </c>
      <c r="BO37" s="68">
        <f t="shared" ca="1" si="198"/>
        <v>0.52531651957888814</v>
      </c>
      <c r="BP37" s="68">
        <f t="shared" ca="1" si="199"/>
        <v>3.9451103078548462</v>
      </c>
      <c r="BQ37" s="68">
        <f t="shared" ca="1" si="200"/>
        <v>3.389460968720361</v>
      </c>
      <c r="BR37" s="68">
        <f t="shared" ca="1" si="201"/>
        <v>0.86051123265477103</v>
      </c>
      <c r="BS37" s="68">
        <f t="shared" ca="1" si="202"/>
        <v>1.7194866940252447</v>
      </c>
      <c r="BT37" s="68">
        <f t="shared" ca="1" si="203"/>
        <v>0.47083925088181827</v>
      </c>
      <c r="BU37" s="68">
        <f t="shared" ca="1" si="204"/>
        <v>3.9451103078548462</v>
      </c>
      <c r="BV37" s="68">
        <f t="shared" ca="1" si="205"/>
        <v>3.389460968720361</v>
      </c>
      <c r="BW37" s="68">
        <f t="shared" ca="1" si="206"/>
        <v>1.1933683248465066</v>
      </c>
      <c r="BX37" s="68">
        <f t="shared" ca="1" si="207"/>
        <v>1.3766539631341101</v>
      </c>
      <c r="BY37" s="68">
        <f t="shared" ca="1" si="208"/>
        <v>0.57590255479759589</v>
      </c>
      <c r="BZ37" s="68">
        <f t="shared" ca="1" si="209"/>
        <v>0.76784079221502644</v>
      </c>
      <c r="CA37" s="68">
        <f t="shared" ca="1" si="210"/>
        <v>1.595332642226672</v>
      </c>
      <c r="CB37" s="68">
        <f t="shared" ca="1" si="211"/>
        <v>4.3815288966357633</v>
      </c>
      <c r="CC37" s="68">
        <f t="shared" ca="1" si="212"/>
        <v>1.595332642226672</v>
      </c>
      <c r="CD37" s="68">
        <f t="shared" ca="1" si="213"/>
        <v>1.8761844193121213</v>
      </c>
      <c r="CE37" s="68">
        <f t="shared" ca="1" si="214"/>
        <v>5.327098631877762</v>
      </c>
      <c r="CF37" s="68">
        <f t="shared" ca="1" si="215"/>
        <v>1.8761844193121213</v>
      </c>
      <c r="CG37" s="68">
        <f t="shared" ca="1" si="216"/>
        <v>0.47280836959053352</v>
      </c>
    </row>
    <row r="38" spans="1:85" x14ac:dyDescent="0.25">
      <c r="A38" t="e">
        <f t="shared" si="136"/>
        <v>#REF!</v>
      </c>
      <c r="B38" t="e">
        <f t="shared" si="136"/>
        <v>#REF!</v>
      </c>
      <c r="C38" s="49" t="e">
        <f t="shared" si="136"/>
        <v>#REF!</v>
      </c>
      <c r="D38" t="e">
        <f t="shared" si="136"/>
        <v>#REF!</v>
      </c>
      <c r="E38" s="167" t="e">
        <f t="shared" si="136"/>
        <v>#REF!</v>
      </c>
      <c r="F38" s="132" t="e">
        <f t="shared" si="137"/>
        <v>#REF!</v>
      </c>
      <c r="G38" s="133" t="e">
        <f t="shared" si="138"/>
        <v>#REF!</v>
      </c>
      <c r="H38" s="48" t="e">
        <f t="shared" si="139"/>
        <v>#REF!</v>
      </c>
      <c r="I38" s="48" t="e">
        <f t="shared" si="140"/>
        <v>#REF!</v>
      </c>
      <c r="J38" s="48" t="e">
        <f t="shared" si="141"/>
        <v>#REF!</v>
      </c>
      <c r="K38" s="48" t="e">
        <f t="shared" si="142"/>
        <v>#REF!</v>
      </c>
      <c r="L38" s="48" t="e">
        <f t="shared" si="143"/>
        <v>#REF!</v>
      </c>
      <c r="M38" s="48" t="e">
        <f t="shared" si="144"/>
        <v>#REF!</v>
      </c>
      <c r="N38" s="48" t="e">
        <f t="shared" si="145"/>
        <v>#REF!</v>
      </c>
      <c r="O38" s="133" t="e">
        <f t="shared" si="146"/>
        <v>#REF!</v>
      </c>
      <c r="P38" s="133" t="e">
        <f t="shared" si="147"/>
        <v>#REF!</v>
      </c>
      <c r="Q38" s="133" t="e">
        <f t="shared" si="148"/>
        <v>#REF!</v>
      </c>
      <c r="R38" s="133" t="e">
        <f t="shared" si="149"/>
        <v>#REF!</v>
      </c>
      <c r="S38" s="133" t="e">
        <f t="shared" ca="1" si="150"/>
        <v>#REF!</v>
      </c>
      <c r="T38" s="68" t="e">
        <f t="shared" si="151"/>
        <v>#REF!</v>
      </c>
      <c r="U38" s="68" t="e">
        <f t="shared" si="152"/>
        <v>#REF!</v>
      </c>
      <c r="V38" s="68" t="e">
        <f t="shared" si="153"/>
        <v>#REF!</v>
      </c>
      <c r="W38" s="68" t="e">
        <f t="shared" si="154"/>
        <v>#REF!</v>
      </c>
      <c r="X38" s="68" t="e">
        <f t="shared" si="155"/>
        <v>#REF!</v>
      </c>
      <c r="Y38" s="68" t="e">
        <f t="shared" si="156"/>
        <v>#REF!</v>
      </c>
      <c r="Z38" s="68" t="e">
        <f t="shared" si="157"/>
        <v>#REF!</v>
      </c>
      <c r="AA38" s="68" t="e">
        <f t="shared" si="158"/>
        <v>#REF!</v>
      </c>
      <c r="AB38" s="68" t="e">
        <f t="shared" si="159"/>
        <v>#REF!</v>
      </c>
      <c r="AC38" s="68" t="e">
        <f t="shared" si="160"/>
        <v>#REF!</v>
      </c>
      <c r="AD38" s="68" t="e">
        <f t="shared" si="161"/>
        <v>#REF!</v>
      </c>
      <c r="AE38" s="178" t="e">
        <f t="shared" si="162"/>
        <v>#REF!</v>
      </c>
      <c r="AF38" s="68" t="e">
        <f t="shared" si="163"/>
        <v>#REF!</v>
      </c>
      <c r="AG38" s="68" t="e">
        <f t="shared" si="164"/>
        <v>#REF!</v>
      </c>
      <c r="AH38" s="178" t="e">
        <f t="shared" si="165"/>
        <v>#REF!</v>
      </c>
      <c r="AI38" s="68" t="e">
        <f t="shared" si="166"/>
        <v>#REF!</v>
      </c>
      <c r="AJ38" s="68" t="e">
        <f t="shared" si="167"/>
        <v>#REF!</v>
      </c>
      <c r="AK38" s="68" t="e">
        <f t="shared" si="168"/>
        <v>#REF!</v>
      </c>
      <c r="AL38" s="68" t="e">
        <f t="shared" si="169"/>
        <v>#REF!</v>
      </c>
      <c r="AM38" s="68" t="e">
        <f t="shared" si="170"/>
        <v>#REF!</v>
      </c>
      <c r="AN38" s="68" t="e">
        <f t="shared" si="171"/>
        <v>#REF!</v>
      </c>
      <c r="AO38" s="68" t="e">
        <f t="shared" si="172"/>
        <v>#REF!</v>
      </c>
      <c r="AP38" s="68" t="e">
        <f t="shared" si="173"/>
        <v>#REF!</v>
      </c>
      <c r="AQ38" s="68" t="e">
        <f t="shared" si="174"/>
        <v>#REF!</v>
      </c>
      <c r="AR38" s="68" t="e">
        <f t="shared" si="175"/>
        <v>#REF!</v>
      </c>
      <c r="AS38" s="68" t="e">
        <f t="shared" si="176"/>
        <v>#REF!</v>
      </c>
      <c r="AT38" s="68" t="e">
        <f t="shared" si="177"/>
        <v>#REF!</v>
      </c>
      <c r="AU38" s="68" t="e">
        <f t="shared" si="178"/>
        <v>#REF!</v>
      </c>
      <c r="AV38" s="68" t="e">
        <f t="shared" si="179"/>
        <v>#REF!</v>
      </c>
      <c r="AW38" s="68" t="e">
        <f t="shared" si="180"/>
        <v>#REF!</v>
      </c>
      <c r="AX38" s="68" t="e">
        <f t="shared" si="181"/>
        <v>#REF!</v>
      </c>
      <c r="AY38" s="68" t="e">
        <f t="shared" si="182"/>
        <v>#REF!</v>
      </c>
      <c r="AZ38" s="68" t="e">
        <f t="shared" si="183"/>
        <v>#REF!</v>
      </c>
      <c r="BA38" s="68" t="e">
        <f t="shared" si="184"/>
        <v>#REF!</v>
      </c>
      <c r="BB38" s="68" t="e">
        <f t="shared" si="185"/>
        <v>#REF!</v>
      </c>
      <c r="BC38" s="68" t="e">
        <f t="shared" si="186"/>
        <v>#REF!</v>
      </c>
      <c r="BD38" s="68" t="e">
        <f t="shared" si="187"/>
        <v>#REF!</v>
      </c>
      <c r="BE38" s="68" t="e">
        <f t="shared" si="188"/>
        <v>#REF!</v>
      </c>
      <c r="BF38" s="68" t="e">
        <f t="shared" si="189"/>
        <v>#REF!</v>
      </c>
      <c r="BG38" s="68" t="e">
        <f t="shared" si="190"/>
        <v>#REF!</v>
      </c>
      <c r="BH38" s="68" t="e">
        <f t="shared" si="191"/>
        <v>#REF!</v>
      </c>
      <c r="BI38" s="68" t="e">
        <f t="shared" si="192"/>
        <v>#REF!</v>
      </c>
      <c r="BJ38" s="68" t="e">
        <f t="shared" si="193"/>
        <v>#REF!</v>
      </c>
      <c r="BK38" s="68" t="e">
        <f t="shared" si="194"/>
        <v>#REF!</v>
      </c>
      <c r="BL38" s="68" t="e">
        <f t="shared" si="195"/>
        <v>#REF!</v>
      </c>
      <c r="BM38" s="68" t="e">
        <f t="shared" si="196"/>
        <v>#REF!</v>
      </c>
      <c r="BN38" s="68" t="e">
        <f t="shared" si="197"/>
        <v>#REF!</v>
      </c>
      <c r="BO38" s="68" t="e">
        <f t="shared" si="198"/>
        <v>#REF!</v>
      </c>
      <c r="BP38" s="68" t="e">
        <f t="shared" si="199"/>
        <v>#REF!</v>
      </c>
      <c r="BQ38" s="68" t="e">
        <f t="shared" si="200"/>
        <v>#REF!</v>
      </c>
      <c r="BR38" s="68" t="e">
        <f t="shared" si="201"/>
        <v>#REF!</v>
      </c>
      <c r="BS38" s="68" t="e">
        <f t="shared" si="202"/>
        <v>#REF!</v>
      </c>
      <c r="BT38" s="68" t="e">
        <f t="shared" si="203"/>
        <v>#REF!</v>
      </c>
      <c r="BU38" s="68" t="e">
        <f t="shared" si="204"/>
        <v>#REF!</v>
      </c>
      <c r="BV38" s="68" t="e">
        <f t="shared" si="205"/>
        <v>#REF!</v>
      </c>
      <c r="BW38" s="68" t="e">
        <f t="shared" si="206"/>
        <v>#REF!</v>
      </c>
      <c r="BX38" s="68" t="e">
        <f t="shared" si="207"/>
        <v>#REF!</v>
      </c>
      <c r="BY38" s="68" t="e">
        <f t="shared" si="208"/>
        <v>#REF!</v>
      </c>
      <c r="BZ38" s="68" t="e">
        <f t="shared" si="209"/>
        <v>#REF!</v>
      </c>
      <c r="CA38" s="68" t="e">
        <f t="shared" si="210"/>
        <v>#REF!</v>
      </c>
      <c r="CB38" s="68" t="e">
        <f t="shared" si="211"/>
        <v>#REF!</v>
      </c>
      <c r="CC38" s="68" t="e">
        <f t="shared" si="212"/>
        <v>#REF!</v>
      </c>
      <c r="CD38" s="68" t="e">
        <f t="shared" si="213"/>
        <v>#REF!</v>
      </c>
      <c r="CE38" s="68" t="e">
        <f t="shared" si="214"/>
        <v>#REF!</v>
      </c>
      <c r="CF38" s="68" t="e">
        <f t="shared" si="215"/>
        <v>#REF!</v>
      </c>
      <c r="CG38" s="68" t="e">
        <f t="shared" si="216"/>
        <v>#REF!</v>
      </c>
    </row>
    <row r="39" spans="1:85" x14ac:dyDescent="0.25">
      <c r="A39" t="str">
        <f t="shared" si="136"/>
        <v>V. Gardner</v>
      </c>
      <c r="B39" t="str">
        <f t="shared" si="136"/>
        <v>32.68</v>
      </c>
      <c r="C39" s="49" t="e">
        <f t="shared" si="136"/>
        <v>#REF!</v>
      </c>
      <c r="D39" t="str">
        <f t="shared" si="136"/>
        <v/>
      </c>
      <c r="E39" s="167">
        <f t="shared" si="136"/>
        <v>43756</v>
      </c>
      <c r="F39" s="132">
        <f t="shared" ca="1" si="137"/>
        <v>1</v>
      </c>
      <c r="G39" s="133">
        <f t="shared" si="138"/>
        <v>10</v>
      </c>
      <c r="H39" s="48">
        <f t="shared" si="139"/>
        <v>0</v>
      </c>
      <c r="I39" s="48">
        <f t="shared" si="140"/>
        <v>15</v>
      </c>
      <c r="J39" s="48">
        <f t="shared" si="141"/>
        <v>8</v>
      </c>
      <c r="K39" s="48">
        <f t="shared" si="142"/>
        <v>3</v>
      </c>
      <c r="L39" s="48">
        <f t="shared" si="143"/>
        <v>4</v>
      </c>
      <c r="M39" s="48">
        <f t="shared" si="144"/>
        <v>7</v>
      </c>
      <c r="N39" s="48">
        <f t="shared" si="145"/>
        <v>19</v>
      </c>
      <c r="O39" s="133">
        <f t="shared" si="146"/>
        <v>3.25</v>
      </c>
      <c r="P39" s="133">
        <f t="shared" ca="1" si="147"/>
        <v>19.626666666666665</v>
      </c>
      <c r="Q39" s="133">
        <f t="shared" si="148"/>
        <v>0.91999999999999993</v>
      </c>
      <c r="R39" s="133">
        <f t="shared" si="149"/>
        <v>1.17</v>
      </c>
      <c r="S39" s="133">
        <f t="shared" ca="1" si="150"/>
        <v>21.333333333333332</v>
      </c>
      <c r="T39" s="68">
        <f t="shared" ca="1" si="151"/>
        <v>6.1769999999999996</v>
      </c>
      <c r="U39" s="68">
        <f t="shared" ca="1" si="152"/>
        <v>9.3873333333333324</v>
      </c>
      <c r="V39" s="68">
        <f t="shared" ca="1" si="153"/>
        <v>6.1769999999999996</v>
      </c>
      <c r="W39" s="68">
        <f t="shared" ca="1" si="154"/>
        <v>8.9439999999999991</v>
      </c>
      <c r="X39" s="68">
        <f t="shared" ca="1" si="155"/>
        <v>17.333333333333332</v>
      </c>
      <c r="Y39" s="68">
        <f t="shared" ca="1" si="156"/>
        <v>4.4719999999999995</v>
      </c>
      <c r="Z39" s="68">
        <f t="shared" ca="1" si="157"/>
        <v>2.4593333333333334</v>
      </c>
      <c r="AA39" s="68">
        <f t="shared" ca="1" si="158"/>
        <v>6.5519999999999996</v>
      </c>
      <c r="AB39" s="68">
        <f t="shared" ca="1" si="159"/>
        <v>12.531999999999998</v>
      </c>
      <c r="AC39" s="68">
        <f t="shared" ca="1" si="160"/>
        <v>3.2759999999999998</v>
      </c>
      <c r="AD39" s="68">
        <f t="shared" ca="1" si="161"/>
        <v>3.9783333333333335</v>
      </c>
      <c r="AE39" s="178">
        <f t="shared" ca="1" si="162"/>
        <v>15.946666666666665</v>
      </c>
      <c r="AF39" s="68">
        <f t="shared" ca="1" si="163"/>
        <v>7.1759999999999993</v>
      </c>
      <c r="AG39" s="68">
        <f t="shared" ca="1" si="164"/>
        <v>1.7256666666666669</v>
      </c>
      <c r="AH39" s="178">
        <f t="shared" ca="1" si="165"/>
        <v>3.1359999999999997</v>
      </c>
      <c r="AI39" s="68">
        <f t="shared" ca="1" si="166"/>
        <v>13.069333333333333</v>
      </c>
      <c r="AJ39" s="68">
        <f t="shared" ca="1" si="167"/>
        <v>12.271999999999998</v>
      </c>
      <c r="AK39" s="68">
        <f t="shared" ca="1" si="168"/>
        <v>3.5626666666666669</v>
      </c>
      <c r="AL39" s="68">
        <f t="shared" ca="1" si="169"/>
        <v>1.6079999999999999</v>
      </c>
      <c r="AM39" s="68">
        <f t="shared" ca="1" si="170"/>
        <v>4.68</v>
      </c>
      <c r="AN39" s="68">
        <f t="shared" ca="1" si="171"/>
        <v>10.295999999999999</v>
      </c>
      <c r="AO39" s="68">
        <f t="shared" ca="1" si="172"/>
        <v>2.34</v>
      </c>
      <c r="AP39" s="68">
        <f t="shared" ca="1" si="173"/>
        <v>9.754666666666667</v>
      </c>
      <c r="AQ39" s="68">
        <f t="shared" ca="1" si="174"/>
        <v>0.82333333333333336</v>
      </c>
      <c r="AR39" s="68">
        <f t="shared" ca="1" si="175"/>
        <v>2.3746666666666667</v>
      </c>
      <c r="AS39" s="68">
        <f t="shared" ca="1" si="176"/>
        <v>0.41166666666666668</v>
      </c>
      <c r="AT39" s="68">
        <f t="shared" ca="1" si="177"/>
        <v>3.2759999999999998</v>
      </c>
      <c r="AU39" s="68">
        <f t="shared" ca="1" si="178"/>
        <v>6.9333333333333336</v>
      </c>
      <c r="AV39" s="68">
        <f t="shared" ca="1" si="179"/>
        <v>1.6379999999999999</v>
      </c>
      <c r="AW39" s="68">
        <f t="shared" ca="1" si="180"/>
        <v>10.333333333333334</v>
      </c>
      <c r="AX39" s="68">
        <f t="shared" ca="1" si="181"/>
        <v>1.6023333333333332</v>
      </c>
      <c r="AY39" s="68">
        <f t="shared" ca="1" si="182"/>
        <v>4.1196666666666673</v>
      </c>
      <c r="AZ39" s="68">
        <f t="shared" ca="1" si="183"/>
        <v>0.80116666666666658</v>
      </c>
      <c r="BA39" s="68">
        <f t="shared" ca="1" si="184"/>
        <v>5.0439999999999996</v>
      </c>
      <c r="BB39" s="68">
        <f t="shared" ca="1" si="185"/>
        <v>6.0319999999999991</v>
      </c>
      <c r="BC39" s="68">
        <f t="shared" ca="1" si="186"/>
        <v>9.1036666666666672</v>
      </c>
      <c r="BD39" s="68">
        <f t="shared" ca="1" si="187"/>
        <v>5.0563333333333329</v>
      </c>
      <c r="BE39" s="68">
        <f t="shared" ca="1" si="188"/>
        <v>1.5263333333333333</v>
      </c>
      <c r="BF39" s="68">
        <f t="shared" ca="1" si="189"/>
        <v>8.4066666666666663</v>
      </c>
      <c r="BG39" s="68">
        <f t="shared" ca="1" si="190"/>
        <v>4.5759999999999996</v>
      </c>
      <c r="BH39" s="68">
        <f t="shared" ca="1" si="191"/>
        <v>3.9370000000000003</v>
      </c>
      <c r="BI39" s="68">
        <f t="shared" ca="1" si="192"/>
        <v>4.862333333333333</v>
      </c>
      <c r="BJ39" s="68">
        <f t="shared" ca="1" si="193"/>
        <v>0.32933333333333331</v>
      </c>
      <c r="BK39" s="68">
        <f t="shared" ca="1" si="194"/>
        <v>3.1199999999999997</v>
      </c>
      <c r="BL39" s="68">
        <f t="shared" ca="1" si="195"/>
        <v>1.1786666666666668</v>
      </c>
      <c r="BM39" s="68">
        <f t="shared" ca="1" si="196"/>
        <v>3.1516666666666668</v>
      </c>
      <c r="BN39" s="68">
        <f t="shared" ca="1" si="197"/>
        <v>7.1446666666666658</v>
      </c>
      <c r="BO39" s="68">
        <f t="shared" ca="1" si="198"/>
        <v>0.85499999999999998</v>
      </c>
      <c r="BP39" s="68">
        <f t="shared" ca="1" si="199"/>
        <v>4.9226666666666663</v>
      </c>
      <c r="BQ39" s="68">
        <f t="shared" ca="1" si="200"/>
        <v>4.2293333333333329</v>
      </c>
      <c r="BR39" s="68">
        <f t="shared" ca="1" si="201"/>
        <v>4.7016666666666671</v>
      </c>
      <c r="BS39" s="68">
        <f t="shared" ca="1" si="202"/>
        <v>6.1533333333333324</v>
      </c>
      <c r="BT39" s="68">
        <f t="shared" ca="1" si="203"/>
        <v>0.76633333333333331</v>
      </c>
      <c r="BU39" s="68">
        <f t="shared" ca="1" si="204"/>
        <v>4.9226666666666663</v>
      </c>
      <c r="BV39" s="68">
        <f t="shared" ca="1" si="205"/>
        <v>4.2293333333333329</v>
      </c>
      <c r="BW39" s="68">
        <f t="shared" ca="1" si="206"/>
        <v>6.5203333333333342</v>
      </c>
      <c r="BX39" s="68">
        <f t="shared" ca="1" si="207"/>
        <v>4.966333333333333</v>
      </c>
      <c r="BY39" s="68">
        <f t="shared" ca="1" si="208"/>
        <v>0.93733333333333324</v>
      </c>
      <c r="BZ39" s="68">
        <f t="shared" ca="1" si="209"/>
        <v>4.195333333333334</v>
      </c>
      <c r="CA39" s="68">
        <f t="shared" ca="1" si="210"/>
        <v>3.5366666666666666</v>
      </c>
      <c r="CB39" s="68">
        <f t="shared" ca="1" si="211"/>
        <v>8.8803333333333327</v>
      </c>
      <c r="CC39" s="68">
        <f t="shared" ca="1" si="212"/>
        <v>3.5366666666666666</v>
      </c>
      <c r="CD39" s="68">
        <f t="shared" ca="1" si="213"/>
        <v>4.5046666666666662</v>
      </c>
      <c r="CE39" s="68">
        <f t="shared" ca="1" si="214"/>
        <v>11.670333333333334</v>
      </c>
      <c r="CF39" s="68">
        <f t="shared" ca="1" si="215"/>
        <v>4.5046666666666662</v>
      </c>
      <c r="CG39" s="68">
        <f t="shared" ca="1" si="216"/>
        <v>2.5833333333333335</v>
      </c>
    </row>
    <row r="40" spans="1:85" x14ac:dyDescent="0.25">
      <c r="A40" t="str">
        <f t="shared" si="136"/>
        <v>A. Grimaud</v>
      </c>
      <c r="B40" t="str">
        <f t="shared" si="136"/>
        <v>32.79</v>
      </c>
      <c r="C40" s="49" t="e">
        <f t="shared" si="136"/>
        <v>#REF!</v>
      </c>
      <c r="D40" t="str">
        <f t="shared" si="136"/>
        <v>Ráp</v>
      </c>
      <c r="E40" s="167">
        <f t="shared" si="136"/>
        <v>43739</v>
      </c>
      <c r="F40" s="132">
        <f t="shared" ca="1" si="137"/>
        <v>1</v>
      </c>
      <c r="G40" s="133">
        <f t="shared" si="138"/>
        <v>12</v>
      </c>
      <c r="H40" s="48">
        <f t="shared" si="139"/>
        <v>0</v>
      </c>
      <c r="I40" s="48">
        <f t="shared" si="140"/>
        <v>14</v>
      </c>
      <c r="J40" s="48">
        <f t="shared" si="141"/>
        <v>10</v>
      </c>
      <c r="K40" s="48">
        <f t="shared" si="142"/>
        <v>2</v>
      </c>
      <c r="L40" s="48">
        <f t="shared" si="143"/>
        <v>3</v>
      </c>
      <c r="M40" s="48">
        <f t="shared" si="144"/>
        <v>7</v>
      </c>
      <c r="N40" s="48">
        <f t="shared" si="145"/>
        <v>18</v>
      </c>
      <c r="O40" s="133">
        <f t="shared" si="146"/>
        <v>2.875</v>
      </c>
      <c r="P40" s="133">
        <f t="shared" ca="1" si="147"/>
        <v>19.309987405020337</v>
      </c>
      <c r="Q40" s="133">
        <f t="shared" si="148"/>
        <v>0.8899999999999999</v>
      </c>
      <c r="R40" s="133">
        <f t="shared" si="149"/>
        <v>1.1000000000000001</v>
      </c>
      <c r="S40" s="133">
        <f t="shared" ca="1" si="150"/>
        <v>20.438908328063501</v>
      </c>
      <c r="T40" s="68">
        <f t="shared" ca="1" si="151"/>
        <v>5.9931669703994359</v>
      </c>
      <c r="U40" s="68">
        <f t="shared" ca="1" si="152"/>
        <v>9.0986306515299784</v>
      </c>
      <c r="V40" s="68">
        <f t="shared" ca="1" si="153"/>
        <v>5.9931669703994359</v>
      </c>
      <c r="W40" s="68">
        <f t="shared" ca="1" si="154"/>
        <v>8.4824766972807666</v>
      </c>
      <c r="X40" s="68">
        <f t="shared" ca="1" si="155"/>
        <v>16.438908328063501</v>
      </c>
      <c r="Y40" s="68">
        <f t="shared" ca="1" si="156"/>
        <v>4.2412383486403833</v>
      </c>
      <c r="Z40" s="68">
        <f t="shared" ca="1" si="157"/>
        <v>2.9604601820791125</v>
      </c>
      <c r="AA40" s="68">
        <f t="shared" ca="1" si="158"/>
        <v>6.2139073480080036</v>
      </c>
      <c r="AB40" s="68">
        <f t="shared" ca="1" si="159"/>
        <v>11.885330721189911</v>
      </c>
      <c r="AC40" s="68">
        <f t="shared" ca="1" si="160"/>
        <v>3.1069536740040018</v>
      </c>
      <c r="AD40" s="68">
        <f t="shared" ca="1" si="161"/>
        <v>4.7889797063044472</v>
      </c>
      <c r="AE40" s="178">
        <f t="shared" ca="1" si="162"/>
        <v>15.123795661818422</v>
      </c>
      <c r="AF40" s="68">
        <f t="shared" ca="1" si="163"/>
        <v>6.805708047818289</v>
      </c>
      <c r="AG40" s="68">
        <f t="shared" ca="1" si="164"/>
        <v>2.0772976907866045</v>
      </c>
      <c r="AH40" s="178">
        <f t="shared" ca="1" si="165"/>
        <v>2.6100780969013377</v>
      </c>
      <c r="AI40" s="68">
        <f t="shared" ca="1" si="166"/>
        <v>12.39493687935988</v>
      </c>
      <c r="AJ40" s="68">
        <f t="shared" ca="1" si="167"/>
        <v>11.638747096268958</v>
      </c>
      <c r="AK40" s="68">
        <f t="shared" ca="1" si="168"/>
        <v>3.4132976907866048</v>
      </c>
      <c r="AL40" s="68">
        <f t="shared" ca="1" si="169"/>
        <v>1.5304055984822877</v>
      </c>
      <c r="AM40" s="68">
        <f t="shared" ca="1" si="170"/>
        <v>4.4385052485771457</v>
      </c>
      <c r="AN40" s="68">
        <f t="shared" ca="1" si="171"/>
        <v>9.7647115468697194</v>
      </c>
      <c r="AO40" s="68">
        <f t="shared" ca="1" si="172"/>
        <v>2.2192526242885728</v>
      </c>
      <c r="AP40" s="68">
        <f t="shared" ca="1" si="173"/>
        <v>11.742329461691943</v>
      </c>
      <c r="AQ40" s="68">
        <f t="shared" ca="1" si="174"/>
        <v>0.70705808264825498</v>
      </c>
      <c r="AR40" s="68">
        <f t="shared" ca="1" si="175"/>
        <v>2.2856001401226052</v>
      </c>
      <c r="AS40" s="68">
        <f t="shared" ca="1" si="176"/>
        <v>0.35352904132412749</v>
      </c>
      <c r="AT40" s="68">
        <f t="shared" ca="1" si="177"/>
        <v>3.1069536740040018</v>
      </c>
      <c r="AU40" s="68">
        <f t="shared" ca="1" si="178"/>
        <v>6.5755633312254007</v>
      </c>
      <c r="AV40" s="68">
        <f t="shared" ca="1" si="179"/>
        <v>1.5534768370020009</v>
      </c>
      <c r="AW40" s="68">
        <f t="shared" ca="1" si="180"/>
        <v>12.4389083280635</v>
      </c>
      <c r="AX40" s="68">
        <f t="shared" ca="1" si="181"/>
        <v>1.3760438070000653</v>
      </c>
      <c r="AY40" s="68">
        <f t="shared" ca="1" si="182"/>
        <v>3.8368384887629885</v>
      </c>
      <c r="AZ40" s="68">
        <f t="shared" ca="1" si="183"/>
        <v>0.68802190350003267</v>
      </c>
      <c r="BA40" s="68">
        <f t="shared" ca="1" si="184"/>
        <v>4.7837223234664785</v>
      </c>
      <c r="BB40" s="68">
        <f t="shared" ca="1" si="185"/>
        <v>5.7207400981660976</v>
      </c>
      <c r="BC40" s="68">
        <f t="shared" ca="1" si="186"/>
        <v>10.958678237023943</v>
      </c>
      <c r="BD40" s="68">
        <f t="shared" ca="1" si="187"/>
        <v>4.2611895036484508</v>
      </c>
      <c r="BE40" s="68">
        <f t="shared" ca="1" si="188"/>
        <v>1.3107769070633033</v>
      </c>
      <c r="BF40" s="68">
        <f t="shared" ca="1" si="189"/>
        <v>7.9728705391107981</v>
      </c>
      <c r="BG40" s="68">
        <f t="shared" ca="1" si="190"/>
        <v>4.3398717986087645</v>
      </c>
      <c r="BH40" s="68">
        <f t="shared" ca="1" si="191"/>
        <v>4.7392240729921937</v>
      </c>
      <c r="BI40" s="68">
        <f t="shared" ca="1" si="192"/>
        <v>4.080605878727499</v>
      </c>
      <c r="BJ40" s="68">
        <f t="shared" ca="1" si="193"/>
        <v>0.28282323305930196</v>
      </c>
      <c r="BK40" s="68">
        <f t="shared" ca="1" si="194"/>
        <v>2.95900349905143</v>
      </c>
      <c r="BL40" s="68">
        <f t="shared" ca="1" si="195"/>
        <v>1.1178457663083181</v>
      </c>
      <c r="BM40" s="68">
        <f t="shared" ca="1" si="196"/>
        <v>3.7938670400593675</v>
      </c>
      <c r="BN40" s="68">
        <f t="shared" ca="1" si="197"/>
        <v>5.9944361098896604</v>
      </c>
      <c r="BO40" s="68">
        <f t="shared" ca="1" si="198"/>
        <v>0.73425262428857252</v>
      </c>
      <c r="BP40" s="68">
        <f t="shared" ca="1" si="199"/>
        <v>4.6686499651700339</v>
      </c>
      <c r="BQ40" s="68">
        <f t="shared" ca="1" si="200"/>
        <v>4.0110936320474941</v>
      </c>
      <c r="BR40" s="68">
        <f t="shared" ca="1" si="201"/>
        <v>5.6597032892688928</v>
      </c>
      <c r="BS40" s="68">
        <f t="shared" ca="1" si="202"/>
        <v>5.162310427494357</v>
      </c>
      <c r="BT40" s="68">
        <f t="shared" ca="1" si="203"/>
        <v>0.65810790769568339</v>
      </c>
      <c r="BU40" s="68">
        <f t="shared" ca="1" si="204"/>
        <v>4.6686499651700339</v>
      </c>
      <c r="BV40" s="68">
        <f t="shared" ca="1" si="205"/>
        <v>4.0110936320474941</v>
      </c>
      <c r="BW40" s="68">
        <f t="shared" ca="1" si="206"/>
        <v>7.8489511550080682</v>
      </c>
      <c r="BX40" s="68">
        <f t="shared" ca="1" si="207"/>
        <v>4.1658229536168321</v>
      </c>
      <c r="BY40" s="68">
        <f t="shared" ca="1" si="208"/>
        <v>0.80495843255339794</v>
      </c>
      <c r="BZ40" s="68">
        <f t="shared" ca="1" si="209"/>
        <v>5.0501967811937813</v>
      </c>
      <c r="CA40" s="68">
        <f t="shared" ca="1" si="210"/>
        <v>3.1976712389210835</v>
      </c>
      <c r="CB40" s="68">
        <f t="shared" ca="1" si="211"/>
        <v>8.4562107773994999</v>
      </c>
      <c r="CC40" s="68">
        <f t="shared" ca="1" si="212"/>
        <v>3.1976712389210835</v>
      </c>
      <c r="CD40" s="68">
        <f t="shared" ca="1" si="213"/>
        <v>4.2074398883835604</v>
      </c>
      <c r="CE40" s="68">
        <f t="shared" ca="1" si="214"/>
        <v>11.445865501118931</v>
      </c>
      <c r="CF40" s="68">
        <f t="shared" ca="1" si="215"/>
        <v>4.2074398883835604</v>
      </c>
      <c r="CG40" s="68">
        <f t="shared" ca="1" si="216"/>
        <v>3.1097270820158749</v>
      </c>
    </row>
    <row r="41" spans="1:85" x14ac:dyDescent="0.25">
      <c r="A41" t="str">
        <f t="shared" si="136"/>
        <v>C. Mosser</v>
      </c>
      <c r="B41" t="str">
        <f t="shared" si="136"/>
        <v>30.96</v>
      </c>
      <c r="C41" s="49" t="e">
        <f t="shared" si="136"/>
        <v>#REF!</v>
      </c>
      <c r="D41" t="str">
        <f t="shared" si="136"/>
        <v>Cab</v>
      </c>
      <c r="E41" s="167">
        <f t="shared" si="136"/>
        <v>45169</v>
      </c>
      <c r="F41" s="132">
        <f t="shared" ca="1" si="137"/>
        <v>0.1895939470598198</v>
      </c>
      <c r="G41" s="133">
        <f t="shared" si="138"/>
        <v>10</v>
      </c>
      <c r="H41" s="48">
        <f t="shared" si="139"/>
        <v>1</v>
      </c>
      <c r="I41" s="48">
        <f t="shared" si="140"/>
        <v>15</v>
      </c>
      <c r="J41" s="48">
        <f t="shared" si="141"/>
        <v>3</v>
      </c>
      <c r="K41" s="48">
        <f t="shared" si="142"/>
        <v>6</v>
      </c>
      <c r="L41" s="48">
        <f t="shared" si="143"/>
        <v>2</v>
      </c>
      <c r="M41" s="48">
        <f t="shared" si="144"/>
        <v>11</v>
      </c>
      <c r="N41" s="48">
        <f t="shared" si="145"/>
        <v>19</v>
      </c>
      <c r="O41" s="133">
        <f t="shared" si="146"/>
        <v>2.75</v>
      </c>
      <c r="P41" s="133">
        <f t="shared" ca="1" si="147"/>
        <v>24.475669289668865</v>
      </c>
      <c r="Q41" s="133">
        <f t="shared" si="148"/>
        <v>1.1199999999999999</v>
      </c>
      <c r="R41" s="133">
        <f t="shared" si="149"/>
        <v>1.17</v>
      </c>
      <c r="S41" s="133">
        <f t="shared" ca="1" si="150"/>
        <v>20.606105696128324</v>
      </c>
      <c r="T41" s="68">
        <f t="shared" ca="1" si="151"/>
        <v>6.0665155157832231</v>
      </c>
      <c r="U41" s="68">
        <f t="shared" ca="1" si="152"/>
        <v>9.2070991189875606</v>
      </c>
      <c r="V41" s="68">
        <f t="shared" ca="1" si="153"/>
        <v>6.0665155157832231</v>
      </c>
      <c r="W41" s="68">
        <f t="shared" ca="1" si="154"/>
        <v>8.5258304766828665</v>
      </c>
      <c r="X41" s="68">
        <f t="shared" ca="1" si="155"/>
        <v>16.522927280393152</v>
      </c>
      <c r="Y41" s="68">
        <f t="shared" ca="1" si="156"/>
        <v>4.2629152383414333</v>
      </c>
      <c r="Z41" s="68">
        <f t="shared" ca="1" si="157"/>
        <v>1.0764566927335704</v>
      </c>
      <c r="AA41" s="68">
        <f t="shared" ca="1" si="158"/>
        <v>6.2456665119886114</v>
      </c>
      <c r="AB41" s="68">
        <f t="shared" ca="1" si="159"/>
        <v>11.946076423724248</v>
      </c>
      <c r="AC41" s="68">
        <f t="shared" ca="1" si="160"/>
        <v>3.1228332559943057</v>
      </c>
      <c r="AD41" s="68">
        <f t="shared" ca="1" si="161"/>
        <v>1.7413270029513641</v>
      </c>
      <c r="AE41" s="178">
        <f t="shared" ca="1" si="162"/>
        <v>15.201093097961699</v>
      </c>
      <c r="AF41" s="68">
        <f t="shared" ca="1" si="163"/>
        <v>6.8404918940827644</v>
      </c>
      <c r="AG41" s="68">
        <f t="shared" ca="1" si="164"/>
        <v>0.75532885582565668</v>
      </c>
      <c r="AH41" s="178">
        <f t="shared" ca="1" si="165"/>
        <v>4.4234812408711734</v>
      </c>
      <c r="AI41" s="68">
        <f t="shared" ca="1" si="166"/>
        <v>12.458287169416437</v>
      </c>
      <c r="AJ41" s="68">
        <f t="shared" ca="1" si="167"/>
        <v>11.698232514518351</v>
      </c>
      <c r="AK41" s="68">
        <f t="shared" ca="1" si="168"/>
        <v>3.4273288558256567</v>
      </c>
      <c r="AL41" s="68">
        <f t="shared" ca="1" si="169"/>
        <v>1.230603056753228</v>
      </c>
      <c r="AM41" s="68">
        <f t="shared" ca="1" si="170"/>
        <v>4.4611903657061509</v>
      </c>
      <c r="AN41" s="68">
        <f t="shared" ca="1" si="171"/>
        <v>9.8146188045535308</v>
      </c>
      <c r="AO41" s="68">
        <f t="shared" ca="1" si="172"/>
        <v>2.2305951828530755</v>
      </c>
      <c r="AP41" s="68">
        <f t="shared" ca="1" si="173"/>
        <v>4.2696433526911362</v>
      </c>
      <c r="AQ41" s="68">
        <f t="shared" ca="1" si="174"/>
        <v>0.45798054645110992</v>
      </c>
      <c r="AR41" s="68">
        <f t="shared" ca="1" si="175"/>
        <v>2.5892176931551938</v>
      </c>
      <c r="AS41" s="68">
        <f t="shared" ca="1" si="176"/>
        <v>0.22899027322555496</v>
      </c>
      <c r="AT41" s="68">
        <f t="shared" ca="1" si="177"/>
        <v>3.1228332559943057</v>
      </c>
      <c r="AU41" s="68">
        <f t="shared" ca="1" si="178"/>
        <v>6.6091709121572606</v>
      </c>
      <c r="AV41" s="68">
        <f t="shared" ca="1" si="179"/>
        <v>1.5614166279971529</v>
      </c>
      <c r="AW41" s="68">
        <f t="shared" ca="1" si="180"/>
        <v>4.5229272803931533</v>
      </c>
      <c r="AX41" s="68">
        <f t="shared" ca="1" si="181"/>
        <v>0.89130060193946781</v>
      </c>
      <c r="AY41" s="68">
        <f t="shared" ca="1" si="182"/>
        <v>3.8311329314966276</v>
      </c>
      <c r="AZ41" s="68">
        <f t="shared" ca="1" si="183"/>
        <v>0.4456503009697339</v>
      </c>
      <c r="BA41" s="68">
        <f t="shared" ca="1" si="184"/>
        <v>4.808171838594407</v>
      </c>
      <c r="BB41" s="68">
        <f t="shared" ca="1" si="185"/>
        <v>5.749978693576816</v>
      </c>
      <c r="BC41" s="68">
        <f t="shared" ca="1" si="186"/>
        <v>3.9846989340263681</v>
      </c>
      <c r="BD41" s="68">
        <f t="shared" ca="1" si="187"/>
        <v>5.4278823522695125</v>
      </c>
      <c r="BE41" s="68">
        <f t="shared" ca="1" si="188"/>
        <v>0.84902547457474986</v>
      </c>
      <c r="BF41" s="68">
        <f t="shared" ca="1" si="189"/>
        <v>8.013619730990678</v>
      </c>
      <c r="BG41" s="68">
        <f t="shared" ca="1" si="190"/>
        <v>4.3620528020237925</v>
      </c>
      <c r="BH41" s="68">
        <f t="shared" ca="1" si="191"/>
        <v>1.7232352938297915</v>
      </c>
      <c r="BI41" s="68">
        <f t="shared" ca="1" si="192"/>
        <v>5.7710384430636159</v>
      </c>
      <c r="BJ41" s="68">
        <f t="shared" ca="1" si="193"/>
        <v>0.18319221858044396</v>
      </c>
      <c r="BK41" s="68">
        <f t="shared" ca="1" si="194"/>
        <v>2.9741269104707673</v>
      </c>
      <c r="BL41" s="68">
        <f t="shared" ca="1" si="195"/>
        <v>1.1235590550667345</v>
      </c>
      <c r="BM41" s="68">
        <f t="shared" ca="1" si="196"/>
        <v>1.3794928205199117</v>
      </c>
      <c r="BN41" s="68">
        <f t="shared" ca="1" si="197"/>
        <v>8.5304844825855941</v>
      </c>
      <c r="BO41" s="68">
        <f t="shared" ca="1" si="198"/>
        <v>0.47559518285307573</v>
      </c>
      <c r="BP41" s="68">
        <f t="shared" ca="1" si="199"/>
        <v>4.6925113476316547</v>
      </c>
      <c r="BQ41" s="68">
        <f t="shared" ca="1" si="200"/>
        <v>4.0315942564159286</v>
      </c>
      <c r="BR41" s="68">
        <f t="shared" ca="1" si="201"/>
        <v>2.0579319125788849</v>
      </c>
      <c r="BS41" s="68">
        <f t="shared" ca="1" si="202"/>
        <v>7.3594034266756125</v>
      </c>
      <c r="BT41" s="68">
        <f t="shared" ca="1" si="203"/>
        <v>0.42627420092757151</v>
      </c>
      <c r="BU41" s="68">
        <f t="shared" ca="1" si="204"/>
        <v>4.6925113476316547</v>
      </c>
      <c r="BV41" s="68">
        <f t="shared" ca="1" si="205"/>
        <v>4.0315942564159286</v>
      </c>
      <c r="BW41" s="68">
        <f t="shared" ca="1" si="206"/>
        <v>2.8539671139280798</v>
      </c>
      <c r="BX41" s="68">
        <f t="shared" ca="1" si="207"/>
        <v>5.9610199159518711</v>
      </c>
      <c r="BY41" s="68">
        <f t="shared" ca="1" si="208"/>
        <v>0.52139323749818667</v>
      </c>
      <c r="BZ41" s="68">
        <f t="shared" ca="1" si="209"/>
        <v>1.8363084758396204</v>
      </c>
      <c r="CA41" s="68">
        <f t="shared" ca="1" si="210"/>
        <v>3.5544451130848325</v>
      </c>
      <c r="CB41" s="68">
        <f t="shared" ca="1" si="211"/>
        <v>9.2138161177226898</v>
      </c>
      <c r="CC41" s="68">
        <f t="shared" ca="1" si="212"/>
        <v>3.5544451130848325</v>
      </c>
      <c r="CD41" s="68">
        <f t="shared" ca="1" si="213"/>
        <v>5.6294892694493814</v>
      </c>
      <c r="CE41" s="68">
        <f t="shared" ca="1" si="214"/>
        <v>13.822887446858227</v>
      </c>
      <c r="CF41" s="68">
        <f t="shared" ca="1" si="215"/>
        <v>5.6294892694493814</v>
      </c>
      <c r="CG41" s="68">
        <f t="shared" ca="1" si="216"/>
        <v>1.1307318200982883</v>
      </c>
    </row>
    <row r="42" spans="1:85" x14ac:dyDescent="0.25">
      <c r="A42" t="str">
        <f t="shared" si="136"/>
        <v>P. Tuderek</v>
      </c>
      <c r="B42" t="str">
        <f t="shared" si="136"/>
        <v>32.57</v>
      </c>
      <c r="C42" s="49" t="e">
        <f t="shared" si="136"/>
        <v>#REF!</v>
      </c>
      <c r="D42" t="str">
        <f t="shared" si="136"/>
        <v>Cab</v>
      </c>
      <c r="E42" s="167">
        <f t="shared" si="136"/>
        <v>43626</v>
      </c>
      <c r="F42" s="132">
        <f t="shared" ca="1" si="137"/>
        <v>1</v>
      </c>
      <c r="G42" s="133">
        <f t="shared" si="138"/>
        <v>11</v>
      </c>
      <c r="H42" s="48">
        <f t="shared" si="139"/>
        <v>0</v>
      </c>
      <c r="I42" s="48">
        <f t="shared" si="140"/>
        <v>11</v>
      </c>
      <c r="J42" s="48">
        <f t="shared" si="141"/>
        <v>15</v>
      </c>
      <c r="K42" s="48">
        <f t="shared" si="142"/>
        <v>2</v>
      </c>
      <c r="L42" s="48">
        <f t="shared" si="143"/>
        <v>3</v>
      </c>
      <c r="M42" s="48">
        <f t="shared" si="144"/>
        <v>8</v>
      </c>
      <c r="N42" s="48">
        <f t="shared" si="145"/>
        <v>20</v>
      </c>
      <c r="O42" s="133">
        <f t="shared" si="146"/>
        <v>2.5</v>
      </c>
      <c r="P42" s="133">
        <f t="shared" ca="1" si="147"/>
        <v>21.958637112266238</v>
      </c>
      <c r="Q42" s="133">
        <f t="shared" si="148"/>
        <v>1</v>
      </c>
      <c r="R42" s="133">
        <f t="shared" si="149"/>
        <v>1.04</v>
      </c>
      <c r="S42" s="133">
        <f t="shared" ca="1" si="150"/>
        <v>22.388523580210968</v>
      </c>
      <c r="T42" s="68">
        <f t="shared" ca="1" si="151"/>
        <v>5.1211810855241744</v>
      </c>
      <c r="U42" s="68">
        <f t="shared" ca="1" si="152"/>
        <v>7.7585839420523577</v>
      </c>
      <c r="V42" s="68">
        <f t="shared" ca="1" si="153"/>
        <v>5.1211810855241744</v>
      </c>
      <c r="W42" s="68">
        <f t="shared" ca="1" si="154"/>
        <v>6.9084781673888589</v>
      </c>
      <c r="X42" s="68">
        <f t="shared" ca="1" si="155"/>
        <v>13.388523580210967</v>
      </c>
      <c r="Y42" s="68">
        <f t="shared" ca="1" si="156"/>
        <v>3.4542390836944294</v>
      </c>
      <c r="Z42" s="68">
        <f t="shared" ca="1" si="157"/>
        <v>4.1384686120902101</v>
      </c>
      <c r="AA42" s="68">
        <f t="shared" ca="1" si="158"/>
        <v>5.0608619133197452</v>
      </c>
      <c r="AB42" s="68">
        <f t="shared" ca="1" si="159"/>
        <v>9.6799025484925281</v>
      </c>
      <c r="AC42" s="68">
        <f t="shared" ca="1" si="160"/>
        <v>2.5304309566598726</v>
      </c>
      <c r="AD42" s="68">
        <f t="shared" ca="1" si="161"/>
        <v>6.6945815783812233</v>
      </c>
      <c r="AE42" s="178">
        <f t="shared" ca="1" si="162"/>
        <v>12.317441693794089</v>
      </c>
      <c r="AF42" s="68">
        <f t="shared" ca="1" si="163"/>
        <v>5.5428487622073401</v>
      </c>
      <c r="AG42" s="68">
        <f t="shared" ca="1" si="164"/>
        <v>2.9038834378952321</v>
      </c>
      <c r="AH42" s="178">
        <f t="shared" ca="1" si="165"/>
        <v>2.580451865164048</v>
      </c>
      <c r="AI42" s="68">
        <f t="shared" ca="1" si="166"/>
        <v>10.094946779479068</v>
      </c>
      <c r="AJ42" s="68">
        <f t="shared" ca="1" si="167"/>
        <v>9.4790746947893645</v>
      </c>
      <c r="AK42" s="68">
        <f t="shared" ca="1" si="168"/>
        <v>3.738883437895232</v>
      </c>
      <c r="AL42" s="68">
        <f t="shared" ca="1" si="169"/>
        <v>1.4078947911007582</v>
      </c>
      <c r="AM42" s="68">
        <f t="shared" ca="1" si="170"/>
        <v>3.6149013666569614</v>
      </c>
      <c r="AN42" s="68">
        <f t="shared" ca="1" si="171"/>
        <v>7.9527830066453138</v>
      </c>
      <c r="AO42" s="68">
        <f t="shared" ca="1" si="172"/>
        <v>1.8074506833284807</v>
      </c>
      <c r="AP42" s="68">
        <f t="shared" ca="1" si="173"/>
        <v>16.414766259719155</v>
      </c>
      <c r="AQ42" s="68">
        <f t="shared" ca="1" si="174"/>
        <v>0.70050806542742572</v>
      </c>
      <c r="AR42" s="68">
        <f t="shared" ca="1" si="175"/>
        <v>2.4438374090018131</v>
      </c>
      <c r="AS42" s="68">
        <f t="shared" ca="1" si="176"/>
        <v>0.35025403271371286</v>
      </c>
      <c r="AT42" s="68">
        <f t="shared" ca="1" si="177"/>
        <v>2.5304309566598726</v>
      </c>
      <c r="AU42" s="68">
        <f t="shared" ca="1" si="178"/>
        <v>5.3554094320843868</v>
      </c>
      <c r="AV42" s="68">
        <f t="shared" ca="1" si="179"/>
        <v>1.2652154783299363</v>
      </c>
      <c r="AW42" s="68">
        <f t="shared" ca="1" si="180"/>
        <v>17.388523580210968</v>
      </c>
      <c r="AX42" s="68">
        <f t="shared" ca="1" si="181"/>
        <v>1.3632964657933746</v>
      </c>
      <c r="AY42" s="68">
        <f t="shared" ca="1" si="182"/>
        <v>4.0190764926962421</v>
      </c>
      <c r="AZ42" s="68">
        <f t="shared" ca="1" si="183"/>
        <v>0.6816482328966873</v>
      </c>
      <c r="BA42" s="68">
        <f t="shared" ca="1" si="184"/>
        <v>3.8960603618413909</v>
      </c>
      <c r="BB42" s="68">
        <f t="shared" ca="1" si="185"/>
        <v>4.6592062059134163</v>
      </c>
      <c r="BC42" s="68">
        <f t="shared" ca="1" si="186"/>
        <v>15.319289274165863</v>
      </c>
      <c r="BD42" s="68">
        <f t="shared" ca="1" si="187"/>
        <v>4.2163974628075493</v>
      </c>
      <c r="BE42" s="68">
        <f t="shared" ca="1" si="188"/>
        <v>1.298634182830843</v>
      </c>
      <c r="BF42" s="68">
        <f t="shared" ca="1" si="189"/>
        <v>6.4934339364023188</v>
      </c>
      <c r="BG42" s="68">
        <f t="shared" ca="1" si="190"/>
        <v>3.5345702251756954</v>
      </c>
      <c r="BH42" s="68">
        <f t="shared" ca="1" si="191"/>
        <v>6.6250274840603787</v>
      </c>
      <c r="BI42" s="68">
        <f t="shared" ca="1" si="192"/>
        <v>4.0365696091043848</v>
      </c>
      <c r="BJ42" s="68">
        <f t="shared" ca="1" si="193"/>
        <v>0.28020322617097027</v>
      </c>
      <c r="BK42" s="68">
        <f t="shared" ca="1" si="194"/>
        <v>2.4099342444379741</v>
      </c>
      <c r="BL42" s="68">
        <f t="shared" ca="1" si="195"/>
        <v>0.9104196034543458</v>
      </c>
      <c r="BM42" s="68">
        <f t="shared" ca="1" si="196"/>
        <v>5.3034996919643449</v>
      </c>
      <c r="BN42" s="68">
        <f t="shared" ca="1" si="197"/>
        <v>5.9296413241513033</v>
      </c>
      <c r="BO42" s="68">
        <f t="shared" ca="1" si="198"/>
        <v>0.72745068332848051</v>
      </c>
      <c r="BP42" s="68">
        <f t="shared" ca="1" si="199"/>
        <v>3.8023406967799143</v>
      </c>
      <c r="BQ42" s="68">
        <f t="shared" ca="1" si="200"/>
        <v>3.2667997535714757</v>
      </c>
      <c r="BR42" s="68">
        <f t="shared" ca="1" si="201"/>
        <v>7.911778228995991</v>
      </c>
      <c r="BS42" s="68">
        <f t="shared" ca="1" si="202"/>
        <v>5.1064841268737506</v>
      </c>
      <c r="BT42" s="68">
        <f t="shared" ca="1" si="203"/>
        <v>0.65201135320552694</v>
      </c>
      <c r="BU42" s="68">
        <f t="shared" ca="1" si="204"/>
        <v>3.8023406967799143</v>
      </c>
      <c r="BV42" s="68">
        <f t="shared" ca="1" si="205"/>
        <v>3.2667997535714757</v>
      </c>
      <c r="BW42" s="68">
        <f t="shared" ca="1" si="206"/>
        <v>10.972158379113122</v>
      </c>
      <c r="BX42" s="68">
        <f t="shared" ca="1" si="207"/>
        <v>4.1207286042888152</v>
      </c>
      <c r="BY42" s="68">
        <f t="shared" ca="1" si="208"/>
        <v>0.79750148987122305</v>
      </c>
      <c r="BZ42" s="68">
        <f t="shared" ca="1" si="209"/>
        <v>7.0597405735656533</v>
      </c>
      <c r="CA42" s="68">
        <f t="shared" ca="1" si="210"/>
        <v>3.2984207852899137</v>
      </c>
      <c r="CB42" s="68">
        <f t="shared" ca="1" si="211"/>
        <v>8.9824775513175474</v>
      </c>
      <c r="CC42" s="68">
        <f t="shared" ca="1" si="212"/>
        <v>3.2984207852899137</v>
      </c>
      <c r="CD42" s="68">
        <f t="shared" ca="1" si="213"/>
        <v>4.4360501904714322</v>
      </c>
      <c r="CE42" s="68">
        <f t="shared" ca="1" si="214"/>
        <v>12.376888781308812</v>
      </c>
      <c r="CF42" s="68">
        <f t="shared" ca="1" si="215"/>
        <v>4.4360501904714322</v>
      </c>
      <c r="CG42" s="68">
        <f t="shared" ca="1" si="216"/>
        <v>4.3471308950527421</v>
      </c>
    </row>
    <row r="43" spans="1:85" x14ac:dyDescent="0.25">
      <c r="A43" t="str">
        <f t="shared" si="136"/>
        <v>T. McPhail</v>
      </c>
      <c r="B43" t="str">
        <f t="shared" si="136"/>
        <v>32.88</v>
      </c>
      <c r="C43" s="49" t="e">
        <f t="shared" si="136"/>
        <v>#REF!</v>
      </c>
      <c r="D43" t="str">
        <f t="shared" si="136"/>
        <v>Imp</v>
      </c>
      <c r="E43" s="167">
        <f t="shared" si="136"/>
        <v>44751</v>
      </c>
      <c r="F43" s="132">
        <f t="shared" ca="1" si="137"/>
        <v>1</v>
      </c>
      <c r="G43" s="133">
        <f t="shared" si="138"/>
        <v>12</v>
      </c>
      <c r="H43" s="48">
        <f t="shared" si="139"/>
        <v>0</v>
      </c>
      <c r="I43" s="48">
        <f t="shared" si="140"/>
        <v>13</v>
      </c>
      <c r="J43" s="48">
        <f t="shared" si="141"/>
        <v>14</v>
      </c>
      <c r="K43" s="48">
        <f t="shared" si="142"/>
        <v>4</v>
      </c>
      <c r="L43" s="48">
        <f t="shared" si="143"/>
        <v>4</v>
      </c>
      <c r="M43" s="48">
        <f t="shared" si="144"/>
        <v>9</v>
      </c>
      <c r="N43" s="48">
        <f t="shared" si="145"/>
        <v>17</v>
      </c>
      <c r="O43" s="133">
        <f t="shared" si="146"/>
        <v>3</v>
      </c>
      <c r="P43" s="133">
        <f t="shared" ca="1" si="147"/>
        <v>22.079987405020333</v>
      </c>
      <c r="Q43" s="133">
        <f t="shared" si="148"/>
        <v>0.96</v>
      </c>
      <c r="R43" s="133">
        <f t="shared" si="149"/>
        <v>1.03</v>
      </c>
      <c r="S43" s="133">
        <f t="shared" ca="1" si="150"/>
        <v>19.438908328063501</v>
      </c>
      <c r="T43" s="68">
        <f t="shared" ca="1" si="151"/>
        <v>5.7171669703994352</v>
      </c>
      <c r="U43" s="68">
        <f t="shared" ca="1" si="152"/>
        <v>8.6736306515299777</v>
      </c>
      <c r="V43" s="68">
        <f t="shared" ca="1" si="153"/>
        <v>5.7171669703994352</v>
      </c>
      <c r="W43" s="68">
        <f t="shared" ca="1" si="154"/>
        <v>7.9664766972807657</v>
      </c>
      <c r="X43" s="68">
        <f t="shared" ca="1" si="155"/>
        <v>15.4389083280635</v>
      </c>
      <c r="Y43" s="68">
        <f t="shared" ca="1" si="156"/>
        <v>3.9832383486403828</v>
      </c>
      <c r="Z43" s="68">
        <f t="shared" ca="1" si="157"/>
        <v>3.9124601820791129</v>
      </c>
      <c r="AA43" s="68">
        <f t="shared" ca="1" si="158"/>
        <v>5.8359073480080026</v>
      </c>
      <c r="AB43" s="68">
        <f t="shared" ca="1" si="159"/>
        <v>11.16233072118991</v>
      </c>
      <c r="AC43" s="68">
        <f t="shared" ca="1" si="160"/>
        <v>2.9179536740040013</v>
      </c>
      <c r="AD43" s="68">
        <f t="shared" ca="1" si="161"/>
        <v>6.3289797063044482</v>
      </c>
      <c r="AE43" s="178">
        <f t="shared" ca="1" si="162"/>
        <v>14.20379566181842</v>
      </c>
      <c r="AF43" s="68">
        <f t="shared" ca="1" si="163"/>
        <v>6.3917080478182884</v>
      </c>
      <c r="AG43" s="68">
        <f t="shared" ca="1" si="164"/>
        <v>2.7452976907866047</v>
      </c>
      <c r="AH43" s="178">
        <f t="shared" ca="1" si="165"/>
        <v>3.7860780969013375</v>
      </c>
      <c r="AI43" s="68">
        <f t="shared" ca="1" si="166"/>
        <v>11.640936879359879</v>
      </c>
      <c r="AJ43" s="68">
        <f t="shared" ca="1" si="167"/>
        <v>10.930747096268957</v>
      </c>
      <c r="AK43" s="68">
        <f t="shared" ca="1" si="168"/>
        <v>3.246297690786605</v>
      </c>
      <c r="AL43" s="68">
        <f t="shared" ca="1" si="169"/>
        <v>1.5664055984822878</v>
      </c>
      <c r="AM43" s="68">
        <f t="shared" ca="1" si="170"/>
        <v>4.1685052485771452</v>
      </c>
      <c r="AN43" s="68">
        <f t="shared" ca="1" si="171"/>
        <v>9.1707115468697182</v>
      </c>
      <c r="AO43" s="68">
        <f t="shared" ca="1" si="172"/>
        <v>2.0842526242885726</v>
      </c>
      <c r="AP43" s="68">
        <f t="shared" ca="1" si="173"/>
        <v>15.518329461691945</v>
      </c>
      <c r="AQ43" s="68">
        <f t="shared" ca="1" si="174"/>
        <v>0.83705808264825499</v>
      </c>
      <c r="AR43" s="68">
        <f t="shared" ca="1" si="175"/>
        <v>2.7516001401226049</v>
      </c>
      <c r="AS43" s="68">
        <f t="shared" ca="1" si="176"/>
        <v>0.41852904132412749</v>
      </c>
      <c r="AT43" s="68">
        <f t="shared" ca="1" si="177"/>
        <v>2.9179536740040013</v>
      </c>
      <c r="AU43" s="68">
        <f t="shared" ca="1" si="178"/>
        <v>6.1755633312254004</v>
      </c>
      <c r="AV43" s="68">
        <f t="shared" ca="1" si="179"/>
        <v>1.4589768370020006</v>
      </c>
      <c r="AW43" s="68">
        <f t="shared" ca="1" si="180"/>
        <v>16.438908328063501</v>
      </c>
      <c r="AX43" s="68">
        <f t="shared" ca="1" si="181"/>
        <v>1.6290438070000655</v>
      </c>
      <c r="AY43" s="68">
        <f t="shared" ca="1" si="182"/>
        <v>4.5978384887629886</v>
      </c>
      <c r="AZ43" s="68">
        <f t="shared" ca="1" si="183"/>
        <v>0.81452190350003273</v>
      </c>
      <c r="BA43" s="68">
        <f t="shared" ca="1" si="184"/>
        <v>4.4927223234664782</v>
      </c>
      <c r="BB43" s="68">
        <f t="shared" ca="1" si="185"/>
        <v>5.3727400981660978</v>
      </c>
      <c r="BC43" s="68">
        <f t="shared" ca="1" si="186"/>
        <v>14.482678237023945</v>
      </c>
      <c r="BD43" s="68">
        <f t="shared" ca="1" si="187"/>
        <v>5.7241895036484509</v>
      </c>
      <c r="BE43" s="68">
        <f t="shared" ca="1" si="188"/>
        <v>1.5517769070633034</v>
      </c>
      <c r="BF43" s="68">
        <f t="shared" ca="1" si="189"/>
        <v>7.4878705391107969</v>
      </c>
      <c r="BG43" s="68">
        <f t="shared" ca="1" si="190"/>
        <v>4.0758717986087643</v>
      </c>
      <c r="BH43" s="68">
        <f t="shared" ca="1" si="191"/>
        <v>6.2632240729921937</v>
      </c>
      <c r="BI43" s="68">
        <f t="shared" ca="1" si="192"/>
        <v>5.6276058787274987</v>
      </c>
      <c r="BJ43" s="68">
        <f t="shared" ca="1" si="193"/>
        <v>0.33482323305930195</v>
      </c>
      <c r="BK43" s="68">
        <f t="shared" ca="1" si="194"/>
        <v>2.7790034990514298</v>
      </c>
      <c r="BL43" s="68">
        <f t="shared" ca="1" si="195"/>
        <v>1.0498457663083181</v>
      </c>
      <c r="BM43" s="68">
        <f t="shared" ca="1" si="196"/>
        <v>5.0138670400593677</v>
      </c>
      <c r="BN43" s="68">
        <f t="shared" ca="1" si="197"/>
        <v>8.2804361098896599</v>
      </c>
      <c r="BO43" s="68">
        <f t="shared" ca="1" si="198"/>
        <v>0.86925262428857253</v>
      </c>
      <c r="BP43" s="68">
        <f t="shared" ca="1" si="199"/>
        <v>4.3846499651700332</v>
      </c>
      <c r="BQ43" s="68">
        <f t="shared" ca="1" si="200"/>
        <v>3.7670936320474939</v>
      </c>
      <c r="BR43" s="68">
        <f t="shared" ca="1" si="201"/>
        <v>7.4797032892688931</v>
      </c>
      <c r="BS43" s="68">
        <f t="shared" ca="1" si="202"/>
        <v>7.1343104274943574</v>
      </c>
      <c r="BT43" s="68">
        <f t="shared" ca="1" si="203"/>
        <v>0.77910790769568339</v>
      </c>
      <c r="BU43" s="68">
        <f t="shared" ca="1" si="204"/>
        <v>4.3846499651700332</v>
      </c>
      <c r="BV43" s="68">
        <f t="shared" ca="1" si="205"/>
        <v>3.7670936320474939</v>
      </c>
      <c r="BW43" s="68">
        <f t="shared" ca="1" si="206"/>
        <v>10.372951155008069</v>
      </c>
      <c r="BX43" s="68">
        <f t="shared" ca="1" si="207"/>
        <v>5.7628229536168316</v>
      </c>
      <c r="BY43" s="68">
        <f t="shared" ca="1" si="208"/>
        <v>0.95295843255339785</v>
      </c>
      <c r="BZ43" s="68">
        <f t="shared" ca="1" si="209"/>
        <v>6.6741967811937819</v>
      </c>
      <c r="CA43" s="68">
        <f t="shared" ca="1" si="210"/>
        <v>3.9896712389210833</v>
      </c>
      <c r="CB43" s="68">
        <f t="shared" ca="1" si="211"/>
        <v>10.1652107773995</v>
      </c>
      <c r="CC43" s="68">
        <f t="shared" ca="1" si="212"/>
        <v>3.9896712389210833</v>
      </c>
      <c r="CD43" s="68">
        <f t="shared" ca="1" si="213"/>
        <v>5.3114398883835596</v>
      </c>
      <c r="CE43" s="68">
        <f t="shared" ca="1" si="214"/>
        <v>13.814865501118931</v>
      </c>
      <c r="CF43" s="68">
        <f t="shared" ca="1" si="215"/>
        <v>5.3114398883835596</v>
      </c>
      <c r="CG43" s="68">
        <f t="shared" ca="1" si="216"/>
        <v>4.1097270820158753</v>
      </c>
    </row>
    <row r="44" spans="1:85" x14ac:dyDescent="0.25">
      <c r="A44" t="str">
        <f t="shared" si="136"/>
        <v>K. Teglborg</v>
      </c>
      <c r="B44">
        <f t="shared" si="136"/>
        <v>32101</v>
      </c>
      <c r="C44" s="49" t="e">
        <f t="shared" si="136"/>
        <v>#REF!</v>
      </c>
      <c r="D44" t="str">
        <f t="shared" si="136"/>
        <v>Cab</v>
      </c>
      <c r="E44" s="167">
        <f t="shared" si="136"/>
        <v>44897</v>
      </c>
      <c r="F44" s="132">
        <f t="shared" ca="1" si="137"/>
        <v>0.92407450863301921</v>
      </c>
      <c r="G44" s="133">
        <f t="shared" si="138"/>
        <v>14</v>
      </c>
      <c r="H44" s="48">
        <f t="shared" si="139"/>
        <v>0</v>
      </c>
      <c r="I44" s="48">
        <f t="shared" si="140"/>
        <v>11</v>
      </c>
      <c r="J44" s="48">
        <f t="shared" si="141"/>
        <v>16</v>
      </c>
      <c r="K44" s="48">
        <f t="shared" si="142"/>
        <v>2</v>
      </c>
      <c r="L44" s="48">
        <f t="shared" si="143"/>
        <v>2</v>
      </c>
      <c r="M44" s="48">
        <f t="shared" si="144"/>
        <v>9</v>
      </c>
      <c r="N44" s="48">
        <f t="shared" si="145"/>
        <v>18</v>
      </c>
      <c r="O44" s="133">
        <f t="shared" si="146"/>
        <v>2.25</v>
      </c>
      <c r="P44" s="133">
        <f t="shared" ca="1" si="147"/>
        <v>22.659461942544176</v>
      </c>
      <c r="Q44" s="133">
        <f t="shared" si="148"/>
        <v>0.98999999999999988</v>
      </c>
      <c r="R44" s="133">
        <f t="shared" si="149"/>
        <v>0.98000000000000009</v>
      </c>
      <c r="S44" s="133">
        <f t="shared" ca="1" si="150"/>
        <v>20.468345470029664</v>
      </c>
      <c r="T44" s="68">
        <f t="shared" ca="1" si="151"/>
        <v>5.1768100795660947</v>
      </c>
      <c r="U44" s="68">
        <f t="shared" ca="1" si="152"/>
        <v>7.8408485827260339</v>
      </c>
      <c r="V44" s="68">
        <f t="shared" ca="1" si="153"/>
        <v>5.1768100795660947</v>
      </c>
      <c r="W44" s="68">
        <f t="shared" ca="1" si="154"/>
        <v>6.9413585350012657</v>
      </c>
      <c r="X44" s="68">
        <f t="shared" ca="1" si="155"/>
        <v>13.452245222870669</v>
      </c>
      <c r="Y44" s="68">
        <f t="shared" ca="1" si="156"/>
        <v>3.4706792675006328</v>
      </c>
      <c r="Z44" s="68">
        <f t="shared" ca="1" si="157"/>
        <v>4.3916343630432193</v>
      </c>
      <c r="AA44" s="68">
        <f t="shared" ca="1" si="158"/>
        <v>5.0849486942451128</v>
      </c>
      <c r="AB44" s="68">
        <f t="shared" ca="1" si="159"/>
        <v>9.7259732961354928</v>
      </c>
      <c r="AC44" s="68">
        <f t="shared" ca="1" si="160"/>
        <v>2.5424743471225564</v>
      </c>
      <c r="AD44" s="68">
        <f t="shared" ca="1" si="161"/>
        <v>7.1041144108052077</v>
      </c>
      <c r="AE44" s="178">
        <f t="shared" ca="1" si="162"/>
        <v>12.376065605041017</v>
      </c>
      <c r="AF44" s="68">
        <f t="shared" ca="1" si="163"/>
        <v>5.5692295222684569</v>
      </c>
      <c r="AG44" s="68">
        <f t="shared" ca="1" si="164"/>
        <v>3.0815249522194019</v>
      </c>
      <c r="AH44" s="178">
        <f t="shared" ca="1" si="165"/>
        <v>2.6179201910479537</v>
      </c>
      <c r="AI44" s="68">
        <f t="shared" ca="1" si="166"/>
        <v>10.142992898044485</v>
      </c>
      <c r="AJ44" s="68">
        <f t="shared" ca="1" si="167"/>
        <v>9.5241896177924339</v>
      </c>
      <c r="AK44" s="68">
        <f t="shared" ca="1" si="168"/>
        <v>3.415524952219402</v>
      </c>
      <c r="AL44" s="68">
        <f t="shared" ca="1" si="169"/>
        <v>1.3542466241867528</v>
      </c>
      <c r="AM44" s="68">
        <f t="shared" ca="1" si="170"/>
        <v>3.6321062101750807</v>
      </c>
      <c r="AN44" s="68">
        <f t="shared" ca="1" si="171"/>
        <v>7.9906336623851768</v>
      </c>
      <c r="AO44" s="68">
        <f t="shared" ca="1" si="172"/>
        <v>1.8160531050875404</v>
      </c>
      <c r="AP44" s="68">
        <f t="shared" ca="1" si="173"/>
        <v>17.418919490389911</v>
      </c>
      <c r="AQ44" s="68">
        <f t="shared" ca="1" si="174"/>
        <v>0.57879187897318707</v>
      </c>
      <c r="AR44" s="68">
        <f t="shared" ca="1" si="175"/>
        <v>2.5155078503011059</v>
      </c>
      <c r="AS44" s="68">
        <f t="shared" ca="1" si="176"/>
        <v>0.28939593948659353</v>
      </c>
      <c r="AT44" s="68">
        <f t="shared" ca="1" si="177"/>
        <v>2.5424743471225564</v>
      </c>
      <c r="AU44" s="68">
        <f t="shared" ca="1" si="178"/>
        <v>5.3808980891482676</v>
      </c>
      <c r="AV44" s="68">
        <f t="shared" ca="1" si="179"/>
        <v>1.2712371735612782</v>
      </c>
      <c r="AW44" s="68">
        <f t="shared" ca="1" si="180"/>
        <v>18.452245222870669</v>
      </c>
      <c r="AX44" s="68">
        <f t="shared" ca="1" si="181"/>
        <v>1.1264180413862794</v>
      </c>
      <c r="AY44" s="68">
        <f t="shared" ca="1" si="182"/>
        <v>3.923187117801739</v>
      </c>
      <c r="AZ44" s="68">
        <f t="shared" ca="1" si="183"/>
        <v>0.56320902069313972</v>
      </c>
      <c r="BA44" s="68">
        <f t="shared" ca="1" si="184"/>
        <v>3.9146033598553642</v>
      </c>
      <c r="BB44" s="68">
        <f t="shared" ca="1" si="185"/>
        <v>4.6813813375589923</v>
      </c>
      <c r="BC44" s="68">
        <f t="shared" ca="1" si="186"/>
        <v>16.256428041349061</v>
      </c>
      <c r="BD44" s="68">
        <f t="shared" ca="1" si="187"/>
        <v>3.9580460031320253</v>
      </c>
      <c r="BE44" s="68">
        <f t="shared" ca="1" si="188"/>
        <v>1.0729910987118314</v>
      </c>
      <c r="BF44" s="68">
        <f t="shared" ca="1" si="189"/>
        <v>6.5243389330922739</v>
      </c>
      <c r="BG44" s="68">
        <f t="shared" ca="1" si="190"/>
        <v>3.551392738837857</v>
      </c>
      <c r="BH44" s="68">
        <f t="shared" ca="1" si="191"/>
        <v>7.0303054299137253</v>
      </c>
      <c r="BI44" s="68">
        <f t="shared" ca="1" si="192"/>
        <v>3.8912623247889657</v>
      </c>
      <c r="BJ44" s="68">
        <f t="shared" ca="1" si="193"/>
        <v>0.23151675158927482</v>
      </c>
      <c r="BK44" s="68">
        <f t="shared" ca="1" si="194"/>
        <v>2.4214041401167203</v>
      </c>
      <c r="BL44" s="68">
        <f t="shared" ca="1" si="195"/>
        <v>0.91475267515520553</v>
      </c>
      <c r="BM44" s="68">
        <f t="shared" ca="1" si="196"/>
        <v>5.6279347929755543</v>
      </c>
      <c r="BN44" s="68">
        <f t="shared" ca="1" si="197"/>
        <v>5.7255873566116815</v>
      </c>
      <c r="BO44" s="68">
        <f t="shared" ca="1" si="198"/>
        <v>0.60105310508754051</v>
      </c>
      <c r="BP44" s="68">
        <f t="shared" ca="1" si="199"/>
        <v>3.8204376432952696</v>
      </c>
      <c r="BQ44" s="68">
        <f t="shared" ca="1" si="200"/>
        <v>3.2823478343804431</v>
      </c>
      <c r="BR44" s="68">
        <f t="shared" ca="1" si="201"/>
        <v>8.3957715764061547</v>
      </c>
      <c r="BS44" s="68">
        <f t="shared" ca="1" si="202"/>
        <v>4.933087706940702</v>
      </c>
      <c r="BT44" s="68">
        <f t="shared" ca="1" si="203"/>
        <v>0.53872167196735099</v>
      </c>
      <c r="BU44" s="68">
        <f t="shared" ca="1" si="204"/>
        <v>3.8204376432952696</v>
      </c>
      <c r="BV44" s="68">
        <f t="shared" ca="1" si="205"/>
        <v>3.2823478343804431</v>
      </c>
      <c r="BW44" s="68">
        <f t="shared" ca="1" si="206"/>
        <v>11.643366735631393</v>
      </c>
      <c r="BX44" s="68">
        <f t="shared" ca="1" si="207"/>
        <v>3.9847594744692492</v>
      </c>
      <c r="BY44" s="68">
        <f t="shared" ca="1" si="208"/>
        <v>0.65893229298485911</v>
      </c>
      <c r="BZ44" s="68">
        <f t="shared" ca="1" si="209"/>
        <v>7.4916115604854925</v>
      </c>
      <c r="CA44" s="68">
        <f t="shared" ca="1" si="210"/>
        <v>3.2086197611156191</v>
      </c>
      <c r="CB44" s="68">
        <f t="shared" ca="1" si="211"/>
        <v>9.0942281209523728</v>
      </c>
      <c r="CC44" s="68">
        <f t="shared" ca="1" si="212"/>
        <v>3.2086197611156191</v>
      </c>
      <c r="CD44" s="68">
        <f t="shared" ca="1" si="213"/>
        <v>4.6134894016038421</v>
      </c>
      <c r="CE44" s="68">
        <f t="shared" ca="1" si="214"/>
        <v>13.095123710109947</v>
      </c>
      <c r="CF44" s="68">
        <f t="shared" ca="1" si="215"/>
        <v>4.6134894016038421</v>
      </c>
      <c r="CG44" s="68">
        <f t="shared" ca="1" si="216"/>
        <v>4.6130613057176673</v>
      </c>
    </row>
    <row r="45" spans="1:85" x14ac:dyDescent="0.25">
      <c r="A45" t="str">
        <f t="shared" si="136"/>
        <v>纪 (J.) 昌永 (Changyong)</v>
      </c>
      <c r="B45" t="str">
        <f t="shared" si="136"/>
        <v>33.43</v>
      </c>
      <c r="C45" s="49" t="e">
        <f t="shared" si="136"/>
        <v>#REF!</v>
      </c>
      <c r="D45" t="str">
        <f t="shared" si="136"/>
        <v>Cab</v>
      </c>
      <c r="E45" s="167">
        <f t="shared" si="136"/>
        <v>44887</v>
      </c>
      <c r="F45" s="132">
        <f t="shared" ca="1" si="137"/>
        <v>0.94386834847769996</v>
      </c>
      <c r="G45" s="133">
        <f t="shared" si="138"/>
        <v>14</v>
      </c>
      <c r="H45" s="48">
        <f t="shared" si="139"/>
        <v>0</v>
      </c>
      <c r="I45" s="48">
        <f t="shared" si="140"/>
        <v>13</v>
      </c>
      <c r="J45" s="48">
        <f t="shared" si="141"/>
        <v>16</v>
      </c>
      <c r="K45" s="48">
        <f t="shared" si="142"/>
        <v>3</v>
      </c>
      <c r="L45" s="48">
        <f t="shared" si="143"/>
        <v>3</v>
      </c>
      <c r="M45" s="48">
        <f t="shared" si="144"/>
        <v>9</v>
      </c>
      <c r="N45" s="48">
        <f t="shared" si="145"/>
        <v>19</v>
      </c>
      <c r="O45" s="133">
        <f t="shared" si="146"/>
        <v>2.75</v>
      </c>
      <c r="P45" s="133">
        <f t="shared" ca="1" si="147"/>
        <v>23.253206328600918</v>
      </c>
      <c r="Q45" s="133">
        <f t="shared" si="148"/>
        <v>1.02</v>
      </c>
      <c r="R45" s="133">
        <f t="shared" si="149"/>
        <v>1.0900000000000001</v>
      </c>
      <c r="S45" s="133">
        <f t="shared" ca="1" si="150"/>
        <v>21.484042293577929</v>
      </c>
      <c r="T45" s="68">
        <f t="shared" ca="1" si="151"/>
        <v>5.7460901017505011</v>
      </c>
      <c r="U45" s="68">
        <f t="shared" ca="1" si="152"/>
        <v>8.7164024299655178</v>
      </c>
      <c r="V45" s="68">
        <f t="shared" ca="1" si="153"/>
        <v>5.7460901017505011</v>
      </c>
      <c r="W45" s="68">
        <f t="shared" ca="1" si="154"/>
        <v>7.9835721563611211</v>
      </c>
      <c r="X45" s="68">
        <f t="shared" ca="1" si="155"/>
        <v>15.47203906271535</v>
      </c>
      <c r="Y45" s="68">
        <f t="shared" ca="1" si="156"/>
        <v>3.9917860781805605</v>
      </c>
      <c r="Z45" s="68">
        <f t="shared" ca="1" si="157"/>
        <v>4.3963452969262526</v>
      </c>
      <c r="AA45" s="68">
        <f t="shared" ca="1" si="158"/>
        <v>5.8484307657064027</v>
      </c>
      <c r="AB45" s="68">
        <f t="shared" ca="1" si="159"/>
        <v>11.186284242343197</v>
      </c>
      <c r="AC45" s="68">
        <f t="shared" ca="1" si="160"/>
        <v>2.9242153828532014</v>
      </c>
      <c r="AD45" s="68">
        <f t="shared" ca="1" si="161"/>
        <v>7.1117350391454099</v>
      </c>
      <c r="AE45" s="178">
        <f t="shared" ca="1" si="162"/>
        <v>14.234275937698122</v>
      </c>
      <c r="AF45" s="68">
        <f t="shared" ca="1" si="163"/>
        <v>6.4054241719641549</v>
      </c>
      <c r="AG45" s="68">
        <f t="shared" ca="1" si="164"/>
        <v>3.0848305234734634</v>
      </c>
      <c r="AH45" s="178">
        <f t="shared" ca="1" si="165"/>
        <v>3.217558968876626</v>
      </c>
      <c r="AI45" s="68">
        <f t="shared" ca="1" si="166"/>
        <v>11.665917453287374</v>
      </c>
      <c r="AJ45" s="68">
        <f t="shared" ca="1" si="167"/>
        <v>10.954203656402466</v>
      </c>
      <c r="AK45" s="68">
        <f t="shared" ca="1" si="168"/>
        <v>3.5858305234734638</v>
      </c>
      <c r="AL45" s="68">
        <f t="shared" ca="1" si="169"/>
        <v>1.503947250062021</v>
      </c>
      <c r="AM45" s="68">
        <f t="shared" ca="1" si="170"/>
        <v>4.1774505469331444</v>
      </c>
      <c r="AN45" s="68">
        <f t="shared" ca="1" si="171"/>
        <v>9.1903912032529167</v>
      </c>
      <c r="AO45" s="68">
        <f t="shared" ca="1" si="172"/>
        <v>2.0887252734665722</v>
      </c>
      <c r="AP45" s="68">
        <f t="shared" ca="1" si="173"/>
        <v>17.437604875203288</v>
      </c>
      <c r="AQ45" s="68">
        <f t="shared" ca="1" si="174"/>
        <v>0.71136507815299566</v>
      </c>
      <c r="AR45" s="68">
        <f t="shared" ca="1" si="175"/>
        <v>2.6413074453755971</v>
      </c>
      <c r="AS45" s="68">
        <f t="shared" ca="1" si="176"/>
        <v>0.35568253907649783</v>
      </c>
      <c r="AT45" s="68">
        <f t="shared" ca="1" si="177"/>
        <v>2.9242153828532014</v>
      </c>
      <c r="AU45" s="68">
        <f t="shared" ca="1" si="178"/>
        <v>6.1888156250861401</v>
      </c>
      <c r="AV45" s="68">
        <f t="shared" ca="1" si="179"/>
        <v>1.4621076914266007</v>
      </c>
      <c r="AW45" s="68">
        <f t="shared" ca="1" si="180"/>
        <v>18.47203906271535</v>
      </c>
      <c r="AX45" s="68">
        <f t="shared" ca="1" si="181"/>
        <v>1.3844258828669838</v>
      </c>
      <c r="AY45" s="68">
        <f t="shared" ca="1" si="182"/>
        <v>4.2750935235561585</v>
      </c>
      <c r="AZ45" s="68">
        <f t="shared" ca="1" si="183"/>
        <v>0.69221294143349188</v>
      </c>
      <c r="BA45" s="68">
        <f t="shared" ca="1" si="184"/>
        <v>4.5023633672501662</v>
      </c>
      <c r="BB45" s="68">
        <f t="shared" ca="1" si="185"/>
        <v>5.384269593824941</v>
      </c>
      <c r="BC45" s="68">
        <f t="shared" ca="1" si="186"/>
        <v>16.273866414252222</v>
      </c>
      <c r="BD45" s="68">
        <f t="shared" ca="1" si="187"/>
        <v>4.8646427267539467</v>
      </c>
      <c r="BE45" s="68">
        <f t="shared" ca="1" si="188"/>
        <v>1.3187614141143995</v>
      </c>
      <c r="BF45" s="68">
        <f t="shared" ca="1" si="189"/>
        <v>7.5039389454169445</v>
      </c>
      <c r="BG45" s="68">
        <f t="shared" ca="1" si="190"/>
        <v>4.0846183125568523</v>
      </c>
      <c r="BH45" s="68">
        <f t="shared" ca="1" si="191"/>
        <v>7.0378468828945486</v>
      </c>
      <c r="BI45" s="68">
        <f t="shared" ca="1" si="192"/>
        <v>4.7825621408132166</v>
      </c>
      <c r="BJ45" s="68">
        <f t="shared" ca="1" si="193"/>
        <v>0.28454603126119821</v>
      </c>
      <c r="BK45" s="68">
        <f t="shared" ca="1" si="194"/>
        <v>2.7849670312887627</v>
      </c>
      <c r="BL45" s="68">
        <f t="shared" ca="1" si="195"/>
        <v>1.0520986562646439</v>
      </c>
      <c r="BM45" s="68">
        <f t="shared" ca="1" si="196"/>
        <v>5.6339719141281819</v>
      </c>
      <c r="BN45" s="68">
        <f t="shared" ca="1" si="197"/>
        <v>7.037042234651941</v>
      </c>
      <c r="BO45" s="68">
        <f t="shared" ca="1" si="198"/>
        <v>0.73872527346657235</v>
      </c>
      <c r="BP45" s="68">
        <f t="shared" ca="1" si="199"/>
        <v>4.3940590938111592</v>
      </c>
      <c r="BQ45" s="68">
        <f t="shared" ca="1" si="200"/>
        <v>3.7751775313025453</v>
      </c>
      <c r="BR45" s="68">
        <f t="shared" ca="1" si="201"/>
        <v>8.4047777735354838</v>
      </c>
      <c r="BS45" s="68">
        <f t="shared" ca="1" si="202"/>
        <v>6.063019281488609</v>
      </c>
      <c r="BT45" s="68">
        <f t="shared" ca="1" si="203"/>
        <v>0.66211672658855747</v>
      </c>
      <c r="BU45" s="68">
        <f t="shared" ca="1" si="204"/>
        <v>4.3940590938111592</v>
      </c>
      <c r="BV45" s="68">
        <f t="shared" ca="1" si="205"/>
        <v>3.7751775313025453</v>
      </c>
      <c r="BW45" s="68">
        <f t="shared" ca="1" si="206"/>
        <v>11.655856648573385</v>
      </c>
      <c r="BX45" s="68">
        <f t="shared" ca="1" si="207"/>
        <v>4.8974749611302384</v>
      </c>
      <c r="BY45" s="68">
        <f t="shared" ca="1" si="208"/>
        <v>0.80986178128187192</v>
      </c>
      <c r="BZ45" s="68">
        <f t="shared" ca="1" si="209"/>
        <v>7.4996478594624323</v>
      </c>
      <c r="CA45" s="68">
        <f t="shared" ca="1" si="210"/>
        <v>3.6129323516746972</v>
      </c>
      <c r="CB45" s="68">
        <f t="shared" ca="1" si="211"/>
        <v>9.6595159846174834</v>
      </c>
      <c r="CC45" s="68">
        <f t="shared" ca="1" si="212"/>
        <v>3.6129323516746972</v>
      </c>
      <c r="CD45" s="68">
        <f t="shared" ca="1" si="213"/>
        <v>4.9836745654674619</v>
      </c>
      <c r="CE45" s="68">
        <f t="shared" ca="1" si="214"/>
        <v>13.491221476857314</v>
      </c>
      <c r="CF45" s="68">
        <f t="shared" ca="1" si="215"/>
        <v>4.9836745654674619</v>
      </c>
      <c r="CG45" s="68">
        <f t="shared" ca="1" si="216"/>
        <v>4.6180097656788375</v>
      </c>
    </row>
    <row r="46" spans="1:85" x14ac:dyDescent="0.25">
      <c r="A46" t="str">
        <f t="shared" ref="A46:E51" si="217">A13</f>
        <v>Y. Galitsky</v>
      </c>
      <c r="B46" t="str">
        <f t="shared" si="217"/>
        <v>33.49</v>
      </c>
      <c r="C46" s="49" t="e">
        <f t="shared" si="217"/>
        <v>#REF!</v>
      </c>
      <c r="D46" t="str">
        <f t="shared" si="217"/>
        <v>Imp</v>
      </c>
      <c r="E46" s="167">
        <f t="shared" si="217"/>
        <v>44906</v>
      </c>
      <c r="F46" s="132">
        <f t="shared" ca="1" si="137"/>
        <v>0.90605394289764585</v>
      </c>
      <c r="G46" s="133">
        <f t="shared" si="138"/>
        <v>12</v>
      </c>
      <c r="H46" s="48">
        <f t="shared" si="139"/>
        <v>0</v>
      </c>
      <c r="I46" s="48">
        <f t="shared" si="140"/>
        <v>14</v>
      </c>
      <c r="J46" s="48">
        <f t="shared" si="141"/>
        <v>15</v>
      </c>
      <c r="K46" s="48">
        <f t="shared" si="142"/>
        <v>1</v>
      </c>
      <c r="L46" s="48">
        <f t="shared" si="143"/>
        <v>5</v>
      </c>
      <c r="M46" s="48">
        <f t="shared" si="144"/>
        <v>9</v>
      </c>
      <c r="N46" s="48">
        <f t="shared" si="145"/>
        <v>18</v>
      </c>
      <c r="O46" s="133">
        <f t="shared" si="146"/>
        <v>3.375</v>
      </c>
      <c r="P46" s="133">
        <f t="shared" ca="1" si="147"/>
        <v>22.422366618824135</v>
      </c>
      <c r="Q46" s="133">
        <f t="shared" si="148"/>
        <v>0.98999999999999988</v>
      </c>
      <c r="R46" s="133">
        <f t="shared" si="149"/>
        <v>1.1000000000000001</v>
      </c>
      <c r="S46" s="133">
        <f t="shared" ca="1" si="150"/>
        <v>20.364728427836052</v>
      </c>
      <c r="T46" s="68">
        <f t="shared" ca="1" si="151"/>
        <v>5.911152062549081</v>
      </c>
      <c r="U46" s="68">
        <f t="shared" ca="1" si="152"/>
        <v>8.9773462918108393</v>
      </c>
      <c r="V46" s="68">
        <f t="shared" ca="1" si="153"/>
        <v>5.911152062549081</v>
      </c>
      <c r="W46" s="68">
        <f t="shared" ca="1" si="154"/>
        <v>8.4340005318159523</v>
      </c>
      <c r="X46" s="68">
        <f t="shared" ca="1" si="155"/>
        <v>16.344962270961148</v>
      </c>
      <c r="Y46" s="68">
        <f t="shared" ca="1" si="156"/>
        <v>4.2170002659079762</v>
      </c>
      <c r="Z46" s="68">
        <f t="shared" ca="1" si="157"/>
        <v>4.1281010204887529</v>
      </c>
      <c r="AA46" s="68">
        <f t="shared" ca="1" si="158"/>
        <v>6.1783957384233137</v>
      </c>
      <c r="AB46" s="68">
        <f t="shared" ca="1" si="159"/>
        <v>11.817407721904909</v>
      </c>
      <c r="AC46" s="68">
        <f t="shared" ca="1" si="160"/>
        <v>3.0891978692116568</v>
      </c>
      <c r="AD46" s="68">
        <f t="shared" ca="1" si="161"/>
        <v>6.6778104743200419</v>
      </c>
      <c r="AE46" s="178">
        <f t="shared" ca="1" si="162"/>
        <v>15.037365289284256</v>
      </c>
      <c r="AF46" s="68">
        <f t="shared" ca="1" si="163"/>
        <v>6.766814380177915</v>
      </c>
      <c r="AG46" s="68">
        <f t="shared" ca="1" si="164"/>
        <v>2.8966086992505118</v>
      </c>
      <c r="AH46" s="178">
        <f t="shared" ca="1" si="165"/>
        <v>1.9668378153251536</v>
      </c>
      <c r="AI46" s="68">
        <f t="shared" ca="1" si="166"/>
        <v>12.324101552304706</v>
      </c>
      <c r="AJ46" s="68">
        <f t="shared" ca="1" si="167"/>
        <v>11.572233287840492</v>
      </c>
      <c r="AK46" s="68">
        <f t="shared" ca="1" si="168"/>
        <v>3.3976086992505117</v>
      </c>
      <c r="AL46" s="68">
        <f t="shared" ca="1" si="169"/>
        <v>1.6473491340368098</v>
      </c>
      <c r="AM46" s="68">
        <f t="shared" ca="1" si="170"/>
        <v>4.4131398131595105</v>
      </c>
      <c r="AN46" s="68">
        <f t="shared" ca="1" si="171"/>
        <v>9.7089075889509218</v>
      </c>
      <c r="AO46" s="68">
        <f t="shared" ca="1" si="172"/>
        <v>2.2065699065797553</v>
      </c>
      <c r="AP46" s="68">
        <f t="shared" ca="1" si="173"/>
        <v>16.373644383787322</v>
      </c>
      <c r="AQ46" s="68">
        <f t="shared" ca="1" si="174"/>
        <v>0.95484509522494898</v>
      </c>
      <c r="AR46" s="68">
        <f t="shared" ca="1" si="175"/>
        <v>2.8440739453916155</v>
      </c>
      <c r="AS46" s="68">
        <f t="shared" ca="1" si="176"/>
        <v>0.47742254761247449</v>
      </c>
      <c r="AT46" s="68">
        <f t="shared" ca="1" si="177"/>
        <v>3.0891978692116568</v>
      </c>
      <c r="AU46" s="68">
        <f t="shared" ca="1" si="178"/>
        <v>6.537984908384459</v>
      </c>
      <c r="AV46" s="68">
        <f t="shared" ca="1" si="179"/>
        <v>1.5445989346058284</v>
      </c>
      <c r="AW46" s="68">
        <f t="shared" ca="1" si="180"/>
        <v>17.344962270961148</v>
      </c>
      <c r="AX46" s="68">
        <f t="shared" ca="1" si="181"/>
        <v>1.8582754545531699</v>
      </c>
      <c r="AY46" s="68">
        <f t="shared" ca="1" si="182"/>
        <v>4.8870742112995913</v>
      </c>
      <c r="AZ46" s="68">
        <f t="shared" ca="1" si="183"/>
        <v>0.92913772727658495</v>
      </c>
      <c r="BA46" s="68">
        <f t="shared" ca="1" si="184"/>
        <v>4.7563840208496933</v>
      </c>
      <c r="BB46" s="68">
        <f t="shared" ca="1" si="185"/>
        <v>5.6880468702944791</v>
      </c>
      <c r="BC46" s="68">
        <f t="shared" ca="1" si="186"/>
        <v>15.280911760716771</v>
      </c>
      <c r="BD46" s="68">
        <f t="shared" ca="1" si="187"/>
        <v>4.2336714588844586</v>
      </c>
      <c r="BE46" s="68">
        <f t="shared" ca="1" si="188"/>
        <v>1.7701359073016361</v>
      </c>
      <c r="BF46" s="68">
        <f t="shared" ca="1" si="189"/>
        <v>7.927306701416156</v>
      </c>
      <c r="BG46" s="68">
        <f t="shared" ca="1" si="190"/>
        <v>4.3150700395337429</v>
      </c>
      <c r="BH46" s="68">
        <f t="shared" ca="1" si="191"/>
        <v>6.6084306252361973</v>
      </c>
      <c r="BI46" s="68">
        <f t="shared" ca="1" si="192"/>
        <v>3.7274970248200416</v>
      </c>
      <c r="BJ46" s="68">
        <f t="shared" ca="1" si="193"/>
        <v>0.38193803808997956</v>
      </c>
      <c r="BK46" s="68">
        <f t="shared" ca="1" si="194"/>
        <v>2.9420932087730063</v>
      </c>
      <c r="BL46" s="68">
        <f t="shared" ca="1" si="195"/>
        <v>1.111457434425358</v>
      </c>
      <c r="BM46" s="68">
        <f t="shared" ca="1" si="196"/>
        <v>5.2902134926431499</v>
      </c>
      <c r="BN46" s="68">
        <f t="shared" ca="1" si="197"/>
        <v>5.4456214804560332</v>
      </c>
      <c r="BO46" s="68">
        <f t="shared" ca="1" si="198"/>
        <v>0.99156990657975475</v>
      </c>
      <c r="BP46" s="68">
        <f t="shared" ca="1" si="199"/>
        <v>4.6419692849529657</v>
      </c>
      <c r="BQ46" s="68">
        <f t="shared" ca="1" si="200"/>
        <v>3.9881707941145197</v>
      </c>
      <c r="BR46" s="68">
        <f t="shared" ca="1" si="201"/>
        <v>7.8919578332873224</v>
      </c>
      <c r="BS46" s="68">
        <f t="shared" ca="1" si="202"/>
        <v>4.6822181962249498</v>
      </c>
      <c r="BT46" s="68">
        <f t="shared" ca="1" si="203"/>
        <v>0.88874043478629861</v>
      </c>
      <c r="BU46" s="68">
        <f t="shared" ca="1" si="204"/>
        <v>4.6419692849529657</v>
      </c>
      <c r="BV46" s="68">
        <f t="shared" ca="1" si="205"/>
        <v>3.9881707941145197</v>
      </c>
      <c r="BW46" s="68">
        <f t="shared" ca="1" si="206"/>
        <v>10.944671192976484</v>
      </c>
      <c r="BX46" s="68">
        <f t="shared" ca="1" si="207"/>
        <v>3.7657412325102255</v>
      </c>
      <c r="BY46" s="68">
        <f t="shared" ca="1" si="208"/>
        <v>1.0870544161022495</v>
      </c>
      <c r="BZ46" s="68">
        <f t="shared" ca="1" si="209"/>
        <v>7.0420546820102263</v>
      </c>
      <c r="CA46" s="68">
        <f t="shared" ca="1" si="210"/>
        <v>3.7587253431707568</v>
      </c>
      <c r="CB46" s="68">
        <f t="shared" ca="1" si="211"/>
        <v>10.60242751710225</v>
      </c>
      <c r="CC46" s="68">
        <f t="shared" ca="1" si="212"/>
        <v>3.7587253431707568</v>
      </c>
      <c r="CD46" s="68">
        <f t="shared" ca="1" si="213"/>
        <v>4.7563374696554055</v>
      </c>
      <c r="CE46" s="68">
        <f t="shared" ca="1" si="214"/>
        <v>14.055253348945808</v>
      </c>
      <c r="CF46" s="68">
        <f t="shared" ca="1" si="215"/>
        <v>4.7563374696554055</v>
      </c>
      <c r="CG46" s="68">
        <f t="shared" ca="1" si="216"/>
        <v>4.3362405677402869</v>
      </c>
    </row>
    <row r="47" spans="1:85" x14ac:dyDescent="0.25">
      <c r="A47" t="str">
        <f t="shared" si="217"/>
        <v>S. Sawczyn</v>
      </c>
      <c r="B47" t="str">
        <f t="shared" si="217"/>
        <v>31.70</v>
      </c>
      <c r="C47" s="49" t="e">
        <f t="shared" si="217"/>
        <v>#REF!</v>
      </c>
      <c r="D47" t="str">
        <f t="shared" si="217"/>
        <v>Imp</v>
      </c>
      <c r="E47" s="167">
        <f t="shared" si="217"/>
        <v>45160</v>
      </c>
      <c r="F47" s="132">
        <f t="shared" ca="1" si="137"/>
        <v>0.23082846810273991</v>
      </c>
      <c r="G47" s="133">
        <f t="shared" si="138"/>
        <v>11</v>
      </c>
      <c r="H47" s="48">
        <f t="shared" si="139"/>
        <v>0</v>
      </c>
      <c r="I47" s="48">
        <f t="shared" si="140"/>
        <v>12</v>
      </c>
      <c r="J47" s="48">
        <f t="shared" si="141"/>
        <v>14</v>
      </c>
      <c r="K47" s="48">
        <f t="shared" si="142"/>
        <v>3</v>
      </c>
      <c r="L47" s="48">
        <f t="shared" si="143"/>
        <v>6</v>
      </c>
      <c r="M47" s="48">
        <f t="shared" si="144"/>
        <v>9</v>
      </c>
      <c r="N47" s="48">
        <f t="shared" si="145"/>
        <v>19</v>
      </c>
      <c r="O47" s="133">
        <f t="shared" si="146"/>
        <v>3.375</v>
      </c>
      <c r="P47" s="133">
        <f t="shared" ca="1" si="147"/>
        <v>21.368768026773289</v>
      </c>
      <c r="Q47" s="133">
        <f t="shared" si="148"/>
        <v>1.02</v>
      </c>
      <c r="R47" s="133">
        <f t="shared" si="149"/>
        <v>1.05</v>
      </c>
      <c r="S47" s="133">
        <f t="shared" ca="1" si="150"/>
        <v>20.706628085351145</v>
      </c>
      <c r="T47" s="68">
        <f t="shared" ca="1" si="151"/>
        <v>4.725694338177866</v>
      </c>
      <c r="U47" s="68">
        <f t="shared" ca="1" si="152"/>
        <v>7.1905834943729943</v>
      </c>
      <c r="V47" s="68">
        <f t="shared" ca="1" si="153"/>
        <v>4.725694338177866</v>
      </c>
      <c r="W47" s="68">
        <f t="shared" ca="1" si="154"/>
        <v>7.0275856569298725</v>
      </c>
      <c r="X47" s="68">
        <f t="shared" ca="1" si="155"/>
        <v>13.619352048313706</v>
      </c>
      <c r="Y47" s="68">
        <f t="shared" ca="1" si="156"/>
        <v>3.5137928284649362</v>
      </c>
      <c r="Z47" s="68">
        <f t="shared" ca="1" si="157"/>
        <v>3.7174057874986617</v>
      </c>
      <c r="AA47" s="68">
        <f t="shared" ca="1" si="158"/>
        <v>5.1481150742625807</v>
      </c>
      <c r="AB47" s="68">
        <f t="shared" ca="1" si="159"/>
        <v>9.8467915309308083</v>
      </c>
      <c r="AC47" s="68">
        <f t="shared" ca="1" si="160"/>
        <v>2.5740575371312904</v>
      </c>
      <c r="AD47" s="68">
        <f t="shared" ca="1" si="161"/>
        <v>6.0134505386007771</v>
      </c>
      <c r="AE47" s="178">
        <f t="shared" ca="1" si="162"/>
        <v>12.52980388444861</v>
      </c>
      <c r="AF47" s="68">
        <f t="shared" ca="1" si="163"/>
        <v>5.6384117480018743</v>
      </c>
      <c r="AG47" s="68">
        <f t="shared" ca="1" si="164"/>
        <v>2.608431792068389</v>
      </c>
      <c r="AH47" s="178">
        <f t="shared" ca="1" si="165"/>
        <v>2.7161790044084597</v>
      </c>
      <c r="AI47" s="68">
        <f t="shared" ca="1" si="166"/>
        <v>10.268991444428535</v>
      </c>
      <c r="AJ47" s="68">
        <f t="shared" ca="1" si="167"/>
        <v>9.642501250206104</v>
      </c>
      <c r="AK47" s="68">
        <f t="shared" ca="1" si="168"/>
        <v>3.4434317920683895</v>
      </c>
      <c r="AL47" s="68">
        <f t="shared" ca="1" si="169"/>
        <v>1.4383733899143476</v>
      </c>
      <c r="AM47" s="68">
        <f t="shared" ca="1" si="170"/>
        <v>3.677225053044701</v>
      </c>
      <c r="AN47" s="68">
        <f t="shared" ca="1" si="171"/>
        <v>8.0898951166983402</v>
      </c>
      <c r="AO47" s="68">
        <f t="shared" ca="1" si="172"/>
        <v>1.8386125265223505</v>
      </c>
      <c r="AP47" s="68">
        <f t="shared" ca="1" si="173"/>
        <v>14.744668333608137</v>
      </c>
      <c r="AQ47" s="68">
        <f t="shared" ca="1" si="174"/>
        <v>0.99051576628078186</v>
      </c>
      <c r="AR47" s="68">
        <f t="shared" ca="1" si="175"/>
        <v>2.7514701501559156</v>
      </c>
      <c r="AS47" s="68">
        <f t="shared" ca="1" si="176"/>
        <v>0.49525788314039093</v>
      </c>
      <c r="AT47" s="68">
        <f t="shared" ca="1" si="177"/>
        <v>2.5740575371312904</v>
      </c>
      <c r="AU47" s="68">
        <f t="shared" ca="1" si="178"/>
        <v>5.4477408193254826</v>
      </c>
      <c r="AV47" s="68">
        <f t="shared" ca="1" si="179"/>
        <v>1.2870287685656452</v>
      </c>
      <c r="AW47" s="68">
        <f t="shared" ca="1" si="180"/>
        <v>15.619352048313706</v>
      </c>
      <c r="AX47" s="68">
        <f t="shared" ca="1" si="181"/>
        <v>1.9276960682233677</v>
      </c>
      <c r="AY47" s="68">
        <f t="shared" ca="1" si="182"/>
        <v>4.8282629786208524</v>
      </c>
      <c r="AZ47" s="68">
        <f t="shared" ca="1" si="183"/>
        <v>0.96384803411168385</v>
      </c>
      <c r="BA47" s="68">
        <f t="shared" ca="1" si="184"/>
        <v>3.9632314460592881</v>
      </c>
      <c r="BB47" s="68">
        <f t="shared" ca="1" si="185"/>
        <v>4.7395345128131696</v>
      </c>
      <c r="BC47" s="68">
        <f t="shared" ca="1" si="186"/>
        <v>13.760649154564375</v>
      </c>
      <c r="BD47" s="68">
        <f t="shared" ca="1" si="187"/>
        <v>5.0516039709508851</v>
      </c>
      <c r="BE47" s="68">
        <f t="shared" ca="1" si="188"/>
        <v>1.8362638436436032</v>
      </c>
      <c r="BF47" s="68">
        <f t="shared" ca="1" si="189"/>
        <v>6.605385743432147</v>
      </c>
      <c r="BG47" s="68">
        <f t="shared" ca="1" si="190"/>
        <v>3.5955089407548186</v>
      </c>
      <c r="BH47" s="68">
        <f t="shared" ca="1" si="191"/>
        <v>5.9509731304075224</v>
      </c>
      <c r="BI47" s="68">
        <f t="shared" ca="1" si="192"/>
        <v>4.6403136902261801</v>
      </c>
      <c r="BJ47" s="68">
        <f t="shared" ca="1" si="193"/>
        <v>0.3962063065123127</v>
      </c>
      <c r="BK47" s="68">
        <f t="shared" ca="1" si="194"/>
        <v>2.4514833686964672</v>
      </c>
      <c r="BL47" s="68">
        <f t="shared" ca="1" si="195"/>
        <v>0.92611593928533209</v>
      </c>
      <c r="BM47" s="68">
        <f t="shared" ca="1" si="196"/>
        <v>4.7639023747356806</v>
      </c>
      <c r="BN47" s="68">
        <f t="shared" ca="1" si="197"/>
        <v>6.7984867341314263</v>
      </c>
      <c r="BO47" s="68">
        <f t="shared" ca="1" si="198"/>
        <v>1.0286125265223505</v>
      </c>
      <c r="BP47" s="68">
        <f t="shared" ca="1" si="199"/>
        <v>3.8678959817210923</v>
      </c>
      <c r="BQ47" s="68">
        <f t="shared" ca="1" si="200"/>
        <v>3.3231218997885441</v>
      </c>
      <c r="BR47" s="68">
        <f t="shared" ca="1" si="201"/>
        <v>7.1068051819827369</v>
      </c>
      <c r="BS47" s="68">
        <f t="shared" ca="1" si="202"/>
        <v>5.8502420695315873</v>
      </c>
      <c r="BT47" s="68">
        <f t="shared" ca="1" si="203"/>
        <v>0.92194159784595842</v>
      </c>
      <c r="BU47" s="68">
        <f t="shared" ca="1" si="204"/>
        <v>3.8678959817210923</v>
      </c>
      <c r="BV47" s="68">
        <f t="shared" ca="1" si="205"/>
        <v>3.3231218997885441</v>
      </c>
      <c r="BW47" s="68">
        <f t="shared" ca="1" si="206"/>
        <v>9.8558111424859494</v>
      </c>
      <c r="BX47" s="68">
        <f t="shared" ca="1" si="207"/>
        <v>4.7133200832407676</v>
      </c>
      <c r="BY47" s="68">
        <f t="shared" ca="1" si="208"/>
        <v>1.1276641031504284</v>
      </c>
      <c r="BZ47" s="68">
        <f t="shared" ca="1" si="209"/>
        <v>6.3414569316153653</v>
      </c>
      <c r="CA47" s="68">
        <f t="shared" ca="1" si="210"/>
        <v>3.9186824171714409</v>
      </c>
      <c r="CB47" s="68">
        <f t="shared" ca="1" si="211"/>
        <v>10.328390406401233</v>
      </c>
      <c r="CC47" s="68">
        <f t="shared" ca="1" si="212"/>
        <v>3.9186824171714409</v>
      </c>
      <c r="CD47" s="68">
        <f t="shared" ca="1" si="213"/>
        <v>5.0638409243927267</v>
      </c>
      <c r="CE47" s="68">
        <f t="shared" ca="1" si="214"/>
        <v>13.430892954141463</v>
      </c>
      <c r="CF47" s="68">
        <f t="shared" ca="1" si="215"/>
        <v>5.0638409243927267</v>
      </c>
      <c r="CG47" s="68">
        <f t="shared" ca="1" si="216"/>
        <v>3.9048380120784265</v>
      </c>
    </row>
    <row r="48" spans="1:85" x14ac:dyDescent="0.25">
      <c r="A48" t="str">
        <f t="shared" si="217"/>
        <v>S. Hovhannesyan</v>
      </c>
      <c r="B48" t="str">
        <f t="shared" si="217"/>
        <v>31.71</v>
      </c>
      <c r="C48" s="49" t="e">
        <f t="shared" si="217"/>
        <v>#REF!</v>
      </c>
      <c r="D48" t="str">
        <f t="shared" si="217"/>
        <v>Cab</v>
      </c>
      <c r="E48" s="167">
        <f t="shared" si="217"/>
        <v>45051</v>
      </c>
      <c r="F48" s="132">
        <f t="shared" ca="1" si="137"/>
        <v>0.57883918910490562</v>
      </c>
      <c r="G48" s="133">
        <f t="shared" si="138"/>
        <v>11</v>
      </c>
      <c r="H48" s="48">
        <f t="shared" si="139"/>
        <v>0</v>
      </c>
      <c r="I48" s="48">
        <f t="shared" si="140"/>
        <v>13</v>
      </c>
      <c r="J48" s="48">
        <f t="shared" si="141"/>
        <v>16</v>
      </c>
      <c r="K48" s="48">
        <f t="shared" si="142"/>
        <v>2</v>
      </c>
      <c r="L48" s="48">
        <f t="shared" si="143"/>
        <v>2</v>
      </c>
      <c r="M48" s="48">
        <f t="shared" si="144"/>
        <v>8</v>
      </c>
      <c r="N48" s="48">
        <f t="shared" si="145"/>
        <v>19</v>
      </c>
      <c r="O48" s="133">
        <f t="shared" si="146"/>
        <v>2.5</v>
      </c>
      <c r="P48" s="133">
        <f t="shared" ca="1" si="147"/>
        <v>20.477871720188077</v>
      </c>
      <c r="Q48" s="133">
        <f t="shared" si="148"/>
        <v>0.97</v>
      </c>
      <c r="R48" s="133">
        <f t="shared" si="149"/>
        <v>1.0900000000000001</v>
      </c>
      <c r="S48" s="133">
        <f t="shared" ca="1" si="150"/>
        <v>21.040900187773836</v>
      </c>
      <c r="T48" s="68">
        <f t="shared" ca="1" si="151"/>
        <v>5.3055076976127564</v>
      </c>
      <c r="U48" s="68">
        <f t="shared" ca="1" si="152"/>
        <v>8.0648653351867914</v>
      </c>
      <c r="V48" s="68">
        <f t="shared" ca="1" si="153"/>
        <v>5.3055076976127564</v>
      </c>
      <c r="W48" s="68">
        <f t="shared" ca="1" si="154"/>
        <v>7.7231591889669904</v>
      </c>
      <c r="X48" s="68">
        <f t="shared" ca="1" si="155"/>
        <v>14.967362769315873</v>
      </c>
      <c r="Y48" s="68">
        <f t="shared" ca="1" si="156"/>
        <v>3.8615795944834952</v>
      </c>
      <c r="Z48" s="68">
        <f t="shared" ca="1" si="157"/>
        <v>4.2762323390971773</v>
      </c>
      <c r="AA48" s="68">
        <f t="shared" ca="1" si="158"/>
        <v>5.6576631268013999</v>
      </c>
      <c r="AB48" s="68">
        <f t="shared" ca="1" si="159"/>
        <v>10.821403282215377</v>
      </c>
      <c r="AC48" s="68">
        <f t="shared" ca="1" si="160"/>
        <v>2.8288315634007</v>
      </c>
      <c r="AD48" s="68">
        <f t="shared" ca="1" si="161"/>
        <v>6.9174346661866108</v>
      </c>
      <c r="AE48" s="178">
        <f t="shared" ca="1" si="162"/>
        <v>13.769973747770603</v>
      </c>
      <c r="AF48" s="68">
        <f t="shared" ca="1" si="163"/>
        <v>6.1964881864967714</v>
      </c>
      <c r="AG48" s="68">
        <f t="shared" ca="1" si="164"/>
        <v>3.0005495824757511</v>
      </c>
      <c r="AH48" s="178">
        <f t="shared" ca="1" si="165"/>
        <v>2.3328093083577324</v>
      </c>
      <c r="AI48" s="68">
        <f t="shared" ca="1" si="166"/>
        <v>11.285391528064169</v>
      </c>
      <c r="AJ48" s="68">
        <f t="shared" ca="1" si="167"/>
        <v>10.596892840675638</v>
      </c>
      <c r="AK48" s="68">
        <f t="shared" ca="1" si="168"/>
        <v>3.501549582475751</v>
      </c>
      <c r="AL48" s="68">
        <f t="shared" ca="1" si="169"/>
        <v>1.2866004775629711</v>
      </c>
      <c r="AM48" s="68">
        <f t="shared" ca="1" si="170"/>
        <v>4.0411879477152857</v>
      </c>
      <c r="AN48" s="68">
        <f t="shared" ca="1" si="171"/>
        <v>8.8906134849736276</v>
      </c>
      <c r="AO48" s="68">
        <f t="shared" ca="1" si="172"/>
        <v>2.0205939738576428</v>
      </c>
      <c r="AP48" s="68">
        <f t="shared" ca="1" si="173"/>
        <v>16.961190454234185</v>
      </c>
      <c r="AQ48" s="68">
        <f t="shared" ca="1" si="174"/>
        <v>0.51575716001106342</v>
      </c>
      <c r="AR48" s="68">
        <f t="shared" ca="1" si="175"/>
        <v>2.2004372914095502</v>
      </c>
      <c r="AS48" s="68">
        <f t="shared" ca="1" si="176"/>
        <v>0.25787858000553171</v>
      </c>
      <c r="AT48" s="68">
        <f t="shared" ca="1" si="177"/>
        <v>2.8288315634007</v>
      </c>
      <c r="AU48" s="68">
        <f t="shared" ca="1" si="178"/>
        <v>5.9869451077263491</v>
      </c>
      <c r="AV48" s="68">
        <f t="shared" ca="1" si="179"/>
        <v>1.41441578170035</v>
      </c>
      <c r="AW48" s="68">
        <f t="shared" ca="1" si="180"/>
        <v>17.967362769315873</v>
      </c>
      <c r="AX48" s="68">
        <f t="shared" ca="1" si="181"/>
        <v>1.0037427806369157</v>
      </c>
      <c r="AY48" s="68">
        <f t="shared" ca="1" si="182"/>
        <v>3.4460168858930453</v>
      </c>
      <c r="AZ48" s="68">
        <f t="shared" ca="1" si="183"/>
        <v>0.50187139031845784</v>
      </c>
      <c r="BA48" s="68">
        <f t="shared" ca="1" si="184"/>
        <v>4.3555025658709186</v>
      </c>
      <c r="BB48" s="68">
        <f t="shared" ca="1" si="185"/>
        <v>5.2086422437219237</v>
      </c>
      <c r="BC48" s="68">
        <f t="shared" ca="1" si="186"/>
        <v>15.829246599767284</v>
      </c>
      <c r="BD48" s="68">
        <f t="shared" ca="1" si="187"/>
        <v>3.5269855019218102</v>
      </c>
      <c r="BE48" s="68">
        <f t="shared" ca="1" si="188"/>
        <v>0.95613442740512511</v>
      </c>
      <c r="BF48" s="68">
        <f t="shared" ca="1" si="189"/>
        <v>7.2591709431181979</v>
      </c>
      <c r="BG48" s="68">
        <f t="shared" ca="1" si="190"/>
        <v>3.9513837710993904</v>
      </c>
      <c r="BH48" s="68">
        <f t="shared" ca="1" si="191"/>
        <v>6.8455652151093478</v>
      </c>
      <c r="BI48" s="68">
        <f t="shared" ca="1" si="192"/>
        <v>3.4674750603820721</v>
      </c>
      <c r="BJ48" s="68">
        <f t="shared" ca="1" si="193"/>
        <v>0.20630286400442532</v>
      </c>
      <c r="BK48" s="68">
        <f t="shared" ca="1" si="194"/>
        <v>2.6941252984768571</v>
      </c>
      <c r="BL48" s="68">
        <f t="shared" ca="1" si="195"/>
        <v>1.0177806683134794</v>
      </c>
      <c r="BM48" s="68">
        <f t="shared" ca="1" si="196"/>
        <v>5.4800456446413408</v>
      </c>
      <c r="BN48" s="68">
        <f t="shared" ca="1" si="197"/>
        <v>5.1020285213402108</v>
      </c>
      <c r="BO48" s="68">
        <f t="shared" ca="1" si="198"/>
        <v>0.53559397385764274</v>
      </c>
      <c r="BP48" s="68">
        <f t="shared" ca="1" si="199"/>
        <v>4.2507310264857079</v>
      </c>
      <c r="BQ48" s="68">
        <f t="shared" ca="1" si="200"/>
        <v>3.652036515713073</v>
      </c>
      <c r="BR48" s="68">
        <f t="shared" ca="1" si="201"/>
        <v>8.1751500600387228</v>
      </c>
      <c r="BS48" s="68">
        <f t="shared" ca="1" si="202"/>
        <v>4.3958379484019856</v>
      </c>
      <c r="BT48" s="68">
        <f t="shared" ca="1" si="203"/>
        <v>0.48005089508722049</v>
      </c>
      <c r="BU48" s="68">
        <f t="shared" ca="1" si="204"/>
        <v>4.2507310264857079</v>
      </c>
      <c r="BV48" s="68">
        <f t="shared" ca="1" si="205"/>
        <v>3.652036515713073</v>
      </c>
      <c r="BW48" s="68">
        <f t="shared" ca="1" si="206"/>
        <v>11.337405907438315</v>
      </c>
      <c r="BX48" s="68">
        <f t="shared" ca="1" si="207"/>
        <v>3.5507896785377051</v>
      </c>
      <c r="BY48" s="68">
        <f t="shared" ca="1" si="208"/>
        <v>0.58716968985874907</v>
      </c>
      <c r="BZ48" s="68">
        <f t="shared" ca="1" si="209"/>
        <v>7.2947492843422452</v>
      </c>
      <c r="CA48" s="68">
        <f t="shared" ca="1" si="210"/>
        <v>2.828996002813569</v>
      </c>
      <c r="CB48" s="68">
        <f t="shared" ca="1" si="211"/>
        <v>7.965250478249672</v>
      </c>
      <c r="CC48" s="68">
        <f t="shared" ca="1" si="212"/>
        <v>2.828996002813569</v>
      </c>
      <c r="CD48" s="68">
        <f t="shared" ca="1" si="213"/>
        <v>4.1411688161165134</v>
      </c>
      <c r="CE48" s="68">
        <f t="shared" ca="1" si="214"/>
        <v>11.43131963119343</v>
      </c>
      <c r="CF48" s="68">
        <f t="shared" ca="1" si="215"/>
        <v>4.1411688161165134</v>
      </c>
      <c r="CG48" s="68">
        <f t="shared" ca="1" si="216"/>
        <v>4.4918406923289682</v>
      </c>
    </row>
    <row r="49" spans="1:85" x14ac:dyDescent="0.25">
      <c r="A49" t="str">
        <f t="shared" si="217"/>
        <v>M. Bondarewski</v>
      </c>
      <c r="B49" t="str">
        <f t="shared" si="217"/>
        <v>32.71</v>
      </c>
      <c r="C49" s="49" t="e">
        <f t="shared" si="217"/>
        <v>#REF!</v>
      </c>
      <c r="D49" t="str">
        <f t="shared" si="217"/>
        <v>Ráp</v>
      </c>
      <c r="E49" s="167">
        <f t="shared" si="217"/>
        <v>43627</v>
      </c>
      <c r="F49" s="132">
        <f t="shared" ca="1" si="137"/>
        <v>1</v>
      </c>
      <c r="G49" s="133">
        <f t="shared" si="138"/>
        <v>13</v>
      </c>
      <c r="H49" s="48">
        <f t="shared" si="139"/>
        <v>0</v>
      </c>
      <c r="I49" s="48">
        <f t="shared" si="140"/>
        <v>8</v>
      </c>
      <c r="J49" s="48">
        <f t="shared" si="141"/>
        <v>15</v>
      </c>
      <c r="K49" s="48">
        <f t="shared" si="142"/>
        <v>4</v>
      </c>
      <c r="L49" s="48">
        <f t="shared" si="143"/>
        <v>4</v>
      </c>
      <c r="M49" s="48">
        <f t="shared" si="144"/>
        <v>9</v>
      </c>
      <c r="N49" s="48">
        <f t="shared" si="145"/>
        <v>20</v>
      </c>
      <c r="O49" s="133">
        <f t="shared" si="146"/>
        <v>2.375</v>
      </c>
      <c r="P49" s="133">
        <f t="shared" ca="1" si="147"/>
        <v>23.832419744797484</v>
      </c>
      <c r="Q49" s="133">
        <f t="shared" si="148"/>
        <v>1.05</v>
      </c>
      <c r="R49" s="133">
        <f t="shared" si="149"/>
        <v>0.91999999999999993</v>
      </c>
      <c r="S49" s="133">
        <f t="shared" ca="1" si="150"/>
        <v>22.485257803075783</v>
      </c>
      <c r="T49" s="68">
        <f t="shared" ca="1" si="151"/>
        <v>4.3776300620851583</v>
      </c>
      <c r="U49" s="68">
        <f t="shared" ca="1" si="152"/>
        <v>6.6084678237708356</v>
      </c>
      <c r="V49" s="68">
        <f t="shared" ca="1" si="153"/>
        <v>4.3776300620851583</v>
      </c>
      <c r="W49" s="68">
        <f t="shared" ca="1" si="154"/>
        <v>5.4103930263871041</v>
      </c>
      <c r="X49" s="68">
        <f t="shared" ca="1" si="155"/>
        <v>10.485257803075783</v>
      </c>
      <c r="Y49" s="68">
        <f t="shared" ca="1" si="156"/>
        <v>2.705196513193552</v>
      </c>
      <c r="Z49" s="68">
        <f t="shared" ca="1" si="157"/>
        <v>4.1614913571320358</v>
      </c>
      <c r="AA49" s="68">
        <f t="shared" ca="1" si="158"/>
        <v>3.963427449562646</v>
      </c>
      <c r="AB49" s="68">
        <f t="shared" ca="1" si="159"/>
        <v>7.5808413916237907</v>
      </c>
      <c r="AC49" s="68">
        <f t="shared" ca="1" si="160"/>
        <v>1.981713724781323</v>
      </c>
      <c r="AD49" s="68">
        <f t="shared" ca="1" si="161"/>
        <v>6.7318242541841764</v>
      </c>
      <c r="AE49" s="178">
        <f t="shared" ca="1" si="162"/>
        <v>9.6464371788297196</v>
      </c>
      <c r="AF49" s="68">
        <f t="shared" ca="1" si="163"/>
        <v>4.3408967304733741</v>
      </c>
      <c r="AG49" s="68">
        <f t="shared" ca="1" si="164"/>
        <v>2.9200380531136561</v>
      </c>
      <c r="AH49" s="178">
        <f t="shared" ca="1" si="165"/>
        <v>3.8133315882085599</v>
      </c>
      <c r="AI49" s="68">
        <f t="shared" ca="1" si="166"/>
        <v>7.9058843835191404</v>
      </c>
      <c r="AJ49" s="68">
        <f t="shared" ca="1" si="167"/>
        <v>7.4235625245776538</v>
      </c>
      <c r="AK49" s="68">
        <f t="shared" ca="1" si="168"/>
        <v>3.755038053113656</v>
      </c>
      <c r="AL49" s="68">
        <f t="shared" ca="1" si="169"/>
        <v>1.3997542472858253</v>
      </c>
      <c r="AM49" s="68">
        <f t="shared" ca="1" si="170"/>
        <v>2.8310196068304614</v>
      </c>
      <c r="AN49" s="68">
        <f t="shared" ca="1" si="171"/>
        <v>6.2282431350270144</v>
      </c>
      <c r="AO49" s="68">
        <f t="shared" ca="1" si="172"/>
        <v>1.4155098034152307</v>
      </c>
      <c r="AP49" s="68">
        <f t="shared" ca="1" si="173"/>
        <v>16.506083366103539</v>
      </c>
      <c r="AQ49" s="68">
        <f t="shared" ca="1" si="174"/>
        <v>0.84308351439985174</v>
      </c>
      <c r="AR49" s="68">
        <f t="shared" ca="1" si="175"/>
        <v>2.7651805363012043</v>
      </c>
      <c r="AS49" s="68">
        <f t="shared" ca="1" si="176"/>
        <v>0.42154175719992587</v>
      </c>
      <c r="AT49" s="68">
        <f t="shared" ca="1" si="177"/>
        <v>1.981713724781323</v>
      </c>
      <c r="AU49" s="68">
        <f t="shared" ca="1" si="178"/>
        <v>4.194103121230313</v>
      </c>
      <c r="AV49" s="68">
        <f t="shared" ca="1" si="179"/>
        <v>0.99085686239066151</v>
      </c>
      <c r="AW49" s="68">
        <f t="shared" ca="1" si="180"/>
        <v>17.485257803075783</v>
      </c>
      <c r="AX49" s="68">
        <f t="shared" ca="1" si="181"/>
        <v>1.640770224178173</v>
      </c>
      <c r="AY49" s="68">
        <f t="shared" ca="1" si="182"/>
        <v>4.6233770494947564</v>
      </c>
      <c r="AZ49" s="68">
        <f t="shared" ca="1" si="183"/>
        <v>0.82038511208908649</v>
      </c>
      <c r="BA49" s="68">
        <f t="shared" ca="1" si="184"/>
        <v>3.0512100206950525</v>
      </c>
      <c r="BB49" s="68">
        <f t="shared" ca="1" si="185"/>
        <v>3.6488697154703722</v>
      </c>
      <c r="BC49" s="68">
        <f t="shared" ca="1" si="186"/>
        <v>15.404512124509765</v>
      </c>
      <c r="BD49" s="68">
        <f t="shared" ca="1" si="187"/>
        <v>5.7653941869343708</v>
      </c>
      <c r="BE49" s="68">
        <f t="shared" ca="1" si="188"/>
        <v>1.5629471305412637</v>
      </c>
      <c r="BF49" s="68">
        <f t="shared" ca="1" si="189"/>
        <v>5.0853500344917544</v>
      </c>
      <c r="BG49" s="68">
        <f t="shared" ca="1" si="190"/>
        <v>2.7681080600120067</v>
      </c>
      <c r="BH49" s="68">
        <f t="shared" ca="1" si="191"/>
        <v>6.6618832229718734</v>
      </c>
      <c r="BI49" s="68">
        <f t="shared" ca="1" si="192"/>
        <v>5.6681153198882344</v>
      </c>
      <c r="BJ49" s="68">
        <f t="shared" ca="1" si="193"/>
        <v>0.33723340575994065</v>
      </c>
      <c r="BK49" s="68">
        <f t="shared" ca="1" si="194"/>
        <v>1.8873464045536408</v>
      </c>
      <c r="BL49" s="68">
        <f t="shared" ca="1" si="195"/>
        <v>0.71299753060915327</v>
      </c>
      <c r="BM49" s="68">
        <f t="shared" ca="1" si="196"/>
        <v>5.3330036299381138</v>
      </c>
      <c r="BN49" s="68">
        <f t="shared" ca="1" si="197"/>
        <v>8.3400415347554571</v>
      </c>
      <c r="BO49" s="68">
        <f t="shared" ca="1" si="198"/>
        <v>0.87550980341523066</v>
      </c>
      <c r="BP49" s="68">
        <f t="shared" ca="1" si="199"/>
        <v>2.977813216073522</v>
      </c>
      <c r="BQ49" s="68">
        <f t="shared" ca="1" si="200"/>
        <v>2.558402903950491</v>
      </c>
      <c r="BR49" s="68">
        <f t="shared" ca="1" si="201"/>
        <v>7.955792300399481</v>
      </c>
      <c r="BS49" s="68">
        <f t="shared" ca="1" si="202"/>
        <v>7.1856656458079673</v>
      </c>
      <c r="BT49" s="68">
        <f t="shared" ca="1" si="203"/>
        <v>0.78471619417216965</v>
      </c>
      <c r="BU49" s="68">
        <f t="shared" ca="1" si="204"/>
        <v>2.977813216073522</v>
      </c>
      <c r="BV49" s="68">
        <f t="shared" ca="1" si="205"/>
        <v>2.558402903950491</v>
      </c>
      <c r="BW49" s="68">
        <f t="shared" ca="1" si="206"/>
        <v>11.033197673740819</v>
      </c>
      <c r="BX49" s="68">
        <f t="shared" ca="1" si="207"/>
        <v>5.804305733752825</v>
      </c>
      <c r="BY49" s="68">
        <f t="shared" ca="1" si="208"/>
        <v>0.95981815485521582</v>
      </c>
      <c r="BZ49" s="68">
        <f t="shared" ca="1" si="209"/>
        <v>7.0990146680487678</v>
      </c>
      <c r="CA49" s="68">
        <f t="shared" ca="1" si="210"/>
        <v>4.0138193154024826</v>
      </c>
      <c r="CB49" s="68">
        <f t="shared" ca="1" si="211"/>
        <v>10.217400286263331</v>
      </c>
      <c r="CC49" s="68">
        <f t="shared" ca="1" si="212"/>
        <v>4.0138193154024826</v>
      </c>
      <c r="CD49" s="68">
        <f t="shared" ca="1" si="213"/>
        <v>5.3403156113162122</v>
      </c>
      <c r="CE49" s="68">
        <f t="shared" ca="1" si="214"/>
        <v>13.878317932410747</v>
      </c>
      <c r="CF49" s="68">
        <f t="shared" ca="1" si="215"/>
        <v>5.3403156113162122</v>
      </c>
      <c r="CG49" s="68">
        <f t="shared" ca="1" si="216"/>
        <v>4.3713144507689456</v>
      </c>
    </row>
    <row r="50" spans="1:85" x14ac:dyDescent="0.25">
      <c r="A50" t="str">
        <f t="shared" si="217"/>
        <v>I. Stone</v>
      </c>
      <c r="B50">
        <f t="shared" si="217"/>
        <v>31110</v>
      </c>
      <c r="C50" s="49" t="e">
        <f t="shared" si="217"/>
        <v>#REF!</v>
      </c>
      <c r="D50" t="str">
        <f t="shared" si="217"/>
        <v>Ráp</v>
      </c>
      <c r="E50" s="167">
        <f t="shared" si="217"/>
        <v>43633</v>
      </c>
      <c r="F50" s="132">
        <f t="shared" ca="1" si="137"/>
        <v>1</v>
      </c>
      <c r="G50" s="133">
        <f t="shared" si="138"/>
        <v>12</v>
      </c>
      <c r="H50" s="48">
        <f t="shared" si="139"/>
        <v>0</v>
      </c>
      <c r="I50" s="48">
        <f t="shared" si="140"/>
        <v>9</v>
      </c>
      <c r="J50" s="48">
        <f t="shared" si="141"/>
        <v>14</v>
      </c>
      <c r="K50" s="48">
        <f t="shared" si="142"/>
        <v>2</v>
      </c>
      <c r="L50" s="48">
        <f t="shared" si="143"/>
        <v>6</v>
      </c>
      <c r="M50" s="48">
        <f t="shared" si="144"/>
        <v>10</v>
      </c>
      <c r="N50" s="48">
        <f t="shared" si="145"/>
        <v>19</v>
      </c>
      <c r="O50" s="133">
        <f t="shared" si="146"/>
        <v>3</v>
      </c>
      <c r="P50" s="133">
        <f t="shared" ca="1" si="147"/>
        <v>24.839987405020331</v>
      </c>
      <c r="Q50" s="133">
        <f t="shared" si="148"/>
        <v>1.0699999999999998</v>
      </c>
      <c r="R50" s="133">
        <f t="shared" si="149"/>
        <v>0.93</v>
      </c>
      <c r="S50" s="133">
        <f t="shared" ca="1" si="150"/>
        <v>21.438908328063501</v>
      </c>
      <c r="T50" s="68">
        <f t="shared" ca="1" si="151"/>
        <v>4.6131669703994351</v>
      </c>
      <c r="U50" s="68">
        <f t="shared" ca="1" si="152"/>
        <v>6.9736306515299775</v>
      </c>
      <c r="V50" s="68">
        <f t="shared" ca="1" si="153"/>
        <v>4.6131669703994351</v>
      </c>
      <c r="W50" s="68">
        <f t="shared" ca="1" si="154"/>
        <v>5.9024766972807656</v>
      </c>
      <c r="X50" s="68">
        <f t="shared" ca="1" si="155"/>
        <v>11.4389083280635</v>
      </c>
      <c r="Y50" s="68">
        <f t="shared" ca="1" si="156"/>
        <v>2.9512383486403828</v>
      </c>
      <c r="Z50" s="68">
        <f t="shared" ca="1" si="157"/>
        <v>3.9124601820791129</v>
      </c>
      <c r="AA50" s="68">
        <f t="shared" ca="1" si="158"/>
        <v>4.323907348008003</v>
      </c>
      <c r="AB50" s="68">
        <f t="shared" ca="1" si="159"/>
        <v>8.2703307211899091</v>
      </c>
      <c r="AC50" s="68">
        <f t="shared" ca="1" si="160"/>
        <v>2.1619536740040015</v>
      </c>
      <c r="AD50" s="68">
        <f t="shared" ca="1" si="161"/>
        <v>6.3289797063044482</v>
      </c>
      <c r="AE50" s="178">
        <f t="shared" ca="1" si="162"/>
        <v>10.52379566181842</v>
      </c>
      <c r="AF50" s="68">
        <f t="shared" ca="1" si="163"/>
        <v>4.7357080478182887</v>
      </c>
      <c r="AG50" s="68">
        <f t="shared" ca="1" si="164"/>
        <v>2.7452976907866047</v>
      </c>
      <c r="AH50" s="178">
        <f t="shared" ca="1" si="165"/>
        <v>2.6100780969013377</v>
      </c>
      <c r="AI50" s="68">
        <f t="shared" ca="1" si="166"/>
        <v>8.6249368793598791</v>
      </c>
      <c r="AJ50" s="68">
        <f t="shared" ca="1" si="167"/>
        <v>8.0987470962689567</v>
      </c>
      <c r="AK50" s="68">
        <f t="shared" ca="1" si="168"/>
        <v>3.5802976907866051</v>
      </c>
      <c r="AL50" s="68">
        <f t="shared" ca="1" si="169"/>
        <v>1.5664055984822878</v>
      </c>
      <c r="AM50" s="68">
        <f t="shared" ca="1" si="170"/>
        <v>3.0885052485771451</v>
      </c>
      <c r="AN50" s="68">
        <f t="shared" ca="1" si="171"/>
        <v>6.7947115468697188</v>
      </c>
      <c r="AO50" s="68">
        <f t="shared" ca="1" si="172"/>
        <v>1.5442526242885726</v>
      </c>
      <c r="AP50" s="68">
        <f t="shared" ca="1" si="173"/>
        <v>15.518329461691945</v>
      </c>
      <c r="AQ50" s="68">
        <f t="shared" ca="1" si="174"/>
        <v>1.097058082648255</v>
      </c>
      <c r="AR50" s="68">
        <f t="shared" ca="1" si="175"/>
        <v>3.1646001401226052</v>
      </c>
      <c r="AS50" s="68">
        <f t="shared" ca="1" si="176"/>
        <v>0.5485290413241275</v>
      </c>
      <c r="AT50" s="68">
        <f t="shared" ca="1" si="177"/>
        <v>2.1619536740040015</v>
      </c>
      <c r="AU50" s="68">
        <f t="shared" ca="1" si="178"/>
        <v>4.5755633312253998</v>
      </c>
      <c r="AV50" s="68">
        <f t="shared" ca="1" si="179"/>
        <v>1.0809768370020008</v>
      </c>
      <c r="AW50" s="68">
        <f t="shared" ca="1" si="180"/>
        <v>16.438908328063501</v>
      </c>
      <c r="AX50" s="68">
        <f t="shared" ca="1" si="181"/>
        <v>2.1350438070000655</v>
      </c>
      <c r="AY50" s="68">
        <f t="shared" ca="1" si="182"/>
        <v>5.4898384887629881</v>
      </c>
      <c r="AZ50" s="68">
        <f t="shared" ca="1" si="183"/>
        <v>1.0675219035000327</v>
      </c>
      <c r="BA50" s="68">
        <f t="shared" ca="1" si="184"/>
        <v>3.328722323466478</v>
      </c>
      <c r="BB50" s="68">
        <f t="shared" ca="1" si="185"/>
        <v>3.9807400981660974</v>
      </c>
      <c r="BC50" s="68">
        <f t="shared" ca="1" si="186"/>
        <v>14.482678237023945</v>
      </c>
      <c r="BD50" s="68">
        <f t="shared" ca="1" si="187"/>
        <v>5.2061895036484511</v>
      </c>
      <c r="BE50" s="68">
        <f t="shared" ca="1" si="188"/>
        <v>2.0337769070633032</v>
      </c>
      <c r="BF50" s="68">
        <f t="shared" ca="1" si="189"/>
        <v>5.5478705391107974</v>
      </c>
      <c r="BG50" s="68">
        <f t="shared" ca="1" si="190"/>
        <v>3.0198717986087642</v>
      </c>
      <c r="BH50" s="68">
        <f t="shared" ca="1" si="191"/>
        <v>6.2632240729921937</v>
      </c>
      <c r="BI50" s="68">
        <f t="shared" ca="1" si="192"/>
        <v>4.6836058787274988</v>
      </c>
      <c r="BJ50" s="68">
        <f t="shared" ca="1" si="193"/>
        <v>0.43882323305930193</v>
      </c>
      <c r="BK50" s="68">
        <f t="shared" ca="1" si="194"/>
        <v>2.0590034990514297</v>
      </c>
      <c r="BL50" s="68">
        <f t="shared" ca="1" si="195"/>
        <v>0.77784576630831803</v>
      </c>
      <c r="BM50" s="68">
        <f t="shared" ca="1" si="196"/>
        <v>5.0138670400593677</v>
      </c>
      <c r="BN50" s="68">
        <f t="shared" ca="1" si="197"/>
        <v>6.85243610988966</v>
      </c>
      <c r="BO50" s="68">
        <f t="shared" ca="1" si="198"/>
        <v>1.1392526242885725</v>
      </c>
      <c r="BP50" s="68">
        <f t="shared" ca="1" si="199"/>
        <v>3.2486499651700336</v>
      </c>
      <c r="BQ50" s="68">
        <f t="shared" ca="1" si="200"/>
        <v>2.7910936320474939</v>
      </c>
      <c r="BR50" s="68">
        <f t="shared" ca="1" si="201"/>
        <v>7.4797032892688931</v>
      </c>
      <c r="BS50" s="68">
        <f t="shared" ca="1" si="202"/>
        <v>5.8943104274943572</v>
      </c>
      <c r="BT50" s="68">
        <f t="shared" ca="1" si="203"/>
        <v>1.0211079076956835</v>
      </c>
      <c r="BU50" s="68">
        <f t="shared" ca="1" si="204"/>
        <v>3.2486499651700336</v>
      </c>
      <c r="BV50" s="68">
        <f t="shared" ca="1" si="205"/>
        <v>2.7910936320474939</v>
      </c>
      <c r="BW50" s="68">
        <f t="shared" ca="1" si="206"/>
        <v>10.372951155008069</v>
      </c>
      <c r="BX50" s="68">
        <f t="shared" ca="1" si="207"/>
        <v>4.7448229536168318</v>
      </c>
      <c r="BY50" s="68">
        <f t="shared" ca="1" si="208"/>
        <v>1.2489584325533978</v>
      </c>
      <c r="BZ50" s="68">
        <f t="shared" ca="1" si="209"/>
        <v>6.6741967811937819</v>
      </c>
      <c r="CA50" s="68">
        <f t="shared" ca="1" si="210"/>
        <v>4.3286712389210837</v>
      </c>
      <c r="CB50" s="68">
        <f t="shared" ca="1" si="211"/>
        <v>11.8342107773995</v>
      </c>
      <c r="CC50" s="68">
        <f t="shared" ca="1" si="212"/>
        <v>4.3286712389210837</v>
      </c>
      <c r="CD50" s="68">
        <f t="shared" ca="1" si="213"/>
        <v>5.4134398883835608</v>
      </c>
      <c r="CE50" s="68">
        <f t="shared" ca="1" si="214"/>
        <v>15.55286550111893</v>
      </c>
      <c r="CF50" s="68">
        <f t="shared" ca="1" si="215"/>
        <v>5.4134398883835608</v>
      </c>
      <c r="CG50" s="68">
        <f t="shared" ca="1" si="216"/>
        <v>4.1097270820158753</v>
      </c>
    </row>
    <row r="51" spans="1:85" x14ac:dyDescent="0.25">
      <c r="A51" t="str">
        <f t="shared" si="217"/>
        <v>I. Vanags</v>
      </c>
      <c r="B51" t="str">
        <f t="shared" si="217"/>
        <v>32.55</v>
      </c>
      <c r="C51" s="49" t="e">
        <f t="shared" si="217"/>
        <v>#REF!</v>
      </c>
      <c r="D51" t="str">
        <f t="shared" si="217"/>
        <v>Cab</v>
      </c>
      <c r="E51" s="167">
        <f t="shared" si="217"/>
        <v>43626</v>
      </c>
      <c r="F51" s="132">
        <f t="shared" ca="1" si="137"/>
        <v>1</v>
      </c>
      <c r="G51" s="133">
        <f t="shared" si="138"/>
        <v>11</v>
      </c>
      <c r="H51" s="48">
        <f t="shared" si="139"/>
        <v>0</v>
      </c>
      <c r="I51" s="48">
        <f t="shared" si="140"/>
        <v>10</v>
      </c>
      <c r="J51" s="48">
        <f t="shared" si="141"/>
        <v>15</v>
      </c>
      <c r="K51" s="48">
        <f t="shared" si="142"/>
        <v>2</v>
      </c>
      <c r="L51" s="48">
        <f t="shared" si="143"/>
        <v>3</v>
      </c>
      <c r="M51" s="48">
        <f t="shared" si="144"/>
        <v>8</v>
      </c>
      <c r="N51" s="48">
        <f t="shared" si="145"/>
        <v>19</v>
      </c>
      <c r="O51" s="133">
        <f t="shared" si="146"/>
        <v>2.375</v>
      </c>
      <c r="P51" s="133">
        <f t="shared" ca="1" si="147"/>
        <v>21.408637112266234</v>
      </c>
      <c r="Q51" s="133">
        <f t="shared" si="148"/>
        <v>0.97</v>
      </c>
      <c r="R51" s="133">
        <f t="shared" si="149"/>
        <v>0.97</v>
      </c>
      <c r="S51" s="133">
        <f t="shared" ca="1" si="150"/>
        <v>21.388523580210968</v>
      </c>
      <c r="T51" s="68">
        <f t="shared" ca="1" si="151"/>
        <v>4.8451810855241746</v>
      </c>
      <c r="U51" s="68">
        <f t="shared" ca="1" si="152"/>
        <v>7.333583942052357</v>
      </c>
      <c r="V51" s="68">
        <f t="shared" ca="1" si="153"/>
        <v>4.8451810855241746</v>
      </c>
      <c r="W51" s="68">
        <f t="shared" ca="1" si="154"/>
        <v>6.3924781673888589</v>
      </c>
      <c r="X51" s="68">
        <f t="shared" ca="1" si="155"/>
        <v>12.388523580210967</v>
      </c>
      <c r="Y51" s="68">
        <f t="shared" ca="1" si="156"/>
        <v>3.1962390836944294</v>
      </c>
      <c r="Z51" s="68">
        <f t="shared" ca="1" si="157"/>
        <v>4.1384686120902101</v>
      </c>
      <c r="AA51" s="68">
        <f t="shared" ca="1" si="158"/>
        <v>4.6828619133197451</v>
      </c>
      <c r="AB51" s="68">
        <f t="shared" ca="1" si="159"/>
        <v>8.9569025484925291</v>
      </c>
      <c r="AC51" s="68">
        <f t="shared" ca="1" si="160"/>
        <v>2.3414309566598726</v>
      </c>
      <c r="AD51" s="68">
        <f t="shared" ca="1" si="161"/>
        <v>6.6945815783812233</v>
      </c>
      <c r="AE51" s="178">
        <f t="shared" ca="1" si="162"/>
        <v>11.397441693794089</v>
      </c>
      <c r="AF51" s="68">
        <f t="shared" ca="1" si="163"/>
        <v>5.1288487622073395</v>
      </c>
      <c r="AG51" s="68">
        <f t="shared" ca="1" si="164"/>
        <v>2.9038834378952321</v>
      </c>
      <c r="AH51" s="178">
        <f t="shared" ca="1" si="165"/>
        <v>2.580451865164048</v>
      </c>
      <c r="AI51" s="68">
        <f t="shared" ca="1" si="166"/>
        <v>9.3409467794790686</v>
      </c>
      <c r="AJ51" s="68">
        <f t="shared" ca="1" si="167"/>
        <v>8.7710746947893643</v>
      </c>
      <c r="AK51" s="68">
        <f t="shared" ca="1" si="168"/>
        <v>3.5718834378952318</v>
      </c>
      <c r="AL51" s="68">
        <f t="shared" ca="1" si="169"/>
        <v>1.3718947911007582</v>
      </c>
      <c r="AM51" s="68">
        <f t="shared" ca="1" si="170"/>
        <v>3.3449013666569614</v>
      </c>
      <c r="AN51" s="68">
        <f t="shared" ca="1" si="171"/>
        <v>7.3587830066453135</v>
      </c>
      <c r="AO51" s="68">
        <f t="shared" ca="1" si="172"/>
        <v>1.6724506833284807</v>
      </c>
      <c r="AP51" s="68">
        <f t="shared" ca="1" si="173"/>
        <v>16.414766259719155</v>
      </c>
      <c r="AQ51" s="68">
        <f t="shared" ca="1" si="174"/>
        <v>0.70050806542742572</v>
      </c>
      <c r="AR51" s="68">
        <f t="shared" ca="1" si="175"/>
        <v>2.4438374090018131</v>
      </c>
      <c r="AS51" s="68">
        <f t="shared" ca="1" si="176"/>
        <v>0.35025403271371286</v>
      </c>
      <c r="AT51" s="68">
        <f t="shared" ca="1" si="177"/>
        <v>2.3414309566598726</v>
      </c>
      <c r="AU51" s="68">
        <f t="shared" ca="1" si="178"/>
        <v>4.9554094320843873</v>
      </c>
      <c r="AV51" s="68">
        <f t="shared" ca="1" si="179"/>
        <v>1.1707154783299363</v>
      </c>
      <c r="AW51" s="68">
        <f t="shared" ca="1" si="180"/>
        <v>17.388523580210968</v>
      </c>
      <c r="AX51" s="68">
        <f t="shared" ca="1" si="181"/>
        <v>1.3632964657933746</v>
      </c>
      <c r="AY51" s="68">
        <f t="shared" ca="1" si="182"/>
        <v>4.0190764926962421</v>
      </c>
      <c r="AZ51" s="68">
        <f t="shared" ca="1" si="183"/>
        <v>0.6816482328966873</v>
      </c>
      <c r="BA51" s="68">
        <f t="shared" ca="1" si="184"/>
        <v>3.605060361841391</v>
      </c>
      <c r="BB51" s="68">
        <f t="shared" ca="1" si="185"/>
        <v>4.3112062059134164</v>
      </c>
      <c r="BC51" s="68">
        <f t="shared" ca="1" si="186"/>
        <v>15.319289274165863</v>
      </c>
      <c r="BD51" s="68">
        <f t="shared" ca="1" si="187"/>
        <v>4.2163974628075493</v>
      </c>
      <c r="BE51" s="68">
        <f t="shared" ca="1" si="188"/>
        <v>1.298634182830843</v>
      </c>
      <c r="BF51" s="68">
        <f t="shared" ca="1" si="189"/>
        <v>6.0084339364023185</v>
      </c>
      <c r="BG51" s="68">
        <f t="shared" ca="1" si="190"/>
        <v>3.2705702251756952</v>
      </c>
      <c r="BH51" s="68">
        <f t="shared" ca="1" si="191"/>
        <v>6.6250274840603787</v>
      </c>
      <c r="BI51" s="68">
        <f t="shared" ca="1" si="192"/>
        <v>4.0365696091043848</v>
      </c>
      <c r="BJ51" s="68">
        <f t="shared" ca="1" si="193"/>
        <v>0.28020322617097027</v>
      </c>
      <c r="BK51" s="68">
        <f t="shared" ca="1" si="194"/>
        <v>2.2299342444379739</v>
      </c>
      <c r="BL51" s="68">
        <f t="shared" ca="1" si="195"/>
        <v>0.84241960345434574</v>
      </c>
      <c r="BM51" s="68">
        <f t="shared" ca="1" si="196"/>
        <v>5.3034996919643449</v>
      </c>
      <c r="BN51" s="68">
        <f t="shared" ca="1" si="197"/>
        <v>5.9296413241513033</v>
      </c>
      <c r="BO51" s="68">
        <f t="shared" ca="1" si="198"/>
        <v>0.72745068332848051</v>
      </c>
      <c r="BP51" s="68">
        <f t="shared" ca="1" si="199"/>
        <v>3.518340696779914</v>
      </c>
      <c r="BQ51" s="68">
        <f t="shared" ca="1" si="200"/>
        <v>3.0227997535714759</v>
      </c>
      <c r="BR51" s="68">
        <f t="shared" ca="1" si="201"/>
        <v>7.911778228995991</v>
      </c>
      <c r="BS51" s="68">
        <f t="shared" ca="1" si="202"/>
        <v>5.1064841268737506</v>
      </c>
      <c r="BT51" s="68">
        <f t="shared" ca="1" si="203"/>
        <v>0.65201135320552694</v>
      </c>
      <c r="BU51" s="68">
        <f t="shared" ca="1" si="204"/>
        <v>3.518340696779914</v>
      </c>
      <c r="BV51" s="68">
        <f t="shared" ca="1" si="205"/>
        <v>3.0227997535714759</v>
      </c>
      <c r="BW51" s="68">
        <f t="shared" ca="1" si="206"/>
        <v>10.972158379113122</v>
      </c>
      <c r="BX51" s="68">
        <f t="shared" ca="1" si="207"/>
        <v>4.1207286042888152</v>
      </c>
      <c r="BY51" s="68">
        <f t="shared" ca="1" si="208"/>
        <v>0.79750148987122305</v>
      </c>
      <c r="BZ51" s="68">
        <f t="shared" ca="1" si="209"/>
        <v>7.0597405735656533</v>
      </c>
      <c r="CA51" s="68">
        <f t="shared" ca="1" si="210"/>
        <v>3.2984207852899137</v>
      </c>
      <c r="CB51" s="68">
        <f t="shared" ca="1" si="211"/>
        <v>8.9824775513175474</v>
      </c>
      <c r="CC51" s="68">
        <f t="shared" ca="1" si="212"/>
        <v>3.2984207852899137</v>
      </c>
      <c r="CD51" s="68">
        <f t="shared" ca="1" si="213"/>
        <v>4.4360501904714322</v>
      </c>
      <c r="CE51" s="68">
        <f t="shared" ca="1" si="214"/>
        <v>12.376888781308812</v>
      </c>
      <c r="CF51" s="68">
        <f t="shared" ca="1" si="215"/>
        <v>4.4360501904714322</v>
      </c>
      <c r="CG51" s="68">
        <f t="shared" ca="1" si="216"/>
        <v>4.3471308950527421</v>
      </c>
    </row>
    <row r="52" spans="1:85" x14ac:dyDescent="0.25">
      <c r="A52" t="e">
        <f>#REF!</f>
        <v>#REF!</v>
      </c>
      <c r="B52" t="e">
        <f>#REF!</f>
        <v>#REF!</v>
      </c>
      <c r="C52" s="49" t="e">
        <f>#REF!</f>
        <v>#REF!</v>
      </c>
      <c r="D52" t="e">
        <f>#REF!</f>
        <v>#REF!</v>
      </c>
      <c r="E52" s="167" t="e">
        <f>#REF!</f>
        <v>#REF!</v>
      </c>
      <c r="F52" s="132" t="e">
        <f>#REF!</f>
        <v>#REF!</v>
      </c>
      <c r="G52" s="133" t="e">
        <f>#REF!</f>
        <v>#REF!</v>
      </c>
      <c r="H52" s="48" t="e">
        <f>#REF!</f>
        <v>#REF!</v>
      </c>
      <c r="I52" s="48" t="e">
        <f>#REF!</f>
        <v>#REF!</v>
      </c>
      <c r="J52" s="48" t="e">
        <f>#REF!</f>
        <v>#REF!</v>
      </c>
      <c r="K52" s="48" t="e">
        <f>#REF!</f>
        <v>#REF!</v>
      </c>
      <c r="L52" s="48" t="e">
        <f>#REF!</f>
        <v>#REF!</v>
      </c>
      <c r="M52" s="48" t="e">
        <f>#REF!</f>
        <v>#REF!</v>
      </c>
      <c r="N52" s="48" t="e">
        <f>#REF!</f>
        <v>#REF!</v>
      </c>
      <c r="O52" s="133" t="e">
        <f t="shared" si="146"/>
        <v>#REF!</v>
      </c>
      <c r="P52" s="133" t="e">
        <f t="shared" si="147"/>
        <v>#REF!</v>
      </c>
      <c r="Q52" s="133" t="e">
        <f t="shared" si="148"/>
        <v>#REF!</v>
      </c>
      <c r="R52" s="133" t="e">
        <f t="shared" si="149"/>
        <v>#REF!</v>
      </c>
      <c r="S52" s="133" t="e">
        <f t="shared" ca="1" si="150"/>
        <v>#REF!</v>
      </c>
      <c r="T52" s="68" t="e">
        <f t="shared" si="151"/>
        <v>#REF!</v>
      </c>
      <c r="U52" s="68" t="e">
        <f t="shared" si="152"/>
        <v>#REF!</v>
      </c>
      <c r="V52" s="68" t="e">
        <f t="shared" si="153"/>
        <v>#REF!</v>
      </c>
      <c r="W52" s="68" t="e">
        <f t="shared" si="154"/>
        <v>#REF!</v>
      </c>
      <c r="X52" s="68" t="e">
        <f t="shared" si="155"/>
        <v>#REF!</v>
      </c>
      <c r="Y52" s="68" t="e">
        <f t="shared" si="156"/>
        <v>#REF!</v>
      </c>
      <c r="Z52" s="68" t="e">
        <f t="shared" si="157"/>
        <v>#REF!</v>
      </c>
      <c r="AA52" s="68" t="e">
        <f t="shared" si="158"/>
        <v>#REF!</v>
      </c>
      <c r="AB52" s="68" t="e">
        <f t="shared" si="159"/>
        <v>#REF!</v>
      </c>
      <c r="AC52" s="68" t="e">
        <f t="shared" si="160"/>
        <v>#REF!</v>
      </c>
      <c r="AD52" s="68" t="e">
        <f t="shared" si="161"/>
        <v>#REF!</v>
      </c>
      <c r="AE52" s="178" t="e">
        <f t="shared" si="162"/>
        <v>#REF!</v>
      </c>
      <c r="AF52" s="68" t="e">
        <f t="shared" si="163"/>
        <v>#REF!</v>
      </c>
      <c r="AG52" s="68" t="e">
        <f t="shared" si="164"/>
        <v>#REF!</v>
      </c>
      <c r="AH52" s="178" t="e">
        <f t="shared" si="165"/>
        <v>#REF!</v>
      </c>
      <c r="AI52" s="68" t="e">
        <f t="shared" si="166"/>
        <v>#REF!</v>
      </c>
      <c r="AJ52" s="68" t="e">
        <f t="shared" si="167"/>
        <v>#REF!</v>
      </c>
      <c r="AK52" s="68" t="e">
        <f t="shared" si="168"/>
        <v>#REF!</v>
      </c>
      <c r="AL52" s="68" t="e">
        <f t="shared" si="169"/>
        <v>#REF!</v>
      </c>
      <c r="AM52" s="68" t="e">
        <f t="shared" si="170"/>
        <v>#REF!</v>
      </c>
      <c r="AN52" s="68" t="e">
        <f t="shared" si="171"/>
        <v>#REF!</v>
      </c>
      <c r="AO52" s="68" t="e">
        <f t="shared" si="172"/>
        <v>#REF!</v>
      </c>
      <c r="AP52" s="68" t="e">
        <f t="shared" si="173"/>
        <v>#REF!</v>
      </c>
      <c r="AQ52" s="68" t="e">
        <f t="shared" si="174"/>
        <v>#REF!</v>
      </c>
      <c r="AR52" s="68" t="e">
        <f t="shared" si="175"/>
        <v>#REF!</v>
      </c>
      <c r="AS52" s="68" t="e">
        <f t="shared" si="176"/>
        <v>#REF!</v>
      </c>
      <c r="AT52" s="68" t="e">
        <f t="shared" si="177"/>
        <v>#REF!</v>
      </c>
      <c r="AU52" s="68" t="e">
        <f t="shared" si="178"/>
        <v>#REF!</v>
      </c>
      <c r="AV52" s="68" t="e">
        <f t="shared" si="179"/>
        <v>#REF!</v>
      </c>
      <c r="AW52" s="68" t="e">
        <f t="shared" si="180"/>
        <v>#REF!</v>
      </c>
      <c r="AX52" s="68" t="e">
        <f t="shared" si="181"/>
        <v>#REF!</v>
      </c>
      <c r="AY52" s="68" t="e">
        <f t="shared" si="182"/>
        <v>#REF!</v>
      </c>
      <c r="AZ52" s="68" t="e">
        <f t="shared" si="183"/>
        <v>#REF!</v>
      </c>
      <c r="BA52" s="68" t="e">
        <f t="shared" si="184"/>
        <v>#REF!</v>
      </c>
      <c r="BB52" s="68" t="e">
        <f t="shared" si="185"/>
        <v>#REF!</v>
      </c>
      <c r="BC52" s="68" t="e">
        <f t="shared" si="186"/>
        <v>#REF!</v>
      </c>
      <c r="BD52" s="68" t="e">
        <f t="shared" si="187"/>
        <v>#REF!</v>
      </c>
      <c r="BE52" s="68" t="e">
        <f t="shared" si="188"/>
        <v>#REF!</v>
      </c>
      <c r="BF52" s="68" t="e">
        <f t="shared" si="189"/>
        <v>#REF!</v>
      </c>
      <c r="BG52" s="68" t="e">
        <f t="shared" si="190"/>
        <v>#REF!</v>
      </c>
      <c r="BH52" s="68" t="e">
        <f t="shared" si="191"/>
        <v>#REF!</v>
      </c>
      <c r="BI52" s="68" t="e">
        <f t="shared" si="192"/>
        <v>#REF!</v>
      </c>
      <c r="BJ52" s="68" t="e">
        <f t="shared" si="193"/>
        <v>#REF!</v>
      </c>
      <c r="BK52" s="68" t="e">
        <f t="shared" si="194"/>
        <v>#REF!</v>
      </c>
      <c r="BL52" s="68" t="e">
        <f t="shared" si="195"/>
        <v>#REF!</v>
      </c>
      <c r="BM52" s="68" t="e">
        <f t="shared" si="196"/>
        <v>#REF!</v>
      </c>
      <c r="BN52" s="68" t="e">
        <f t="shared" si="197"/>
        <v>#REF!</v>
      </c>
      <c r="BO52" s="68" t="e">
        <f t="shared" si="198"/>
        <v>#REF!</v>
      </c>
      <c r="BP52" s="68" t="e">
        <f t="shared" si="199"/>
        <v>#REF!</v>
      </c>
      <c r="BQ52" s="68" t="e">
        <f t="shared" si="200"/>
        <v>#REF!</v>
      </c>
      <c r="BR52" s="68" t="e">
        <f t="shared" si="201"/>
        <v>#REF!</v>
      </c>
      <c r="BS52" s="68" t="e">
        <f t="shared" si="202"/>
        <v>#REF!</v>
      </c>
      <c r="BT52" s="68" t="e">
        <f t="shared" si="203"/>
        <v>#REF!</v>
      </c>
      <c r="BU52" s="68" t="e">
        <f t="shared" si="204"/>
        <v>#REF!</v>
      </c>
      <c r="BV52" s="68" t="e">
        <f t="shared" si="205"/>
        <v>#REF!</v>
      </c>
      <c r="BW52" s="68" t="e">
        <f t="shared" si="206"/>
        <v>#REF!</v>
      </c>
      <c r="BX52" s="68" t="e">
        <f t="shared" si="207"/>
        <v>#REF!</v>
      </c>
      <c r="BY52" s="68" t="e">
        <f t="shared" si="208"/>
        <v>#REF!</v>
      </c>
      <c r="BZ52" s="68" t="e">
        <f t="shared" si="209"/>
        <v>#REF!</v>
      </c>
      <c r="CA52" s="68" t="e">
        <f t="shared" si="210"/>
        <v>#REF!</v>
      </c>
      <c r="CB52" s="68" t="e">
        <f t="shared" si="211"/>
        <v>#REF!</v>
      </c>
      <c r="CC52" s="68" t="e">
        <f t="shared" si="212"/>
        <v>#REF!</v>
      </c>
      <c r="CD52" s="68" t="e">
        <f t="shared" si="213"/>
        <v>#REF!</v>
      </c>
      <c r="CE52" s="68" t="e">
        <f t="shared" si="214"/>
        <v>#REF!</v>
      </c>
      <c r="CF52" s="68" t="e">
        <f t="shared" si="215"/>
        <v>#REF!</v>
      </c>
      <c r="CG52" s="68" t="e">
        <f t="shared" si="216"/>
        <v>#REF!</v>
      </c>
    </row>
    <row r="53" spans="1:85" x14ac:dyDescent="0.25">
      <c r="A53">
        <f t="shared" ref="A53:E55" si="218">A19</f>
        <v>0</v>
      </c>
      <c r="B53">
        <f t="shared" si="218"/>
        <v>0</v>
      </c>
      <c r="C53" s="49">
        <f t="shared" si="218"/>
        <v>0</v>
      </c>
      <c r="D53">
        <f t="shared" si="218"/>
        <v>0</v>
      </c>
      <c r="E53" s="167">
        <f t="shared" si="218"/>
        <v>0</v>
      </c>
      <c r="F53" s="132">
        <f t="shared" ref="F53:F56" si="219">I19</f>
        <v>0</v>
      </c>
      <c r="G53" s="133">
        <f t="shared" ref="G53:G56" si="220">J19</f>
        <v>0</v>
      </c>
      <c r="H53" s="48">
        <f t="shared" ref="H53:H56" si="221">K19</f>
        <v>0</v>
      </c>
      <c r="I53" s="48">
        <f t="shared" ref="I53:I56" si="222">L19</f>
        <v>0</v>
      </c>
      <c r="J53" s="48">
        <f t="shared" ref="J53:J56" si="223">M19</f>
        <v>0</v>
      </c>
      <c r="K53" s="48">
        <f t="shared" ref="K53:K56" si="224">N19</f>
        <v>0</v>
      </c>
      <c r="L53" s="48">
        <f t="shared" ref="L53:L56" si="225">O19</f>
        <v>0</v>
      </c>
      <c r="M53" s="48">
        <f t="shared" ref="M53:M56" si="226">P19</f>
        <v>0</v>
      </c>
      <c r="N53" s="48">
        <f t="shared" ref="N53:N56" si="227">Q19</f>
        <v>0</v>
      </c>
      <c r="O53" s="133">
        <f t="shared" si="146"/>
        <v>0.375</v>
      </c>
      <c r="P53" s="133" t="e">
        <f t="shared" si="147"/>
        <v>#NUM!</v>
      </c>
      <c r="Q53" s="133">
        <f t="shared" si="148"/>
        <v>0</v>
      </c>
      <c r="R53" s="133">
        <f t="shared" si="149"/>
        <v>0</v>
      </c>
      <c r="S53" s="133" t="e">
        <f t="shared" ca="1" si="150"/>
        <v>#NUM!</v>
      </c>
      <c r="T53" s="68" t="e">
        <f t="shared" si="151"/>
        <v>#NUM!</v>
      </c>
      <c r="U53" s="68" t="e">
        <f t="shared" si="152"/>
        <v>#NUM!</v>
      </c>
      <c r="V53" s="68" t="e">
        <f t="shared" si="153"/>
        <v>#NUM!</v>
      </c>
      <c r="W53" s="68" t="e">
        <f t="shared" si="154"/>
        <v>#NUM!</v>
      </c>
      <c r="X53" s="68" t="e">
        <f t="shared" si="155"/>
        <v>#NUM!</v>
      </c>
      <c r="Y53" s="68" t="e">
        <f t="shared" si="156"/>
        <v>#NUM!</v>
      </c>
      <c r="Z53" s="68" t="e">
        <f t="shared" si="157"/>
        <v>#NUM!</v>
      </c>
      <c r="AA53" s="68" t="e">
        <f t="shared" si="158"/>
        <v>#NUM!</v>
      </c>
      <c r="AB53" s="68" t="e">
        <f t="shared" si="159"/>
        <v>#NUM!</v>
      </c>
      <c r="AC53" s="68" t="e">
        <f t="shared" si="160"/>
        <v>#NUM!</v>
      </c>
      <c r="AD53" s="68" t="e">
        <f t="shared" si="161"/>
        <v>#NUM!</v>
      </c>
      <c r="AE53" s="178" t="e">
        <f t="shared" si="162"/>
        <v>#NUM!</v>
      </c>
      <c r="AF53" s="68" t="e">
        <f t="shared" si="163"/>
        <v>#NUM!</v>
      </c>
      <c r="AG53" s="68" t="e">
        <f t="shared" si="164"/>
        <v>#NUM!</v>
      </c>
      <c r="AH53" s="178" t="e">
        <f t="shared" si="165"/>
        <v>#NUM!</v>
      </c>
      <c r="AI53" s="68" t="e">
        <f t="shared" si="166"/>
        <v>#NUM!</v>
      </c>
      <c r="AJ53" s="68" t="e">
        <f t="shared" si="167"/>
        <v>#NUM!</v>
      </c>
      <c r="AK53" s="68" t="e">
        <f t="shared" si="168"/>
        <v>#NUM!</v>
      </c>
      <c r="AL53" s="68" t="e">
        <f t="shared" si="169"/>
        <v>#NUM!</v>
      </c>
      <c r="AM53" s="68" t="e">
        <f t="shared" si="170"/>
        <v>#NUM!</v>
      </c>
      <c r="AN53" s="68" t="e">
        <f t="shared" si="171"/>
        <v>#NUM!</v>
      </c>
      <c r="AO53" s="68" t="e">
        <f t="shared" si="172"/>
        <v>#NUM!</v>
      </c>
      <c r="AP53" s="68" t="e">
        <f t="shared" si="173"/>
        <v>#NUM!</v>
      </c>
      <c r="AQ53" s="68" t="e">
        <f t="shared" si="174"/>
        <v>#NUM!</v>
      </c>
      <c r="AR53" s="68" t="e">
        <f t="shared" si="175"/>
        <v>#NUM!</v>
      </c>
      <c r="AS53" s="68" t="e">
        <f t="shared" si="176"/>
        <v>#NUM!</v>
      </c>
      <c r="AT53" s="68" t="e">
        <f t="shared" si="177"/>
        <v>#NUM!</v>
      </c>
      <c r="AU53" s="68" t="e">
        <f t="shared" si="178"/>
        <v>#NUM!</v>
      </c>
      <c r="AV53" s="68" t="e">
        <f t="shared" si="179"/>
        <v>#NUM!</v>
      </c>
      <c r="AW53" s="68" t="e">
        <f t="shared" si="180"/>
        <v>#NUM!</v>
      </c>
      <c r="AX53" s="68" t="e">
        <f t="shared" si="181"/>
        <v>#NUM!</v>
      </c>
      <c r="AY53" s="68" t="e">
        <f t="shared" si="182"/>
        <v>#NUM!</v>
      </c>
      <c r="AZ53" s="68" t="e">
        <f t="shared" si="183"/>
        <v>#NUM!</v>
      </c>
      <c r="BA53" s="68" t="e">
        <f t="shared" si="184"/>
        <v>#NUM!</v>
      </c>
      <c r="BB53" s="68" t="e">
        <f t="shared" si="185"/>
        <v>#NUM!</v>
      </c>
      <c r="BC53" s="68" t="e">
        <f t="shared" si="186"/>
        <v>#NUM!</v>
      </c>
      <c r="BD53" s="68" t="e">
        <f t="shared" si="187"/>
        <v>#NUM!</v>
      </c>
      <c r="BE53" s="68" t="e">
        <f t="shared" si="188"/>
        <v>#NUM!</v>
      </c>
      <c r="BF53" s="68" t="e">
        <f t="shared" si="189"/>
        <v>#NUM!</v>
      </c>
      <c r="BG53" s="68" t="e">
        <f t="shared" si="190"/>
        <v>#NUM!</v>
      </c>
      <c r="BH53" s="68" t="e">
        <f t="shared" si="191"/>
        <v>#NUM!</v>
      </c>
      <c r="BI53" s="68" t="e">
        <f t="shared" si="192"/>
        <v>#NUM!</v>
      </c>
      <c r="BJ53" s="68" t="e">
        <f t="shared" si="193"/>
        <v>#NUM!</v>
      </c>
      <c r="BK53" s="68" t="e">
        <f t="shared" si="194"/>
        <v>#NUM!</v>
      </c>
      <c r="BL53" s="68" t="e">
        <f t="shared" si="195"/>
        <v>#NUM!</v>
      </c>
      <c r="BM53" s="68" t="e">
        <f t="shared" si="196"/>
        <v>#NUM!</v>
      </c>
      <c r="BN53" s="68" t="e">
        <f t="shared" si="197"/>
        <v>#NUM!</v>
      </c>
      <c r="BO53" s="68" t="e">
        <f t="shared" si="198"/>
        <v>#NUM!</v>
      </c>
      <c r="BP53" s="68" t="e">
        <f t="shared" si="199"/>
        <v>#NUM!</v>
      </c>
      <c r="BQ53" s="68" t="e">
        <f t="shared" si="200"/>
        <v>#NUM!</v>
      </c>
      <c r="BR53" s="68" t="e">
        <f t="shared" si="201"/>
        <v>#NUM!</v>
      </c>
      <c r="BS53" s="68" t="e">
        <f t="shared" si="202"/>
        <v>#NUM!</v>
      </c>
      <c r="BT53" s="68" t="e">
        <f t="shared" si="203"/>
        <v>#NUM!</v>
      </c>
      <c r="BU53" s="68" t="e">
        <f t="shared" si="204"/>
        <v>#NUM!</v>
      </c>
      <c r="BV53" s="68" t="e">
        <f t="shared" si="205"/>
        <v>#NUM!</v>
      </c>
      <c r="BW53" s="68" t="e">
        <f t="shared" si="206"/>
        <v>#NUM!</v>
      </c>
      <c r="BX53" s="68" t="e">
        <f t="shared" si="207"/>
        <v>#NUM!</v>
      </c>
      <c r="BY53" s="68" t="e">
        <f t="shared" si="208"/>
        <v>#NUM!</v>
      </c>
      <c r="BZ53" s="68" t="e">
        <f t="shared" si="209"/>
        <v>#NUM!</v>
      </c>
      <c r="CA53" s="68" t="e">
        <f t="shared" si="210"/>
        <v>#NUM!</v>
      </c>
      <c r="CB53" s="68" t="e">
        <f t="shared" si="211"/>
        <v>#NUM!</v>
      </c>
      <c r="CC53" s="68" t="e">
        <f t="shared" si="212"/>
        <v>#NUM!</v>
      </c>
      <c r="CD53" s="68" t="e">
        <f t="shared" si="213"/>
        <v>#NUM!</v>
      </c>
      <c r="CE53" s="68" t="e">
        <f t="shared" si="214"/>
        <v>#NUM!</v>
      </c>
      <c r="CF53" s="68" t="e">
        <f t="shared" si="215"/>
        <v>#NUM!</v>
      </c>
      <c r="CG53" s="68" t="e">
        <f t="shared" si="216"/>
        <v>#NUM!</v>
      </c>
    </row>
    <row r="54" spans="1:85" x14ac:dyDescent="0.25">
      <c r="A54">
        <f t="shared" si="218"/>
        <v>0</v>
      </c>
      <c r="B54">
        <f t="shared" si="218"/>
        <v>0</v>
      </c>
      <c r="C54" s="49">
        <f t="shared" si="218"/>
        <v>0</v>
      </c>
      <c r="D54">
        <f t="shared" si="218"/>
        <v>0</v>
      </c>
      <c r="E54" s="167">
        <f t="shared" si="218"/>
        <v>0</v>
      </c>
      <c r="F54" s="132">
        <f t="shared" si="219"/>
        <v>0</v>
      </c>
      <c r="G54" s="133">
        <f t="shared" si="220"/>
        <v>0</v>
      </c>
      <c r="H54" s="48">
        <f t="shared" si="221"/>
        <v>0</v>
      </c>
      <c r="I54" s="48">
        <f t="shared" si="222"/>
        <v>0</v>
      </c>
      <c r="J54" s="48">
        <f t="shared" si="223"/>
        <v>0</v>
      </c>
      <c r="K54" s="48">
        <f t="shared" si="224"/>
        <v>0</v>
      </c>
      <c r="L54" s="48">
        <f t="shared" si="225"/>
        <v>0</v>
      </c>
      <c r="M54" s="48">
        <f t="shared" si="226"/>
        <v>0</v>
      </c>
      <c r="N54" s="48">
        <f t="shared" si="227"/>
        <v>0</v>
      </c>
      <c r="O54" s="133">
        <f t="shared" si="146"/>
        <v>0.375</v>
      </c>
      <c r="P54" s="133" t="e">
        <f t="shared" si="147"/>
        <v>#NUM!</v>
      </c>
      <c r="Q54" s="133">
        <f t="shared" si="148"/>
        <v>0</v>
      </c>
      <c r="R54" s="133">
        <f t="shared" si="149"/>
        <v>0</v>
      </c>
      <c r="S54" s="133" t="e">
        <f t="shared" ca="1" si="150"/>
        <v>#NUM!</v>
      </c>
      <c r="T54" s="68" t="e">
        <f t="shared" si="151"/>
        <v>#NUM!</v>
      </c>
      <c r="U54" s="68" t="e">
        <f t="shared" si="152"/>
        <v>#NUM!</v>
      </c>
      <c r="V54" s="68" t="e">
        <f t="shared" si="153"/>
        <v>#NUM!</v>
      </c>
      <c r="W54" s="68" t="e">
        <f t="shared" si="154"/>
        <v>#NUM!</v>
      </c>
      <c r="X54" s="68" t="e">
        <f t="shared" si="155"/>
        <v>#NUM!</v>
      </c>
      <c r="Y54" s="68" t="e">
        <f t="shared" si="156"/>
        <v>#NUM!</v>
      </c>
      <c r="Z54" s="68" t="e">
        <f t="shared" si="157"/>
        <v>#NUM!</v>
      </c>
      <c r="AA54" s="68" t="e">
        <f t="shared" si="158"/>
        <v>#NUM!</v>
      </c>
      <c r="AB54" s="68" t="e">
        <f t="shared" si="159"/>
        <v>#NUM!</v>
      </c>
      <c r="AC54" s="68" t="e">
        <f t="shared" si="160"/>
        <v>#NUM!</v>
      </c>
      <c r="AD54" s="68" t="e">
        <f t="shared" si="161"/>
        <v>#NUM!</v>
      </c>
      <c r="AE54" s="178" t="e">
        <f t="shared" si="162"/>
        <v>#NUM!</v>
      </c>
      <c r="AF54" s="68" t="e">
        <f t="shared" si="163"/>
        <v>#NUM!</v>
      </c>
      <c r="AG54" s="68" t="e">
        <f t="shared" si="164"/>
        <v>#NUM!</v>
      </c>
      <c r="AH54" s="178" t="e">
        <f t="shared" si="165"/>
        <v>#NUM!</v>
      </c>
      <c r="AI54" s="68" t="e">
        <f t="shared" si="166"/>
        <v>#NUM!</v>
      </c>
      <c r="AJ54" s="68" t="e">
        <f t="shared" si="167"/>
        <v>#NUM!</v>
      </c>
      <c r="AK54" s="68" t="e">
        <f t="shared" si="168"/>
        <v>#NUM!</v>
      </c>
      <c r="AL54" s="68" t="e">
        <f t="shared" si="169"/>
        <v>#NUM!</v>
      </c>
      <c r="AM54" s="68" t="e">
        <f t="shared" si="170"/>
        <v>#NUM!</v>
      </c>
      <c r="AN54" s="68" t="e">
        <f t="shared" si="171"/>
        <v>#NUM!</v>
      </c>
      <c r="AO54" s="68" t="e">
        <f t="shared" si="172"/>
        <v>#NUM!</v>
      </c>
      <c r="AP54" s="68" t="e">
        <f t="shared" si="173"/>
        <v>#NUM!</v>
      </c>
      <c r="AQ54" s="68" t="e">
        <f t="shared" si="174"/>
        <v>#NUM!</v>
      </c>
      <c r="AR54" s="68" t="e">
        <f t="shared" si="175"/>
        <v>#NUM!</v>
      </c>
      <c r="AS54" s="68" t="e">
        <f t="shared" si="176"/>
        <v>#NUM!</v>
      </c>
      <c r="AT54" s="68" t="e">
        <f t="shared" si="177"/>
        <v>#NUM!</v>
      </c>
      <c r="AU54" s="68" t="e">
        <f t="shared" si="178"/>
        <v>#NUM!</v>
      </c>
      <c r="AV54" s="68" t="e">
        <f t="shared" si="179"/>
        <v>#NUM!</v>
      </c>
      <c r="AW54" s="68" t="e">
        <f t="shared" si="180"/>
        <v>#NUM!</v>
      </c>
      <c r="AX54" s="68" t="e">
        <f t="shared" si="181"/>
        <v>#NUM!</v>
      </c>
      <c r="AY54" s="68" t="e">
        <f t="shared" si="182"/>
        <v>#NUM!</v>
      </c>
      <c r="AZ54" s="68" t="e">
        <f t="shared" si="183"/>
        <v>#NUM!</v>
      </c>
      <c r="BA54" s="68" t="e">
        <f t="shared" si="184"/>
        <v>#NUM!</v>
      </c>
      <c r="BB54" s="68" t="e">
        <f t="shared" si="185"/>
        <v>#NUM!</v>
      </c>
      <c r="BC54" s="68" t="e">
        <f t="shared" si="186"/>
        <v>#NUM!</v>
      </c>
      <c r="BD54" s="68" t="e">
        <f t="shared" si="187"/>
        <v>#NUM!</v>
      </c>
      <c r="BE54" s="68" t="e">
        <f t="shared" si="188"/>
        <v>#NUM!</v>
      </c>
      <c r="BF54" s="68" t="e">
        <f t="shared" si="189"/>
        <v>#NUM!</v>
      </c>
      <c r="BG54" s="68" t="e">
        <f t="shared" si="190"/>
        <v>#NUM!</v>
      </c>
      <c r="BH54" s="68" t="e">
        <f t="shared" si="191"/>
        <v>#NUM!</v>
      </c>
      <c r="BI54" s="68" t="e">
        <f t="shared" si="192"/>
        <v>#NUM!</v>
      </c>
      <c r="BJ54" s="68" t="e">
        <f t="shared" si="193"/>
        <v>#NUM!</v>
      </c>
      <c r="BK54" s="68" t="e">
        <f t="shared" si="194"/>
        <v>#NUM!</v>
      </c>
      <c r="BL54" s="68" t="e">
        <f t="shared" si="195"/>
        <v>#NUM!</v>
      </c>
      <c r="BM54" s="68" t="e">
        <f t="shared" si="196"/>
        <v>#NUM!</v>
      </c>
      <c r="BN54" s="68" t="e">
        <f t="shared" si="197"/>
        <v>#NUM!</v>
      </c>
      <c r="BO54" s="68" t="e">
        <f t="shared" si="198"/>
        <v>#NUM!</v>
      </c>
      <c r="BP54" s="68" t="e">
        <f t="shared" si="199"/>
        <v>#NUM!</v>
      </c>
      <c r="BQ54" s="68" t="e">
        <f t="shared" si="200"/>
        <v>#NUM!</v>
      </c>
      <c r="BR54" s="68" t="e">
        <f t="shared" si="201"/>
        <v>#NUM!</v>
      </c>
      <c r="BS54" s="68" t="e">
        <f t="shared" si="202"/>
        <v>#NUM!</v>
      </c>
      <c r="BT54" s="68" t="e">
        <f t="shared" si="203"/>
        <v>#NUM!</v>
      </c>
      <c r="BU54" s="68" t="e">
        <f t="shared" si="204"/>
        <v>#NUM!</v>
      </c>
      <c r="BV54" s="68" t="e">
        <f t="shared" si="205"/>
        <v>#NUM!</v>
      </c>
      <c r="BW54" s="68" t="e">
        <f t="shared" si="206"/>
        <v>#NUM!</v>
      </c>
      <c r="BX54" s="68" t="e">
        <f t="shared" si="207"/>
        <v>#NUM!</v>
      </c>
      <c r="BY54" s="68" t="e">
        <f t="shared" si="208"/>
        <v>#NUM!</v>
      </c>
      <c r="BZ54" s="68" t="e">
        <f t="shared" si="209"/>
        <v>#NUM!</v>
      </c>
      <c r="CA54" s="68" t="e">
        <f t="shared" si="210"/>
        <v>#NUM!</v>
      </c>
      <c r="CB54" s="68" t="e">
        <f t="shared" si="211"/>
        <v>#NUM!</v>
      </c>
      <c r="CC54" s="68" t="e">
        <f t="shared" si="212"/>
        <v>#NUM!</v>
      </c>
      <c r="CD54" s="68" t="e">
        <f t="shared" si="213"/>
        <v>#NUM!</v>
      </c>
      <c r="CE54" s="68" t="e">
        <f t="shared" si="214"/>
        <v>#NUM!</v>
      </c>
      <c r="CF54" s="68" t="e">
        <f t="shared" si="215"/>
        <v>#NUM!</v>
      </c>
      <c r="CG54" s="68" t="e">
        <f t="shared" si="216"/>
        <v>#NUM!</v>
      </c>
    </row>
    <row r="55" spans="1:85" x14ac:dyDescent="0.25">
      <c r="A55">
        <f t="shared" si="218"/>
        <v>0</v>
      </c>
      <c r="B55">
        <f t="shared" si="218"/>
        <v>0</v>
      </c>
      <c r="C55" s="49">
        <f t="shared" si="218"/>
        <v>0</v>
      </c>
      <c r="D55">
        <f t="shared" si="218"/>
        <v>0</v>
      </c>
      <c r="E55" s="167">
        <f t="shared" si="218"/>
        <v>0</v>
      </c>
      <c r="F55" s="132">
        <f t="shared" si="219"/>
        <v>0</v>
      </c>
      <c r="G55" s="133">
        <f t="shared" si="220"/>
        <v>0</v>
      </c>
      <c r="H55" s="48">
        <f t="shared" si="221"/>
        <v>0</v>
      </c>
      <c r="I55" s="48">
        <f t="shared" si="222"/>
        <v>0</v>
      </c>
      <c r="J55" s="48">
        <f t="shared" si="223"/>
        <v>0</v>
      </c>
      <c r="K55" s="48">
        <f t="shared" si="224"/>
        <v>0</v>
      </c>
      <c r="L55" s="48">
        <f t="shared" si="225"/>
        <v>0</v>
      </c>
      <c r="M55" s="48">
        <f t="shared" si="226"/>
        <v>0</v>
      </c>
      <c r="N55" s="48">
        <f t="shared" si="227"/>
        <v>0</v>
      </c>
      <c r="O55" s="133">
        <f t="shared" si="146"/>
        <v>0.375</v>
      </c>
      <c r="P55" s="133" t="e">
        <f t="shared" si="147"/>
        <v>#NUM!</v>
      </c>
      <c r="Q55" s="133">
        <f t="shared" si="148"/>
        <v>0</v>
      </c>
      <c r="R55" s="133">
        <f t="shared" si="149"/>
        <v>0</v>
      </c>
      <c r="S55" s="133" t="e">
        <f t="shared" ca="1" si="150"/>
        <v>#NUM!</v>
      </c>
      <c r="T55" s="68" t="e">
        <f t="shared" si="151"/>
        <v>#NUM!</v>
      </c>
      <c r="U55" s="68" t="e">
        <f t="shared" si="152"/>
        <v>#NUM!</v>
      </c>
      <c r="V55" s="68" t="e">
        <f t="shared" si="153"/>
        <v>#NUM!</v>
      </c>
      <c r="W55" s="68" t="e">
        <f t="shared" si="154"/>
        <v>#NUM!</v>
      </c>
      <c r="X55" s="68" t="e">
        <f t="shared" si="155"/>
        <v>#NUM!</v>
      </c>
      <c r="Y55" s="68" t="e">
        <f t="shared" si="156"/>
        <v>#NUM!</v>
      </c>
      <c r="Z55" s="68" t="e">
        <f t="shared" si="157"/>
        <v>#NUM!</v>
      </c>
      <c r="AA55" s="68" t="e">
        <f t="shared" si="158"/>
        <v>#NUM!</v>
      </c>
      <c r="AB55" s="68" t="e">
        <f t="shared" si="159"/>
        <v>#NUM!</v>
      </c>
      <c r="AC55" s="68" t="e">
        <f t="shared" si="160"/>
        <v>#NUM!</v>
      </c>
      <c r="AD55" s="68" t="e">
        <f t="shared" si="161"/>
        <v>#NUM!</v>
      </c>
      <c r="AE55" s="178" t="e">
        <f t="shared" si="162"/>
        <v>#NUM!</v>
      </c>
      <c r="AF55" s="68" t="e">
        <f t="shared" si="163"/>
        <v>#NUM!</v>
      </c>
      <c r="AG55" s="68" t="e">
        <f t="shared" si="164"/>
        <v>#NUM!</v>
      </c>
      <c r="AH55" s="178" t="e">
        <f t="shared" si="165"/>
        <v>#NUM!</v>
      </c>
      <c r="AI55" s="68" t="e">
        <f t="shared" si="166"/>
        <v>#NUM!</v>
      </c>
      <c r="AJ55" s="68" t="e">
        <f t="shared" si="167"/>
        <v>#NUM!</v>
      </c>
      <c r="AK55" s="68" t="e">
        <f t="shared" si="168"/>
        <v>#NUM!</v>
      </c>
      <c r="AL55" s="68" t="e">
        <f t="shared" si="169"/>
        <v>#NUM!</v>
      </c>
      <c r="AM55" s="68" t="e">
        <f t="shared" si="170"/>
        <v>#NUM!</v>
      </c>
      <c r="AN55" s="68" t="e">
        <f t="shared" si="171"/>
        <v>#NUM!</v>
      </c>
      <c r="AO55" s="68" t="e">
        <f t="shared" si="172"/>
        <v>#NUM!</v>
      </c>
      <c r="AP55" s="68" t="e">
        <f t="shared" si="173"/>
        <v>#NUM!</v>
      </c>
      <c r="AQ55" s="68" t="e">
        <f t="shared" si="174"/>
        <v>#NUM!</v>
      </c>
      <c r="AR55" s="68" t="e">
        <f t="shared" si="175"/>
        <v>#NUM!</v>
      </c>
      <c r="AS55" s="68" t="e">
        <f t="shared" si="176"/>
        <v>#NUM!</v>
      </c>
      <c r="AT55" s="68" t="e">
        <f t="shared" si="177"/>
        <v>#NUM!</v>
      </c>
      <c r="AU55" s="68" t="e">
        <f t="shared" si="178"/>
        <v>#NUM!</v>
      </c>
      <c r="AV55" s="68" t="e">
        <f t="shared" si="179"/>
        <v>#NUM!</v>
      </c>
      <c r="AW55" s="68" t="e">
        <f t="shared" si="180"/>
        <v>#NUM!</v>
      </c>
      <c r="AX55" s="68" t="e">
        <f t="shared" si="181"/>
        <v>#NUM!</v>
      </c>
      <c r="AY55" s="68" t="e">
        <f t="shared" si="182"/>
        <v>#NUM!</v>
      </c>
      <c r="AZ55" s="68" t="e">
        <f t="shared" si="183"/>
        <v>#NUM!</v>
      </c>
      <c r="BA55" s="68" t="e">
        <f t="shared" si="184"/>
        <v>#NUM!</v>
      </c>
      <c r="BB55" s="68" t="e">
        <f t="shared" si="185"/>
        <v>#NUM!</v>
      </c>
      <c r="BC55" s="68" t="e">
        <f t="shared" si="186"/>
        <v>#NUM!</v>
      </c>
      <c r="BD55" s="68" t="e">
        <f t="shared" si="187"/>
        <v>#NUM!</v>
      </c>
      <c r="BE55" s="68" t="e">
        <f t="shared" si="188"/>
        <v>#NUM!</v>
      </c>
      <c r="BF55" s="68" t="e">
        <f t="shared" si="189"/>
        <v>#NUM!</v>
      </c>
      <c r="BG55" s="68" t="e">
        <f t="shared" si="190"/>
        <v>#NUM!</v>
      </c>
      <c r="BH55" s="68" t="e">
        <f t="shared" si="191"/>
        <v>#NUM!</v>
      </c>
      <c r="BI55" s="68" t="e">
        <f t="shared" si="192"/>
        <v>#NUM!</v>
      </c>
      <c r="BJ55" s="68" t="e">
        <f t="shared" si="193"/>
        <v>#NUM!</v>
      </c>
      <c r="BK55" s="68" t="e">
        <f t="shared" si="194"/>
        <v>#NUM!</v>
      </c>
      <c r="BL55" s="68" t="e">
        <f t="shared" si="195"/>
        <v>#NUM!</v>
      </c>
      <c r="BM55" s="68" t="e">
        <f t="shared" si="196"/>
        <v>#NUM!</v>
      </c>
      <c r="BN55" s="68" t="e">
        <f t="shared" si="197"/>
        <v>#NUM!</v>
      </c>
      <c r="BO55" s="68" t="e">
        <f t="shared" si="198"/>
        <v>#NUM!</v>
      </c>
      <c r="BP55" s="68" t="e">
        <f t="shared" si="199"/>
        <v>#NUM!</v>
      </c>
      <c r="BQ55" s="68" t="e">
        <f t="shared" si="200"/>
        <v>#NUM!</v>
      </c>
      <c r="BR55" s="68" t="e">
        <f t="shared" si="201"/>
        <v>#NUM!</v>
      </c>
      <c r="BS55" s="68" t="e">
        <f t="shared" si="202"/>
        <v>#NUM!</v>
      </c>
      <c r="BT55" s="68" t="e">
        <f t="shared" si="203"/>
        <v>#NUM!</v>
      </c>
      <c r="BU55" s="68" t="e">
        <f t="shared" si="204"/>
        <v>#NUM!</v>
      </c>
      <c r="BV55" s="68" t="e">
        <f t="shared" si="205"/>
        <v>#NUM!</v>
      </c>
      <c r="BW55" s="68" t="e">
        <f t="shared" si="206"/>
        <v>#NUM!</v>
      </c>
      <c r="BX55" s="68" t="e">
        <f t="shared" si="207"/>
        <v>#NUM!</v>
      </c>
      <c r="BY55" s="68" t="e">
        <f t="shared" si="208"/>
        <v>#NUM!</v>
      </c>
      <c r="BZ55" s="68" t="e">
        <f t="shared" si="209"/>
        <v>#NUM!</v>
      </c>
      <c r="CA55" s="68" t="e">
        <f t="shared" si="210"/>
        <v>#NUM!</v>
      </c>
      <c r="CB55" s="68" t="e">
        <f t="shared" si="211"/>
        <v>#NUM!</v>
      </c>
      <c r="CC55" s="68" t="e">
        <f t="shared" si="212"/>
        <v>#NUM!</v>
      </c>
      <c r="CD55" s="68" t="e">
        <f t="shared" si="213"/>
        <v>#NUM!</v>
      </c>
      <c r="CE55" s="68" t="e">
        <f t="shared" si="214"/>
        <v>#NUM!</v>
      </c>
      <c r="CF55" s="68" t="e">
        <f t="shared" si="215"/>
        <v>#NUM!</v>
      </c>
      <c r="CG55" s="68" t="e">
        <f t="shared" si="216"/>
        <v>#NUM!</v>
      </c>
    </row>
    <row r="56" spans="1:85" x14ac:dyDescent="0.25">
      <c r="A56">
        <f t="shared" ref="A56:E56" si="228">A22</f>
        <v>0</v>
      </c>
      <c r="B56">
        <f t="shared" si="228"/>
        <v>0</v>
      </c>
      <c r="C56" s="49">
        <f t="shared" si="228"/>
        <v>0</v>
      </c>
      <c r="D56">
        <f t="shared" si="228"/>
        <v>0</v>
      </c>
      <c r="E56" s="167">
        <f t="shared" si="228"/>
        <v>0</v>
      </c>
      <c r="F56" s="132">
        <f t="shared" si="219"/>
        <v>0</v>
      </c>
      <c r="G56" s="133">
        <f t="shared" si="220"/>
        <v>0</v>
      </c>
      <c r="H56" s="48">
        <f t="shared" si="221"/>
        <v>0</v>
      </c>
      <c r="I56" s="48">
        <f t="shared" si="222"/>
        <v>0</v>
      </c>
      <c r="J56" s="48">
        <f t="shared" si="223"/>
        <v>0</v>
      </c>
      <c r="K56" s="48">
        <f t="shared" si="224"/>
        <v>0</v>
      </c>
      <c r="L56" s="48">
        <f t="shared" si="225"/>
        <v>0</v>
      </c>
      <c r="M56" s="48">
        <f t="shared" si="226"/>
        <v>0</v>
      </c>
      <c r="N56" s="48">
        <f t="shared" si="227"/>
        <v>0</v>
      </c>
      <c r="O56" s="133">
        <f t="shared" si="146"/>
        <v>0.375</v>
      </c>
      <c r="P56" s="133" t="e">
        <f t="shared" si="147"/>
        <v>#NUM!</v>
      </c>
      <c r="Q56" s="133">
        <f t="shared" si="148"/>
        <v>0</v>
      </c>
      <c r="R56" s="133">
        <f t="shared" si="149"/>
        <v>0</v>
      </c>
      <c r="S56" s="133" t="e">
        <f t="shared" ca="1" si="150"/>
        <v>#NUM!</v>
      </c>
      <c r="T56" s="68" t="e">
        <f t="shared" si="151"/>
        <v>#NUM!</v>
      </c>
      <c r="U56" s="68" t="e">
        <f t="shared" si="152"/>
        <v>#NUM!</v>
      </c>
      <c r="V56" s="68" t="e">
        <f t="shared" si="153"/>
        <v>#NUM!</v>
      </c>
      <c r="W56" s="68" t="e">
        <f t="shared" si="154"/>
        <v>#NUM!</v>
      </c>
      <c r="X56" s="68" t="e">
        <f t="shared" si="155"/>
        <v>#NUM!</v>
      </c>
      <c r="Y56" s="68" t="e">
        <f t="shared" si="156"/>
        <v>#NUM!</v>
      </c>
      <c r="Z56" s="68" t="e">
        <f t="shared" si="157"/>
        <v>#NUM!</v>
      </c>
      <c r="AA56" s="68" t="e">
        <f t="shared" si="158"/>
        <v>#NUM!</v>
      </c>
      <c r="AB56" s="68" t="e">
        <f t="shared" si="159"/>
        <v>#NUM!</v>
      </c>
      <c r="AC56" s="68" t="e">
        <f t="shared" si="160"/>
        <v>#NUM!</v>
      </c>
      <c r="AD56" s="68" t="e">
        <f t="shared" si="161"/>
        <v>#NUM!</v>
      </c>
      <c r="AE56" s="178" t="e">
        <f t="shared" si="162"/>
        <v>#NUM!</v>
      </c>
      <c r="AF56" s="68" t="e">
        <f t="shared" si="163"/>
        <v>#NUM!</v>
      </c>
      <c r="AG56" s="68" t="e">
        <f t="shared" si="164"/>
        <v>#NUM!</v>
      </c>
      <c r="AH56" s="178" t="e">
        <f t="shared" si="165"/>
        <v>#NUM!</v>
      </c>
      <c r="AI56" s="68" t="e">
        <f t="shared" si="166"/>
        <v>#NUM!</v>
      </c>
      <c r="AJ56" s="68" t="e">
        <f t="shared" si="167"/>
        <v>#NUM!</v>
      </c>
      <c r="AK56" s="68" t="e">
        <f t="shared" si="168"/>
        <v>#NUM!</v>
      </c>
      <c r="AL56" s="68" t="e">
        <f t="shared" si="169"/>
        <v>#NUM!</v>
      </c>
      <c r="AM56" s="68" t="e">
        <f t="shared" si="170"/>
        <v>#NUM!</v>
      </c>
      <c r="AN56" s="68" t="e">
        <f t="shared" si="171"/>
        <v>#NUM!</v>
      </c>
      <c r="AO56" s="68" t="e">
        <f t="shared" si="172"/>
        <v>#NUM!</v>
      </c>
      <c r="AP56" s="68" t="e">
        <f t="shared" si="173"/>
        <v>#NUM!</v>
      </c>
      <c r="AQ56" s="68" t="e">
        <f t="shared" si="174"/>
        <v>#NUM!</v>
      </c>
      <c r="AR56" s="68" t="e">
        <f t="shared" si="175"/>
        <v>#NUM!</v>
      </c>
      <c r="AS56" s="68" t="e">
        <f t="shared" si="176"/>
        <v>#NUM!</v>
      </c>
      <c r="AT56" s="68" t="e">
        <f t="shared" si="177"/>
        <v>#NUM!</v>
      </c>
      <c r="AU56" s="68" t="e">
        <f t="shared" si="178"/>
        <v>#NUM!</v>
      </c>
      <c r="AV56" s="68" t="e">
        <f t="shared" si="179"/>
        <v>#NUM!</v>
      </c>
      <c r="AW56" s="68" t="e">
        <f t="shared" si="180"/>
        <v>#NUM!</v>
      </c>
      <c r="AX56" s="68" t="e">
        <f t="shared" si="181"/>
        <v>#NUM!</v>
      </c>
      <c r="AY56" s="68" t="e">
        <f t="shared" si="182"/>
        <v>#NUM!</v>
      </c>
      <c r="AZ56" s="68" t="e">
        <f t="shared" si="183"/>
        <v>#NUM!</v>
      </c>
      <c r="BA56" s="68" t="e">
        <f t="shared" si="184"/>
        <v>#NUM!</v>
      </c>
      <c r="BB56" s="68" t="e">
        <f t="shared" si="185"/>
        <v>#NUM!</v>
      </c>
      <c r="BC56" s="68" t="e">
        <f t="shared" si="186"/>
        <v>#NUM!</v>
      </c>
      <c r="BD56" s="68" t="e">
        <f t="shared" si="187"/>
        <v>#NUM!</v>
      </c>
      <c r="BE56" s="68" t="e">
        <f t="shared" si="188"/>
        <v>#NUM!</v>
      </c>
      <c r="BF56" s="68" t="e">
        <f t="shared" si="189"/>
        <v>#NUM!</v>
      </c>
      <c r="BG56" s="68" t="e">
        <f t="shared" si="190"/>
        <v>#NUM!</v>
      </c>
      <c r="BH56" s="68" t="e">
        <f t="shared" si="191"/>
        <v>#NUM!</v>
      </c>
      <c r="BI56" s="68" t="e">
        <f t="shared" si="192"/>
        <v>#NUM!</v>
      </c>
      <c r="BJ56" s="68" t="e">
        <f t="shared" si="193"/>
        <v>#NUM!</v>
      </c>
      <c r="BK56" s="68" t="e">
        <f t="shared" si="194"/>
        <v>#NUM!</v>
      </c>
      <c r="BL56" s="68" t="e">
        <f t="shared" si="195"/>
        <v>#NUM!</v>
      </c>
      <c r="BM56" s="68" t="e">
        <f t="shared" si="196"/>
        <v>#NUM!</v>
      </c>
      <c r="BN56" s="68" t="e">
        <f t="shared" si="197"/>
        <v>#NUM!</v>
      </c>
      <c r="BO56" s="68" t="e">
        <f t="shared" si="198"/>
        <v>#NUM!</v>
      </c>
      <c r="BP56" s="68" t="e">
        <f t="shared" si="199"/>
        <v>#NUM!</v>
      </c>
      <c r="BQ56" s="68" t="e">
        <f t="shared" si="200"/>
        <v>#NUM!</v>
      </c>
      <c r="BR56" s="68" t="e">
        <f t="shared" si="201"/>
        <v>#NUM!</v>
      </c>
      <c r="BS56" s="68" t="e">
        <f t="shared" si="202"/>
        <v>#NUM!</v>
      </c>
      <c r="BT56" s="68" t="e">
        <f t="shared" si="203"/>
        <v>#NUM!</v>
      </c>
      <c r="BU56" s="68" t="e">
        <f t="shared" si="204"/>
        <v>#NUM!</v>
      </c>
      <c r="BV56" s="68" t="e">
        <f t="shared" si="205"/>
        <v>#NUM!</v>
      </c>
      <c r="BW56" s="68" t="e">
        <f t="shared" si="206"/>
        <v>#NUM!</v>
      </c>
      <c r="BX56" s="68" t="e">
        <f t="shared" si="207"/>
        <v>#NUM!</v>
      </c>
      <c r="BY56" s="68" t="e">
        <f t="shared" si="208"/>
        <v>#NUM!</v>
      </c>
      <c r="BZ56" s="68" t="e">
        <f t="shared" si="209"/>
        <v>#NUM!</v>
      </c>
      <c r="CA56" s="68" t="e">
        <f t="shared" si="210"/>
        <v>#NUM!</v>
      </c>
      <c r="CB56" s="68" t="e">
        <f t="shared" si="211"/>
        <v>#NUM!</v>
      </c>
      <c r="CC56" s="68" t="e">
        <f t="shared" si="212"/>
        <v>#NUM!</v>
      </c>
      <c r="CD56" s="68" t="e">
        <f t="shared" si="213"/>
        <v>#NUM!</v>
      </c>
      <c r="CE56" s="68" t="e">
        <f t="shared" si="214"/>
        <v>#NUM!</v>
      </c>
      <c r="CF56" s="68" t="e">
        <f t="shared" si="215"/>
        <v>#NUM!</v>
      </c>
      <c r="CG56" s="68" t="e">
        <f t="shared" si="216"/>
        <v>#NUM!</v>
      </c>
    </row>
    <row r="57" spans="1:85" x14ac:dyDescent="0.25">
      <c r="C57" s="49"/>
      <c r="E57" s="167"/>
      <c r="F57" s="132"/>
      <c r="G57" s="133"/>
      <c r="H57" s="48"/>
      <c r="I57" s="48"/>
      <c r="J57" s="48"/>
      <c r="K57" s="48"/>
      <c r="L57" s="48"/>
      <c r="M57" s="48"/>
      <c r="N57" s="48"/>
      <c r="O57" s="133"/>
      <c r="P57" s="133"/>
      <c r="Q57" s="133"/>
      <c r="R57" s="133"/>
      <c r="S57" s="13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178"/>
      <c r="AF57" s="68"/>
      <c r="AG57" s="68"/>
      <c r="AH57" s="17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</row>
    <row r="58" spans="1:85" x14ac:dyDescent="0.25">
      <c r="C58" s="49"/>
      <c r="E58" s="167"/>
      <c r="F58" s="132"/>
      <c r="G58" s="133"/>
      <c r="H58" s="48"/>
      <c r="I58" s="48"/>
      <c r="J58" s="48"/>
      <c r="K58" s="48"/>
      <c r="L58" s="48"/>
      <c r="M58" s="48"/>
      <c r="N58" s="48"/>
      <c r="O58" s="133"/>
      <c r="P58" s="133"/>
      <c r="Q58" s="133"/>
      <c r="R58" s="133"/>
      <c r="S58" s="13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178"/>
      <c r="AF58" s="68"/>
      <c r="AG58" s="68"/>
      <c r="AH58" s="17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</row>
    <row r="59" spans="1:85" x14ac:dyDescent="0.25">
      <c r="C59" s="49"/>
      <c r="E59" s="167"/>
      <c r="F59" s="132"/>
      <c r="G59" s="133"/>
      <c r="H59" s="48"/>
      <c r="I59" s="48"/>
      <c r="J59" s="48"/>
      <c r="K59" s="48"/>
      <c r="L59" s="48"/>
      <c r="M59" s="48"/>
      <c r="N59" s="48"/>
      <c r="O59" s="133"/>
      <c r="P59" s="133"/>
      <c r="Q59" s="133"/>
      <c r="R59" s="133"/>
      <c r="S59" s="13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178"/>
      <c r="AF59" s="68"/>
      <c r="AG59" s="68"/>
      <c r="AH59" s="17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</row>
  </sheetData>
  <mergeCells count="2">
    <mergeCell ref="A1:E1"/>
    <mergeCell ref="A34:E34"/>
  </mergeCells>
  <conditionalFormatting sqref="H36:N59">
    <cfRule type="colorScale" priority="8">
      <colorScale>
        <cfvo type="min"/>
        <cfvo type="max"/>
        <color rgb="FFFCFCFF"/>
        <color rgb="FFF8696B"/>
      </colorScale>
    </cfRule>
  </conditionalFormatting>
  <conditionalFormatting sqref="J3:J25 G36:G59">
    <cfRule type="cellIs" dxfId="17" priority="2" operator="greaterThan">
      <formula>7</formula>
    </cfRule>
  </conditionalFormatting>
  <conditionalFormatting sqref="K4:Q25 K3:W1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36:O59">
    <cfRule type="cellIs" dxfId="16" priority="5" operator="greaterThan">
      <formula>3.2</formula>
    </cfRule>
  </conditionalFormatting>
  <conditionalFormatting sqref="P36:P59">
    <cfRule type="colorScale" priority="7">
      <colorScale>
        <cfvo type="min"/>
        <cfvo type="max"/>
        <color rgb="FFFFEF9C"/>
        <color rgb="FF63BE7B"/>
      </colorScale>
    </cfRule>
  </conditionalFormatting>
  <conditionalFormatting sqref="Q36:R59">
    <cfRule type="cellIs" dxfId="15" priority="4" operator="greaterThan">
      <formula>0.6</formula>
    </cfRule>
  </conditionalFormatting>
  <conditionalFormatting sqref="R19:R25">
    <cfRule type="cellIs" dxfId="14" priority="13" operator="greaterThan">
      <formula>3.2</formula>
    </cfRule>
  </conditionalFormatting>
  <conditionalFormatting sqref="S19:S25">
    <cfRule type="colorScale" priority="16">
      <colorScale>
        <cfvo type="min"/>
        <cfvo type="max"/>
        <color rgb="FFFFEF9C"/>
        <color rgb="FF63BE7B"/>
      </colorScale>
    </cfRule>
  </conditionalFormatting>
  <conditionalFormatting sqref="S36:S59">
    <cfRule type="cellIs" dxfId="13" priority="6" operator="greaterThan">
      <formula>15</formula>
    </cfRule>
  </conditionalFormatting>
  <conditionalFormatting sqref="T19:U25">
    <cfRule type="cellIs" dxfId="12" priority="12" operator="greaterThan">
      <formula>0.6</formula>
    </cfRule>
  </conditionalFormatting>
  <conditionalFormatting sqref="V19:W25">
    <cfRule type="cellIs" dxfId="11" priority="14" operator="greaterThan">
      <formula>15</formula>
    </cfRule>
  </conditionalFormatting>
  <conditionalFormatting sqref="X3:AA25 AC3:AH25 AJ3:AJ25 AL3:AN25 AP3:AS25 AU3:AZ25 BB3:BE25 BH3:BK25 BM3:CK25 T36:W59 Y36:AD59 AF36:AF59 AH36:AJ59 AL36:AO59 AQ36:AV59 AX36:BA59 BD36:BG59 BI36:CG59">
    <cfRule type="cellIs" dxfId="10" priority="3" operator="greaterThan">
      <formula>12.5</formula>
    </cfRule>
  </conditionalFormatting>
  <conditionalFormatting sqref="AB3:AB25 AI3:AI25 AT3:AT25 BA3:BA25 BG3:BG25 BL3:BL25 X36:X59 AE36:AE59 AP36:AP59 AW36:AW59 BC36:BC59 BH36:BH59">
    <cfRule type="cellIs" dxfId="9" priority="1" operator="greaterThan">
      <formula>12</formula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56" bestFit="1" customWidth="1"/>
    <col min="2" max="2" width="10.28515625" style="56" bestFit="1" customWidth="1"/>
    <col min="3" max="3" width="7" style="56" bestFit="1" customWidth="1"/>
    <col min="4" max="4" width="10" style="56" bestFit="1" customWidth="1"/>
    <col min="5" max="5" width="2.85546875" style="56" bestFit="1" customWidth="1"/>
    <col min="6" max="6" width="3.140625" style="56" bestFit="1" customWidth="1"/>
    <col min="7" max="7" width="3.42578125" style="56" bestFit="1" customWidth="1"/>
    <col min="8" max="8" width="4" style="56" bestFit="1" customWidth="1"/>
    <col min="9" max="9" width="4.140625" style="56" bestFit="1" customWidth="1"/>
    <col min="10" max="10" width="4.85546875" style="56" bestFit="1" customWidth="1"/>
    <col min="12" max="12" width="12.7109375" style="56" customWidth="1"/>
    <col min="13" max="13" width="15.140625" style="56" bestFit="1" customWidth="1"/>
    <col min="14" max="14" width="4.140625" style="56" bestFit="1" customWidth="1"/>
    <col min="15" max="15" width="5.28515625" style="56" bestFit="1" customWidth="1"/>
    <col min="17" max="17" width="15.140625" style="56" bestFit="1" customWidth="1"/>
    <col min="18" max="18" width="12.140625" style="56" bestFit="1" customWidth="1"/>
    <col min="19" max="19" width="13.28515625" style="56" bestFit="1" customWidth="1"/>
    <col min="20" max="20" width="14.7109375" style="56" bestFit="1" customWidth="1"/>
    <col min="21" max="21" width="12.5703125" style="56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56" bestFit="1" customWidth="1"/>
  </cols>
  <sheetData>
    <row r="1" spans="1:28" s="3" customFormat="1" x14ac:dyDescent="0.25">
      <c r="A1" s="2" t="s">
        <v>151</v>
      </c>
      <c r="B1" s="2" t="s">
        <v>430</v>
      </c>
      <c r="C1" s="2" t="s">
        <v>435</v>
      </c>
      <c r="D1" s="2" t="s">
        <v>431</v>
      </c>
      <c r="E1" s="2" t="s">
        <v>113</v>
      </c>
      <c r="F1" s="2" t="s">
        <v>16</v>
      </c>
      <c r="G1" s="2" t="s">
        <v>24</v>
      </c>
      <c r="H1" s="2" t="s">
        <v>432</v>
      </c>
      <c r="I1" s="2" t="s">
        <v>30</v>
      </c>
      <c r="J1" s="2" t="s">
        <v>21</v>
      </c>
      <c r="L1" s="2" t="s">
        <v>151</v>
      </c>
      <c r="M1" s="2" t="s">
        <v>84</v>
      </c>
      <c r="N1" s="2" t="s">
        <v>433</v>
      </c>
      <c r="O1" s="2" t="s">
        <v>434</v>
      </c>
      <c r="Q1" s="226" t="s">
        <v>435</v>
      </c>
      <c r="R1" s="214" t="s">
        <v>436</v>
      </c>
      <c r="S1" s="216" t="s">
        <v>445</v>
      </c>
      <c r="T1" s="56"/>
      <c r="U1" s="56"/>
      <c r="V1" s="214" t="s">
        <v>437</v>
      </c>
      <c r="W1" s="215" t="s">
        <v>438</v>
      </c>
      <c r="X1" s="215" t="s">
        <v>439</v>
      </c>
      <c r="Y1" s="215" t="s">
        <v>440</v>
      </c>
      <c r="Z1" s="216" t="s">
        <v>441</v>
      </c>
      <c r="AA1"/>
      <c r="AB1" s="2" t="s">
        <v>174</v>
      </c>
    </row>
    <row r="2" spans="1:28" x14ac:dyDescent="0.25">
      <c r="A2" s="213">
        <v>43969</v>
      </c>
      <c r="B2" s="56">
        <v>17480983</v>
      </c>
      <c r="C2" s="56">
        <v>13</v>
      </c>
      <c r="D2" s="56">
        <v>7</v>
      </c>
      <c r="E2" s="56">
        <v>2</v>
      </c>
      <c r="F2" s="56">
        <v>0</v>
      </c>
      <c r="G2" s="56">
        <v>1</v>
      </c>
      <c r="H2" s="56">
        <v>0</v>
      </c>
      <c r="I2" s="56">
        <v>0</v>
      </c>
      <c r="J2" s="56">
        <v>1</v>
      </c>
      <c r="L2" s="213">
        <v>43969</v>
      </c>
      <c r="M2" s="56" t="s">
        <v>136</v>
      </c>
      <c r="N2" s="56">
        <v>1</v>
      </c>
      <c r="O2" s="56">
        <v>0</v>
      </c>
      <c r="Q2" s="217">
        <v>12</v>
      </c>
      <c r="R2" s="217">
        <v>10</v>
      </c>
      <c r="S2" s="219">
        <v>0.3</v>
      </c>
      <c r="V2" s="223">
        <v>22</v>
      </c>
      <c r="W2" s="224">
        <v>16</v>
      </c>
      <c r="X2" s="224">
        <v>52</v>
      </c>
      <c r="Y2" s="224">
        <v>32</v>
      </c>
      <c r="Z2" s="225">
        <v>6</v>
      </c>
      <c r="AB2" s="56">
        <f>SUM(V2:Z2)</f>
        <v>128</v>
      </c>
    </row>
    <row r="3" spans="1:28" x14ac:dyDescent="0.25">
      <c r="A3" s="213">
        <v>43969</v>
      </c>
      <c r="B3" s="56">
        <v>17554252</v>
      </c>
      <c r="C3" s="56">
        <v>13</v>
      </c>
      <c r="D3" s="56">
        <v>7</v>
      </c>
      <c r="E3" s="56">
        <v>3</v>
      </c>
      <c r="F3" s="56">
        <v>1</v>
      </c>
      <c r="G3" s="56">
        <v>2</v>
      </c>
      <c r="H3" s="56">
        <v>0</v>
      </c>
      <c r="I3" s="56">
        <v>0</v>
      </c>
      <c r="J3" s="56">
        <v>0</v>
      </c>
      <c r="L3" s="213">
        <v>43969</v>
      </c>
      <c r="M3" s="56" t="s">
        <v>135</v>
      </c>
      <c r="N3" s="56">
        <v>1</v>
      </c>
      <c r="O3" s="56">
        <v>0</v>
      </c>
      <c r="Q3" s="220">
        <v>13</v>
      </c>
      <c r="R3" s="220">
        <v>87</v>
      </c>
      <c r="S3" s="222">
        <v>0.2413793103448276</v>
      </c>
      <c r="V3" s="227">
        <f>V2/$AB$2</f>
        <v>0.171875</v>
      </c>
      <c r="W3" s="227">
        <f t="shared" ref="W3:Z3" si="0">W2/$AB$2</f>
        <v>0.125</v>
      </c>
      <c r="X3" s="227">
        <f t="shared" si="0"/>
        <v>0.40625</v>
      </c>
      <c r="Y3" s="227">
        <f t="shared" si="0"/>
        <v>0.25</v>
      </c>
      <c r="Z3" s="227">
        <f t="shared" si="0"/>
        <v>4.6875E-2</v>
      </c>
    </row>
    <row r="4" spans="1:28" x14ac:dyDescent="0.25">
      <c r="A4" s="213">
        <v>43970</v>
      </c>
      <c r="B4" s="56">
        <v>17612232</v>
      </c>
      <c r="C4" s="56">
        <v>13</v>
      </c>
      <c r="D4" s="56">
        <v>5</v>
      </c>
      <c r="E4" s="56">
        <v>1</v>
      </c>
      <c r="F4" s="56">
        <v>0</v>
      </c>
      <c r="G4" s="56">
        <v>0</v>
      </c>
      <c r="H4" s="56">
        <v>1</v>
      </c>
      <c r="I4" s="56">
        <v>0</v>
      </c>
      <c r="J4" s="56">
        <v>0</v>
      </c>
      <c r="L4" s="213">
        <v>43969</v>
      </c>
      <c r="M4" s="56" t="s">
        <v>131</v>
      </c>
      <c r="N4" s="56">
        <v>0</v>
      </c>
      <c r="O4" s="56">
        <v>2</v>
      </c>
      <c r="Q4" s="220">
        <v>14</v>
      </c>
      <c r="R4" s="220">
        <v>55</v>
      </c>
      <c r="S4" s="222">
        <v>0.29090909090909089</v>
      </c>
    </row>
    <row r="5" spans="1:28" x14ac:dyDescent="0.25">
      <c r="A5" s="213">
        <v>43970</v>
      </c>
      <c r="B5" s="56">
        <v>17669494</v>
      </c>
      <c r="C5" s="56">
        <v>13</v>
      </c>
      <c r="D5" s="56">
        <v>9</v>
      </c>
      <c r="E5" s="56">
        <v>3</v>
      </c>
      <c r="F5" s="56">
        <v>0</v>
      </c>
      <c r="G5" s="56">
        <v>0</v>
      </c>
      <c r="H5" s="56">
        <v>3</v>
      </c>
      <c r="I5" s="56">
        <v>0</v>
      </c>
      <c r="J5" s="56">
        <v>0</v>
      </c>
      <c r="L5" s="213">
        <v>43969</v>
      </c>
      <c r="M5" s="56" t="s">
        <v>146</v>
      </c>
      <c r="N5" s="56">
        <v>0</v>
      </c>
      <c r="O5" s="56">
        <v>1</v>
      </c>
      <c r="Q5" s="220">
        <v>15</v>
      </c>
      <c r="R5" s="220">
        <v>131</v>
      </c>
      <c r="S5" s="222">
        <v>0.29007633587786258</v>
      </c>
    </row>
    <row r="6" spans="1:28" x14ac:dyDescent="0.25">
      <c r="A6" s="213">
        <v>43971</v>
      </c>
      <c r="B6" s="56">
        <v>17728262</v>
      </c>
      <c r="C6" s="56">
        <v>12</v>
      </c>
      <c r="D6" s="56">
        <v>5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L6" s="213">
        <v>43970</v>
      </c>
      <c r="M6" s="56" t="s">
        <v>140</v>
      </c>
      <c r="N6" s="56">
        <v>1</v>
      </c>
      <c r="O6" s="56">
        <v>1</v>
      </c>
      <c r="Q6" s="220">
        <v>16</v>
      </c>
      <c r="R6" s="220">
        <v>88</v>
      </c>
      <c r="S6" s="222">
        <v>0.29545454545454547</v>
      </c>
    </row>
    <row r="7" spans="1:28" x14ac:dyDescent="0.25">
      <c r="A7" s="213">
        <v>43972</v>
      </c>
      <c r="B7" s="56">
        <v>17843216</v>
      </c>
      <c r="C7" s="56">
        <v>12</v>
      </c>
      <c r="D7" s="56">
        <v>5</v>
      </c>
      <c r="E7" s="56">
        <v>3</v>
      </c>
      <c r="F7" s="56">
        <v>1</v>
      </c>
      <c r="G7" s="56">
        <v>1</v>
      </c>
      <c r="H7" s="56">
        <v>0</v>
      </c>
      <c r="I7" s="56">
        <v>1</v>
      </c>
      <c r="J7" s="56">
        <v>0</v>
      </c>
      <c r="L7" s="213">
        <v>43970</v>
      </c>
      <c r="M7" s="56" t="s">
        <v>141</v>
      </c>
      <c r="N7" s="56">
        <v>1</v>
      </c>
      <c r="O7" s="56">
        <v>1</v>
      </c>
      <c r="Q7" s="220">
        <v>17</v>
      </c>
      <c r="R7" s="220">
        <v>14</v>
      </c>
      <c r="S7" s="222">
        <v>0.14285714285714285</v>
      </c>
    </row>
    <row r="8" spans="1:28" x14ac:dyDescent="0.25">
      <c r="A8" s="213">
        <v>43976</v>
      </c>
      <c r="B8" s="56">
        <v>17945337</v>
      </c>
      <c r="C8" s="56">
        <v>13</v>
      </c>
      <c r="D8" s="56">
        <v>3</v>
      </c>
      <c r="E8" s="56">
        <v>1</v>
      </c>
      <c r="F8" s="56">
        <v>0</v>
      </c>
      <c r="G8" s="56">
        <v>0</v>
      </c>
      <c r="H8" s="56">
        <v>1</v>
      </c>
      <c r="I8" s="56">
        <v>0</v>
      </c>
      <c r="J8" s="56">
        <v>0</v>
      </c>
      <c r="L8" s="213">
        <v>43972</v>
      </c>
      <c r="M8" s="56" t="s">
        <v>132</v>
      </c>
      <c r="N8" s="56">
        <v>1</v>
      </c>
      <c r="O8" s="56">
        <v>0</v>
      </c>
      <c r="Q8" s="220">
        <v>19</v>
      </c>
      <c r="R8" s="220">
        <v>84</v>
      </c>
      <c r="S8" s="222">
        <v>0.26190476190476192</v>
      </c>
    </row>
    <row r="9" spans="1:28" x14ac:dyDescent="0.25">
      <c r="A9" s="213">
        <v>43977</v>
      </c>
      <c r="B9" s="56">
        <v>18067489</v>
      </c>
      <c r="C9" s="56">
        <v>13</v>
      </c>
      <c r="D9" s="56">
        <v>4</v>
      </c>
      <c r="E9" s="56">
        <v>1</v>
      </c>
      <c r="F9" s="56">
        <v>0</v>
      </c>
      <c r="G9" s="56">
        <v>0</v>
      </c>
      <c r="H9" s="56">
        <v>0</v>
      </c>
      <c r="I9" s="56">
        <v>1</v>
      </c>
      <c r="J9" s="56">
        <v>0</v>
      </c>
      <c r="L9" s="213">
        <v>43972</v>
      </c>
      <c r="M9" s="56" t="s">
        <v>136</v>
      </c>
      <c r="N9" s="56">
        <v>0</v>
      </c>
      <c r="O9" s="56">
        <v>1</v>
      </c>
      <c r="Q9" s="228" t="s">
        <v>174</v>
      </c>
      <c r="R9" s="228">
        <v>469</v>
      </c>
      <c r="S9" s="230">
        <v>0.27292110874200426</v>
      </c>
    </row>
    <row r="10" spans="1:28" x14ac:dyDescent="0.25">
      <c r="A10" s="213">
        <v>43978</v>
      </c>
      <c r="B10" s="56">
        <v>18083815</v>
      </c>
      <c r="C10" s="56">
        <v>13</v>
      </c>
      <c r="D10" s="56">
        <v>9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L10" s="213">
        <v>43972</v>
      </c>
      <c r="M10" s="56" t="s">
        <v>145</v>
      </c>
      <c r="N10" s="56">
        <v>0</v>
      </c>
      <c r="O10" s="56">
        <v>1</v>
      </c>
    </row>
    <row r="11" spans="1:28" x14ac:dyDescent="0.25">
      <c r="A11" s="213">
        <v>43978</v>
      </c>
      <c r="B11" s="56">
        <v>18102369</v>
      </c>
      <c r="C11" s="56">
        <v>13</v>
      </c>
      <c r="D11" s="56">
        <v>7</v>
      </c>
      <c r="E11" s="56">
        <v>1</v>
      </c>
      <c r="F11" s="56">
        <v>0</v>
      </c>
      <c r="G11" s="56">
        <v>0</v>
      </c>
      <c r="H11" s="56">
        <v>1</v>
      </c>
      <c r="I11" s="56">
        <v>0</v>
      </c>
      <c r="J11" s="56">
        <v>0</v>
      </c>
      <c r="L11" s="213">
        <v>43976</v>
      </c>
      <c r="M11" s="56" t="s">
        <v>140</v>
      </c>
      <c r="N11" s="56">
        <v>0</v>
      </c>
      <c r="O11" s="56">
        <v>1</v>
      </c>
    </row>
    <row r="12" spans="1:28" x14ac:dyDescent="0.25">
      <c r="A12" s="213">
        <v>43978</v>
      </c>
      <c r="B12" s="56">
        <v>18116746</v>
      </c>
      <c r="C12" s="56">
        <v>14</v>
      </c>
      <c r="D12" s="56">
        <v>10</v>
      </c>
      <c r="E12" s="56">
        <v>2</v>
      </c>
      <c r="F12" s="56">
        <v>0</v>
      </c>
      <c r="G12" s="56">
        <v>1</v>
      </c>
      <c r="H12" s="56">
        <v>0</v>
      </c>
      <c r="I12" s="56">
        <v>1</v>
      </c>
      <c r="J12" s="56">
        <v>0</v>
      </c>
      <c r="L12" s="213">
        <v>43977</v>
      </c>
      <c r="M12" s="56" t="s">
        <v>138</v>
      </c>
      <c r="N12" s="56">
        <v>0</v>
      </c>
      <c r="O12" s="56">
        <v>1</v>
      </c>
    </row>
    <row r="13" spans="1:28" x14ac:dyDescent="0.25">
      <c r="A13" s="213">
        <v>43979</v>
      </c>
      <c r="B13" s="56">
        <v>18200256</v>
      </c>
      <c r="C13" s="56">
        <v>14</v>
      </c>
      <c r="D13" s="56">
        <v>9</v>
      </c>
      <c r="E13" s="56">
        <v>2</v>
      </c>
      <c r="F13" s="56">
        <v>0</v>
      </c>
      <c r="G13" s="56">
        <v>0</v>
      </c>
      <c r="H13" s="56">
        <v>2</v>
      </c>
      <c r="I13" s="56">
        <v>0</v>
      </c>
      <c r="J13" s="56">
        <v>0</v>
      </c>
      <c r="L13" s="213">
        <v>43978</v>
      </c>
      <c r="M13" s="56" t="s">
        <v>136</v>
      </c>
      <c r="N13" s="56">
        <v>1</v>
      </c>
      <c r="O13" s="56">
        <v>0</v>
      </c>
    </row>
    <row r="14" spans="1:28" x14ac:dyDescent="0.25">
      <c r="A14" s="213">
        <v>43979</v>
      </c>
      <c r="B14" s="56">
        <v>18216545</v>
      </c>
      <c r="C14" s="56">
        <v>13</v>
      </c>
      <c r="D14" s="56">
        <v>9</v>
      </c>
      <c r="E14" s="56">
        <v>2</v>
      </c>
      <c r="F14" s="56">
        <v>0</v>
      </c>
      <c r="G14" s="56">
        <v>1</v>
      </c>
      <c r="H14" s="56">
        <v>1</v>
      </c>
      <c r="I14" s="56">
        <v>0</v>
      </c>
      <c r="J14" s="56">
        <v>0</v>
      </c>
      <c r="L14" s="213">
        <v>43978</v>
      </c>
      <c r="M14" s="56" t="s">
        <v>141</v>
      </c>
      <c r="N14" s="56">
        <v>1</v>
      </c>
      <c r="O14" s="56">
        <v>0</v>
      </c>
    </row>
    <row r="15" spans="1:28" x14ac:dyDescent="0.25">
      <c r="A15" s="213">
        <v>43979</v>
      </c>
      <c r="B15" s="56">
        <v>18286656</v>
      </c>
      <c r="C15" s="56">
        <v>13</v>
      </c>
      <c r="D15" s="56">
        <v>7</v>
      </c>
      <c r="E15" s="56">
        <v>2</v>
      </c>
      <c r="F15" s="56">
        <v>1</v>
      </c>
      <c r="G15" s="56">
        <v>0</v>
      </c>
      <c r="H15" s="56">
        <v>1</v>
      </c>
      <c r="I15" s="56">
        <v>0</v>
      </c>
      <c r="J15" s="56">
        <v>0</v>
      </c>
      <c r="L15" s="213">
        <v>43978</v>
      </c>
      <c r="M15" s="56" t="s">
        <v>145</v>
      </c>
      <c r="N15" s="56">
        <v>1</v>
      </c>
      <c r="O15" s="56">
        <v>0</v>
      </c>
      <c r="Q15" s="226" t="s">
        <v>84</v>
      </c>
      <c r="R15" s="214" t="s">
        <v>442</v>
      </c>
      <c r="S15" s="215" t="s">
        <v>443</v>
      </c>
      <c r="T15" s="216" t="s">
        <v>444</v>
      </c>
      <c r="V15" s="202" t="e">
        <f>PLANTILLA!#REF!</f>
        <v>#REF!</v>
      </c>
      <c r="W15" s="84" t="e">
        <f>PLANTILLA!#REF!</f>
        <v>#REF!</v>
      </c>
    </row>
    <row r="16" spans="1:28" x14ac:dyDescent="0.25">
      <c r="A16" s="213">
        <v>43982</v>
      </c>
      <c r="B16" s="56">
        <v>18448080</v>
      </c>
      <c r="C16" s="56">
        <v>13</v>
      </c>
      <c r="D16" s="56">
        <v>8</v>
      </c>
      <c r="E16" s="56">
        <v>1</v>
      </c>
      <c r="F16" s="56">
        <v>0</v>
      </c>
      <c r="G16" s="56">
        <v>0</v>
      </c>
      <c r="H16" s="56">
        <v>0</v>
      </c>
      <c r="I16" s="56">
        <v>1</v>
      </c>
      <c r="J16" s="56">
        <v>0</v>
      </c>
      <c r="L16" s="213">
        <v>43979</v>
      </c>
      <c r="M16" s="56" t="s">
        <v>140</v>
      </c>
      <c r="N16" s="56">
        <v>1</v>
      </c>
      <c r="O16" s="56">
        <v>1</v>
      </c>
      <c r="Q16" s="217" t="s">
        <v>135</v>
      </c>
      <c r="R16" s="217">
        <v>4</v>
      </c>
      <c r="S16" s="218">
        <v>1</v>
      </c>
      <c r="T16" s="219">
        <v>0.8</v>
      </c>
      <c r="U16" s="133" t="e">
        <f>VLOOKUP(Q16,$V$15:$W$36,2,FALSE)</f>
        <v>#N/A</v>
      </c>
      <c r="V16" s="202" t="e">
        <f>PLANTILLA!#REF!</f>
        <v>#REF!</v>
      </c>
      <c r="W16" s="84" t="e">
        <f>PLANTILLA!#REF!</f>
        <v>#REF!</v>
      </c>
    </row>
    <row r="17" spans="1:23" x14ac:dyDescent="0.25">
      <c r="A17" s="213">
        <v>43990</v>
      </c>
      <c r="B17" s="56">
        <v>662376951</v>
      </c>
      <c r="C17" s="56">
        <v>13</v>
      </c>
      <c r="D17" s="56">
        <v>8</v>
      </c>
      <c r="E17" s="56">
        <v>3</v>
      </c>
      <c r="F17" s="56">
        <v>0</v>
      </c>
      <c r="G17" s="56">
        <v>0</v>
      </c>
      <c r="H17" s="56">
        <v>2</v>
      </c>
      <c r="I17" s="56">
        <v>1</v>
      </c>
      <c r="J17" s="56">
        <v>0</v>
      </c>
      <c r="L17" s="213">
        <v>43979</v>
      </c>
      <c r="M17" s="56" t="s">
        <v>136</v>
      </c>
      <c r="N17" s="56">
        <v>0</v>
      </c>
      <c r="O17" s="56">
        <v>1</v>
      </c>
      <c r="Q17" s="220" t="s">
        <v>145</v>
      </c>
      <c r="R17" s="220">
        <v>3</v>
      </c>
      <c r="S17" s="221">
        <v>1</v>
      </c>
      <c r="T17" s="222">
        <v>0.75</v>
      </c>
      <c r="U17" s="133" t="e">
        <f t="shared" ref="U17:U32" si="1">VLOOKUP(Q17,$V$15:$W$36,2,FALSE)</f>
        <v>#N/A</v>
      </c>
      <c r="V17" s="202" t="e">
        <f>PLANTILLA!#REF!</f>
        <v>#REF!</v>
      </c>
      <c r="W17" s="84" t="e">
        <f>PLANTILLA!#REF!</f>
        <v>#REF!</v>
      </c>
    </row>
    <row r="18" spans="1:23" x14ac:dyDescent="0.25">
      <c r="A18" s="213">
        <v>43997</v>
      </c>
      <c r="B18" s="56">
        <v>662376954</v>
      </c>
      <c r="C18" s="56">
        <v>13</v>
      </c>
      <c r="D18" s="56">
        <v>4</v>
      </c>
      <c r="E18" s="56">
        <v>1</v>
      </c>
      <c r="F18" s="56">
        <v>0</v>
      </c>
      <c r="G18" s="56">
        <v>0</v>
      </c>
      <c r="H18" s="56">
        <v>0</v>
      </c>
      <c r="I18" s="56">
        <v>1</v>
      </c>
      <c r="J18" s="56">
        <v>0</v>
      </c>
      <c r="L18" s="213">
        <v>43979</v>
      </c>
      <c r="M18" s="56" t="s">
        <v>134</v>
      </c>
      <c r="N18" s="56">
        <v>0</v>
      </c>
      <c r="O18" s="56">
        <v>1</v>
      </c>
      <c r="Q18" s="220" t="s">
        <v>141</v>
      </c>
      <c r="R18" s="220">
        <v>9</v>
      </c>
      <c r="S18" s="221">
        <v>5</v>
      </c>
      <c r="T18" s="222">
        <v>0.6428571428571429</v>
      </c>
      <c r="U18" s="133">
        <f t="shared" ca="1" si="1"/>
        <v>20.432837941294881</v>
      </c>
      <c r="V18" s="202" t="str">
        <f>PLANTILLA!C5</f>
        <v>V. Gardner</v>
      </c>
      <c r="W18" s="84">
        <f ca="1">PLANTILLA!AE5</f>
        <v>18.283685181650238</v>
      </c>
    </row>
    <row r="19" spans="1:23" x14ac:dyDescent="0.25">
      <c r="A19" s="213">
        <v>44000</v>
      </c>
      <c r="B19" s="56">
        <v>662839612</v>
      </c>
      <c r="C19" s="56">
        <v>14</v>
      </c>
      <c r="D19" s="56">
        <v>3</v>
      </c>
      <c r="E19" s="56">
        <v>1</v>
      </c>
      <c r="F19" s="56">
        <v>0</v>
      </c>
      <c r="G19" s="56">
        <v>0</v>
      </c>
      <c r="H19" s="56">
        <v>0</v>
      </c>
      <c r="I19" s="56">
        <v>1</v>
      </c>
      <c r="J19" s="56">
        <v>0</v>
      </c>
      <c r="L19" s="213">
        <v>43979</v>
      </c>
      <c r="M19" s="56" t="s">
        <v>137</v>
      </c>
      <c r="N19" s="56">
        <v>1</v>
      </c>
      <c r="O19" s="56">
        <v>1</v>
      </c>
      <c r="Q19" s="220" t="s">
        <v>138</v>
      </c>
      <c r="R19" s="220">
        <v>7</v>
      </c>
      <c r="S19" s="221">
        <v>4</v>
      </c>
      <c r="T19" s="222">
        <v>0.63636363636363635</v>
      </c>
      <c r="U19" s="133">
        <f t="shared" ca="1" si="1"/>
        <v>23.092193536697255</v>
      </c>
      <c r="V19" s="202" t="e">
        <f>PLANTILLA!#REF!</f>
        <v>#REF!</v>
      </c>
      <c r="W19" s="84" t="e">
        <f>PLANTILLA!#REF!</f>
        <v>#REF!</v>
      </c>
    </row>
    <row r="20" spans="1:23" x14ac:dyDescent="0.25">
      <c r="A20" s="213">
        <v>44004</v>
      </c>
      <c r="B20" s="56">
        <v>662376959</v>
      </c>
      <c r="C20" s="56">
        <v>14</v>
      </c>
      <c r="D20" s="56">
        <v>10</v>
      </c>
      <c r="E20" s="56">
        <v>3</v>
      </c>
      <c r="F20" s="56">
        <v>0</v>
      </c>
      <c r="G20" s="56">
        <v>0</v>
      </c>
      <c r="H20" s="56">
        <v>1</v>
      </c>
      <c r="I20" s="56">
        <v>1</v>
      </c>
      <c r="J20" s="56">
        <v>1</v>
      </c>
      <c r="L20" s="213">
        <v>43982</v>
      </c>
      <c r="M20" s="56" t="s">
        <v>138</v>
      </c>
      <c r="N20" s="56">
        <v>1</v>
      </c>
      <c r="O20" s="56">
        <v>0</v>
      </c>
      <c r="Q20" s="220" t="s">
        <v>132</v>
      </c>
      <c r="R20" s="220">
        <v>3</v>
      </c>
      <c r="S20" s="221">
        <v>2</v>
      </c>
      <c r="T20" s="222">
        <v>0.6</v>
      </c>
      <c r="U20" s="133">
        <f t="shared" ca="1" si="1"/>
        <v>17.972408384955052</v>
      </c>
      <c r="V20" s="202" t="str">
        <f>PLANTILLA!C6</f>
        <v>A. Grimaud</v>
      </c>
      <c r="W20" s="84">
        <f ca="1">PLANTILLA!AE6</f>
        <v>17.972408384955052</v>
      </c>
    </row>
    <row r="21" spans="1:23" x14ac:dyDescent="0.25">
      <c r="A21" s="213">
        <v>44005</v>
      </c>
      <c r="B21" s="56">
        <v>18799271</v>
      </c>
      <c r="C21" s="56">
        <v>15</v>
      </c>
      <c r="D21" s="56">
        <v>6</v>
      </c>
      <c r="E21" s="56">
        <v>1</v>
      </c>
      <c r="F21" s="56">
        <v>0</v>
      </c>
      <c r="G21" s="56">
        <v>0</v>
      </c>
      <c r="H21" s="56">
        <v>0</v>
      </c>
      <c r="I21" s="56">
        <v>0</v>
      </c>
      <c r="J21" s="56">
        <v>1</v>
      </c>
      <c r="L21" s="213">
        <v>43990</v>
      </c>
      <c r="M21" s="56" t="s">
        <v>144</v>
      </c>
      <c r="N21" s="56">
        <v>0</v>
      </c>
      <c r="O21" s="56">
        <v>1</v>
      </c>
      <c r="Q21" s="220" t="s">
        <v>136</v>
      </c>
      <c r="R21" s="220">
        <v>3</v>
      </c>
      <c r="S21" s="221">
        <v>2</v>
      </c>
      <c r="T21" s="222">
        <v>0.6</v>
      </c>
      <c r="U21" s="133" t="e">
        <f t="shared" si="1"/>
        <v>#N/A</v>
      </c>
      <c r="V21" s="202" t="str">
        <f>PLANTILLA!C7</f>
        <v>C. Mosser</v>
      </c>
      <c r="W21" s="84">
        <f ca="1">PLANTILLA!AE7</f>
        <v>18.594067879623122</v>
      </c>
    </row>
    <row r="22" spans="1:23" x14ac:dyDescent="0.25">
      <c r="A22" s="213">
        <v>44007</v>
      </c>
      <c r="B22" s="56">
        <v>18799286</v>
      </c>
      <c r="C22" s="56">
        <v>14</v>
      </c>
      <c r="D22" s="56">
        <v>7</v>
      </c>
      <c r="E22" s="56">
        <v>3</v>
      </c>
      <c r="F22" s="56">
        <v>0</v>
      </c>
      <c r="G22" s="56">
        <v>0</v>
      </c>
      <c r="H22" s="56">
        <v>0</v>
      </c>
      <c r="I22" s="56">
        <v>3</v>
      </c>
      <c r="J22" s="56">
        <v>0</v>
      </c>
      <c r="L22" s="213">
        <v>43990</v>
      </c>
      <c r="M22" s="56" t="s">
        <v>141</v>
      </c>
      <c r="N22" s="56">
        <v>0</v>
      </c>
      <c r="O22" s="56">
        <v>1</v>
      </c>
      <c r="Q22" s="220" t="s">
        <v>144</v>
      </c>
      <c r="R22" s="220">
        <v>9</v>
      </c>
      <c r="S22" s="221">
        <v>7</v>
      </c>
      <c r="T22" s="222">
        <v>0.5625</v>
      </c>
      <c r="U22" s="133" t="e">
        <f t="shared" si="1"/>
        <v>#N/A</v>
      </c>
      <c r="V22" s="202" t="str">
        <f>PLANTILLA!C8</f>
        <v>P. Tuderek</v>
      </c>
      <c r="W22" s="84">
        <f ca="1">PLANTILLA!AE8</f>
        <v>20.432837941294881</v>
      </c>
    </row>
    <row r="23" spans="1:23" x14ac:dyDescent="0.25">
      <c r="A23" s="213">
        <v>44010</v>
      </c>
      <c r="B23" s="56">
        <v>18799288</v>
      </c>
      <c r="C23" s="56">
        <v>15</v>
      </c>
      <c r="D23" s="56">
        <v>6</v>
      </c>
      <c r="E23" s="56">
        <v>2</v>
      </c>
      <c r="F23" s="56">
        <v>1</v>
      </c>
      <c r="G23" s="56">
        <v>0</v>
      </c>
      <c r="H23" s="56">
        <v>1</v>
      </c>
      <c r="I23" s="56">
        <v>0</v>
      </c>
      <c r="J23" s="56">
        <v>0</v>
      </c>
      <c r="L23" s="213">
        <v>43990</v>
      </c>
      <c r="M23" s="56" t="s">
        <v>138</v>
      </c>
      <c r="N23" s="56">
        <v>0</v>
      </c>
      <c r="O23" s="56">
        <v>1</v>
      </c>
      <c r="Q23" s="220" t="s">
        <v>137</v>
      </c>
      <c r="R23" s="220">
        <v>5</v>
      </c>
      <c r="S23" s="221">
        <v>4</v>
      </c>
      <c r="T23" s="222">
        <v>0.55555555555555558</v>
      </c>
      <c r="U23" s="133">
        <f t="shared" ca="1" si="1"/>
        <v>19.923636886419978</v>
      </c>
      <c r="V23" s="202" t="str">
        <f>PLANTILLA!C10</f>
        <v>K. Teglborg</v>
      </c>
      <c r="W23" s="84">
        <f ca="1">PLANTILLA!AE10</f>
        <v>21.060327483571321</v>
      </c>
    </row>
    <row r="24" spans="1:23" x14ac:dyDescent="0.25">
      <c r="A24" s="213">
        <v>44011</v>
      </c>
      <c r="B24" s="56">
        <v>662376963</v>
      </c>
      <c r="C24" s="56">
        <v>15</v>
      </c>
      <c r="D24" s="56">
        <v>4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L24" s="213">
        <v>43997</v>
      </c>
      <c r="M24" s="56" t="s">
        <v>137</v>
      </c>
      <c r="N24" s="56">
        <v>1</v>
      </c>
      <c r="O24" s="56">
        <v>0</v>
      </c>
      <c r="Q24" s="220" t="s">
        <v>140</v>
      </c>
      <c r="R24" s="220">
        <v>12</v>
      </c>
      <c r="S24" s="221">
        <v>10</v>
      </c>
      <c r="T24" s="222">
        <v>0.54545454545454541</v>
      </c>
      <c r="U24" s="133">
        <f t="shared" ca="1" si="1"/>
        <v>20.222223292878734</v>
      </c>
      <c r="V24" s="202" t="str">
        <f>PLANTILLA!C13</f>
        <v>S. Sawczyn</v>
      </c>
      <c r="W24" s="84">
        <f ca="1">PLANTILLA!AE13</f>
        <v>19.886725285711051</v>
      </c>
    </row>
    <row r="25" spans="1:23" x14ac:dyDescent="0.25">
      <c r="A25" s="213">
        <v>44012</v>
      </c>
      <c r="B25" s="56">
        <v>18799301</v>
      </c>
      <c r="C25" s="56">
        <v>15</v>
      </c>
      <c r="D25" s="56">
        <v>7</v>
      </c>
      <c r="E25" s="56">
        <v>3</v>
      </c>
      <c r="F25" s="56">
        <v>0</v>
      </c>
      <c r="G25" s="56">
        <v>0</v>
      </c>
      <c r="H25" s="56">
        <v>3</v>
      </c>
      <c r="I25" s="56">
        <v>0</v>
      </c>
      <c r="J25" s="56">
        <v>0</v>
      </c>
      <c r="L25" s="213">
        <v>44000</v>
      </c>
      <c r="M25" s="56" t="s">
        <v>140</v>
      </c>
      <c r="N25" s="56">
        <v>0</v>
      </c>
      <c r="O25" s="56">
        <v>1</v>
      </c>
      <c r="Q25" s="220" t="s">
        <v>139</v>
      </c>
      <c r="R25" s="220">
        <v>4</v>
      </c>
      <c r="S25" s="221">
        <v>4</v>
      </c>
      <c r="T25" s="222">
        <v>0.5</v>
      </c>
      <c r="U25" s="133">
        <f t="shared" ca="1" si="1"/>
        <v>23.28241974479748</v>
      </c>
      <c r="V25" s="202" t="str">
        <f>PLANTILLA!C11</f>
        <v>纪 (J.) 昌永 (Changyong)</v>
      </c>
      <c r="W25" s="84">
        <f ca="1">PLANTILLA!AE11</f>
        <v>21.610027970309773</v>
      </c>
    </row>
    <row r="26" spans="1:23" x14ac:dyDescent="0.25">
      <c r="A26" s="213">
        <v>44014</v>
      </c>
      <c r="B26" s="56">
        <v>663085087</v>
      </c>
      <c r="C26" s="56">
        <v>15</v>
      </c>
      <c r="D26" s="56">
        <v>10</v>
      </c>
      <c r="E26" s="56">
        <v>4</v>
      </c>
      <c r="F26" s="56">
        <v>1</v>
      </c>
      <c r="G26" s="56">
        <v>2</v>
      </c>
      <c r="H26" s="56">
        <v>1</v>
      </c>
      <c r="I26" s="56">
        <v>0</v>
      </c>
      <c r="J26" s="56">
        <v>0</v>
      </c>
      <c r="L26" s="213">
        <v>44004</v>
      </c>
      <c r="M26" s="56" t="s">
        <v>142</v>
      </c>
      <c r="N26" s="56">
        <v>1</v>
      </c>
      <c r="O26" s="56">
        <v>0</v>
      </c>
      <c r="Q26" s="220" t="s">
        <v>129</v>
      </c>
      <c r="R26" s="220">
        <v>3</v>
      </c>
      <c r="S26" s="221">
        <v>3</v>
      </c>
      <c r="T26" s="222">
        <v>0.5</v>
      </c>
      <c r="U26" s="133" t="e">
        <f t="shared" si="1"/>
        <v>#N/A</v>
      </c>
      <c r="V26" s="202" t="str">
        <f>PLANTILLA!C12</f>
        <v>Y. Galitsky</v>
      </c>
      <c r="W26" s="84">
        <f ca="1">PLANTILLA!AE12</f>
        <v>19.036929676766327</v>
      </c>
    </row>
    <row r="27" spans="1:23" x14ac:dyDescent="0.25">
      <c r="A27" s="213">
        <v>44014</v>
      </c>
      <c r="B27" s="56">
        <v>18799305</v>
      </c>
      <c r="C27" s="56">
        <v>14</v>
      </c>
      <c r="D27" s="56">
        <v>8</v>
      </c>
      <c r="E27" s="56">
        <v>2</v>
      </c>
      <c r="F27" s="56">
        <v>0</v>
      </c>
      <c r="G27" s="56">
        <v>0</v>
      </c>
      <c r="H27" s="56">
        <v>0</v>
      </c>
      <c r="I27" s="56">
        <v>1</v>
      </c>
      <c r="J27" s="56">
        <v>1</v>
      </c>
      <c r="L27" s="213">
        <v>44004</v>
      </c>
      <c r="M27" s="56" t="s">
        <v>145</v>
      </c>
      <c r="N27" s="56">
        <v>1</v>
      </c>
      <c r="O27" s="56">
        <v>0</v>
      </c>
      <c r="Q27" s="220" t="s">
        <v>142</v>
      </c>
      <c r="R27" s="220">
        <v>2</v>
      </c>
      <c r="S27" s="221">
        <v>2</v>
      </c>
      <c r="T27" s="222">
        <v>0.5</v>
      </c>
      <c r="U27" s="133" t="e">
        <f t="shared" si="1"/>
        <v>#N/A</v>
      </c>
      <c r="V27" s="202" t="e">
        <f>PLANTILLA!#REF!</f>
        <v>#REF!</v>
      </c>
      <c r="W27" s="84" t="e">
        <f>PLANTILLA!#REF!</f>
        <v>#REF!</v>
      </c>
    </row>
    <row r="28" spans="1:23" x14ac:dyDescent="0.25">
      <c r="A28" s="213">
        <v>44017</v>
      </c>
      <c r="B28" s="56">
        <v>18799314</v>
      </c>
      <c r="C28" s="56">
        <v>15</v>
      </c>
      <c r="D28" s="56">
        <v>5</v>
      </c>
      <c r="E28" s="56">
        <v>1</v>
      </c>
      <c r="F28" s="56">
        <v>0</v>
      </c>
      <c r="G28" s="56">
        <v>0</v>
      </c>
      <c r="H28" s="56">
        <v>1</v>
      </c>
      <c r="I28" s="56">
        <v>0</v>
      </c>
      <c r="J28" s="56">
        <v>0</v>
      </c>
      <c r="L28" s="213">
        <v>44004</v>
      </c>
      <c r="M28" s="56" t="s">
        <v>137</v>
      </c>
      <c r="N28" s="56">
        <v>0</v>
      </c>
      <c r="O28" s="56">
        <v>1</v>
      </c>
      <c r="Q28" s="220" t="s">
        <v>131</v>
      </c>
      <c r="R28" s="220">
        <v>2</v>
      </c>
      <c r="S28" s="221">
        <v>3</v>
      </c>
      <c r="T28" s="222">
        <v>0.4</v>
      </c>
      <c r="U28" s="133" t="e">
        <f t="shared" si="1"/>
        <v>#N/A</v>
      </c>
      <c r="V28" s="202" t="str">
        <f>PLANTILLA!C9</f>
        <v>T. McPhail</v>
      </c>
      <c r="W28" s="84">
        <f ca="1">PLANTILLA!AE9</f>
        <v>22.182419744797478</v>
      </c>
    </row>
    <row r="29" spans="1:23" x14ac:dyDescent="0.25">
      <c r="A29" s="213">
        <v>44018</v>
      </c>
      <c r="B29" s="56">
        <v>662376969</v>
      </c>
      <c r="C29" s="56">
        <v>15</v>
      </c>
      <c r="D29" s="56">
        <v>8</v>
      </c>
      <c r="E29" s="56">
        <v>1</v>
      </c>
      <c r="F29" s="56">
        <v>0</v>
      </c>
      <c r="G29" s="56">
        <v>0</v>
      </c>
      <c r="H29" s="56">
        <v>0</v>
      </c>
      <c r="I29" s="56">
        <v>1</v>
      </c>
      <c r="J29" s="56">
        <v>0</v>
      </c>
      <c r="L29" s="213">
        <v>44005</v>
      </c>
      <c r="M29" s="56" t="s">
        <v>128</v>
      </c>
      <c r="N29" s="56">
        <v>0</v>
      </c>
      <c r="O29" s="56">
        <v>1</v>
      </c>
      <c r="Q29" s="220" t="s">
        <v>134</v>
      </c>
      <c r="R29" s="220">
        <v>3</v>
      </c>
      <c r="S29" s="221">
        <v>7</v>
      </c>
      <c r="T29" s="222">
        <v>0.3</v>
      </c>
      <c r="U29" s="133">
        <f t="shared" ca="1" si="1"/>
        <v>18.283685181650238</v>
      </c>
      <c r="V29" s="202" t="str">
        <f>PLANTILLA!C14</f>
        <v>S. Hovhannesyan</v>
      </c>
      <c r="W29" s="84">
        <f ca="1">PLANTILLA!AE14</f>
        <v>17.401068585788117</v>
      </c>
    </row>
    <row r="30" spans="1:23" x14ac:dyDescent="0.25">
      <c r="A30" s="213">
        <v>44019</v>
      </c>
      <c r="B30" s="56">
        <v>18799322</v>
      </c>
      <c r="C30" s="56">
        <v>15</v>
      </c>
      <c r="D30" s="56">
        <v>10</v>
      </c>
      <c r="E30" s="56">
        <v>3</v>
      </c>
      <c r="F30" s="56">
        <v>1</v>
      </c>
      <c r="G30" s="56">
        <v>0</v>
      </c>
      <c r="H30" s="56">
        <v>1</v>
      </c>
      <c r="I30" s="56">
        <v>1</v>
      </c>
      <c r="J30" s="56">
        <v>0</v>
      </c>
      <c r="L30" s="213">
        <v>44007</v>
      </c>
      <c r="M30" s="56" t="s">
        <v>140</v>
      </c>
      <c r="N30" s="56">
        <v>2</v>
      </c>
      <c r="O30" s="56">
        <v>0</v>
      </c>
      <c r="Q30" s="220" t="s">
        <v>128</v>
      </c>
      <c r="R30" s="220">
        <v>0</v>
      </c>
      <c r="S30" s="221">
        <v>1</v>
      </c>
      <c r="T30" s="222">
        <v>0</v>
      </c>
      <c r="U30" s="133" t="e">
        <f t="shared" si="1"/>
        <v>#N/A</v>
      </c>
      <c r="V30" s="202" t="str">
        <f>PLANTILLA!C15</f>
        <v>M. Bondarewski</v>
      </c>
      <c r="W30" s="84">
        <f ca="1">PLANTILLA!AE15</f>
        <v>20.222223292878734</v>
      </c>
    </row>
    <row r="31" spans="1:23" x14ac:dyDescent="0.25">
      <c r="A31" s="213">
        <v>44021</v>
      </c>
      <c r="B31" s="56">
        <v>663163558</v>
      </c>
      <c r="C31" s="56">
        <v>14</v>
      </c>
      <c r="D31" s="56">
        <v>8</v>
      </c>
      <c r="E31" s="56">
        <v>3</v>
      </c>
      <c r="F31" s="56">
        <v>1</v>
      </c>
      <c r="G31" s="56">
        <v>1</v>
      </c>
      <c r="H31" s="56">
        <v>1</v>
      </c>
      <c r="I31" s="56">
        <v>0</v>
      </c>
      <c r="J31" s="56">
        <v>0</v>
      </c>
      <c r="L31" s="213">
        <v>44007</v>
      </c>
      <c r="M31" s="56" t="s">
        <v>141</v>
      </c>
      <c r="N31" s="56">
        <v>1</v>
      </c>
      <c r="O31" s="56">
        <v>0</v>
      </c>
      <c r="Q31" s="220" t="s">
        <v>485</v>
      </c>
      <c r="R31" s="220">
        <v>0</v>
      </c>
      <c r="S31" s="221">
        <v>2</v>
      </c>
      <c r="T31" s="222">
        <v>0</v>
      </c>
      <c r="U31" s="133" t="e">
        <f t="shared" si="1"/>
        <v>#N/A</v>
      </c>
      <c r="V31" s="202" t="str">
        <f>PLANTILLA!C16</f>
        <v>I. Stone</v>
      </c>
      <c r="W31" s="84">
        <f ca="1">PLANTILLA!AE16</f>
        <v>23.092193536697255</v>
      </c>
    </row>
    <row r="32" spans="1:23" x14ac:dyDescent="0.25">
      <c r="A32" s="213">
        <v>44021</v>
      </c>
      <c r="B32" s="56">
        <v>18799331</v>
      </c>
      <c r="C32" s="56">
        <v>15</v>
      </c>
      <c r="D32" s="56">
        <v>10</v>
      </c>
      <c r="E32" s="56">
        <v>3</v>
      </c>
      <c r="F32" s="56">
        <v>1</v>
      </c>
      <c r="G32" s="56">
        <v>0</v>
      </c>
      <c r="H32" s="56">
        <v>1</v>
      </c>
      <c r="I32" s="56">
        <v>0</v>
      </c>
      <c r="J32" s="56">
        <v>1</v>
      </c>
      <c r="L32" s="213">
        <v>44010</v>
      </c>
      <c r="M32" s="56" t="s">
        <v>132</v>
      </c>
      <c r="N32" s="56">
        <v>1</v>
      </c>
      <c r="O32" s="56">
        <v>0</v>
      </c>
      <c r="Q32" s="220" t="s">
        <v>146</v>
      </c>
      <c r="R32" s="220">
        <v>0</v>
      </c>
      <c r="S32" s="221">
        <v>1</v>
      </c>
      <c r="T32" s="222">
        <v>0</v>
      </c>
      <c r="U32" s="133" t="e">
        <f t="shared" si="1"/>
        <v>#N/A</v>
      </c>
      <c r="V32" s="202" t="str">
        <f>PLANTILLA!C17</f>
        <v>I. Vanags</v>
      </c>
      <c r="W32" s="84">
        <f ca="1">PLANTILLA!AE17</f>
        <v>19.923636886419978</v>
      </c>
    </row>
    <row r="33" spans="1:23" x14ac:dyDescent="0.25">
      <c r="A33" s="213">
        <v>44024</v>
      </c>
      <c r="B33" s="56">
        <v>18799339</v>
      </c>
      <c r="C33" s="56">
        <v>15</v>
      </c>
      <c r="D33" s="56">
        <v>10</v>
      </c>
      <c r="E33" s="56">
        <v>2</v>
      </c>
      <c r="F33" s="56">
        <v>1</v>
      </c>
      <c r="G33" s="56">
        <v>0</v>
      </c>
      <c r="H33" s="56">
        <v>0</v>
      </c>
      <c r="I33" s="56">
        <v>1</v>
      </c>
      <c r="J33" s="56">
        <v>0</v>
      </c>
      <c r="L33" s="213">
        <v>44010</v>
      </c>
      <c r="M33" s="56" t="s">
        <v>140</v>
      </c>
      <c r="N33" s="56">
        <v>1</v>
      </c>
      <c r="O33" s="56">
        <v>0</v>
      </c>
      <c r="Q33" s="228" t="s">
        <v>174</v>
      </c>
      <c r="R33" s="228">
        <v>69</v>
      </c>
      <c r="S33" s="229">
        <v>59</v>
      </c>
      <c r="T33" s="230">
        <v>0.5390625</v>
      </c>
      <c r="V33" s="202" t="str">
        <f>PLANTILLA!C18</f>
        <v>G. Piscaer</v>
      </c>
      <c r="W33" s="84">
        <f ca="1">PLANTILLA!AE18</f>
        <v>23.28241974479748</v>
      </c>
    </row>
    <row r="34" spans="1:23" x14ac:dyDescent="0.25">
      <c r="A34" s="213">
        <v>44025</v>
      </c>
      <c r="B34" s="56">
        <v>662376971</v>
      </c>
      <c r="C34" s="56">
        <v>15</v>
      </c>
      <c r="D34" s="56">
        <v>7</v>
      </c>
      <c r="E34" s="56">
        <v>4</v>
      </c>
      <c r="F34" s="56">
        <v>0</v>
      </c>
      <c r="G34" s="56">
        <v>0</v>
      </c>
      <c r="H34" s="56">
        <v>2</v>
      </c>
      <c r="I34" s="56">
        <v>2</v>
      </c>
      <c r="J34" s="56">
        <v>0</v>
      </c>
      <c r="L34" s="213">
        <v>44012</v>
      </c>
      <c r="M34" s="56" t="s">
        <v>140</v>
      </c>
      <c r="N34" s="56">
        <v>1</v>
      </c>
      <c r="O34" s="56">
        <v>0</v>
      </c>
      <c r="V34" s="202" t="str">
        <f>PLANTILLA!C19</f>
        <v>G. Mintan</v>
      </c>
      <c r="W34" s="84">
        <f ca="1">PLANTILLA!AE19</f>
        <v>22.101145489298425</v>
      </c>
    </row>
    <row r="35" spans="1:23" x14ac:dyDescent="0.25">
      <c r="A35" s="213">
        <v>44026</v>
      </c>
      <c r="B35" s="56">
        <v>18799345</v>
      </c>
      <c r="C35" s="56">
        <v>15</v>
      </c>
      <c r="D35" s="56">
        <v>10</v>
      </c>
      <c r="E35" s="56">
        <v>2</v>
      </c>
      <c r="F35" s="56">
        <v>1</v>
      </c>
      <c r="G35" s="56">
        <v>0</v>
      </c>
      <c r="H35" s="56">
        <v>0</v>
      </c>
      <c r="I35" s="56">
        <v>1</v>
      </c>
      <c r="J35" s="56">
        <v>0</v>
      </c>
      <c r="L35" s="213">
        <v>44012</v>
      </c>
      <c r="M35" s="56" t="s">
        <v>144</v>
      </c>
      <c r="N35" s="56">
        <v>1</v>
      </c>
      <c r="O35" s="56">
        <v>0</v>
      </c>
      <c r="V35" s="202" t="e">
        <f>PLANTILLA!#REF!</f>
        <v>#REF!</v>
      </c>
      <c r="W35" s="84" t="e">
        <f>PLANTILLA!#REF!</f>
        <v>#REF!</v>
      </c>
    </row>
    <row r="36" spans="1:23" x14ac:dyDescent="0.25">
      <c r="A36" s="213">
        <v>44028</v>
      </c>
      <c r="B36" s="56">
        <v>663238565</v>
      </c>
      <c r="C36" s="56">
        <v>15</v>
      </c>
      <c r="D36" s="56">
        <v>9</v>
      </c>
      <c r="E36" s="56">
        <v>3</v>
      </c>
      <c r="F36" s="56">
        <v>0</v>
      </c>
      <c r="G36" s="56">
        <v>1</v>
      </c>
      <c r="H36" s="56">
        <v>1</v>
      </c>
      <c r="I36" s="56">
        <v>1</v>
      </c>
      <c r="J36" s="56">
        <v>0</v>
      </c>
      <c r="L36" s="213">
        <v>44012</v>
      </c>
      <c r="M36" s="56" t="s">
        <v>137</v>
      </c>
      <c r="N36" s="56">
        <v>0</v>
      </c>
      <c r="O36" s="56">
        <v>1</v>
      </c>
      <c r="V36" s="202" t="e">
        <f>PLANTILLA!#REF!</f>
        <v>#REF!</v>
      </c>
      <c r="W36" s="84" t="e">
        <f>PLANTILLA!#REF!</f>
        <v>#REF!</v>
      </c>
    </row>
    <row r="37" spans="1:23" x14ac:dyDescent="0.25">
      <c r="A37" s="213">
        <v>44028</v>
      </c>
      <c r="B37" s="56">
        <v>18799355</v>
      </c>
      <c r="C37" s="56">
        <v>16</v>
      </c>
      <c r="D37" s="56">
        <v>10</v>
      </c>
      <c r="E37" s="56">
        <v>2</v>
      </c>
      <c r="F37" s="56">
        <v>0</v>
      </c>
      <c r="G37" s="56">
        <v>0</v>
      </c>
      <c r="H37" s="56">
        <v>2</v>
      </c>
      <c r="I37" s="56">
        <v>0</v>
      </c>
      <c r="J37" s="56">
        <v>0</v>
      </c>
      <c r="L37" s="213">
        <v>44014</v>
      </c>
      <c r="M37" s="56" t="s">
        <v>136</v>
      </c>
      <c r="N37" s="56">
        <v>1</v>
      </c>
      <c r="O37" s="56">
        <v>0</v>
      </c>
    </row>
    <row r="38" spans="1:23" x14ac:dyDescent="0.25">
      <c r="A38" s="213">
        <v>44031</v>
      </c>
      <c r="B38" s="56">
        <v>18799359</v>
      </c>
      <c r="C38" s="56">
        <v>15</v>
      </c>
      <c r="D38" s="56">
        <v>7</v>
      </c>
      <c r="E38" s="56">
        <v>2</v>
      </c>
      <c r="F38" s="56">
        <v>2</v>
      </c>
      <c r="G38" s="56">
        <v>0</v>
      </c>
      <c r="H38" s="56">
        <v>0</v>
      </c>
      <c r="I38" s="56">
        <v>0</v>
      </c>
      <c r="J38" s="56">
        <v>0</v>
      </c>
      <c r="L38" s="213">
        <v>44014</v>
      </c>
      <c r="M38" s="56" t="s">
        <v>134</v>
      </c>
      <c r="N38" s="56">
        <v>0</v>
      </c>
      <c r="O38" s="56">
        <v>1</v>
      </c>
    </row>
    <row r="39" spans="1:23" x14ac:dyDescent="0.25">
      <c r="A39" s="213">
        <v>44033</v>
      </c>
      <c r="B39" s="56">
        <v>18799373</v>
      </c>
      <c r="C39" s="56">
        <v>15</v>
      </c>
      <c r="D39" s="56">
        <v>10</v>
      </c>
      <c r="E39" s="56">
        <v>4</v>
      </c>
      <c r="F39" s="56">
        <v>2</v>
      </c>
      <c r="G39" s="56">
        <v>1</v>
      </c>
      <c r="H39" s="56">
        <v>0</v>
      </c>
      <c r="I39" s="56">
        <v>1</v>
      </c>
      <c r="J39" s="56">
        <v>0</v>
      </c>
      <c r="L39" s="213">
        <v>44014</v>
      </c>
      <c r="M39" s="56" t="s">
        <v>144</v>
      </c>
      <c r="N39" s="56">
        <v>0</v>
      </c>
      <c r="O39" s="56">
        <v>1</v>
      </c>
    </row>
    <row r="40" spans="1:23" x14ac:dyDescent="0.25">
      <c r="A40" s="213">
        <v>44035</v>
      </c>
      <c r="B40" s="56">
        <v>663312307</v>
      </c>
      <c r="C40" s="56">
        <v>15</v>
      </c>
      <c r="D40" s="56">
        <v>7</v>
      </c>
      <c r="E40" s="56">
        <v>2</v>
      </c>
      <c r="F40" s="56">
        <v>0</v>
      </c>
      <c r="G40" s="56">
        <v>0</v>
      </c>
      <c r="H40" s="56">
        <v>1</v>
      </c>
      <c r="I40" s="56">
        <v>1</v>
      </c>
      <c r="J40" s="56">
        <v>0</v>
      </c>
      <c r="L40" s="213">
        <v>44014</v>
      </c>
      <c r="M40" s="56" t="s">
        <v>145</v>
      </c>
      <c r="N40" s="56">
        <v>1</v>
      </c>
      <c r="O40" s="56">
        <v>0</v>
      </c>
    </row>
    <row r="41" spans="1:23" x14ac:dyDescent="0.25">
      <c r="A41" s="213">
        <v>44035</v>
      </c>
      <c r="B41" s="56">
        <v>18799375</v>
      </c>
      <c r="C41" s="56">
        <v>16</v>
      </c>
      <c r="D41" s="56">
        <v>6</v>
      </c>
      <c r="E41" s="56">
        <v>1</v>
      </c>
      <c r="F41" s="56">
        <v>0</v>
      </c>
      <c r="G41" s="56">
        <v>0</v>
      </c>
      <c r="H41" s="56">
        <v>0</v>
      </c>
      <c r="I41" s="56">
        <v>0</v>
      </c>
      <c r="J41" s="56">
        <v>1</v>
      </c>
      <c r="L41" s="213">
        <v>44014</v>
      </c>
      <c r="M41" s="56" t="s">
        <v>131</v>
      </c>
      <c r="N41" s="56">
        <v>1</v>
      </c>
      <c r="O41" s="56">
        <v>0</v>
      </c>
    </row>
    <row r="42" spans="1:23" x14ac:dyDescent="0.25">
      <c r="A42" s="213">
        <v>44038</v>
      </c>
      <c r="B42" s="56">
        <v>18799390</v>
      </c>
      <c r="C42" s="56">
        <v>16</v>
      </c>
      <c r="D42" s="56">
        <v>7</v>
      </c>
      <c r="E42" s="56">
        <v>2</v>
      </c>
      <c r="F42" s="56">
        <v>1</v>
      </c>
      <c r="G42" s="56">
        <v>0</v>
      </c>
      <c r="H42" s="56">
        <v>1</v>
      </c>
      <c r="I42" s="56">
        <v>0</v>
      </c>
      <c r="J42" s="56">
        <v>0</v>
      </c>
      <c r="L42" s="213">
        <v>44014</v>
      </c>
      <c r="M42" s="56" t="s">
        <v>137</v>
      </c>
      <c r="N42" s="56">
        <v>0</v>
      </c>
      <c r="O42" s="56">
        <v>1</v>
      </c>
    </row>
    <row r="43" spans="1:23" x14ac:dyDescent="0.25">
      <c r="A43" s="213">
        <v>44040</v>
      </c>
      <c r="B43" s="56">
        <v>18799400</v>
      </c>
      <c r="C43" s="56">
        <v>15</v>
      </c>
      <c r="D43" s="56">
        <v>5</v>
      </c>
      <c r="E43" s="56">
        <v>1</v>
      </c>
      <c r="F43" s="56">
        <v>0</v>
      </c>
      <c r="G43" s="56">
        <v>1</v>
      </c>
      <c r="H43" s="56">
        <v>0</v>
      </c>
      <c r="I43" s="56">
        <v>0</v>
      </c>
      <c r="J43" s="56">
        <v>0</v>
      </c>
      <c r="L43" s="213">
        <v>44017</v>
      </c>
      <c r="M43" s="56" t="s">
        <v>142</v>
      </c>
      <c r="N43" s="56">
        <v>0</v>
      </c>
      <c r="O43" s="56">
        <v>1</v>
      </c>
    </row>
    <row r="44" spans="1:23" x14ac:dyDescent="0.25">
      <c r="A44" s="213">
        <v>44042</v>
      </c>
      <c r="B44" s="56">
        <v>663388126</v>
      </c>
      <c r="C44" s="56">
        <v>16</v>
      </c>
      <c r="D44" s="56">
        <v>8</v>
      </c>
      <c r="E44" s="56">
        <v>2</v>
      </c>
      <c r="F44" s="56">
        <v>0</v>
      </c>
      <c r="G44" s="56">
        <v>0</v>
      </c>
      <c r="H44" s="56">
        <v>2</v>
      </c>
      <c r="I44" s="56">
        <v>0</v>
      </c>
      <c r="J44" s="56">
        <v>0</v>
      </c>
      <c r="L44" s="213">
        <v>44018</v>
      </c>
      <c r="M44" s="56" t="s">
        <v>144</v>
      </c>
      <c r="N44" s="56">
        <v>1</v>
      </c>
      <c r="O44" s="56">
        <v>0</v>
      </c>
    </row>
    <row r="45" spans="1:23" x14ac:dyDescent="0.25">
      <c r="A45" s="213">
        <v>44042</v>
      </c>
      <c r="B45" s="56">
        <v>18799398</v>
      </c>
      <c r="C45" s="56">
        <v>16</v>
      </c>
      <c r="D45" s="56">
        <v>7</v>
      </c>
      <c r="E45" s="56">
        <v>2</v>
      </c>
      <c r="F45" s="56">
        <v>0</v>
      </c>
      <c r="G45" s="56">
        <v>0</v>
      </c>
      <c r="H45" s="56">
        <v>1</v>
      </c>
      <c r="I45" s="56">
        <v>1</v>
      </c>
      <c r="J45" s="56">
        <v>0</v>
      </c>
      <c r="L45" s="213">
        <v>44019</v>
      </c>
      <c r="M45" s="56" t="s">
        <v>144</v>
      </c>
      <c r="N45" s="56">
        <v>1</v>
      </c>
      <c r="O45" s="56">
        <v>0</v>
      </c>
    </row>
    <row r="46" spans="1:23" x14ac:dyDescent="0.25">
      <c r="A46" s="213">
        <v>44047</v>
      </c>
      <c r="B46" s="56">
        <v>18799416</v>
      </c>
      <c r="C46" s="56">
        <v>16</v>
      </c>
      <c r="D46" s="56">
        <v>8</v>
      </c>
      <c r="E46" s="56">
        <v>3</v>
      </c>
      <c r="F46" s="56">
        <v>1</v>
      </c>
      <c r="G46" s="56">
        <v>0</v>
      </c>
      <c r="H46" s="56">
        <v>1</v>
      </c>
      <c r="I46" s="56">
        <v>1</v>
      </c>
      <c r="J46" s="56">
        <v>0</v>
      </c>
      <c r="L46" s="213">
        <v>44019</v>
      </c>
      <c r="M46" s="56" t="s">
        <v>129</v>
      </c>
      <c r="N46" s="56">
        <v>1</v>
      </c>
      <c r="O46" s="56">
        <v>1</v>
      </c>
    </row>
    <row r="47" spans="1:23" x14ac:dyDescent="0.25">
      <c r="A47" s="213">
        <v>44049</v>
      </c>
      <c r="B47" s="56">
        <v>663465755</v>
      </c>
      <c r="C47" s="56">
        <v>16</v>
      </c>
      <c r="D47" s="56">
        <v>8</v>
      </c>
      <c r="E47" s="56">
        <v>2</v>
      </c>
      <c r="F47" s="56">
        <v>0</v>
      </c>
      <c r="G47" s="56">
        <v>1</v>
      </c>
      <c r="H47" s="56">
        <v>0</v>
      </c>
      <c r="I47" s="56">
        <v>1</v>
      </c>
      <c r="J47" s="56">
        <v>0</v>
      </c>
      <c r="L47" s="213">
        <v>44019</v>
      </c>
      <c r="M47" s="56" t="s">
        <v>137</v>
      </c>
      <c r="N47" s="56">
        <v>1</v>
      </c>
      <c r="O47" s="56">
        <v>0</v>
      </c>
    </row>
    <row r="48" spans="1:23" x14ac:dyDescent="0.25">
      <c r="A48" s="213">
        <v>44052</v>
      </c>
      <c r="B48" s="56">
        <v>18799434</v>
      </c>
      <c r="C48" s="56">
        <v>16</v>
      </c>
      <c r="D48" s="56">
        <v>9</v>
      </c>
      <c r="E48" s="56">
        <v>2</v>
      </c>
      <c r="F48" s="56">
        <v>0</v>
      </c>
      <c r="G48" s="56">
        <v>1</v>
      </c>
      <c r="H48" s="56">
        <v>1</v>
      </c>
      <c r="I48" s="56">
        <v>0</v>
      </c>
      <c r="J48" s="56">
        <v>0</v>
      </c>
      <c r="L48" s="213">
        <v>44021</v>
      </c>
      <c r="M48" s="56" t="s">
        <v>132</v>
      </c>
      <c r="N48" s="56">
        <v>0</v>
      </c>
      <c r="O48" s="56">
        <v>1</v>
      </c>
    </row>
    <row r="49" spans="1:15" x14ac:dyDescent="0.25">
      <c r="A49" s="213">
        <v>44053</v>
      </c>
      <c r="B49" s="56">
        <v>662376987</v>
      </c>
      <c r="C49" s="56">
        <v>16</v>
      </c>
      <c r="D49" s="56">
        <v>6</v>
      </c>
      <c r="E49" s="56">
        <v>2</v>
      </c>
      <c r="F49" s="56">
        <v>1</v>
      </c>
      <c r="G49" s="56">
        <v>0</v>
      </c>
      <c r="H49" s="56">
        <v>0</v>
      </c>
      <c r="I49" s="56">
        <v>1</v>
      </c>
      <c r="J49" s="56">
        <v>0</v>
      </c>
      <c r="L49" s="213">
        <v>44021</v>
      </c>
      <c r="M49" s="56" t="s">
        <v>134</v>
      </c>
      <c r="N49" s="56">
        <v>0</v>
      </c>
      <c r="O49" s="56">
        <v>1</v>
      </c>
    </row>
    <row r="50" spans="1:15" x14ac:dyDescent="0.25">
      <c r="A50" s="213">
        <v>44054</v>
      </c>
      <c r="B50" s="56">
        <v>18799443</v>
      </c>
      <c r="C50" s="56">
        <v>17</v>
      </c>
      <c r="D50" s="56">
        <v>10</v>
      </c>
      <c r="E50" s="56">
        <v>2</v>
      </c>
      <c r="F50" s="56">
        <v>0</v>
      </c>
      <c r="G50" s="56">
        <v>0</v>
      </c>
      <c r="H50" s="56">
        <v>1</v>
      </c>
      <c r="I50" s="56">
        <v>1</v>
      </c>
      <c r="J50" s="56">
        <v>0</v>
      </c>
      <c r="L50" s="213">
        <v>44021</v>
      </c>
      <c r="M50" s="56" t="s">
        <v>144</v>
      </c>
      <c r="N50" s="56">
        <v>1</v>
      </c>
      <c r="O50" s="56">
        <v>0</v>
      </c>
    </row>
    <row r="51" spans="1:15" x14ac:dyDescent="0.25">
      <c r="A51" s="213">
        <v>44056</v>
      </c>
      <c r="B51" s="56">
        <v>663544263</v>
      </c>
      <c r="C51" s="56">
        <v>17</v>
      </c>
      <c r="D51" s="56">
        <v>4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L51" s="213">
        <v>44021</v>
      </c>
      <c r="M51" s="56" t="s">
        <v>139</v>
      </c>
      <c r="N51" s="56">
        <v>0</v>
      </c>
      <c r="O51" s="56">
        <v>1</v>
      </c>
    </row>
    <row r="52" spans="1:15" x14ac:dyDescent="0.25">
      <c r="A52" s="213">
        <v>44056</v>
      </c>
      <c r="B52" s="56">
        <v>18799451</v>
      </c>
      <c r="C52" s="56">
        <v>16</v>
      </c>
      <c r="D52" s="56">
        <v>9</v>
      </c>
      <c r="E52" s="56">
        <v>4</v>
      </c>
      <c r="F52" s="56">
        <v>0</v>
      </c>
      <c r="G52" s="56">
        <v>0</v>
      </c>
      <c r="H52" s="56">
        <v>2</v>
      </c>
      <c r="I52" s="56">
        <v>2</v>
      </c>
      <c r="J52" s="56">
        <v>0</v>
      </c>
      <c r="L52" s="213">
        <v>44021</v>
      </c>
      <c r="M52" s="56" t="s">
        <v>135</v>
      </c>
      <c r="N52" s="56">
        <v>1</v>
      </c>
      <c r="O52" s="56">
        <v>0</v>
      </c>
    </row>
    <row r="53" spans="1:15" x14ac:dyDescent="0.25">
      <c r="A53" s="213">
        <v>44059</v>
      </c>
      <c r="B53" s="56">
        <v>18799458</v>
      </c>
      <c r="C53" s="56">
        <v>16</v>
      </c>
      <c r="D53" s="56">
        <v>10</v>
      </c>
      <c r="E53" s="56">
        <v>4</v>
      </c>
      <c r="F53" s="56">
        <v>1</v>
      </c>
      <c r="G53" s="56">
        <v>1</v>
      </c>
      <c r="H53" s="56">
        <v>1</v>
      </c>
      <c r="I53" s="56">
        <v>1</v>
      </c>
      <c r="J53" s="56">
        <v>0</v>
      </c>
      <c r="L53" s="213">
        <v>44021</v>
      </c>
      <c r="M53" s="56" t="s">
        <v>138</v>
      </c>
      <c r="N53" s="56">
        <v>1</v>
      </c>
      <c r="O53" s="56">
        <v>0</v>
      </c>
    </row>
    <row r="54" spans="1:15" x14ac:dyDescent="0.25">
      <c r="A54" s="213">
        <v>44308</v>
      </c>
      <c r="B54" s="56">
        <v>21910085</v>
      </c>
      <c r="C54" s="56">
        <v>19</v>
      </c>
      <c r="D54" s="56">
        <v>7</v>
      </c>
      <c r="E54" s="56">
        <v>3</v>
      </c>
      <c r="F54" s="56">
        <v>1</v>
      </c>
      <c r="G54" s="56">
        <v>0</v>
      </c>
      <c r="H54" s="56">
        <v>2</v>
      </c>
      <c r="I54" s="56">
        <v>0</v>
      </c>
      <c r="J54" s="56">
        <v>0</v>
      </c>
      <c r="L54" s="213">
        <v>44024</v>
      </c>
      <c r="M54" s="56" t="s">
        <v>134</v>
      </c>
      <c r="N54" s="56">
        <v>1</v>
      </c>
      <c r="O54" s="56">
        <v>1</v>
      </c>
    </row>
    <row r="55" spans="1:15" x14ac:dyDescent="0.25">
      <c r="A55" s="213">
        <v>44307</v>
      </c>
      <c r="B55" s="56">
        <v>2185486</v>
      </c>
      <c r="C55" s="56">
        <v>19</v>
      </c>
      <c r="D55" s="56">
        <v>9</v>
      </c>
      <c r="E55" s="56">
        <v>2</v>
      </c>
      <c r="F55" s="56">
        <v>0</v>
      </c>
      <c r="G55" s="56">
        <v>0</v>
      </c>
      <c r="H55" s="56">
        <v>2</v>
      </c>
      <c r="I55" s="56">
        <v>0</v>
      </c>
      <c r="J55" s="56">
        <v>0</v>
      </c>
      <c r="L55" s="213">
        <v>44024</v>
      </c>
      <c r="M55" s="56" t="s">
        <v>138</v>
      </c>
      <c r="N55" s="56">
        <v>1</v>
      </c>
      <c r="O55" s="56">
        <v>0</v>
      </c>
    </row>
    <row r="56" spans="1:15" x14ac:dyDescent="0.25">
      <c r="A56" s="213">
        <v>44307</v>
      </c>
      <c r="B56" s="56">
        <v>21799788</v>
      </c>
      <c r="C56" s="56">
        <v>19</v>
      </c>
      <c r="D56" s="56">
        <v>8</v>
      </c>
      <c r="E56" s="56">
        <v>1</v>
      </c>
      <c r="F56" s="56">
        <v>0</v>
      </c>
      <c r="G56" s="56">
        <v>0</v>
      </c>
      <c r="H56" s="56">
        <v>1</v>
      </c>
      <c r="I56" s="56">
        <v>0</v>
      </c>
      <c r="J56" s="56">
        <v>0</v>
      </c>
      <c r="L56" s="213">
        <v>44025</v>
      </c>
      <c r="M56" s="56" t="s">
        <v>140</v>
      </c>
      <c r="N56" s="56">
        <v>3</v>
      </c>
      <c r="O56" s="56">
        <v>2</v>
      </c>
    </row>
    <row r="57" spans="1:15" x14ac:dyDescent="0.25">
      <c r="A57" s="213">
        <v>44306</v>
      </c>
      <c r="B57" s="56">
        <v>21744694</v>
      </c>
      <c r="C57" s="56">
        <v>19</v>
      </c>
      <c r="D57" s="56">
        <v>4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L57" s="213">
        <v>44025</v>
      </c>
      <c r="M57" s="56" t="s">
        <v>141</v>
      </c>
      <c r="N57" s="56">
        <v>2</v>
      </c>
      <c r="O57" s="56">
        <v>1</v>
      </c>
    </row>
    <row r="58" spans="1:15" x14ac:dyDescent="0.25">
      <c r="A58" s="213">
        <v>44306</v>
      </c>
      <c r="B58" s="56">
        <v>21689849</v>
      </c>
      <c r="C58" s="56">
        <v>19</v>
      </c>
      <c r="D58" s="56">
        <v>9</v>
      </c>
      <c r="E58" s="56">
        <v>3</v>
      </c>
      <c r="F58" s="56">
        <v>1</v>
      </c>
      <c r="G58" s="56">
        <v>0</v>
      </c>
      <c r="H58" s="56">
        <v>1</v>
      </c>
      <c r="I58" s="56">
        <v>1</v>
      </c>
      <c r="J58" s="56">
        <v>0</v>
      </c>
      <c r="L58" s="213">
        <v>44025</v>
      </c>
      <c r="M58" s="56" t="s">
        <v>139</v>
      </c>
      <c r="N58" s="56">
        <v>1</v>
      </c>
      <c r="O58" s="56">
        <v>1</v>
      </c>
    </row>
    <row r="59" spans="1:15" x14ac:dyDescent="0.25">
      <c r="A59" s="213">
        <v>44305</v>
      </c>
      <c r="B59" s="56">
        <v>21013089</v>
      </c>
      <c r="C59" s="56">
        <v>19</v>
      </c>
      <c r="D59" s="56">
        <v>5</v>
      </c>
      <c r="E59" s="56">
        <v>2</v>
      </c>
      <c r="F59" s="56">
        <v>0</v>
      </c>
      <c r="G59" s="56">
        <v>0</v>
      </c>
      <c r="H59" s="56">
        <v>2</v>
      </c>
      <c r="I59" s="56">
        <v>0</v>
      </c>
      <c r="J59" s="56">
        <v>0</v>
      </c>
      <c r="L59" s="213">
        <v>44025</v>
      </c>
      <c r="M59" s="56" t="s">
        <v>137</v>
      </c>
      <c r="N59" s="56">
        <v>1</v>
      </c>
      <c r="O59" s="56">
        <v>0</v>
      </c>
    </row>
    <row r="60" spans="1:15" x14ac:dyDescent="0.25">
      <c r="A60" s="213">
        <v>44305</v>
      </c>
      <c r="B60" s="56">
        <v>21634050</v>
      </c>
      <c r="C60" s="56">
        <v>19</v>
      </c>
      <c r="D60" s="56">
        <v>5</v>
      </c>
      <c r="E60" s="56">
        <v>2</v>
      </c>
      <c r="F60" s="56">
        <v>0</v>
      </c>
      <c r="G60" s="56">
        <v>1</v>
      </c>
      <c r="H60" s="56">
        <v>0</v>
      </c>
      <c r="I60" s="56">
        <v>1</v>
      </c>
      <c r="J60" s="56">
        <v>0</v>
      </c>
      <c r="L60" s="213">
        <v>44026</v>
      </c>
      <c r="M60" s="56" t="s">
        <v>134</v>
      </c>
      <c r="N60" s="56">
        <v>0</v>
      </c>
      <c r="O60" s="56">
        <v>1</v>
      </c>
    </row>
    <row r="61" spans="1:15" x14ac:dyDescent="0.25">
      <c r="A61" s="213">
        <v>44306</v>
      </c>
      <c r="B61" s="56">
        <v>21689849</v>
      </c>
      <c r="C61" s="56">
        <v>19</v>
      </c>
      <c r="D61" s="56">
        <v>9</v>
      </c>
      <c r="E61" s="56">
        <v>3</v>
      </c>
      <c r="F61" s="56">
        <v>1</v>
      </c>
      <c r="G61" s="56">
        <v>0</v>
      </c>
      <c r="H61" s="56">
        <v>1</v>
      </c>
      <c r="I61" s="56">
        <v>1</v>
      </c>
      <c r="J61" s="56">
        <v>0</v>
      </c>
      <c r="L61" s="213">
        <v>44026</v>
      </c>
      <c r="M61" s="56" t="s">
        <v>138</v>
      </c>
      <c r="N61" s="56">
        <v>1</v>
      </c>
      <c r="O61" s="56">
        <v>1</v>
      </c>
    </row>
    <row r="62" spans="1:15" x14ac:dyDescent="0.25">
      <c r="A62" s="213">
        <v>44306</v>
      </c>
      <c r="B62" s="56">
        <v>21744694</v>
      </c>
      <c r="C62" s="56">
        <v>19</v>
      </c>
      <c r="D62" s="56">
        <v>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L62" s="213">
        <v>44028</v>
      </c>
      <c r="M62" s="56" t="s">
        <v>144</v>
      </c>
      <c r="N62" s="56">
        <v>1</v>
      </c>
      <c r="O62" s="56">
        <v>2</v>
      </c>
    </row>
    <row r="63" spans="1:15" x14ac:dyDescent="0.25">
      <c r="A63" s="213">
        <v>44307</v>
      </c>
      <c r="B63" s="56">
        <v>21799788</v>
      </c>
      <c r="C63" s="56">
        <v>19</v>
      </c>
      <c r="D63" s="56">
        <v>8</v>
      </c>
      <c r="E63" s="56">
        <v>1</v>
      </c>
      <c r="F63" s="56">
        <v>0</v>
      </c>
      <c r="G63" s="56">
        <v>0</v>
      </c>
      <c r="H63" s="56">
        <v>1</v>
      </c>
      <c r="I63" s="56">
        <v>0</v>
      </c>
      <c r="J63" s="56">
        <v>0</v>
      </c>
      <c r="L63" s="213">
        <v>44028</v>
      </c>
      <c r="M63" s="56" t="s">
        <v>141</v>
      </c>
      <c r="N63" s="56">
        <v>1</v>
      </c>
      <c r="O63" s="56">
        <v>0</v>
      </c>
    </row>
    <row r="64" spans="1:15" x14ac:dyDescent="0.25">
      <c r="A64" s="213">
        <v>44307</v>
      </c>
      <c r="B64" s="56">
        <v>21854386</v>
      </c>
      <c r="C64" s="56">
        <v>19</v>
      </c>
      <c r="D64" s="56">
        <v>9</v>
      </c>
      <c r="E64" s="56">
        <v>2</v>
      </c>
      <c r="F64" s="56">
        <v>0</v>
      </c>
      <c r="G64" s="56">
        <v>0</v>
      </c>
      <c r="H64" s="56">
        <v>2</v>
      </c>
      <c r="I64" s="56">
        <v>0</v>
      </c>
      <c r="J64" s="56">
        <v>0</v>
      </c>
      <c r="L64" s="213">
        <v>44028</v>
      </c>
      <c r="M64" s="56" t="s">
        <v>131</v>
      </c>
      <c r="N64" s="56">
        <v>1</v>
      </c>
      <c r="O64" s="56">
        <v>0</v>
      </c>
    </row>
    <row r="65" spans="1:15" x14ac:dyDescent="0.25">
      <c r="A65" s="213">
        <v>44308</v>
      </c>
      <c r="B65" s="56">
        <v>21910085</v>
      </c>
      <c r="C65" s="56">
        <v>19</v>
      </c>
      <c r="D65" s="56">
        <v>7</v>
      </c>
      <c r="E65" s="56">
        <v>3</v>
      </c>
      <c r="F65" s="56">
        <v>1</v>
      </c>
      <c r="G65" s="56">
        <v>0</v>
      </c>
      <c r="H65" s="56">
        <v>2</v>
      </c>
      <c r="I65" s="56">
        <v>0</v>
      </c>
      <c r="J65" s="56">
        <v>0</v>
      </c>
      <c r="L65" s="213">
        <v>44031</v>
      </c>
      <c r="M65" s="56" t="s">
        <v>134</v>
      </c>
      <c r="N65" s="56">
        <v>1</v>
      </c>
      <c r="O65" s="56">
        <v>0</v>
      </c>
    </row>
    <row r="66" spans="1:15" x14ac:dyDescent="0.25">
      <c r="L66" s="213">
        <v>44031</v>
      </c>
      <c r="M66" s="56" t="s">
        <v>135</v>
      </c>
      <c r="N66" s="56">
        <v>1</v>
      </c>
      <c r="O66" s="56">
        <v>0</v>
      </c>
    </row>
    <row r="67" spans="1:15" x14ac:dyDescent="0.25">
      <c r="L67" s="213">
        <v>44033</v>
      </c>
      <c r="M67" s="56" t="s">
        <v>132</v>
      </c>
      <c r="N67" s="56">
        <v>1</v>
      </c>
      <c r="O67" s="56">
        <v>0</v>
      </c>
    </row>
    <row r="68" spans="1:15" x14ac:dyDescent="0.25">
      <c r="L68" s="213">
        <v>44033</v>
      </c>
      <c r="M68" s="56" t="s">
        <v>142</v>
      </c>
      <c r="N68" s="56">
        <v>0</v>
      </c>
      <c r="O68" s="56">
        <v>1</v>
      </c>
    </row>
    <row r="69" spans="1:15" x14ac:dyDescent="0.25">
      <c r="L69" s="213">
        <v>44033</v>
      </c>
      <c r="M69" s="56" t="s">
        <v>135</v>
      </c>
      <c r="N69" s="56">
        <v>1</v>
      </c>
      <c r="O69" s="56">
        <v>1</v>
      </c>
    </row>
    <row r="70" spans="1:15" x14ac:dyDescent="0.25">
      <c r="L70" s="213">
        <v>44035</v>
      </c>
      <c r="M70" s="56" t="s">
        <v>144</v>
      </c>
      <c r="N70" s="56">
        <v>1</v>
      </c>
      <c r="O70" s="56">
        <v>0</v>
      </c>
    </row>
    <row r="71" spans="1:15" x14ac:dyDescent="0.25">
      <c r="L71" s="213">
        <v>44035</v>
      </c>
      <c r="M71" s="56" t="s">
        <v>141</v>
      </c>
      <c r="N71" s="56">
        <v>1</v>
      </c>
      <c r="O71" s="56">
        <v>0</v>
      </c>
    </row>
    <row r="72" spans="1:15" x14ac:dyDescent="0.25">
      <c r="L72" s="213">
        <v>44035</v>
      </c>
      <c r="M72" s="56" t="s">
        <v>139</v>
      </c>
      <c r="N72" s="56">
        <v>1</v>
      </c>
      <c r="O72" s="56">
        <v>0</v>
      </c>
    </row>
    <row r="73" spans="1:15" x14ac:dyDescent="0.25">
      <c r="L73" s="213">
        <v>44038</v>
      </c>
      <c r="M73" s="56" t="s">
        <v>140</v>
      </c>
      <c r="N73" s="56">
        <v>0</v>
      </c>
      <c r="O73" s="56">
        <v>1</v>
      </c>
    </row>
    <row r="74" spans="1:15" x14ac:dyDescent="0.25">
      <c r="L74" s="213">
        <v>44038</v>
      </c>
      <c r="M74" s="56" t="s">
        <v>134</v>
      </c>
      <c r="N74" s="56">
        <v>0</v>
      </c>
      <c r="O74" s="56">
        <v>1</v>
      </c>
    </row>
    <row r="75" spans="1:15" x14ac:dyDescent="0.25">
      <c r="L75" s="213">
        <v>44040</v>
      </c>
      <c r="M75" s="56" t="s">
        <v>129</v>
      </c>
      <c r="N75" s="56">
        <v>0</v>
      </c>
      <c r="O75" s="56">
        <v>1</v>
      </c>
    </row>
    <row r="76" spans="1:15" x14ac:dyDescent="0.25">
      <c r="L76" s="213">
        <v>44042</v>
      </c>
      <c r="M76" s="56" t="s">
        <v>140</v>
      </c>
      <c r="N76" s="56">
        <v>0</v>
      </c>
      <c r="O76" s="56">
        <v>1</v>
      </c>
    </row>
    <row r="77" spans="1:15" x14ac:dyDescent="0.25">
      <c r="L77" s="213">
        <v>44042</v>
      </c>
      <c r="M77" s="56" t="s">
        <v>144</v>
      </c>
      <c r="N77" s="56">
        <v>0</v>
      </c>
      <c r="O77" s="56">
        <v>2</v>
      </c>
    </row>
    <row r="78" spans="1:15" x14ac:dyDescent="0.25">
      <c r="L78" s="213">
        <v>44042</v>
      </c>
      <c r="M78" s="56" t="s">
        <v>138</v>
      </c>
      <c r="N78" s="56">
        <v>0</v>
      </c>
      <c r="O78" s="56">
        <v>1</v>
      </c>
    </row>
    <row r="79" spans="1:15" x14ac:dyDescent="0.25">
      <c r="L79" s="213">
        <v>44047</v>
      </c>
      <c r="M79" s="56" t="s">
        <v>134</v>
      </c>
      <c r="N79" s="56">
        <v>1</v>
      </c>
      <c r="O79" s="56">
        <v>0</v>
      </c>
    </row>
    <row r="80" spans="1:15" x14ac:dyDescent="0.25">
      <c r="L80" s="213">
        <v>44047</v>
      </c>
      <c r="M80" s="56" t="s">
        <v>144</v>
      </c>
      <c r="N80" s="56">
        <v>1</v>
      </c>
      <c r="O80" s="56">
        <v>0</v>
      </c>
    </row>
    <row r="81" spans="12:15" x14ac:dyDescent="0.25">
      <c r="L81" s="213">
        <v>44047</v>
      </c>
      <c r="M81" s="56" t="s">
        <v>141</v>
      </c>
      <c r="N81" s="56">
        <v>0</v>
      </c>
      <c r="O81" s="56">
        <v>1</v>
      </c>
    </row>
    <row r="82" spans="12:15" x14ac:dyDescent="0.25">
      <c r="L82" s="213">
        <v>44049</v>
      </c>
      <c r="M82" s="56" t="s">
        <v>138</v>
      </c>
      <c r="N82" s="56">
        <v>1</v>
      </c>
      <c r="O82" s="56">
        <v>0</v>
      </c>
    </row>
    <row r="83" spans="12:15" x14ac:dyDescent="0.25">
      <c r="L83" s="213">
        <v>44049</v>
      </c>
      <c r="M83" s="56" t="s">
        <v>129</v>
      </c>
      <c r="N83" s="56">
        <v>0</v>
      </c>
      <c r="O83" s="56">
        <v>1</v>
      </c>
    </row>
    <row r="84" spans="12:15" x14ac:dyDescent="0.25">
      <c r="L84" s="213">
        <v>44053</v>
      </c>
      <c r="M84" s="56" t="s">
        <v>139</v>
      </c>
      <c r="N84" s="56">
        <v>2</v>
      </c>
      <c r="O84" s="56">
        <v>1</v>
      </c>
    </row>
    <row r="85" spans="12:15" x14ac:dyDescent="0.25">
      <c r="L85" s="213">
        <v>44053</v>
      </c>
      <c r="M85" s="56" t="s">
        <v>131</v>
      </c>
      <c r="N85" s="56">
        <v>0</v>
      </c>
      <c r="O85" s="56">
        <v>1</v>
      </c>
    </row>
    <row r="86" spans="12:15" x14ac:dyDescent="0.25">
      <c r="L86" s="213">
        <v>44052</v>
      </c>
      <c r="M86" s="56" t="s">
        <v>129</v>
      </c>
      <c r="N86" s="56">
        <v>1</v>
      </c>
      <c r="O86" s="56">
        <v>0</v>
      </c>
    </row>
    <row r="87" spans="12:15" x14ac:dyDescent="0.25">
      <c r="L87" s="213">
        <v>44052</v>
      </c>
      <c r="M87" s="56" t="s">
        <v>144</v>
      </c>
      <c r="N87" s="56">
        <v>1</v>
      </c>
      <c r="O87" s="56">
        <v>0</v>
      </c>
    </row>
    <row r="88" spans="12:15" x14ac:dyDescent="0.25">
      <c r="L88" s="213">
        <v>44054</v>
      </c>
      <c r="M88" s="56" t="s">
        <v>138</v>
      </c>
      <c r="N88" s="56">
        <v>1</v>
      </c>
      <c r="O88" s="56">
        <v>0</v>
      </c>
    </row>
    <row r="89" spans="12:15" x14ac:dyDescent="0.25">
      <c r="L89" s="213">
        <v>44054</v>
      </c>
      <c r="M89" s="56" t="s">
        <v>140</v>
      </c>
      <c r="N89" s="56">
        <v>0</v>
      </c>
      <c r="O89" s="56">
        <v>1</v>
      </c>
    </row>
    <row r="90" spans="12:15" x14ac:dyDescent="0.25">
      <c r="L90" s="213">
        <v>44056</v>
      </c>
      <c r="M90" s="56" t="s">
        <v>138</v>
      </c>
      <c r="N90" s="56">
        <v>1</v>
      </c>
      <c r="O90" s="56">
        <v>0</v>
      </c>
    </row>
    <row r="91" spans="12:15" x14ac:dyDescent="0.25">
      <c r="L91" s="213">
        <v>44056</v>
      </c>
      <c r="M91" s="56" t="s">
        <v>141</v>
      </c>
      <c r="N91" s="56">
        <v>1</v>
      </c>
      <c r="O91" s="56">
        <v>0</v>
      </c>
    </row>
    <row r="92" spans="12:15" x14ac:dyDescent="0.25">
      <c r="L92" s="213">
        <v>44056</v>
      </c>
      <c r="M92" s="56" t="s">
        <v>144</v>
      </c>
      <c r="N92" s="56">
        <v>0</v>
      </c>
      <c r="O92" s="56">
        <v>1</v>
      </c>
    </row>
    <row r="93" spans="12:15" x14ac:dyDescent="0.25">
      <c r="L93" s="213">
        <v>44056</v>
      </c>
      <c r="M93" s="56" t="s">
        <v>137</v>
      </c>
      <c r="N93" s="56">
        <v>1</v>
      </c>
      <c r="O93" s="56">
        <v>0</v>
      </c>
    </row>
    <row r="94" spans="12:15" x14ac:dyDescent="0.25">
      <c r="L94" s="213">
        <v>44059</v>
      </c>
      <c r="M94" s="56" t="s">
        <v>141</v>
      </c>
      <c r="N94" s="56">
        <v>1</v>
      </c>
      <c r="O94" s="56">
        <v>0</v>
      </c>
    </row>
    <row r="95" spans="12:15" x14ac:dyDescent="0.25">
      <c r="L95" s="213">
        <v>44059</v>
      </c>
      <c r="M95" s="56" t="s">
        <v>144</v>
      </c>
      <c r="N95" s="56">
        <v>1</v>
      </c>
      <c r="O95" s="56">
        <v>0</v>
      </c>
    </row>
    <row r="96" spans="12:15" x14ac:dyDescent="0.25">
      <c r="L96" s="213">
        <v>44059</v>
      </c>
      <c r="M96" s="56" t="s">
        <v>132</v>
      </c>
      <c r="N96" s="56">
        <v>0</v>
      </c>
      <c r="O96" s="56">
        <v>1</v>
      </c>
    </row>
    <row r="97" spans="12:15" x14ac:dyDescent="0.25">
      <c r="L97" s="213">
        <v>44059</v>
      </c>
      <c r="M97" s="56" t="s">
        <v>142</v>
      </c>
      <c r="N97" s="56">
        <v>1</v>
      </c>
      <c r="O97" s="56">
        <v>0</v>
      </c>
    </row>
    <row r="98" spans="12:15" x14ac:dyDescent="0.25">
      <c r="L98" s="213">
        <v>44308</v>
      </c>
      <c r="M98" s="56" t="s">
        <v>485</v>
      </c>
      <c r="N98" s="56">
        <v>0</v>
      </c>
      <c r="O98" s="56">
        <v>1</v>
      </c>
    </row>
    <row r="99" spans="12:15" x14ac:dyDescent="0.25">
      <c r="L99" s="213">
        <v>44306</v>
      </c>
      <c r="M99" s="56" t="s">
        <v>485</v>
      </c>
      <c r="N99" s="56">
        <v>0</v>
      </c>
      <c r="O99" s="56">
        <v>1</v>
      </c>
    </row>
    <row r="100" spans="12:15" x14ac:dyDescent="0.25">
      <c r="L100" s="213">
        <v>44306</v>
      </c>
      <c r="M100" s="56" t="s">
        <v>139</v>
      </c>
      <c r="N100" s="56">
        <v>0</v>
      </c>
      <c r="O100" s="56">
        <v>1</v>
      </c>
    </row>
    <row r="101" spans="12:15" x14ac:dyDescent="0.25">
      <c r="L101" s="213">
        <v>44306</v>
      </c>
      <c r="M101" s="56" t="s">
        <v>134</v>
      </c>
      <c r="N101" s="56">
        <v>0</v>
      </c>
      <c r="O101" s="56">
        <v>1</v>
      </c>
    </row>
    <row r="102" spans="12:15" x14ac:dyDescent="0.25">
      <c r="L102" s="213">
        <v>44307</v>
      </c>
      <c r="M102" s="56" t="s">
        <v>140</v>
      </c>
      <c r="N102" s="56">
        <v>1</v>
      </c>
      <c r="O102" s="56">
        <v>0</v>
      </c>
    </row>
    <row r="103" spans="12:15" x14ac:dyDescent="0.25">
      <c r="L103" s="213">
        <v>44307</v>
      </c>
      <c r="M103" s="56" t="s">
        <v>140</v>
      </c>
      <c r="N103" s="56">
        <v>1</v>
      </c>
      <c r="O103" s="56">
        <v>0</v>
      </c>
    </row>
    <row r="104" spans="12:15" x14ac:dyDescent="0.25">
      <c r="L104" s="213">
        <v>44307</v>
      </c>
      <c r="M104" s="56" t="s">
        <v>141</v>
      </c>
      <c r="N104" s="56">
        <v>0</v>
      </c>
      <c r="O104" s="56">
        <v>1</v>
      </c>
    </row>
    <row r="105" spans="12:15" x14ac:dyDescent="0.25">
      <c r="L105" s="213">
        <v>44308</v>
      </c>
      <c r="M105" s="56" t="s">
        <v>140</v>
      </c>
      <c r="N105" s="56">
        <v>1</v>
      </c>
      <c r="O105" s="56">
        <v>1</v>
      </c>
    </row>
    <row r="106" spans="12:15" x14ac:dyDescent="0.25">
      <c r="L106" s="213">
        <v>44308</v>
      </c>
      <c r="M106" s="56" t="s">
        <v>129</v>
      </c>
      <c r="N106" s="56">
        <v>1</v>
      </c>
      <c r="O106" s="56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6" customWidth="1"/>
    <col min="14" max="14" width="21.5703125" style="56" customWidth="1"/>
    <col min="15" max="15" width="14" style="56" customWidth="1"/>
    <col min="16" max="16" width="13" style="56" customWidth="1"/>
    <col min="17" max="17" width="10.42578125" style="56" customWidth="1"/>
    <col min="18" max="18" width="10.28515625" style="56" customWidth="1"/>
    <col min="19" max="19" width="21" style="56" customWidth="1"/>
    <col min="20" max="20" width="12" style="56" customWidth="1"/>
    <col min="21" max="21" width="16.85546875" style="56" customWidth="1"/>
    <col min="22" max="22" width="16.7109375" customWidth="1"/>
  </cols>
  <sheetData>
    <row r="1" spans="1:22" x14ac:dyDescent="0.25">
      <c r="A1" s="76" t="s">
        <v>82</v>
      </c>
      <c r="B1" s="76" t="s">
        <v>83</v>
      </c>
      <c r="C1" s="77" t="s">
        <v>263</v>
      </c>
      <c r="D1" s="78" t="s">
        <v>84</v>
      </c>
      <c r="E1" s="76" t="s">
        <v>85</v>
      </c>
      <c r="F1" s="76" t="s">
        <v>87</v>
      </c>
      <c r="G1" s="76" t="s">
        <v>88</v>
      </c>
      <c r="H1" s="76" t="s">
        <v>89</v>
      </c>
      <c r="I1" s="79" t="s">
        <v>264</v>
      </c>
      <c r="J1" s="79" t="s">
        <v>265</v>
      </c>
      <c r="K1" s="76" t="s">
        <v>100</v>
      </c>
      <c r="L1" s="76" t="s">
        <v>102</v>
      </c>
      <c r="M1" s="105" t="s">
        <v>266</v>
      </c>
      <c r="N1" s="105" t="s">
        <v>267</v>
      </c>
      <c r="O1" s="105" t="s">
        <v>268</v>
      </c>
      <c r="P1" s="105" t="s">
        <v>269</v>
      </c>
      <c r="Q1" s="105" t="s">
        <v>270</v>
      </c>
      <c r="R1" s="105" t="s">
        <v>271</v>
      </c>
      <c r="S1" s="105" t="s">
        <v>272</v>
      </c>
      <c r="T1" s="105" t="s">
        <v>273</v>
      </c>
      <c r="U1" s="105" t="s">
        <v>274</v>
      </c>
      <c r="V1" s="105" t="s">
        <v>275</v>
      </c>
    </row>
    <row r="2" spans="1:22" x14ac:dyDescent="0.25">
      <c r="A2" s="75"/>
      <c r="B2" s="75" t="s">
        <v>276</v>
      </c>
      <c r="C2" s="75"/>
      <c r="D2" s="72" t="s">
        <v>277</v>
      </c>
      <c r="E2" s="53">
        <v>42</v>
      </c>
      <c r="F2" s="67" t="s">
        <v>130</v>
      </c>
      <c r="G2" s="94">
        <v>3</v>
      </c>
      <c r="H2" s="55">
        <v>16.004000000000001</v>
      </c>
      <c r="I2" s="80">
        <f>(G2)*(G2)*(H2)</f>
        <v>144.036</v>
      </c>
      <c r="J2" s="80">
        <f>(G2+1)*(G2+1)*H2</f>
        <v>256.06400000000002</v>
      </c>
      <c r="K2" s="73">
        <v>0</v>
      </c>
      <c r="L2" s="73">
        <v>300</v>
      </c>
      <c r="M2" s="106">
        <v>41576</v>
      </c>
      <c r="N2" s="106">
        <v>41731</v>
      </c>
      <c r="O2" s="106">
        <v>42305</v>
      </c>
      <c r="P2" s="57">
        <v>772000</v>
      </c>
      <c r="Q2" s="57">
        <f>((N2-M2)/7)*L2</f>
        <v>6642.8571428571431</v>
      </c>
      <c r="R2" s="57">
        <f ca="1">((TODAY()-N2)/7)*L2</f>
        <v>148414.28571428571</v>
      </c>
      <c r="S2" s="57">
        <v>2068800</v>
      </c>
      <c r="T2" s="57">
        <f ca="1">S2+Q2+P2+R2</f>
        <v>2995857.1428571432</v>
      </c>
      <c r="U2" s="61">
        <f ca="1">T2/((O2-N2)/112)</f>
        <v>584557.49128919863</v>
      </c>
      <c r="V2" s="48">
        <f>(O2-N2)/112</f>
        <v>5.125</v>
      </c>
    </row>
    <row r="3" spans="1:22" x14ac:dyDescent="0.25">
      <c r="A3" s="76" t="s">
        <v>82</v>
      </c>
      <c r="B3" s="76" t="s">
        <v>83</v>
      </c>
      <c r="C3" s="77" t="s">
        <v>263</v>
      </c>
      <c r="D3" s="78" t="s">
        <v>84</v>
      </c>
      <c r="E3" s="76" t="s">
        <v>85</v>
      </c>
      <c r="F3" s="76" t="s">
        <v>87</v>
      </c>
      <c r="G3" s="76" t="s">
        <v>88</v>
      </c>
      <c r="H3" s="76" t="s">
        <v>89</v>
      </c>
      <c r="I3" s="79" t="s">
        <v>264</v>
      </c>
      <c r="J3" s="79" t="s">
        <v>265</v>
      </c>
      <c r="K3" s="76" t="s">
        <v>100</v>
      </c>
      <c r="L3" s="76" t="s">
        <v>102</v>
      </c>
      <c r="M3" s="105" t="s">
        <v>266</v>
      </c>
      <c r="N3" s="105" t="s">
        <v>267</v>
      </c>
      <c r="O3" s="105" t="s">
        <v>268</v>
      </c>
      <c r="P3" s="105" t="s">
        <v>269</v>
      </c>
      <c r="Q3" s="105" t="s">
        <v>270</v>
      </c>
      <c r="R3" s="105" t="s">
        <v>271</v>
      </c>
      <c r="S3" s="105" t="s">
        <v>272</v>
      </c>
      <c r="T3" s="105" t="s">
        <v>273</v>
      </c>
      <c r="U3" s="105" t="s">
        <v>274</v>
      </c>
      <c r="V3" s="105" t="s">
        <v>275</v>
      </c>
    </row>
    <row r="4" spans="1:22" x14ac:dyDescent="0.25">
      <c r="A4" s="75"/>
      <c r="B4" s="75" t="s">
        <v>276</v>
      </c>
      <c r="C4" s="75"/>
      <c r="D4" s="72" t="s">
        <v>278</v>
      </c>
      <c r="E4" s="53">
        <v>44</v>
      </c>
      <c r="F4" s="67" t="s">
        <v>130</v>
      </c>
      <c r="G4" s="94">
        <v>5</v>
      </c>
      <c r="H4" s="55">
        <v>16.109000000000002</v>
      </c>
      <c r="I4" s="80">
        <f>(G4)*(G4)*(H4)</f>
        <v>402.72500000000002</v>
      </c>
      <c r="J4" s="80">
        <f>(G4+1)*(G4+1)*H4</f>
        <v>579.92400000000009</v>
      </c>
      <c r="K4" s="73">
        <v>0</v>
      </c>
      <c r="L4" s="73">
        <v>300</v>
      </c>
      <c r="M4" s="106">
        <v>41976</v>
      </c>
      <c r="N4" s="106">
        <v>42305</v>
      </c>
      <c r="O4" s="106">
        <v>42908</v>
      </c>
      <c r="P4" s="57">
        <v>1052640</v>
      </c>
      <c r="Q4" s="57">
        <f>((N4-M4)/7)*L4</f>
        <v>14100</v>
      </c>
      <c r="R4" s="57">
        <f ca="1">((TODAY()-N4)/7)*L4</f>
        <v>123814.28571428571</v>
      </c>
      <c r="S4" s="57">
        <v>2059800</v>
      </c>
      <c r="T4" s="57">
        <f>S4+Q4+P4</f>
        <v>3126540</v>
      </c>
      <c r="U4" s="61">
        <f>T4/((O4-N4)/112)</f>
        <v>580717.21393034828</v>
      </c>
      <c r="V4" s="48">
        <f ca="1">(A7-N4)/112</f>
        <v>25.794642857142858</v>
      </c>
    </row>
    <row r="5" spans="1:22" x14ac:dyDescent="0.25">
      <c r="O5" s="167"/>
    </row>
    <row r="7" spans="1:22" x14ac:dyDescent="0.25">
      <c r="A7" s="51">
        <f ca="1">TODAY()</f>
        <v>45194</v>
      </c>
    </row>
    <row r="8" spans="1:22" x14ac:dyDescent="0.25">
      <c r="A8" s="51">
        <v>41757</v>
      </c>
    </row>
    <row r="9" spans="1:22" x14ac:dyDescent="0.25">
      <c r="A9" s="52">
        <f ca="1">A7-A8</f>
        <v>3437</v>
      </c>
    </row>
    <row r="10" spans="1:22" x14ac:dyDescent="0.25">
      <c r="A10" s="104">
        <f ca="1">A9/112</f>
        <v>30.6875</v>
      </c>
    </row>
    <row r="12" spans="1:22" x14ac:dyDescent="0.25">
      <c r="A12" s="76" t="s">
        <v>82</v>
      </c>
      <c r="B12" s="76" t="s">
        <v>83</v>
      </c>
      <c r="C12" s="77" t="s">
        <v>263</v>
      </c>
      <c r="D12" s="78" t="s">
        <v>84</v>
      </c>
      <c r="E12" s="76" t="s">
        <v>85</v>
      </c>
      <c r="F12" s="76" t="s">
        <v>87</v>
      </c>
      <c r="G12" s="76" t="s">
        <v>88</v>
      </c>
      <c r="H12" s="76" t="s">
        <v>89</v>
      </c>
      <c r="I12" s="79" t="s">
        <v>264</v>
      </c>
      <c r="J12" s="79" t="s">
        <v>265</v>
      </c>
      <c r="K12" s="76" t="s">
        <v>100</v>
      </c>
      <c r="L12" s="76" t="s">
        <v>102</v>
      </c>
      <c r="M12" s="105" t="s">
        <v>266</v>
      </c>
      <c r="N12" s="105" t="s">
        <v>267</v>
      </c>
      <c r="O12" s="105" t="s">
        <v>268</v>
      </c>
      <c r="P12" s="105" t="s">
        <v>269</v>
      </c>
      <c r="Q12" s="105" t="s">
        <v>270</v>
      </c>
      <c r="R12" s="105" t="s">
        <v>271</v>
      </c>
      <c r="S12" s="105" t="s">
        <v>272</v>
      </c>
      <c r="T12" s="105" t="s">
        <v>273</v>
      </c>
      <c r="U12" s="105" t="s">
        <v>274</v>
      </c>
      <c r="V12" s="105" t="s">
        <v>275</v>
      </c>
    </row>
    <row r="13" spans="1:22" x14ac:dyDescent="0.25">
      <c r="D13" s="72" t="s">
        <v>279</v>
      </c>
      <c r="E13" s="53">
        <v>39</v>
      </c>
      <c r="F13" s="67"/>
      <c r="G13" s="94">
        <v>6</v>
      </c>
      <c r="H13" s="55">
        <v>13</v>
      </c>
      <c r="I13" s="80">
        <f>(G13)*(G13)*(H13)</f>
        <v>468</v>
      </c>
      <c r="J13" s="80">
        <f>(G13+1)*(G13+1)*H13</f>
        <v>637</v>
      </c>
      <c r="K13" s="73">
        <v>1130</v>
      </c>
      <c r="L13" s="73">
        <v>864</v>
      </c>
      <c r="M13" s="106">
        <v>42628</v>
      </c>
      <c r="N13" s="106">
        <f>O4</f>
        <v>42908</v>
      </c>
      <c r="O13" s="106">
        <f ca="1">TODAY()</f>
        <v>45194</v>
      </c>
      <c r="P13" s="169">
        <v>1800000</v>
      </c>
      <c r="Q13" s="57">
        <v>372</v>
      </c>
      <c r="R13" s="57">
        <f ca="1">((TODAY()-N13)/7)*L13</f>
        <v>282157.71428571426</v>
      </c>
      <c r="S13" s="169">
        <v>2553000</v>
      </c>
      <c r="T13" s="57">
        <f>S13+Q13+P13</f>
        <v>4353372</v>
      </c>
      <c r="U13" s="61">
        <f ca="1">T13/((O13-N13)/112)</f>
        <v>213288.56692913387</v>
      </c>
      <c r="V13" s="48">
        <v>7</v>
      </c>
    </row>
    <row r="17" spans="1:22" ht="18" x14ac:dyDescent="0.25">
      <c r="A17" s="158">
        <v>42908</v>
      </c>
      <c r="B17" s="70"/>
      <c r="C17">
        <v>112</v>
      </c>
      <c r="D17">
        <v>0</v>
      </c>
    </row>
    <row r="18" spans="1:22" x14ac:dyDescent="0.25">
      <c r="A18" s="70">
        <f ca="1">TODAY()</f>
        <v>45194</v>
      </c>
      <c r="B18" s="70"/>
      <c r="C18">
        <v>400</v>
      </c>
      <c r="D18">
        <v>1</v>
      </c>
    </row>
    <row r="19" spans="1:22" x14ac:dyDescent="0.25">
      <c r="A19">
        <f ca="1">A18-A17</f>
        <v>2286</v>
      </c>
      <c r="C19">
        <f>C18-C17</f>
        <v>288</v>
      </c>
      <c r="D19" s="159">
        <f ca="1">(A19-C17)/C19</f>
        <v>7.5486111111111107</v>
      </c>
    </row>
    <row r="20" spans="1:22" x14ac:dyDescent="0.25">
      <c r="D20" t="s">
        <v>280</v>
      </c>
    </row>
    <row r="24" spans="1:22" x14ac:dyDescent="0.25">
      <c r="A24" s="76" t="s">
        <v>82</v>
      </c>
      <c r="B24" s="76" t="s">
        <v>83</v>
      </c>
      <c r="C24" s="77" t="s">
        <v>263</v>
      </c>
      <c r="D24" s="78" t="s">
        <v>84</v>
      </c>
      <c r="E24" s="76" t="s">
        <v>85</v>
      </c>
      <c r="F24" s="76" t="s">
        <v>87</v>
      </c>
      <c r="G24" s="76" t="s">
        <v>88</v>
      </c>
      <c r="H24" s="76" t="s">
        <v>89</v>
      </c>
      <c r="I24" s="79" t="s">
        <v>264</v>
      </c>
      <c r="J24" s="79" t="s">
        <v>265</v>
      </c>
      <c r="K24" s="76" t="s">
        <v>100</v>
      </c>
      <c r="L24" s="76" t="s">
        <v>102</v>
      </c>
      <c r="M24" s="105" t="s">
        <v>266</v>
      </c>
      <c r="N24" s="105" t="s">
        <v>267</v>
      </c>
      <c r="O24" s="105" t="s">
        <v>268</v>
      </c>
      <c r="P24" s="105" t="s">
        <v>269</v>
      </c>
      <c r="Q24" s="105" t="s">
        <v>270</v>
      </c>
      <c r="R24" s="105" t="s">
        <v>271</v>
      </c>
      <c r="S24" s="105" t="s">
        <v>272</v>
      </c>
      <c r="T24" s="105" t="s">
        <v>273</v>
      </c>
      <c r="U24" s="105" t="s">
        <v>274</v>
      </c>
      <c r="V24" s="105" t="s">
        <v>275</v>
      </c>
    </row>
    <row r="28" spans="1:22" ht="19.5" x14ac:dyDescent="0.25">
      <c r="A28" s="451" t="s">
        <v>281</v>
      </c>
      <c r="B28" s="451"/>
      <c r="C28" s="451"/>
      <c r="D28" s="451"/>
    </row>
    <row r="29" spans="1:22" x14ac:dyDescent="0.25">
      <c r="A29" s="452" t="s">
        <v>282</v>
      </c>
      <c r="B29" s="453" t="s">
        <v>283</v>
      </c>
      <c r="C29" s="453" t="s">
        <v>284</v>
      </c>
      <c r="D29" s="453" t="s">
        <v>285</v>
      </c>
    </row>
    <row r="30" spans="1:22" x14ac:dyDescent="0.25">
      <c r="A30" s="452"/>
      <c r="B30" s="453"/>
      <c r="C30" s="453"/>
      <c r="D30" s="453"/>
    </row>
    <row r="31" spans="1:22" x14ac:dyDescent="0.25">
      <c r="A31" s="58" t="s">
        <v>283</v>
      </c>
      <c r="B31" s="59" t="s">
        <v>286</v>
      </c>
      <c r="C31" s="59" t="s">
        <v>287</v>
      </c>
      <c r="D31" s="59" t="s">
        <v>287</v>
      </c>
    </row>
    <row r="32" spans="1:22" x14ac:dyDescent="0.25">
      <c r="A32" s="168" t="s">
        <v>284</v>
      </c>
      <c r="B32" s="60" t="s">
        <v>288</v>
      </c>
      <c r="C32" s="60" t="s">
        <v>289</v>
      </c>
      <c r="D32" s="60" t="s">
        <v>287</v>
      </c>
    </row>
    <row r="33" spans="1:4" x14ac:dyDescent="0.25">
      <c r="A33" s="58" t="s">
        <v>285</v>
      </c>
      <c r="B33" s="59" t="s">
        <v>290</v>
      </c>
      <c r="C33" s="59" t="s">
        <v>291</v>
      </c>
      <c r="D33" s="59" t="s">
        <v>292</v>
      </c>
    </row>
    <row r="34" spans="1:4" x14ac:dyDescent="0.25">
      <c r="A34" s="168" t="s">
        <v>293</v>
      </c>
      <c r="B34" s="60" t="s">
        <v>294</v>
      </c>
      <c r="C34" s="60" t="s">
        <v>295</v>
      </c>
      <c r="D34" s="60" t="s">
        <v>296</v>
      </c>
    </row>
    <row r="35" spans="1:4" x14ac:dyDescent="0.25">
      <c r="A35" s="58" t="s">
        <v>297</v>
      </c>
      <c r="B35" s="59" t="s">
        <v>298</v>
      </c>
      <c r="C35" s="59" t="s">
        <v>299</v>
      </c>
      <c r="D35" s="59" t="s">
        <v>300</v>
      </c>
    </row>
    <row r="36" spans="1:4" x14ac:dyDescent="0.25">
      <c r="A36" s="168" t="s">
        <v>301</v>
      </c>
      <c r="B36" s="60" t="s">
        <v>302</v>
      </c>
      <c r="C36" s="60" t="s">
        <v>303</v>
      </c>
      <c r="D36" s="60" t="s">
        <v>304</v>
      </c>
    </row>
    <row r="37" spans="1:4" x14ac:dyDescent="0.25">
      <c r="A37" s="58" t="s">
        <v>305</v>
      </c>
      <c r="B37" s="59" t="s">
        <v>306</v>
      </c>
      <c r="C37" s="59" t="s">
        <v>307</v>
      </c>
      <c r="D37" s="59" t="s">
        <v>308</v>
      </c>
    </row>
    <row r="38" spans="1:4" x14ac:dyDescent="0.25">
      <c r="A38" s="168" t="s">
        <v>309</v>
      </c>
      <c r="B38" s="60" t="s">
        <v>310</v>
      </c>
      <c r="C38" s="60" t="s">
        <v>311</v>
      </c>
      <c r="D38" s="60" t="s">
        <v>312</v>
      </c>
    </row>
    <row r="39" spans="1:4" x14ac:dyDescent="0.25">
      <c r="A39" s="58" t="s">
        <v>313</v>
      </c>
      <c r="B39" s="59" t="s">
        <v>314</v>
      </c>
      <c r="C39" s="59" t="s">
        <v>315</v>
      </c>
      <c r="D39" s="59" t="s">
        <v>316</v>
      </c>
    </row>
    <row r="40" spans="1:4" x14ac:dyDescent="0.25">
      <c r="A40" s="168" t="s">
        <v>317</v>
      </c>
      <c r="B40" s="60" t="s">
        <v>318</v>
      </c>
      <c r="C40" s="60" t="s">
        <v>319</v>
      </c>
      <c r="D40" s="60" t="s">
        <v>320</v>
      </c>
    </row>
    <row r="41" spans="1:4" x14ac:dyDescent="0.25">
      <c r="A41" s="58" t="s">
        <v>321</v>
      </c>
      <c r="B41" s="59" t="s">
        <v>322</v>
      </c>
      <c r="C41" s="59" t="s">
        <v>323</v>
      </c>
      <c r="D41" s="59" t="s">
        <v>324</v>
      </c>
    </row>
    <row r="42" spans="1:4" x14ac:dyDescent="0.25">
      <c r="A42" s="168" t="s">
        <v>325</v>
      </c>
      <c r="B42" s="60" t="s">
        <v>326</v>
      </c>
      <c r="C42" s="60" t="s">
        <v>327</v>
      </c>
      <c r="D42" s="60" t="s">
        <v>328</v>
      </c>
    </row>
    <row r="43" spans="1:4" x14ac:dyDescent="0.25">
      <c r="A43" s="58" t="s">
        <v>329</v>
      </c>
      <c r="B43" s="59" t="s">
        <v>330</v>
      </c>
      <c r="C43" s="59" t="s">
        <v>331</v>
      </c>
      <c r="D43" s="59" t="s">
        <v>332</v>
      </c>
    </row>
    <row r="44" spans="1:4" x14ac:dyDescent="0.25">
      <c r="A44" s="168" t="s">
        <v>333</v>
      </c>
      <c r="B44" s="60" t="s">
        <v>334</v>
      </c>
      <c r="C44" s="60" t="s">
        <v>335</v>
      </c>
      <c r="D44" s="60" t="s">
        <v>336</v>
      </c>
    </row>
    <row r="45" spans="1:4" x14ac:dyDescent="0.25">
      <c r="A45" s="58" t="s">
        <v>337</v>
      </c>
      <c r="B45" s="59" t="s">
        <v>338</v>
      </c>
      <c r="C45" s="59" t="s">
        <v>339</v>
      </c>
      <c r="D45" s="59" t="s">
        <v>340</v>
      </c>
    </row>
  </sheetData>
  <mergeCells count="5">
    <mergeCell ref="A28:D28"/>
    <mergeCell ref="A29:A30"/>
    <mergeCell ref="B29:B30"/>
    <mergeCell ref="C29:C30"/>
    <mergeCell ref="D29:D30"/>
  </mergeCells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AX32"/>
  <sheetViews>
    <sheetView workbookViewId="0">
      <pane xSplit="6" ySplit="3" topLeftCell="U4" activePane="bottomRight" state="frozen"/>
      <selection pane="topRight"/>
      <selection pane="bottomLeft"/>
      <selection pane="bottomRight" activeCell="C7" sqref="C7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6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6.140625" bestFit="1" customWidth="1"/>
    <col min="15" max="15" width="6.140625" customWidth="1"/>
    <col min="16" max="16" width="5.5703125" style="56" customWidth="1"/>
    <col min="17" max="17" width="5" style="56" customWidth="1"/>
    <col min="18" max="18" width="4.42578125" style="56" customWidth="1"/>
    <col min="19" max="25" width="5.5703125" style="56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3" width="6.5703125" bestFit="1" customWidth="1"/>
    <col min="44" max="44" width="5.5703125" customWidth="1"/>
    <col min="45" max="45" width="11" customWidth="1"/>
    <col min="46" max="46" width="5.85546875" customWidth="1"/>
    <col min="47" max="47" width="12.42578125" customWidth="1"/>
    <col min="48" max="48" width="15.140625" customWidth="1"/>
    <col min="49" max="50" width="9.5703125" customWidth="1"/>
  </cols>
  <sheetData>
    <row r="1" spans="1:50" ht="18.75" x14ac:dyDescent="0.3">
      <c r="P1"/>
      <c r="Q1"/>
      <c r="AH1" s="454" t="s">
        <v>341</v>
      </c>
      <c r="AI1" s="454"/>
      <c r="AJ1" s="454"/>
      <c r="AK1" s="454"/>
      <c r="AL1" s="454"/>
      <c r="AM1" s="454"/>
      <c r="AN1" s="454"/>
      <c r="AO1" s="454"/>
      <c r="AP1" s="454"/>
      <c r="AQ1" s="454"/>
      <c r="AS1" s="116" t="s">
        <v>249</v>
      </c>
      <c r="AT1" s="116" t="s">
        <v>250</v>
      </c>
      <c r="AU1" s="116" t="s">
        <v>342</v>
      </c>
      <c r="AV1" s="117" t="s">
        <v>343</v>
      </c>
      <c r="AW1" s="56" t="s">
        <v>344</v>
      </c>
      <c r="AX1" s="56" t="s">
        <v>345</v>
      </c>
    </row>
    <row r="2" spans="1:50" s="62" customFormat="1" ht="18.75" x14ac:dyDescent="0.3">
      <c r="C2" s="92">
        <f ca="1">TODAY()</f>
        <v>45194</v>
      </c>
      <c r="D2" s="442">
        <v>41471</v>
      </c>
      <c r="E2" s="442"/>
      <c r="F2" s="442"/>
      <c r="G2" s="63"/>
      <c r="H2" s="63"/>
      <c r="I2" s="83"/>
      <c r="J2" s="63"/>
      <c r="K2" s="63"/>
      <c r="L2" s="63"/>
      <c r="M2" s="63"/>
      <c r="N2" s="63"/>
      <c r="O2" s="63"/>
      <c r="P2" s="100"/>
      <c r="Q2" s="69"/>
      <c r="R2" s="69"/>
      <c r="S2" s="69">
        <v>0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  <c r="Y2" s="69">
        <v>0</v>
      </c>
      <c r="AE2" s="108" t="e">
        <f>SUM(AE4:AE19)</f>
        <v>#REF!</v>
      </c>
      <c r="AJ2" s="115">
        <f>SUM(AJ4:AJ14)*$AV$3</f>
        <v>3.5178340548340556E-2</v>
      </c>
      <c r="AK2" s="115">
        <f>SUM(AK4:AK14)*$AV$3</f>
        <v>6.8279134199134214E-2</v>
      </c>
      <c r="AL2" s="115">
        <f>SUM(AL4:AL14)*$AV$2</f>
        <v>2.707721618761141E-2</v>
      </c>
      <c r="AM2" s="115" t="e">
        <f>SUM(AM4:AM14)*$AV$4</f>
        <v>#REF!</v>
      </c>
      <c r="AN2" s="115">
        <f>SUM(AN4:AN14)*$AV$5</f>
        <v>0</v>
      </c>
      <c r="AO2" s="115">
        <f>SUM(AO4:AO14)*$AV$5</f>
        <v>0</v>
      </c>
      <c r="AP2" s="115">
        <f>SUM(AP4:AP14)*$AV$6</f>
        <v>0</v>
      </c>
      <c r="AQ2" s="410">
        <f>AVERAGE(AQ5:AQ14)</f>
        <v>0</v>
      </c>
      <c r="AS2" s="66" t="s">
        <v>251</v>
      </c>
      <c r="AT2" s="118">
        <v>1</v>
      </c>
      <c r="AU2" s="119">
        <v>0.624</v>
      </c>
      <c r="AV2" s="120">
        <v>0.24500000000000002</v>
      </c>
      <c r="AW2" s="89">
        <f>AV2*10</f>
        <v>2.4500000000000002</v>
      </c>
      <c r="AX2" s="89">
        <f>AV2*15</f>
        <v>3.6750000000000003</v>
      </c>
    </row>
    <row r="3" spans="1:50" ht="19.5" customHeight="1" x14ac:dyDescent="0.3">
      <c r="A3" s="76" t="s">
        <v>82</v>
      </c>
      <c r="B3" s="76" t="s">
        <v>83</v>
      </c>
      <c r="C3" s="78" t="s">
        <v>84</v>
      </c>
      <c r="D3" s="76" t="s">
        <v>85</v>
      </c>
      <c r="E3" s="76" t="s">
        <v>86</v>
      </c>
      <c r="F3" s="76" t="s">
        <v>87</v>
      </c>
      <c r="G3" s="76" t="s">
        <v>88</v>
      </c>
      <c r="H3" s="76" t="s">
        <v>89</v>
      </c>
      <c r="I3" s="76" t="s">
        <v>104</v>
      </c>
      <c r="J3" s="76" t="s">
        <v>105</v>
      </c>
      <c r="K3" s="76" t="s">
        <v>106</v>
      </c>
      <c r="L3" s="76" t="s">
        <v>107</v>
      </c>
      <c r="M3" s="76" t="s">
        <v>108</v>
      </c>
      <c r="N3" s="76" t="s">
        <v>109</v>
      </c>
      <c r="O3" s="76" t="s">
        <v>87</v>
      </c>
      <c r="P3" s="102" t="s">
        <v>85</v>
      </c>
      <c r="Q3" s="102" t="s">
        <v>86</v>
      </c>
      <c r="R3" s="101" t="s">
        <v>89</v>
      </c>
      <c r="S3" s="101" t="s">
        <v>104</v>
      </c>
      <c r="T3" s="101" t="s">
        <v>105</v>
      </c>
      <c r="U3" s="101" t="s">
        <v>106</v>
      </c>
      <c r="V3" s="101" t="s">
        <v>107</v>
      </c>
      <c r="W3" s="101" t="s">
        <v>108</v>
      </c>
      <c r="X3" s="101" t="s">
        <v>109</v>
      </c>
      <c r="Y3" s="101" t="s">
        <v>87</v>
      </c>
      <c r="Z3" s="101" t="s">
        <v>104</v>
      </c>
      <c r="AA3" s="101" t="s">
        <v>105</v>
      </c>
      <c r="AB3" s="101" t="s">
        <v>106</v>
      </c>
      <c r="AC3" s="101" t="s">
        <v>107</v>
      </c>
      <c r="AD3" s="101" t="s">
        <v>108</v>
      </c>
      <c r="AE3" s="101" t="s">
        <v>109</v>
      </c>
      <c r="AF3" s="101" t="s">
        <v>87</v>
      </c>
      <c r="AH3" s="455">
        <v>451</v>
      </c>
      <c r="AI3" s="456"/>
      <c r="AJ3" s="87" t="s">
        <v>346</v>
      </c>
      <c r="AK3" s="87" t="s">
        <v>347</v>
      </c>
      <c r="AL3" s="87" t="s">
        <v>348</v>
      </c>
      <c r="AM3" s="87" t="s">
        <v>349</v>
      </c>
      <c r="AN3" s="87" t="s">
        <v>350</v>
      </c>
      <c r="AO3" s="87" t="s">
        <v>351</v>
      </c>
      <c r="AP3" s="87" t="s">
        <v>352</v>
      </c>
      <c r="AQ3" s="87" t="s">
        <v>609</v>
      </c>
      <c r="AS3" s="66" t="s">
        <v>252</v>
      </c>
      <c r="AT3" s="118">
        <v>1</v>
      </c>
      <c r="AU3" s="119">
        <v>1.002</v>
      </c>
      <c r="AV3" s="120">
        <v>0.34000000000000008</v>
      </c>
      <c r="AW3" s="89">
        <f>AV3*10</f>
        <v>3.4000000000000008</v>
      </c>
      <c r="AX3" s="89">
        <f>AV3*15</f>
        <v>5.1000000000000014</v>
      </c>
    </row>
    <row r="4" spans="1:50" s="62" customFormat="1" ht="19.5" customHeight="1" x14ac:dyDescent="0.3">
      <c r="A4" s="4" t="e">
        <f>PLANTILLA!#REF!</f>
        <v>#REF!</v>
      </c>
      <c r="B4" s="4" t="e">
        <f>PLANTILLA!#REF!</f>
        <v>#REF!</v>
      </c>
      <c r="C4" s="72" t="e">
        <f>PLANTILLA!#REF!</f>
        <v>#REF!</v>
      </c>
      <c r="D4" s="53" t="e">
        <f>PLANTILLA!#REF!</f>
        <v>#REF!</v>
      </c>
      <c r="E4" s="54" t="e">
        <f>PLANTILLA!#REF!</f>
        <v>#REF!</v>
      </c>
      <c r="F4" s="67"/>
      <c r="G4" s="179" t="e">
        <f>PLANTILLA!#REF!</f>
        <v>#REF!</v>
      </c>
      <c r="H4" s="55" t="e">
        <f>PLANTILLA!#REF!</f>
        <v>#REF!</v>
      </c>
      <c r="I4" s="122" t="e">
        <f>PLANTILLA!#REF!</f>
        <v>#REF!</v>
      </c>
      <c r="J4" s="122" t="e">
        <f>PLANTILLA!#REF!</f>
        <v>#REF!</v>
      </c>
      <c r="K4" s="122" t="e">
        <f>PLANTILLA!#REF!</f>
        <v>#REF!</v>
      </c>
      <c r="L4" s="122" t="e">
        <f>PLANTILLA!#REF!</f>
        <v>#REF!</v>
      </c>
      <c r="M4" s="122" t="e">
        <f>PLANTILLA!#REF!</f>
        <v>#REF!</v>
      </c>
      <c r="N4" s="122" t="e">
        <f>PLANTILLA!#REF!</f>
        <v>#REF!</v>
      </c>
      <c r="O4" s="122" t="e">
        <f>PLANTILLA!#REF!</f>
        <v>#REF!</v>
      </c>
      <c r="P4" s="66" t="e">
        <f t="shared" ref="P4:P5" si="0">D4</f>
        <v>#REF!</v>
      </c>
      <c r="Q4" s="103" t="e">
        <f t="shared" ref="Q4:Q5" si="1">E4+7</f>
        <v>#REF!</v>
      </c>
      <c r="R4" s="74" t="e">
        <f t="shared" ref="R4:R5" si="2">H4+$R$2</f>
        <v>#REF!</v>
      </c>
      <c r="S4" s="137" t="e">
        <f t="shared" ref="S4:S5" si="3">I4</f>
        <v>#REF!</v>
      </c>
      <c r="T4" s="137" t="e">
        <f t="shared" ref="T4:T5" si="4">J4</f>
        <v>#REF!</v>
      </c>
      <c r="U4" s="137" t="e">
        <f t="shared" ref="U4:U5" si="5">K4</f>
        <v>#REF!</v>
      </c>
      <c r="V4" s="137" t="e">
        <f t="shared" ref="V4:V5" si="6">L4</f>
        <v>#REF!</v>
      </c>
      <c r="W4" s="137" t="e">
        <f t="shared" ref="W4:W5" si="7">M4</f>
        <v>#REF!</v>
      </c>
      <c r="X4" s="137" t="e">
        <f t="shared" ref="X4:X5" si="8">N4</f>
        <v>#REF!</v>
      </c>
      <c r="Y4" s="137" t="e">
        <f t="shared" ref="Y4:Y5" si="9">O4</f>
        <v>#REF!</v>
      </c>
      <c r="Z4" s="108" t="e">
        <f t="shared" ref="Z4:AF4" si="10">S4-I4</f>
        <v>#REF!</v>
      </c>
      <c r="AA4" s="108" t="e">
        <f t="shared" si="10"/>
        <v>#REF!</v>
      </c>
      <c r="AB4" s="108" t="e">
        <f t="shared" si="10"/>
        <v>#REF!</v>
      </c>
      <c r="AC4" s="108" t="e">
        <f t="shared" si="10"/>
        <v>#REF!</v>
      </c>
      <c r="AD4" s="108" t="e">
        <f t="shared" si="10"/>
        <v>#REF!</v>
      </c>
      <c r="AE4" s="108" t="e">
        <f t="shared" si="10"/>
        <v>#REF!</v>
      </c>
      <c r="AF4" s="108" t="e">
        <f t="shared" si="10"/>
        <v>#REF!</v>
      </c>
      <c r="AH4" s="109" t="s">
        <v>14</v>
      </c>
      <c r="AI4" s="81" t="e">
        <f>C5</f>
        <v>#REF!</v>
      </c>
      <c r="AJ4" s="111">
        <f>AA5*0.265</f>
        <v>1.892857142857143E-2</v>
      </c>
      <c r="AK4" s="111">
        <f>AA5*0.399</f>
        <v>2.8500000000000001E-2</v>
      </c>
      <c r="AL4" s="111">
        <f>AJ4</f>
        <v>1.892857142857143E-2</v>
      </c>
      <c r="AM4" s="111">
        <v>0</v>
      </c>
      <c r="AN4" s="111">
        <v>0</v>
      </c>
      <c r="AO4" s="111">
        <v>0</v>
      </c>
      <c r="AP4" s="111">
        <v>0</v>
      </c>
      <c r="AQ4" s="113"/>
      <c r="AS4" s="66" t="s">
        <v>253</v>
      </c>
      <c r="AT4" s="118">
        <v>1</v>
      </c>
      <c r="AU4" s="119">
        <v>0.46800000000000008</v>
      </c>
      <c r="AV4" s="120">
        <v>0.125</v>
      </c>
      <c r="AW4" s="89">
        <f>AV4*10</f>
        <v>1.25</v>
      </c>
      <c r="AX4" s="89">
        <f>AV4*15</f>
        <v>1.875</v>
      </c>
    </row>
    <row r="5" spans="1:50" s="62" customFormat="1" ht="19.5" customHeight="1" x14ac:dyDescent="0.3">
      <c r="A5" s="4" t="e">
        <f>PLANTILLA!#REF!</f>
        <v>#REF!</v>
      </c>
      <c r="B5" s="4" t="e">
        <f>PLANTILLA!#REF!</f>
        <v>#REF!</v>
      </c>
      <c r="C5" s="397" t="e">
        <f>PLANTILLA!#REF!</f>
        <v>#REF!</v>
      </c>
      <c r="D5" s="53" t="e">
        <f>PLANTILLA!#REF!</f>
        <v>#REF!</v>
      </c>
      <c r="E5" s="54" t="e">
        <f>PLANTILLA!#REF!</f>
        <v>#REF!</v>
      </c>
      <c r="F5" s="67" t="e">
        <f>PLANTILLA!#REF!</f>
        <v>#REF!</v>
      </c>
      <c r="G5" s="179" t="e">
        <f>PLANTILLA!#REF!</f>
        <v>#REF!</v>
      </c>
      <c r="H5" s="55" t="e">
        <f>PLANTILLA!#REF!</f>
        <v>#REF!</v>
      </c>
      <c r="I5" s="122" t="e">
        <f>PLANTILLA!#REF!</f>
        <v>#REF!</v>
      </c>
      <c r="J5" s="122" t="e">
        <f>PLANTILLA!#REF!</f>
        <v>#REF!</v>
      </c>
      <c r="K5" s="122" t="e">
        <f>PLANTILLA!#REF!</f>
        <v>#REF!</v>
      </c>
      <c r="L5" s="122" t="e">
        <f>PLANTILLA!#REF!</f>
        <v>#REF!</v>
      </c>
      <c r="M5" s="122" t="e">
        <f>PLANTILLA!#REF!</f>
        <v>#REF!</v>
      </c>
      <c r="N5" s="122" t="e">
        <f>PLANTILLA!#REF!</f>
        <v>#REF!</v>
      </c>
      <c r="O5" s="122" t="e">
        <f>PLANTILLA!#REF!</f>
        <v>#REF!</v>
      </c>
      <c r="P5" s="66" t="e">
        <f t="shared" si="0"/>
        <v>#REF!</v>
      </c>
      <c r="Q5" s="103" t="e">
        <f t="shared" si="1"/>
        <v>#REF!</v>
      </c>
      <c r="R5" s="74" t="e">
        <f t="shared" si="2"/>
        <v>#REF!</v>
      </c>
      <c r="S5" s="137" t="e">
        <f t="shared" si="3"/>
        <v>#REF!</v>
      </c>
      <c r="T5" s="137" t="e">
        <f t="shared" si="4"/>
        <v>#REF!</v>
      </c>
      <c r="U5" s="137" t="e">
        <f t="shared" si="5"/>
        <v>#REF!</v>
      </c>
      <c r="V5" s="137" t="e">
        <f t="shared" si="6"/>
        <v>#REF!</v>
      </c>
      <c r="W5" s="137" t="e">
        <f t="shared" si="7"/>
        <v>#REF!</v>
      </c>
      <c r="X5" s="137" t="e">
        <f t="shared" si="8"/>
        <v>#REF!</v>
      </c>
      <c r="Y5" s="137" t="e">
        <f t="shared" si="9"/>
        <v>#REF!</v>
      </c>
      <c r="Z5" s="108">
        <v>0</v>
      </c>
      <c r="AA5" s="108">
        <f>1/7/2</f>
        <v>7.1428571428571425E-2</v>
      </c>
      <c r="AB5" s="108" t="e">
        <f>U5-K5</f>
        <v>#REF!</v>
      </c>
      <c r="AC5" s="108" t="e">
        <f>V5-L5</f>
        <v>#REF!</v>
      </c>
      <c r="AD5" s="108" t="e">
        <f>W5-M5</f>
        <v>#REF!</v>
      </c>
      <c r="AE5" s="108" t="e">
        <f>X5-N5</f>
        <v>#REF!</v>
      </c>
      <c r="AF5" s="108">
        <v>0</v>
      </c>
      <c r="AH5" s="109" t="s">
        <v>154</v>
      </c>
      <c r="AI5" s="81" t="str">
        <f>C6</f>
        <v>V. Gardner</v>
      </c>
      <c r="AJ5" s="111">
        <f>AA6*1</f>
        <v>2.7777777777777776E-2</v>
      </c>
      <c r="AK5" s="111">
        <f>AA6*0.425</f>
        <v>1.1805555555555555E-2</v>
      </c>
      <c r="AL5" s="111">
        <v>0</v>
      </c>
      <c r="AM5" s="111">
        <v>0</v>
      </c>
      <c r="AN5" s="111">
        <f>AC18*0.588</f>
        <v>0</v>
      </c>
      <c r="AO5" s="111">
        <v>0</v>
      </c>
      <c r="AP5" s="111">
        <v>0</v>
      </c>
      <c r="AQ5" s="113">
        <f>(1.66*(X6+AE6)+0.55*(Y6+AF6)-7.6)-(1.66*X6+0.55*Y6-7.6)</f>
        <v>0</v>
      </c>
      <c r="AS5" s="66" t="s">
        <v>254</v>
      </c>
      <c r="AT5" s="118">
        <v>1</v>
      </c>
      <c r="AU5" s="119">
        <v>0.877</v>
      </c>
      <c r="AV5" s="120">
        <v>0.25</v>
      </c>
      <c r="AW5" s="89">
        <f>AV5*10</f>
        <v>2.5</v>
      </c>
      <c r="AX5" s="89">
        <f>AV5*15</f>
        <v>3.75</v>
      </c>
    </row>
    <row r="6" spans="1:50" ht="19.5" customHeight="1" x14ac:dyDescent="0.3">
      <c r="A6" s="4">
        <f>PLANTILLA!A5</f>
        <v>6</v>
      </c>
      <c r="B6" s="4" t="str">
        <f>PLANTILLA!B5</f>
        <v>WB</v>
      </c>
      <c r="C6" s="397" t="str">
        <f>PLANTILLA!C5</f>
        <v>V. Gardner</v>
      </c>
      <c r="D6" s="53" t="str">
        <f>PLANTILLA!D5</f>
        <v>32.68</v>
      </c>
      <c r="E6" s="54" t="e">
        <f>PLANTILLA!#REF!</f>
        <v>#REF!</v>
      </c>
      <c r="F6" s="67"/>
      <c r="G6" s="179">
        <f>PLANTILLA!F5</f>
        <v>3</v>
      </c>
      <c r="H6" s="55">
        <f>PLANTILLA!G5</f>
        <v>10</v>
      </c>
      <c r="I6" s="122">
        <f>PLANTILLA!U5</f>
        <v>0</v>
      </c>
      <c r="J6" s="122">
        <f>PLANTILLA!V5</f>
        <v>15</v>
      </c>
      <c r="K6" s="122">
        <f>PLANTILLA!W5</f>
        <v>8</v>
      </c>
      <c r="L6" s="122">
        <f>PLANTILLA!X5</f>
        <v>3</v>
      </c>
      <c r="M6" s="122">
        <f>PLANTILLA!Y5</f>
        <v>4</v>
      </c>
      <c r="N6" s="122">
        <f>PLANTILLA!Z5</f>
        <v>7</v>
      </c>
      <c r="O6" s="122">
        <f>PLANTILLA!AA5</f>
        <v>19</v>
      </c>
      <c r="P6" s="66" t="str">
        <f t="shared" ref="P6:P26" si="11">D6</f>
        <v>32.68</v>
      </c>
      <c r="Q6" s="103" t="e">
        <f t="shared" ref="Q6:Q26" si="12">E6+7</f>
        <v>#REF!</v>
      </c>
      <c r="R6" s="74">
        <f t="shared" ref="R6:R26" si="13">H6+$R$2</f>
        <v>10</v>
      </c>
      <c r="S6" s="137">
        <f t="shared" ref="S6:S26" si="14">I6</f>
        <v>0</v>
      </c>
      <c r="T6" s="137">
        <f t="shared" ref="T6:T26" si="15">J6</f>
        <v>15</v>
      </c>
      <c r="U6" s="137">
        <f t="shared" ref="U6:U26" si="16">K6</f>
        <v>8</v>
      </c>
      <c r="V6" s="137">
        <f t="shared" ref="V6:V26" si="17">L6</f>
        <v>3</v>
      </c>
      <c r="W6" s="137">
        <f t="shared" ref="W6:W26" si="18">M6</f>
        <v>4</v>
      </c>
      <c r="X6" s="137">
        <f t="shared" ref="X6:X26" si="19">N6</f>
        <v>7</v>
      </c>
      <c r="Y6" s="137">
        <f t="shared" ref="Y6:Y26" si="20">O6</f>
        <v>19</v>
      </c>
      <c r="Z6" s="108">
        <f t="shared" ref="Z6:Z26" si="21">S6-I6</f>
        <v>0</v>
      </c>
      <c r="AA6" s="108">
        <f>1/18/2</f>
        <v>2.7777777777777776E-2</v>
      </c>
      <c r="AB6" s="108">
        <f t="shared" ref="AB6:AB26" si="22">U6-K6</f>
        <v>0</v>
      </c>
      <c r="AC6" s="108">
        <f t="shared" ref="AC6:AC26" si="23">V6-L6</f>
        <v>0</v>
      </c>
      <c r="AD6" s="108">
        <f t="shared" ref="AD6:AD26" si="24">W6-M6</f>
        <v>0</v>
      </c>
      <c r="AE6" s="108">
        <v>0</v>
      </c>
      <c r="AF6" s="108">
        <v>0</v>
      </c>
      <c r="AH6" s="110" t="s">
        <v>355</v>
      </c>
      <c r="AI6" s="81" t="str">
        <f>C10</f>
        <v>K. Teglborg</v>
      </c>
      <c r="AJ6" s="111">
        <f>AA10*0.355</f>
        <v>1.0441176470588235E-2</v>
      </c>
      <c r="AK6" s="111">
        <f>AA10*0.723</f>
        <v>2.1264705882352939E-2</v>
      </c>
      <c r="AL6" s="111">
        <f>AA10*0.178</f>
        <v>5.2352941176470585E-3</v>
      </c>
      <c r="AM6" s="112">
        <v>0</v>
      </c>
      <c r="AN6" s="112">
        <v>0</v>
      </c>
      <c r="AO6" s="112">
        <v>0</v>
      </c>
      <c r="AP6" s="112">
        <v>0</v>
      </c>
      <c r="AQ6" s="113">
        <f>(1.66*(X10+AE10)+0.55*(Y10+AF10)-7.6)-(1.66*X10+0.55*Y10-7.6)</f>
        <v>0</v>
      </c>
      <c r="AS6" s="66" t="s">
        <v>255</v>
      </c>
      <c r="AT6" s="118">
        <v>1</v>
      </c>
      <c r="AU6" s="119">
        <v>0.59299999999999997</v>
      </c>
      <c r="AV6" s="120">
        <v>0.19</v>
      </c>
      <c r="AW6" s="89">
        <f>AV6*10</f>
        <v>1.9</v>
      </c>
      <c r="AX6" s="89">
        <f>AV6*15</f>
        <v>2.85</v>
      </c>
    </row>
    <row r="7" spans="1:50" ht="19.5" customHeight="1" x14ac:dyDescent="0.25">
      <c r="A7" s="4">
        <f>PLANTILLA!A6</f>
        <v>13</v>
      </c>
      <c r="B7" s="4" t="str">
        <f>PLANTILLA!B6</f>
        <v>WB</v>
      </c>
      <c r="C7" s="72" t="str">
        <f>PLANTILLA!C6</f>
        <v>A. Grimaud</v>
      </c>
      <c r="D7" s="53" t="str">
        <f>PLANTILLA!D6</f>
        <v>32.79</v>
      </c>
      <c r="E7" s="54" t="e">
        <f>PLANTILLA!#REF!</f>
        <v>#REF!</v>
      </c>
      <c r="F7" s="67"/>
      <c r="G7" s="179">
        <f>PLANTILLA!F6</f>
        <v>2</v>
      </c>
      <c r="H7" s="55">
        <f>PLANTILLA!G6</f>
        <v>12</v>
      </c>
      <c r="I7" s="122">
        <f>PLANTILLA!U6</f>
        <v>0</v>
      </c>
      <c r="J7" s="122">
        <f>PLANTILLA!V6</f>
        <v>14</v>
      </c>
      <c r="K7" s="122">
        <f>PLANTILLA!W6</f>
        <v>10</v>
      </c>
      <c r="L7" s="122">
        <f>PLANTILLA!X6</f>
        <v>2</v>
      </c>
      <c r="M7" s="122">
        <f>PLANTILLA!Y6</f>
        <v>3</v>
      </c>
      <c r="N7" s="122">
        <f>PLANTILLA!Z6</f>
        <v>7</v>
      </c>
      <c r="O7" s="122">
        <f>PLANTILLA!AA6</f>
        <v>18</v>
      </c>
      <c r="P7" s="66" t="str">
        <f t="shared" si="11"/>
        <v>32.79</v>
      </c>
      <c r="Q7" s="103" t="e">
        <f t="shared" si="12"/>
        <v>#REF!</v>
      </c>
      <c r="R7" s="74">
        <f t="shared" si="13"/>
        <v>12</v>
      </c>
      <c r="S7" s="137">
        <f t="shared" si="14"/>
        <v>0</v>
      </c>
      <c r="T7" s="137">
        <f t="shared" si="15"/>
        <v>14</v>
      </c>
      <c r="U7" s="137">
        <f t="shared" si="16"/>
        <v>10</v>
      </c>
      <c r="V7" s="137">
        <f t="shared" si="17"/>
        <v>2</v>
      </c>
      <c r="W7" s="137">
        <f t="shared" si="18"/>
        <v>3</v>
      </c>
      <c r="X7" s="137">
        <f t="shared" si="19"/>
        <v>7</v>
      </c>
      <c r="Y7" s="137">
        <f t="shared" si="20"/>
        <v>18</v>
      </c>
      <c r="Z7" s="108">
        <f t="shared" si="21"/>
        <v>0</v>
      </c>
      <c r="AA7" s="108">
        <f>T7-J7</f>
        <v>0</v>
      </c>
      <c r="AB7" s="108">
        <f t="shared" si="22"/>
        <v>0</v>
      </c>
      <c r="AC7" s="108">
        <f t="shared" si="23"/>
        <v>0</v>
      </c>
      <c r="AD7" s="108">
        <f t="shared" si="24"/>
        <v>0</v>
      </c>
      <c r="AE7" s="108">
        <v>0</v>
      </c>
      <c r="AF7" s="108">
        <v>0</v>
      </c>
      <c r="AH7" s="110" t="s">
        <v>355</v>
      </c>
      <c r="AI7" s="81" t="str">
        <f>C15</f>
        <v>T. McPhail</v>
      </c>
      <c r="AJ7" s="111">
        <f>AA15*0.178</f>
        <v>5.5624999999999997E-3</v>
      </c>
      <c r="AK7" s="111">
        <f>AA15*0.723</f>
        <v>2.2593749999999999E-2</v>
      </c>
      <c r="AL7" s="111">
        <f>AA15*0.355</f>
        <v>1.1093749999999999E-2</v>
      </c>
      <c r="AM7" s="112">
        <v>0</v>
      </c>
      <c r="AN7" s="112">
        <v>0</v>
      </c>
      <c r="AO7" s="112">
        <f>AC7*0.588</f>
        <v>0</v>
      </c>
      <c r="AP7" s="112">
        <v>0</v>
      </c>
      <c r="AQ7" s="113">
        <f>(1.66*(X15+AE15)+0.55*(Y15+AF15)-7.6)-(1.66*X15+0.55*Y15-7.6)</f>
        <v>0</v>
      </c>
    </row>
    <row r="8" spans="1:50" s="1" customFormat="1" ht="19.5" customHeight="1" x14ac:dyDescent="0.25">
      <c r="A8" s="4">
        <f>PLANTILLA!A7</f>
        <v>5</v>
      </c>
      <c r="B8" s="4" t="str">
        <f>PLANTILLA!B7</f>
        <v>WB</v>
      </c>
      <c r="C8" s="397" t="str">
        <f>PLANTILLA!C7</f>
        <v>C. Mosser</v>
      </c>
      <c r="D8" s="53" t="str">
        <f>PLANTILLA!D7</f>
        <v>30.96</v>
      </c>
      <c r="E8" s="54" t="e">
        <f>PLANTILLA!#REF!</f>
        <v>#REF!</v>
      </c>
      <c r="F8" s="67" t="str">
        <f>PLANTILLA!E7</f>
        <v>Cab</v>
      </c>
      <c r="G8" s="179">
        <f>PLANTILLA!F7</f>
        <v>3</v>
      </c>
      <c r="H8" s="55">
        <f>PLANTILLA!G7</f>
        <v>10</v>
      </c>
      <c r="I8" s="122">
        <f>PLANTILLA!U7</f>
        <v>1</v>
      </c>
      <c r="J8" s="122">
        <f>PLANTILLA!V7</f>
        <v>15</v>
      </c>
      <c r="K8" s="122">
        <f>PLANTILLA!W7</f>
        <v>3</v>
      </c>
      <c r="L8" s="122">
        <f>PLANTILLA!X7</f>
        <v>6</v>
      </c>
      <c r="M8" s="122">
        <f>PLANTILLA!Y7</f>
        <v>2</v>
      </c>
      <c r="N8" s="122">
        <f>PLANTILLA!Z7</f>
        <v>11</v>
      </c>
      <c r="O8" s="122">
        <f>PLANTILLA!AA7</f>
        <v>19</v>
      </c>
      <c r="P8" s="66" t="str">
        <f t="shared" si="11"/>
        <v>30.96</v>
      </c>
      <c r="Q8" s="103" t="e">
        <f t="shared" si="12"/>
        <v>#REF!</v>
      </c>
      <c r="R8" s="74">
        <f t="shared" si="13"/>
        <v>10</v>
      </c>
      <c r="S8" s="137">
        <f t="shared" si="14"/>
        <v>1</v>
      </c>
      <c r="T8" s="137">
        <f t="shared" si="15"/>
        <v>15</v>
      </c>
      <c r="U8" s="137">
        <f t="shared" si="16"/>
        <v>3</v>
      </c>
      <c r="V8" s="137">
        <f t="shared" si="17"/>
        <v>6</v>
      </c>
      <c r="W8" s="137">
        <f t="shared" si="18"/>
        <v>2</v>
      </c>
      <c r="X8" s="137">
        <f t="shared" si="19"/>
        <v>11</v>
      </c>
      <c r="Y8" s="137">
        <f t="shared" si="20"/>
        <v>19</v>
      </c>
      <c r="Z8" s="108">
        <f t="shared" si="21"/>
        <v>0</v>
      </c>
      <c r="AA8" s="108">
        <f>1/16/2</f>
        <v>3.125E-2</v>
      </c>
      <c r="AB8" s="108">
        <f t="shared" si="22"/>
        <v>0</v>
      </c>
      <c r="AC8" s="108">
        <f t="shared" si="23"/>
        <v>0</v>
      </c>
      <c r="AD8" s="108">
        <f t="shared" si="24"/>
        <v>0</v>
      </c>
      <c r="AE8" s="108">
        <v>0</v>
      </c>
      <c r="AF8" s="108">
        <v>0</v>
      </c>
      <c r="AH8" s="109" t="s">
        <v>154</v>
      </c>
      <c r="AI8" s="81" t="str">
        <f>C8</f>
        <v>C. Mosser</v>
      </c>
      <c r="AJ8" s="111">
        <v>0</v>
      </c>
      <c r="AK8" s="111">
        <f>AA8*0.425</f>
        <v>1.328125E-2</v>
      </c>
      <c r="AL8" s="111">
        <f>AA8*1</f>
        <v>3.125E-2</v>
      </c>
      <c r="AM8" s="111">
        <v>0</v>
      </c>
      <c r="AN8" s="111">
        <v>0</v>
      </c>
      <c r="AO8" s="111">
        <v>0</v>
      </c>
      <c r="AP8" s="111">
        <v>0</v>
      </c>
      <c r="AQ8" s="113">
        <f>(1.66*(X8+AE8)+0.55*(Y8+AF8)-7.6)-(1.66*X8+0.55*Y8-7.6)</f>
        <v>0</v>
      </c>
    </row>
    <row r="9" spans="1:50" ht="19.5" customHeight="1" x14ac:dyDescent="0.25">
      <c r="A9" s="4">
        <f>PLANTILLA!A8</f>
        <v>12</v>
      </c>
      <c r="B9" s="4" t="str">
        <f>PLANTILLA!B8</f>
        <v>IM</v>
      </c>
      <c r="C9" s="72" t="str">
        <f>PLANTILLA!C8</f>
        <v>P. Tuderek</v>
      </c>
      <c r="D9" s="53" t="str">
        <f>PLANTILLA!D8</f>
        <v>32.57</v>
      </c>
      <c r="E9" s="54" t="e">
        <f>PLANTILLA!#REF!</f>
        <v>#REF!</v>
      </c>
      <c r="F9" s="67"/>
      <c r="G9" s="179">
        <f>PLANTILLA!F8</f>
        <v>4</v>
      </c>
      <c r="H9" s="55">
        <f>PLANTILLA!G8</f>
        <v>11</v>
      </c>
      <c r="I9" s="122">
        <f>PLANTILLA!U8</f>
        <v>0</v>
      </c>
      <c r="J9" s="122">
        <f>PLANTILLA!V8</f>
        <v>11</v>
      </c>
      <c r="K9" s="122">
        <f>PLANTILLA!W8</f>
        <v>15</v>
      </c>
      <c r="L9" s="122">
        <f>PLANTILLA!X8</f>
        <v>2</v>
      </c>
      <c r="M9" s="122">
        <f>PLANTILLA!Y8</f>
        <v>3</v>
      </c>
      <c r="N9" s="122">
        <f>PLANTILLA!Z8</f>
        <v>8</v>
      </c>
      <c r="O9" s="122">
        <f>PLANTILLA!AA8</f>
        <v>20</v>
      </c>
      <c r="P9" s="66" t="str">
        <f t="shared" si="11"/>
        <v>32.57</v>
      </c>
      <c r="Q9" s="103" t="e">
        <f t="shared" si="12"/>
        <v>#REF!</v>
      </c>
      <c r="R9" s="74">
        <f t="shared" si="13"/>
        <v>11</v>
      </c>
      <c r="S9" s="137">
        <f t="shared" si="14"/>
        <v>0</v>
      </c>
      <c r="T9" s="137">
        <f t="shared" si="15"/>
        <v>11</v>
      </c>
      <c r="U9" s="137">
        <f t="shared" si="16"/>
        <v>15</v>
      </c>
      <c r="V9" s="137">
        <f t="shared" si="17"/>
        <v>2</v>
      </c>
      <c r="W9" s="137">
        <f t="shared" si="18"/>
        <v>3</v>
      </c>
      <c r="X9" s="137">
        <f t="shared" si="19"/>
        <v>8</v>
      </c>
      <c r="Y9" s="137">
        <f t="shared" si="20"/>
        <v>20</v>
      </c>
      <c r="Z9" s="108">
        <f t="shared" si="21"/>
        <v>0</v>
      </c>
      <c r="AA9" s="108">
        <f>T9-J9</f>
        <v>0</v>
      </c>
      <c r="AB9" s="108">
        <f t="shared" si="22"/>
        <v>0</v>
      </c>
      <c r="AC9" s="108">
        <f t="shared" si="23"/>
        <v>0</v>
      </c>
      <c r="AD9" s="108">
        <f t="shared" si="24"/>
        <v>0</v>
      </c>
      <c r="AE9" s="108">
        <v>0</v>
      </c>
      <c r="AF9" s="108">
        <v>0</v>
      </c>
      <c r="AH9" s="110" t="s">
        <v>121</v>
      </c>
      <c r="AI9" s="4" t="str">
        <f>C16</f>
        <v>S. Hovhannesyan</v>
      </c>
      <c r="AJ9" s="112">
        <f>AA16*0.189</f>
        <v>1.0499999999999999E-2</v>
      </c>
      <c r="AK9" s="112">
        <f>AA16*0.425</f>
        <v>2.361111111111111E-2</v>
      </c>
      <c r="AL9" s="112">
        <f>AA16*0.093</f>
        <v>5.1666666666666666E-3</v>
      </c>
      <c r="AM9" s="112" t="e">
        <f>AB14*1</f>
        <v>#REF!</v>
      </c>
      <c r="AN9" s="112">
        <f>(AC12*0.574)+(AD12*0.315)</f>
        <v>0</v>
      </c>
      <c r="AO9" s="112">
        <v>0</v>
      </c>
      <c r="AP9" s="112">
        <f>AD12*0.241</f>
        <v>0</v>
      </c>
      <c r="AQ9" s="113">
        <f>(1.66*(X16+AE16)+0.55*(Y16+AF16)-7.6)-(1.66*X16+0.55*Y16-7.6)</f>
        <v>0</v>
      </c>
    </row>
    <row r="10" spans="1:50" s="3" customFormat="1" ht="19.5" customHeight="1" x14ac:dyDescent="0.25">
      <c r="A10" s="4">
        <f>PLANTILLA!A10</f>
        <v>11</v>
      </c>
      <c r="B10" s="4" t="str">
        <f>PLANTILLA!B10</f>
        <v>IM</v>
      </c>
      <c r="C10" s="397" t="str">
        <f>PLANTILLA!C10</f>
        <v>K. Teglborg</v>
      </c>
      <c r="D10" s="53">
        <f>PLANTILLA!D10</f>
        <v>32101</v>
      </c>
      <c r="E10" s="54" t="e">
        <f>PLANTILLA!#REF!</f>
        <v>#REF!</v>
      </c>
      <c r="F10" s="67" t="str">
        <f>PLANTILLA!E10</f>
        <v>Cab</v>
      </c>
      <c r="G10" s="179">
        <f>PLANTILLA!F10</f>
        <v>4</v>
      </c>
      <c r="H10" s="55">
        <f>PLANTILLA!G10</f>
        <v>14</v>
      </c>
      <c r="I10" s="122">
        <f>PLANTILLA!U10</f>
        <v>0</v>
      </c>
      <c r="J10" s="122">
        <f>PLANTILLA!V10</f>
        <v>11</v>
      </c>
      <c r="K10" s="122">
        <f>PLANTILLA!W10</f>
        <v>16</v>
      </c>
      <c r="L10" s="122">
        <f>PLANTILLA!X10</f>
        <v>2</v>
      </c>
      <c r="M10" s="122">
        <f>PLANTILLA!Y10</f>
        <v>2</v>
      </c>
      <c r="N10" s="122">
        <f>PLANTILLA!Z10</f>
        <v>9</v>
      </c>
      <c r="O10" s="122">
        <f>PLANTILLA!AA10</f>
        <v>18</v>
      </c>
      <c r="P10" s="66">
        <f t="shared" si="11"/>
        <v>32101</v>
      </c>
      <c r="Q10" s="103" t="e">
        <f t="shared" si="12"/>
        <v>#REF!</v>
      </c>
      <c r="R10" s="74">
        <f t="shared" si="13"/>
        <v>14</v>
      </c>
      <c r="S10" s="137">
        <f t="shared" si="14"/>
        <v>0</v>
      </c>
      <c r="T10" s="137">
        <f t="shared" si="15"/>
        <v>11</v>
      </c>
      <c r="U10" s="137">
        <f t="shared" si="16"/>
        <v>16</v>
      </c>
      <c r="V10" s="137">
        <f t="shared" si="17"/>
        <v>2</v>
      </c>
      <c r="W10" s="137">
        <f t="shared" si="18"/>
        <v>2</v>
      </c>
      <c r="X10" s="137">
        <f t="shared" si="19"/>
        <v>9</v>
      </c>
      <c r="Y10" s="137">
        <f t="shared" si="20"/>
        <v>18</v>
      </c>
      <c r="Z10" s="108">
        <f t="shared" si="21"/>
        <v>0</v>
      </c>
      <c r="AA10" s="108">
        <f>1/17/2</f>
        <v>2.9411764705882353E-2</v>
      </c>
      <c r="AB10" s="108">
        <f t="shared" si="22"/>
        <v>0</v>
      </c>
      <c r="AC10" s="108">
        <f t="shared" si="23"/>
        <v>0</v>
      </c>
      <c r="AD10" s="108">
        <f t="shared" si="24"/>
        <v>0</v>
      </c>
      <c r="AE10" s="108">
        <v>0</v>
      </c>
      <c r="AF10" s="108">
        <v>0</v>
      </c>
      <c r="AH10" s="110" t="s">
        <v>121</v>
      </c>
      <c r="AI10" s="4" t="str">
        <f>C13</f>
        <v>Y. Galitsky</v>
      </c>
      <c r="AJ10" s="112">
        <f>AA13*0.139</f>
        <v>6.3181818181818191E-3</v>
      </c>
      <c r="AK10" s="112">
        <f>AA13*0.425</f>
        <v>1.9318181818181818E-2</v>
      </c>
      <c r="AL10" s="112">
        <f>AJ10</f>
        <v>6.3181818181818191E-3</v>
      </c>
      <c r="AM10" s="112">
        <f>AB17*0.944</f>
        <v>0</v>
      </c>
      <c r="AN10" s="112">
        <f>AD15*0.188</f>
        <v>0</v>
      </c>
      <c r="AO10" s="112">
        <f>AN10</f>
        <v>0</v>
      </c>
      <c r="AP10" s="112">
        <f>AD15*0.507+AE15*0.31</f>
        <v>0</v>
      </c>
      <c r="AQ10" s="113">
        <f>(1.66*(X13+AE13)+0.55*(Y13+AF13)-7.6)-(1.66*X13+0.55*Y13-7.6)</f>
        <v>0</v>
      </c>
    </row>
    <row r="11" spans="1:50" ht="19.5" customHeight="1" x14ac:dyDescent="0.25">
      <c r="A11" s="4">
        <f>PLANTILLA!A13</f>
        <v>17</v>
      </c>
      <c r="B11" s="4" t="str">
        <f>PLANTILLA!B13</f>
        <v>IM</v>
      </c>
      <c r="C11" s="397" t="str">
        <f>PLANTILLA!C13</f>
        <v>S. Sawczyn</v>
      </c>
      <c r="D11" s="53" t="str">
        <f>PLANTILLA!D13</f>
        <v>31.70</v>
      </c>
      <c r="E11" s="54" t="e">
        <f>PLANTILLA!#REF!</f>
        <v>#REF!</v>
      </c>
      <c r="F11" s="67"/>
      <c r="G11" s="179">
        <f>PLANTILLA!F13</f>
        <v>4</v>
      </c>
      <c r="H11" s="55">
        <f>PLANTILLA!G13</f>
        <v>11</v>
      </c>
      <c r="I11" s="122">
        <f>PLANTILLA!U13</f>
        <v>0</v>
      </c>
      <c r="J11" s="122">
        <f>PLANTILLA!V13</f>
        <v>12</v>
      </c>
      <c r="K11" s="122">
        <f>PLANTILLA!W13</f>
        <v>14</v>
      </c>
      <c r="L11" s="122">
        <f>PLANTILLA!X13</f>
        <v>3</v>
      </c>
      <c r="M11" s="122">
        <f>PLANTILLA!Y13</f>
        <v>6</v>
      </c>
      <c r="N11" s="122">
        <f>PLANTILLA!Z13</f>
        <v>9</v>
      </c>
      <c r="O11" s="122">
        <f>PLANTILLA!AA13</f>
        <v>19</v>
      </c>
      <c r="P11" s="66" t="str">
        <f t="shared" si="11"/>
        <v>31.70</v>
      </c>
      <c r="Q11" s="103" t="e">
        <f t="shared" si="12"/>
        <v>#REF!</v>
      </c>
      <c r="R11" s="74">
        <f t="shared" si="13"/>
        <v>11</v>
      </c>
      <c r="S11" s="137">
        <f t="shared" si="14"/>
        <v>0</v>
      </c>
      <c r="T11" s="137">
        <f t="shared" si="15"/>
        <v>12</v>
      </c>
      <c r="U11" s="137">
        <f t="shared" si="16"/>
        <v>14</v>
      </c>
      <c r="V11" s="137">
        <f t="shared" si="17"/>
        <v>3</v>
      </c>
      <c r="W11" s="137">
        <f t="shared" si="18"/>
        <v>6</v>
      </c>
      <c r="X11" s="137">
        <f t="shared" si="19"/>
        <v>9</v>
      </c>
      <c r="Y11" s="137">
        <f t="shared" si="20"/>
        <v>19</v>
      </c>
      <c r="Z11" s="108">
        <f t="shared" si="21"/>
        <v>0</v>
      </c>
      <c r="AA11" s="108">
        <f>1/16/2</f>
        <v>3.125E-2</v>
      </c>
      <c r="AB11" s="108">
        <f t="shared" si="22"/>
        <v>0</v>
      </c>
      <c r="AC11" s="108">
        <f t="shared" si="23"/>
        <v>0</v>
      </c>
      <c r="AD11" s="108">
        <f t="shared" si="24"/>
        <v>0</v>
      </c>
      <c r="AE11" s="108">
        <v>0</v>
      </c>
      <c r="AF11" s="108">
        <v>0</v>
      </c>
      <c r="AH11" s="110" t="s">
        <v>121</v>
      </c>
      <c r="AI11" s="4" t="str">
        <f>C18</f>
        <v>I. Stone</v>
      </c>
      <c r="AJ11" s="112">
        <f>AA18*0.093</f>
        <v>5.8125E-3</v>
      </c>
      <c r="AK11" s="112">
        <f>AA18*0.425</f>
        <v>2.6562499999999999E-2</v>
      </c>
      <c r="AL11" s="112">
        <f>AA18*0.189</f>
        <v>1.18125E-2</v>
      </c>
      <c r="AM11" s="112">
        <f>AB12*1</f>
        <v>0</v>
      </c>
      <c r="AN11" s="112">
        <v>0</v>
      </c>
      <c r="AO11" s="112">
        <f>(AC13*0.574)+(AD13*0.314)</f>
        <v>0</v>
      </c>
      <c r="AP11" s="112">
        <f>AD13*0.241</f>
        <v>0</v>
      </c>
      <c r="AQ11" s="113">
        <f>(1.66*(X18+AE18)+0.55*(Y18+AF18)-7.6)-(1.66*X18+0.55*Y18-7.6)</f>
        <v>0</v>
      </c>
    </row>
    <row r="12" spans="1:50" ht="19.5" customHeight="1" x14ac:dyDescent="0.25">
      <c r="A12" s="4">
        <f>PLANTILLA!A11</f>
        <v>3</v>
      </c>
      <c r="B12" s="4" t="str">
        <f>PLANTILLA!B11</f>
        <v>IM</v>
      </c>
      <c r="C12" s="72" t="str">
        <f>PLANTILLA!C11</f>
        <v>纪 (J.) 昌永 (Changyong)</v>
      </c>
      <c r="D12" s="53" t="str">
        <f>PLANTILLA!D11</f>
        <v>33.43</v>
      </c>
      <c r="E12" s="54" t="e">
        <f>PLANTILLA!#REF!</f>
        <v>#REF!</v>
      </c>
      <c r="F12" s="67" t="str">
        <f>PLANTILLA!E11</f>
        <v>Cab</v>
      </c>
      <c r="G12" s="179">
        <f>PLANTILLA!F11</f>
        <v>1</v>
      </c>
      <c r="H12" s="55">
        <f>PLANTILLA!G11</f>
        <v>14</v>
      </c>
      <c r="I12" s="122">
        <f>PLANTILLA!U11</f>
        <v>0</v>
      </c>
      <c r="J12" s="122">
        <f>PLANTILLA!V11</f>
        <v>13</v>
      </c>
      <c r="K12" s="122">
        <f>PLANTILLA!W11</f>
        <v>16</v>
      </c>
      <c r="L12" s="122">
        <f>PLANTILLA!X11</f>
        <v>3</v>
      </c>
      <c r="M12" s="122">
        <f>PLANTILLA!Y11</f>
        <v>3</v>
      </c>
      <c r="N12" s="122">
        <f>PLANTILLA!Z11</f>
        <v>9</v>
      </c>
      <c r="O12" s="122">
        <f>PLANTILLA!AA11</f>
        <v>19</v>
      </c>
      <c r="P12" s="66" t="str">
        <f t="shared" si="11"/>
        <v>33.43</v>
      </c>
      <c r="Q12" s="103" t="e">
        <f t="shared" si="12"/>
        <v>#REF!</v>
      </c>
      <c r="R12" s="74">
        <f t="shared" si="13"/>
        <v>14</v>
      </c>
      <c r="S12" s="137">
        <f t="shared" si="14"/>
        <v>0</v>
      </c>
      <c r="T12" s="137">
        <f t="shared" si="15"/>
        <v>13</v>
      </c>
      <c r="U12" s="137">
        <f t="shared" si="16"/>
        <v>16</v>
      </c>
      <c r="V12" s="137">
        <f t="shared" si="17"/>
        <v>3</v>
      </c>
      <c r="W12" s="137">
        <f t="shared" si="18"/>
        <v>3</v>
      </c>
      <c r="X12" s="137">
        <f t="shared" si="19"/>
        <v>9</v>
      </c>
      <c r="Y12" s="137">
        <f t="shared" si="20"/>
        <v>19</v>
      </c>
      <c r="Z12" s="108">
        <f t="shared" si="21"/>
        <v>0</v>
      </c>
      <c r="AA12" s="108">
        <f>T12-J12</f>
        <v>0</v>
      </c>
      <c r="AB12" s="108">
        <f t="shared" si="22"/>
        <v>0</v>
      </c>
      <c r="AC12" s="108">
        <f t="shared" si="23"/>
        <v>0</v>
      </c>
      <c r="AD12" s="108">
        <f t="shared" si="24"/>
        <v>0</v>
      </c>
      <c r="AE12" s="108">
        <v>0</v>
      </c>
      <c r="AF12" s="108">
        <v>0</v>
      </c>
      <c r="AH12" s="110" t="s">
        <v>356</v>
      </c>
      <c r="AI12" s="4" t="str">
        <f>C19</f>
        <v>I. Vanags</v>
      </c>
      <c r="AJ12" s="112">
        <f>AA19*0.29</f>
        <v>1.8124999999999999E-2</v>
      </c>
      <c r="AK12" s="112">
        <f>AA19*0.253</f>
        <v>1.58125E-2</v>
      </c>
      <c r="AL12" s="112">
        <v>0</v>
      </c>
      <c r="AM12" s="112">
        <f>AB13*0.631</f>
        <v>0</v>
      </c>
      <c r="AN12" s="112">
        <v>0</v>
      </c>
      <c r="AO12" s="112">
        <f>(AC10*1)+(AD10*0.286)</f>
        <v>0</v>
      </c>
      <c r="AP12" s="112">
        <f>AD10*0.135</f>
        <v>0</v>
      </c>
      <c r="AQ12" s="113">
        <f>(1.66*(X19+AE19)+0.55*(Y19+AF19)-7.6)-(1.66*X19+0.55*Y19-7.6)</f>
        <v>0</v>
      </c>
    </row>
    <row r="13" spans="1:50" s="1" customFormat="1" ht="19.5" customHeight="1" x14ac:dyDescent="0.25">
      <c r="A13" s="4">
        <f>PLANTILLA!A12</f>
        <v>4</v>
      </c>
      <c r="B13" s="4" t="str">
        <f>PLANTILLA!B12</f>
        <v>IM</v>
      </c>
      <c r="C13" s="397" t="str">
        <f>PLANTILLA!C12</f>
        <v>Y. Galitsky</v>
      </c>
      <c r="D13" s="53" t="str">
        <f>PLANTILLA!D12</f>
        <v>33.49</v>
      </c>
      <c r="E13" s="54" t="e">
        <f>PLANTILLA!#REF!</f>
        <v>#REF!</v>
      </c>
      <c r="F13" s="67"/>
      <c r="G13" s="179">
        <f>PLANTILLA!F12</f>
        <v>5</v>
      </c>
      <c r="H13" s="55">
        <f>PLANTILLA!G12</f>
        <v>12</v>
      </c>
      <c r="I13" s="122">
        <f>PLANTILLA!U12</f>
        <v>0</v>
      </c>
      <c r="J13" s="122">
        <f>PLANTILLA!V12</f>
        <v>14</v>
      </c>
      <c r="K13" s="122">
        <f>PLANTILLA!W12</f>
        <v>15</v>
      </c>
      <c r="L13" s="122">
        <f>PLANTILLA!X12</f>
        <v>1</v>
      </c>
      <c r="M13" s="122">
        <f>PLANTILLA!Y12</f>
        <v>5</v>
      </c>
      <c r="N13" s="122">
        <f>PLANTILLA!Z12</f>
        <v>9</v>
      </c>
      <c r="O13" s="122">
        <f>PLANTILLA!AA12</f>
        <v>18</v>
      </c>
      <c r="P13" s="66" t="str">
        <f t="shared" si="11"/>
        <v>33.49</v>
      </c>
      <c r="Q13" s="103" t="e">
        <f t="shared" si="12"/>
        <v>#REF!</v>
      </c>
      <c r="R13" s="74">
        <f t="shared" si="13"/>
        <v>12</v>
      </c>
      <c r="S13" s="137">
        <f t="shared" si="14"/>
        <v>0</v>
      </c>
      <c r="T13" s="137">
        <f t="shared" si="15"/>
        <v>14</v>
      </c>
      <c r="U13" s="137">
        <f t="shared" si="16"/>
        <v>15</v>
      </c>
      <c r="V13" s="137">
        <f t="shared" si="17"/>
        <v>1</v>
      </c>
      <c r="W13" s="137">
        <f t="shared" si="18"/>
        <v>5</v>
      </c>
      <c r="X13" s="137">
        <f t="shared" si="19"/>
        <v>9</v>
      </c>
      <c r="Y13" s="137">
        <f t="shared" si="20"/>
        <v>18</v>
      </c>
      <c r="Z13" s="108">
        <f t="shared" si="21"/>
        <v>0</v>
      </c>
      <c r="AA13" s="108">
        <f>1/11/2</f>
        <v>4.5454545454545456E-2</v>
      </c>
      <c r="AB13" s="108">
        <f t="shared" si="22"/>
        <v>0</v>
      </c>
      <c r="AC13" s="108">
        <f t="shared" si="23"/>
        <v>0</v>
      </c>
      <c r="AD13" s="108">
        <f t="shared" si="24"/>
        <v>0</v>
      </c>
      <c r="AE13" s="108">
        <v>0</v>
      </c>
      <c r="AF13" s="108">
        <v>0</v>
      </c>
      <c r="AH13" s="110" t="s">
        <v>356</v>
      </c>
      <c r="AI13" s="81" t="str">
        <f>C17</f>
        <v>M. Bondarewski</v>
      </c>
      <c r="AJ13" s="111">
        <v>0</v>
      </c>
      <c r="AK13" s="112">
        <f>AA17*0.253</f>
        <v>1.8071428571428572E-2</v>
      </c>
      <c r="AL13" s="112">
        <f>AA17*0.29</f>
        <v>2.0714285714285713E-2</v>
      </c>
      <c r="AM13" s="111">
        <f>AB15*0.631</f>
        <v>0</v>
      </c>
      <c r="AN13" s="111">
        <f>(AD19*0.142)+(AC19*0.221)+(AE19*0.26)</f>
        <v>0</v>
      </c>
      <c r="AO13" s="111">
        <f>AN13</f>
        <v>0</v>
      </c>
      <c r="AP13" s="111">
        <f>(AD19*0.369)+(AE19*1)</f>
        <v>0</v>
      </c>
      <c r="AQ13" s="113">
        <f>(1.66*(X17+AE17)+0.55*(Y17+AF17)-7.6)-(1.66*X17+0.55*Y17-7.6)</f>
        <v>0</v>
      </c>
    </row>
    <row r="14" spans="1:50" ht="19.5" customHeight="1" x14ac:dyDescent="0.25">
      <c r="A14" s="4" t="e">
        <f>PLANTILLA!#REF!</f>
        <v>#REF!</v>
      </c>
      <c r="B14" s="4" t="e">
        <f>PLANTILLA!#REF!</f>
        <v>#REF!</v>
      </c>
      <c r="C14" s="397" t="e">
        <f>PLANTILLA!#REF!</f>
        <v>#REF!</v>
      </c>
      <c r="D14" s="53" t="e">
        <f>PLANTILLA!#REF!</f>
        <v>#REF!</v>
      </c>
      <c r="E14" s="54" t="e">
        <f>PLANTILLA!#REF!</f>
        <v>#REF!</v>
      </c>
      <c r="F14" s="67" t="e">
        <f>PLANTILLA!#REF!</f>
        <v>#REF!</v>
      </c>
      <c r="G14" s="179" t="e">
        <f>PLANTILLA!#REF!</f>
        <v>#REF!</v>
      </c>
      <c r="H14" s="55" t="e">
        <f>PLANTILLA!#REF!</f>
        <v>#REF!</v>
      </c>
      <c r="I14" s="122" t="e">
        <f>PLANTILLA!#REF!</f>
        <v>#REF!</v>
      </c>
      <c r="J14" s="122" t="e">
        <f>PLANTILLA!#REF!</f>
        <v>#REF!</v>
      </c>
      <c r="K14" s="122" t="e">
        <f>PLANTILLA!#REF!</f>
        <v>#REF!</v>
      </c>
      <c r="L14" s="122" t="e">
        <f>PLANTILLA!#REF!</f>
        <v>#REF!</v>
      </c>
      <c r="M14" s="122" t="e">
        <f>PLANTILLA!#REF!</f>
        <v>#REF!</v>
      </c>
      <c r="N14" s="122" t="e">
        <f>PLANTILLA!#REF!</f>
        <v>#REF!</v>
      </c>
      <c r="O14" s="122" t="e">
        <f>PLANTILLA!#REF!</f>
        <v>#REF!</v>
      </c>
      <c r="P14" s="66" t="e">
        <f t="shared" si="11"/>
        <v>#REF!</v>
      </c>
      <c r="Q14" s="103" t="e">
        <f t="shared" si="12"/>
        <v>#REF!</v>
      </c>
      <c r="R14" s="74" t="e">
        <f t="shared" si="13"/>
        <v>#REF!</v>
      </c>
      <c r="S14" s="137" t="e">
        <f t="shared" si="14"/>
        <v>#REF!</v>
      </c>
      <c r="T14" s="137" t="e">
        <f t="shared" si="15"/>
        <v>#REF!</v>
      </c>
      <c r="U14" s="137" t="e">
        <f t="shared" si="16"/>
        <v>#REF!</v>
      </c>
      <c r="V14" s="137" t="e">
        <f t="shared" si="17"/>
        <v>#REF!</v>
      </c>
      <c r="W14" s="137" t="e">
        <f t="shared" si="18"/>
        <v>#REF!</v>
      </c>
      <c r="X14" s="137" t="e">
        <f t="shared" si="19"/>
        <v>#REF!</v>
      </c>
      <c r="Y14" s="137" t="e">
        <f t="shared" si="20"/>
        <v>#REF!</v>
      </c>
      <c r="Z14" s="108" t="e">
        <f t="shared" si="21"/>
        <v>#REF!</v>
      </c>
      <c r="AA14" s="108">
        <f>1/11/2</f>
        <v>4.5454545454545456E-2</v>
      </c>
      <c r="AB14" s="108" t="e">
        <f t="shared" si="22"/>
        <v>#REF!</v>
      </c>
      <c r="AC14" s="108" t="e">
        <f t="shared" si="23"/>
        <v>#REF!</v>
      </c>
      <c r="AD14" s="108" t="e">
        <f t="shared" si="24"/>
        <v>#REF!</v>
      </c>
      <c r="AE14" s="108">
        <v>0</v>
      </c>
      <c r="AF14" s="108">
        <v>0</v>
      </c>
      <c r="AH14" s="110" t="s">
        <v>122</v>
      </c>
      <c r="AI14" s="4" t="str">
        <f>C11</f>
        <v>S. Sawczyn</v>
      </c>
      <c r="AJ14" s="112">
        <v>0</v>
      </c>
      <c r="AK14" s="112">
        <v>0</v>
      </c>
      <c r="AL14" s="112">
        <v>0</v>
      </c>
      <c r="AM14" s="111">
        <v>0</v>
      </c>
      <c r="AN14" s="111">
        <f>(AD11*0.142)+(AC11*0.221)+(AE11*0.26)</f>
        <v>0</v>
      </c>
      <c r="AO14" s="111">
        <f>AN14</f>
        <v>0</v>
      </c>
      <c r="AP14" s="111">
        <f>(AD11*0.369)+(AE11*1)</f>
        <v>0</v>
      </c>
      <c r="AQ14" s="113">
        <f>(1.66*(X11+AE11)+0.55*(Y11+AF11)-7.6)-(1.66*X11+0.55*Y11-7.6)</f>
        <v>0</v>
      </c>
    </row>
    <row r="15" spans="1:50" s="62" customFormat="1" ht="19.5" customHeight="1" x14ac:dyDescent="0.25">
      <c r="A15" s="4">
        <f>PLANTILLA!A9</f>
        <v>2</v>
      </c>
      <c r="B15" s="4" t="str">
        <f>PLANTILLA!B9</f>
        <v>IM</v>
      </c>
      <c r="C15" s="397" t="str">
        <f>PLANTILLA!C9</f>
        <v>T. McPhail</v>
      </c>
      <c r="D15" s="53" t="str">
        <f>PLANTILLA!D9</f>
        <v>32.88</v>
      </c>
      <c r="E15" s="54" t="e">
        <f>PLANTILLA!#REF!</f>
        <v>#REF!</v>
      </c>
      <c r="F15" s="67"/>
      <c r="G15" s="179">
        <f>PLANTILLA!F9</f>
        <v>2</v>
      </c>
      <c r="H15" s="55">
        <f>PLANTILLA!G9</f>
        <v>12</v>
      </c>
      <c r="I15" s="122">
        <f>PLANTILLA!U9</f>
        <v>0</v>
      </c>
      <c r="J15" s="122">
        <f>PLANTILLA!V9</f>
        <v>13</v>
      </c>
      <c r="K15" s="122">
        <f>PLANTILLA!W9</f>
        <v>14</v>
      </c>
      <c r="L15" s="122">
        <f>PLANTILLA!X9</f>
        <v>4</v>
      </c>
      <c r="M15" s="122">
        <f>PLANTILLA!Y9</f>
        <v>4</v>
      </c>
      <c r="N15" s="122">
        <f>PLANTILLA!Z9</f>
        <v>9</v>
      </c>
      <c r="O15" s="122">
        <f>PLANTILLA!AA9</f>
        <v>17</v>
      </c>
      <c r="P15" s="66" t="str">
        <f t="shared" si="11"/>
        <v>32.88</v>
      </c>
      <c r="Q15" s="103" t="e">
        <f t="shared" si="12"/>
        <v>#REF!</v>
      </c>
      <c r="R15" s="74">
        <f t="shared" si="13"/>
        <v>12</v>
      </c>
      <c r="S15" s="137">
        <f t="shared" si="14"/>
        <v>0</v>
      </c>
      <c r="T15" s="137">
        <f t="shared" si="15"/>
        <v>13</v>
      </c>
      <c r="U15" s="137">
        <f t="shared" si="16"/>
        <v>14</v>
      </c>
      <c r="V15" s="137">
        <f t="shared" si="17"/>
        <v>4</v>
      </c>
      <c r="W15" s="137">
        <f t="shared" si="18"/>
        <v>4</v>
      </c>
      <c r="X15" s="137">
        <f t="shared" si="19"/>
        <v>9</v>
      </c>
      <c r="Y15" s="137">
        <f t="shared" si="20"/>
        <v>17</v>
      </c>
      <c r="Z15" s="108">
        <f t="shared" si="21"/>
        <v>0</v>
      </c>
      <c r="AA15" s="108">
        <f>1/16/2</f>
        <v>3.125E-2</v>
      </c>
      <c r="AB15" s="108">
        <f t="shared" si="22"/>
        <v>0</v>
      </c>
      <c r="AC15" s="108">
        <f t="shared" si="23"/>
        <v>0</v>
      </c>
      <c r="AD15" s="108">
        <f t="shared" si="24"/>
        <v>0</v>
      </c>
      <c r="AE15" s="108">
        <v>0</v>
      </c>
      <c r="AF15" s="108">
        <v>0</v>
      </c>
      <c r="AH15" s="2"/>
      <c r="AI15"/>
      <c r="AJ15"/>
      <c r="AK15"/>
      <c r="AL15"/>
      <c r="AM15"/>
      <c r="AN15"/>
      <c r="AO15"/>
      <c r="AP15"/>
      <c r="AQ15"/>
    </row>
    <row r="16" spans="1:50" s="1" customFormat="1" ht="19.5" customHeight="1" x14ac:dyDescent="0.25">
      <c r="A16" s="4">
        <f>PLANTILLA!A14</f>
        <v>7</v>
      </c>
      <c r="B16" s="4" t="str">
        <f>PLANTILLA!B14</f>
        <v>IM</v>
      </c>
      <c r="C16" s="397" t="str">
        <f>PLANTILLA!C14</f>
        <v>S. Hovhannesyan</v>
      </c>
      <c r="D16" s="53" t="str">
        <f>PLANTILLA!D14</f>
        <v>31.71</v>
      </c>
      <c r="E16" s="54" t="e">
        <f>PLANTILLA!#REF!</f>
        <v>#REF!</v>
      </c>
      <c r="F16" s="67" t="str">
        <f>PLANTILLA!E14</f>
        <v>Cab</v>
      </c>
      <c r="G16" s="179">
        <f>PLANTILLA!F14</f>
        <v>4</v>
      </c>
      <c r="H16" s="55">
        <f>PLANTILLA!G14</f>
        <v>11</v>
      </c>
      <c r="I16" s="122">
        <f>PLANTILLA!U14</f>
        <v>0</v>
      </c>
      <c r="J16" s="122">
        <f>PLANTILLA!V14</f>
        <v>13</v>
      </c>
      <c r="K16" s="122">
        <f>PLANTILLA!W14</f>
        <v>16</v>
      </c>
      <c r="L16" s="122">
        <f>PLANTILLA!X14</f>
        <v>2</v>
      </c>
      <c r="M16" s="122">
        <f>PLANTILLA!Y14</f>
        <v>2</v>
      </c>
      <c r="N16" s="122">
        <f>PLANTILLA!Z14</f>
        <v>8</v>
      </c>
      <c r="O16" s="122">
        <f>PLANTILLA!AA14</f>
        <v>19</v>
      </c>
      <c r="P16" s="66" t="str">
        <f t="shared" si="11"/>
        <v>31.71</v>
      </c>
      <c r="Q16" s="103" t="e">
        <f t="shared" si="12"/>
        <v>#REF!</v>
      </c>
      <c r="R16" s="74">
        <f t="shared" si="13"/>
        <v>11</v>
      </c>
      <c r="S16" s="137">
        <f t="shared" si="14"/>
        <v>0</v>
      </c>
      <c r="T16" s="137">
        <f t="shared" si="15"/>
        <v>13</v>
      </c>
      <c r="U16" s="137">
        <f t="shared" si="16"/>
        <v>16</v>
      </c>
      <c r="V16" s="137">
        <f t="shared" si="17"/>
        <v>2</v>
      </c>
      <c r="W16" s="137">
        <f t="shared" si="18"/>
        <v>2</v>
      </c>
      <c r="X16" s="137">
        <f t="shared" si="19"/>
        <v>8</v>
      </c>
      <c r="Y16" s="137">
        <f t="shared" si="20"/>
        <v>19</v>
      </c>
      <c r="Z16" s="108">
        <f t="shared" si="21"/>
        <v>0</v>
      </c>
      <c r="AA16" s="108">
        <f>1/9/2</f>
        <v>5.5555555555555552E-2</v>
      </c>
      <c r="AB16" s="108">
        <f t="shared" si="22"/>
        <v>0</v>
      </c>
      <c r="AC16" s="108">
        <f t="shared" si="23"/>
        <v>0</v>
      </c>
      <c r="AD16" s="108">
        <f t="shared" si="24"/>
        <v>0</v>
      </c>
      <c r="AE16" s="108">
        <v>0</v>
      </c>
      <c r="AF16" s="108">
        <v>0</v>
      </c>
      <c r="AH16" s="62"/>
      <c r="AI16" s="62"/>
      <c r="AJ16" s="115">
        <f>SUM(AJ18:AJ28)*$AV$3</f>
        <v>4.1746522366522376E-2</v>
      </c>
      <c r="AK16" s="115">
        <f>SUM(AK18:AK28)*$AV$3</f>
        <v>8.1415497835497855E-2</v>
      </c>
      <c r="AL16" s="115">
        <f>SUM(AL18:AL28)*$AV$2</f>
        <v>3.1810170733065954E-2</v>
      </c>
      <c r="AM16" s="115" t="e">
        <f>SUM(AM18:AM28)*$AV$4</f>
        <v>#REF!</v>
      </c>
      <c r="AN16" s="115">
        <f>SUM(AN18:AN28)*$AV$5</f>
        <v>0</v>
      </c>
      <c r="AO16" s="115">
        <f>SUM(AO18:AO28)*$AV$5</f>
        <v>0</v>
      </c>
      <c r="AP16" s="115">
        <f>SUM(AP18:AP28)*$AV$6</f>
        <v>0</v>
      </c>
      <c r="AQ16" s="410" t="e">
        <f>AVERAGE(AQ19:AQ28)</f>
        <v>#REF!</v>
      </c>
    </row>
    <row r="17" spans="1:43" s="62" customFormat="1" ht="19.5" customHeight="1" x14ac:dyDescent="0.25">
      <c r="A17" s="4">
        <f>PLANTILLA!A15</f>
        <v>9</v>
      </c>
      <c r="B17" s="4" t="str">
        <f>PLANTILLA!B15</f>
        <v>FW</v>
      </c>
      <c r="C17" s="397" t="str">
        <f>PLANTILLA!C15</f>
        <v>M. Bondarewski</v>
      </c>
      <c r="D17" s="53" t="str">
        <f>PLANTILLA!D15</f>
        <v>32.71</v>
      </c>
      <c r="E17" s="54" t="e">
        <f>PLANTILLA!#REF!</f>
        <v>#REF!</v>
      </c>
      <c r="F17" s="67"/>
      <c r="G17" s="179">
        <f>PLANTILLA!F15</f>
        <v>1</v>
      </c>
      <c r="H17" s="55">
        <f>PLANTILLA!G15</f>
        <v>13</v>
      </c>
      <c r="I17" s="122">
        <f>PLANTILLA!U15</f>
        <v>0</v>
      </c>
      <c r="J17" s="122">
        <f>PLANTILLA!V15</f>
        <v>8</v>
      </c>
      <c r="K17" s="122">
        <f>PLANTILLA!W15</f>
        <v>15</v>
      </c>
      <c r="L17" s="122">
        <f>PLANTILLA!X15</f>
        <v>4</v>
      </c>
      <c r="M17" s="122">
        <f>PLANTILLA!Y15</f>
        <v>4</v>
      </c>
      <c r="N17" s="122">
        <f>PLANTILLA!Z15</f>
        <v>9</v>
      </c>
      <c r="O17" s="122">
        <f>PLANTILLA!AA15</f>
        <v>20</v>
      </c>
      <c r="P17" s="66" t="str">
        <f t="shared" si="11"/>
        <v>32.71</v>
      </c>
      <c r="Q17" s="103" t="e">
        <f t="shared" si="12"/>
        <v>#REF!</v>
      </c>
      <c r="R17" s="74">
        <f t="shared" si="13"/>
        <v>13</v>
      </c>
      <c r="S17" s="137">
        <f t="shared" si="14"/>
        <v>0</v>
      </c>
      <c r="T17" s="137">
        <f t="shared" si="15"/>
        <v>8</v>
      </c>
      <c r="U17" s="137">
        <f t="shared" si="16"/>
        <v>15</v>
      </c>
      <c r="V17" s="137">
        <f t="shared" si="17"/>
        <v>4</v>
      </c>
      <c r="W17" s="137">
        <f t="shared" si="18"/>
        <v>4</v>
      </c>
      <c r="X17" s="137">
        <f t="shared" si="19"/>
        <v>9</v>
      </c>
      <c r="Y17" s="137">
        <f t="shared" si="20"/>
        <v>20</v>
      </c>
      <c r="Z17" s="108">
        <f t="shared" si="21"/>
        <v>0</v>
      </c>
      <c r="AA17" s="108">
        <f>1/7/2</f>
        <v>7.1428571428571425E-2</v>
      </c>
      <c r="AB17" s="108">
        <f t="shared" si="22"/>
        <v>0</v>
      </c>
      <c r="AC17" s="108">
        <f t="shared" si="23"/>
        <v>0</v>
      </c>
      <c r="AD17" s="108">
        <f t="shared" si="24"/>
        <v>0</v>
      </c>
      <c r="AE17" s="108">
        <v>0</v>
      </c>
      <c r="AF17" s="108">
        <v>0</v>
      </c>
      <c r="AH17" s="455">
        <v>550</v>
      </c>
      <c r="AI17" s="456"/>
      <c r="AJ17" s="87" t="s">
        <v>346</v>
      </c>
      <c r="AK17" s="87" t="s">
        <v>347</v>
      </c>
      <c r="AL17" s="87" t="s">
        <v>348</v>
      </c>
      <c r="AM17" s="87" t="s">
        <v>349</v>
      </c>
      <c r="AN17" s="87" t="s">
        <v>350</v>
      </c>
      <c r="AO17" s="87" t="s">
        <v>351</v>
      </c>
      <c r="AP17" s="87" t="s">
        <v>352</v>
      </c>
      <c r="AQ17" s="87" t="s">
        <v>609</v>
      </c>
    </row>
    <row r="18" spans="1:43" s="1" customFormat="1" ht="19.5" customHeight="1" x14ac:dyDescent="0.25">
      <c r="A18" s="4">
        <f>PLANTILLA!A16</f>
        <v>8</v>
      </c>
      <c r="B18" s="4" t="str">
        <f>PLANTILLA!B16</f>
        <v>FW</v>
      </c>
      <c r="C18" s="397" t="str">
        <f>PLANTILLA!C16</f>
        <v>I. Stone</v>
      </c>
      <c r="D18" s="53">
        <f>PLANTILLA!D16</f>
        <v>31110</v>
      </c>
      <c r="E18" s="54" t="e">
        <f>PLANTILLA!#REF!</f>
        <v>#REF!</v>
      </c>
      <c r="F18" s="67" t="str">
        <f>PLANTILLA!E16</f>
        <v>Ráp</v>
      </c>
      <c r="G18" s="179">
        <f>PLANTILLA!F16</f>
        <v>6</v>
      </c>
      <c r="H18" s="55">
        <f>PLANTILLA!G16</f>
        <v>12</v>
      </c>
      <c r="I18" s="122">
        <f>PLANTILLA!U16</f>
        <v>0</v>
      </c>
      <c r="J18" s="122">
        <f>PLANTILLA!V16</f>
        <v>9</v>
      </c>
      <c r="K18" s="122">
        <f>PLANTILLA!W16</f>
        <v>14</v>
      </c>
      <c r="L18" s="122">
        <f>PLANTILLA!X16</f>
        <v>2</v>
      </c>
      <c r="M18" s="122">
        <f>PLANTILLA!Y16</f>
        <v>6</v>
      </c>
      <c r="N18" s="122">
        <f>PLANTILLA!Z16</f>
        <v>10</v>
      </c>
      <c r="O18" s="122">
        <f>PLANTILLA!AA16</f>
        <v>19</v>
      </c>
      <c r="P18" s="66">
        <f t="shared" si="11"/>
        <v>31110</v>
      </c>
      <c r="Q18" s="103" t="e">
        <f t="shared" si="12"/>
        <v>#REF!</v>
      </c>
      <c r="R18" s="74">
        <f t="shared" si="13"/>
        <v>12</v>
      </c>
      <c r="S18" s="137">
        <f t="shared" si="14"/>
        <v>0</v>
      </c>
      <c r="T18" s="137">
        <f t="shared" si="15"/>
        <v>9</v>
      </c>
      <c r="U18" s="137">
        <f t="shared" si="16"/>
        <v>14</v>
      </c>
      <c r="V18" s="137">
        <f t="shared" si="17"/>
        <v>2</v>
      </c>
      <c r="W18" s="137">
        <f t="shared" si="18"/>
        <v>6</v>
      </c>
      <c r="X18" s="137">
        <f t="shared" si="19"/>
        <v>10</v>
      </c>
      <c r="Y18" s="137">
        <f t="shared" si="20"/>
        <v>19</v>
      </c>
      <c r="Z18" s="108">
        <f t="shared" si="21"/>
        <v>0</v>
      </c>
      <c r="AA18" s="108">
        <f>1/8/2</f>
        <v>6.25E-2</v>
      </c>
      <c r="AB18" s="108">
        <f t="shared" si="22"/>
        <v>0</v>
      </c>
      <c r="AC18" s="108">
        <f t="shared" si="23"/>
        <v>0</v>
      </c>
      <c r="AD18" s="108">
        <f t="shared" si="24"/>
        <v>0</v>
      </c>
      <c r="AE18" s="108">
        <v>0</v>
      </c>
      <c r="AF18" s="108">
        <v>0</v>
      </c>
      <c r="AH18" s="109" t="s">
        <v>14</v>
      </c>
      <c r="AI18" s="81" t="e">
        <f>C5</f>
        <v>#REF!</v>
      </c>
      <c r="AJ18" s="111">
        <f>AJ4</f>
        <v>1.892857142857143E-2</v>
      </c>
      <c r="AK18" s="111">
        <f t="shared" ref="AK18:AL18" si="25">AK4</f>
        <v>2.8500000000000001E-2</v>
      </c>
      <c r="AL18" s="111">
        <f t="shared" si="25"/>
        <v>1.892857142857143E-2</v>
      </c>
      <c r="AM18" s="111">
        <v>0</v>
      </c>
      <c r="AN18" s="111">
        <f t="shared" ref="AN18:AP18" si="26">AN4</f>
        <v>0</v>
      </c>
      <c r="AO18" s="111">
        <f t="shared" si="26"/>
        <v>0</v>
      </c>
      <c r="AP18" s="111">
        <f t="shared" si="26"/>
        <v>0</v>
      </c>
      <c r="AQ18" s="113"/>
    </row>
    <row r="19" spans="1:43" s="1" customFormat="1" ht="19.5" customHeight="1" x14ac:dyDescent="0.25">
      <c r="A19" s="4">
        <f>PLANTILLA!A17</f>
        <v>16</v>
      </c>
      <c r="B19" s="4" t="str">
        <f>PLANTILLA!B17</f>
        <v>FW</v>
      </c>
      <c r="C19" s="397" t="str">
        <f>PLANTILLA!C17</f>
        <v>I. Vanags</v>
      </c>
      <c r="D19" s="53" t="str">
        <f>PLANTILLA!D17</f>
        <v>32.55</v>
      </c>
      <c r="E19" s="54" t="e">
        <f>PLANTILLA!#REF!</f>
        <v>#REF!</v>
      </c>
      <c r="F19" s="67"/>
      <c r="G19" s="179">
        <f>PLANTILLA!F17</f>
        <v>4</v>
      </c>
      <c r="H19" s="55">
        <f>PLANTILLA!G17</f>
        <v>11</v>
      </c>
      <c r="I19" s="122">
        <f>PLANTILLA!U17</f>
        <v>0</v>
      </c>
      <c r="J19" s="122">
        <f>PLANTILLA!V17</f>
        <v>10</v>
      </c>
      <c r="K19" s="122">
        <f>PLANTILLA!W17</f>
        <v>15</v>
      </c>
      <c r="L19" s="122">
        <f>PLANTILLA!X17</f>
        <v>2</v>
      </c>
      <c r="M19" s="122">
        <f>PLANTILLA!Y17</f>
        <v>3</v>
      </c>
      <c r="N19" s="122">
        <f>PLANTILLA!Z17</f>
        <v>8</v>
      </c>
      <c r="O19" s="122">
        <f>PLANTILLA!AA17</f>
        <v>19</v>
      </c>
      <c r="P19" s="66" t="str">
        <f t="shared" si="11"/>
        <v>32.55</v>
      </c>
      <c r="Q19" s="103" t="e">
        <f t="shared" si="12"/>
        <v>#REF!</v>
      </c>
      <c r="R19" s="74">
        <f t="shared" si="13"/>
        <v>11</v>
      </c>
      <c r="S19" s="137">
        <f t="shared" si="14"/>
        <v>0</v>
      </c>
      <c r="T19" s="137">
        <f t="shared" si="15"/>
        <v>10</v>
      </c>
      <c r="U19" s="137">
        <f t="shared" si="16"/>
        <v>15</v>
      </c>
      <c r="V19" s="137">
        <f t="shared" si="17"/>
        <v>2</v>
      </c>
      <c r="W19" s="137">
        <f t="shared" si="18"/>
        <v>3</v>
      </c>
      <c r="X19" s="137">
        <f t="shared" si="19"/>
        <v>8</v>
      </c>
      <c r="Y19" s="137">
        <f t="shared" si="20"/>
        <v>19</v>
      </c>
      <c r="Z19" s="108">
        <f t="shared" si="21"/>
        <v>0</v>
      </c>
      <c r="AA19" s="108">
        <f>1/8/2</f>
        <v>6.25E-2</v>
      </c>
      <c r="AB19" s="108">
        <f t="shared" si="22"/>
        <v>0</v>
      </c>
      <c r="AC19" s="108">
        <f t="shared" si="23"/>
        <v>0</v>
      </c>
      <c r="AD19" s="108">
        <f t="shared" si="24"/>
        <v>0</v>
      </c>
      <c r="AE19" s="108">
        <v>0</v>
      </c>
      <c r="AF19" s="108">
        <v>0</v>
      </c>
      <c r="AH19" s="109" t="s">
        <v>154</v>
      </c>
      <c r="AI19" s="81" t="str">
        <f>AI5</f>
        <v>V. Gardner</v>
      </c>
      <c r="AJ19" s="111">
        <f t="shared" ref="AJ19:AL19" si="27">AJ5</f>
        <v>2.7777777777777776E-2</v>
      </c>
      <c r="AK19" s="111">
        <f t="shared" si="27"/>
        <v>1.1805555555555555E-2</v>
      </c>
      <c r="AL19" s="111">
        <f t="shared" si="27"/>
        <v>0</v>
      </c>
      <c r="AM19" s="111">
        <v>0</v>
      </c>
      <c r="AN19" s="111">
        <f>AC18*0.588</f>
        <v>0</v>
      </c>
      <c r="AO19" s="111">
        <v>0</v>
      </c>
      <c r="AP19" s="111">
        <v>0</v>
      </c>
      <c r="AQ19" s="113">
        <f>AQ5</f>
        <v>0</v>
      </c>
    </row>
    <row r="20" spans="1:43" ht="19.5" customHeight="1" x14ac:dyDescent="0.25">
      <c r="A20" s="4">
        <f>PLANTILLA!A18</f>
        <v>14</v>
      </c>
      <c r="B20" s="4" t="str">
        <f>PLANTILLA!B18</f>
        <v>FW</v>
      </c>
      <c r="C20" s="72" t="str">
        <f>PLANTILLA!C18</f>
        <v>G. Piscaer</v>
      </c>
      <c r="D20" s="53" t="str">
        <f>PLANTILLA!D18</f>
        <v>32.71</v>
      </c>
      <c r="E20" s="54" t="e">
        <f>PLANTILLA!#REF!</f>
        <v>#REF!</v>
      </c>
      <c r="F20" s="67" t="str">
        <f>PLANTILLA!E18</f>
        <v>Imp</v>
      </c>
      <c r="G20" s="179">
        <f>PLANTILLA!F18</f>
        <v>1</v>
      </c>
      <c r="H20" s="55">
        <f>PLANTILLA!G18</f>
        <v>12</v>
      </c>
      <c r="I20" s="122">
        <f>PLANTILLA!U18</f>
        <v>0</v>
      </c>
      <c r="J20" s="122">
        <f>PLANTILLA!V18</f>
        <v>9</v>
      </c>
      <c r="K20" s="122">
        <f>PLANTILLA!W18</f>
        <v>15</v>
      </c>
      <c r="L20" s="122">
        <f>PLANTILLA!X18</f>
        <v>3</v>
      </c>
      <c r="M20" s="122">
        <f>PLANTILLA!Y18</f>
        <v>1</v>
      </c>
      <c r="N20" s="122">
        <f>PLANTILLA!Z18</f>
        <v>9</v>
      </c>
      <c r="O20" s="122">
        <f>PLANTILLA!AA18</f>
        <v>19</v>
      </c>
      <c r="P20" s="66" t="str">
        <f t="shared" si="11"/>
        <v>32.71</v>
      </c>
      <c r="Q20" s="103" t="e">
        <f t="shared" si="12"/>
        <v>#REF!</v>
      </c>
      <c r="R20" s="74">
        <f t="shared" si="13"/>
        <v>12</v>
      </c>
      <c r="S20" s="137">
        <f t="shared" si="14"/>
        <v>0</v>
      </c>
      <c r="T20" s="137">
        <f t="shared" si="15"/>
        <v>9</v>
      </c>
      <c r="U20" s="137">
        <f t="shared" si="16"/>
        <v>15</v>
      </c>
      <c r="V20" s="137">
        <f t="shared" si="17"/>
        <v>3</v>
      </c>
      <c r="W20" s="137">
        <f t="shared" si="18"/>
        <v>1</v>
      </c>
      <c r="X20" s="137">
        <f t="shared" si="19"/>
        <v>9</v>
      </c>
      <c r="Y20" s="137">
        <f t="shared" si="20"/>
        <v>19</v>
      </c>
      <c r="Z20" s="108">
        <f t="shared" si="21"/>
        <v>0</v>
      </c>
      <c r="AA20" s="108">
        <f t="shared" ref="AA20:AA26" si="28">T20-J20</f>
        <v>0</v>
      </c>
      <c r="AB20" s="108">
        <f t="shared" si="22"/>
        <v>0</v>
      </c>
      <c r="AC20" s="108">
        <f t="shared" si="23"/>
        <v>0</v>
      </c>
      <c r="AD20" s="108">
        <f t="shared" si="24"/>
        <v>0</v>
      </c>
      <c r="AE20" s="108">
        <f t="shared" ref="AE20:AF26" si="29">X20-N20</f>
        <v>0</v>
      </c>
      <c r="AF20" s="108">
        <f t="shared" si="29"/>
        <v>0</v>
      </c>
      <c r="AH20" s="110" t="s">
        <v>355</v>
      </c>
      <c r="AI20" s="4" t="str">
        <f>AI6</f>
        <v>K. Teglborg</v>
      </c>
      <c r="AJ20" s="111">
        <f t="shared" ref="AJ20:AL20" si="30">AJ6</f>
        <v>1.0441176470588235E-2</v>
      </c>
      <c r="AK20" s="111">
        <f t="shared" si="30"/>
        <v>2.1264705882352939E-2</v>
      </c>
      <c r="AL20" s="111">
        <f t="shared" si="30"/>
        <v>5.2352941176470585E-3</v>
      </c>
      <c r="AM20" s="112">
        <v>0</v>
      </c>
      <c r="AN20" s="112">
        <f>(AD21*0.142)+(AC21*0.221)+(AE21*0.26)</f>
        <v>0</v>
      </c>
      <c r="AO20" s="111">
        <f>AN20</f>
        <v>0</v>
      </c>
      <c r="AP20" s="112">
        <f>(AD21*0.369)+(AE21*1)</f>
        <v>0</v>
      </c>
      <c r="AQ20" s="113">
        <f>AQ6</f>
        <v>0</v>
      </c>
    </row>
    <row r="21" spans="1:43" s="62" customFormat="1" ht="19.5" customHeight="1" x14ac:dyDescent="0.25">
      <c r="A21" s="4">
        <f>PLANTILLA!A19</f>
        <v>15</v>
      </c>
      <c r="B21" s="4" t="str">
        <f>PLANTILLA!B19</f>
        <v>FW</v>
      </c>
      <c r="C21" s="72" t="str">
        <f>PLANTILLA!C19</f>
        <v>G. Mintan</v>
      </c>
      <c r="D21" s="53" t="str">
        <f>PLANTILLA!D19</f>
        <v>32.4</v>
      </c>
      <c r="E21" s="54" t="e">
        <f>PLANTILLA!#REF!</f>
        <v>#REF!</v>
      </c>
      <c r="F21" s="67"/>
      <c r="G21" s="179">
        <f>PLANTILLA!F19</f>
        <v>2</v>
      </c>
      <c r="H21" s="55">
        <f>PLANTILLA!G19</f>
        <v>8</v>
      </c>
      <c r="I21" s="122">
        <f>PLANTILLA!U19</f>
        <v>0</v>
      </c>
      <c r="J21" s="122">
        <f>PLANTILLA!V19</f>
        <v>9</v>
      </c>
      <c r="K21" s="122">
        <f>PLANTILLA!W19</f>
        <v>14</v>
      </c>
      <c r="L21" s="122">
        <f>PLANTILLA!X19</f>
        <v>2</v>
      </c>
      <c r="M21" s="122">
        <f>PLANTILLA!Y19</f>
        <v>3</v>
      </c>
      <c r="N21" s="122">
        <f>PLANTILLA!Z19</f>
        <v>10</v>
      </c>
      <c r="O21" s="122">
        <f>PLANTILLA!AA19</f>
        <v>21</v>
      </c>
      <c r="P21" s="66" t="str">
        <f t="shared" si="11"/>
        <v>32.4</v>
      </c>
      <c r="Q21" s="103" t="e">
        <f t="shared" si="12"/>
        <v>#REF!</v>
      </c>
      <c r="R21" s="74">
        <f t="shared" si="13"/>
        <v>8</v>
      </c>
      <c r="S21" s="137">
        <f t="shared" si="14"/>
        <v>0</v>
      </c>
      <c r="T21" s="137">
        <f t="shared" si="15"/>
        <v>9</v>
      </c>
      <c r="U21" s="137">
        <f t="shared" si="16"/>
        <v>14</v>
      </c>
      <c r="V21" s="137">
        <f t="shared" si="17"/>
        <v>2</v>
      </c>
      <c r="W21" s="137">
        <f t="shared" si="18"/>
        <v>3</v>
      </c>
      <c r="X21" s="137">
        <f t="shared" si="19"/>
        <v>10</v>
      </c>
      <c r="Y21" s="137">
        <f t="shared" si="20"/>
        <v>21</v>
      </c>
      <c r="Z21" s="108">
        <f t="shared" si="21"/>
        <v>0</v>
      </c>
      <c r="AA21" s="108">
        <f t="shared" si="28"/>
        <v>0</v>
      </c>
      <c r="AB21" s="108">
        <f t="shared" si="22"/>
        <v>0</v>
      </c>
      <c r="AC21" s="108">
        <f t="shared" si="23"/>
        <v>0</v>
      </c>
      <c r="AD21" s="108">
        <f t="shared" si="24"/>
        <v>0</v>
      </c>
      <c r="AE21" s="108">
        <f t="shared" si="29"/>
        <v>0</v>
      </c>
      <c r="AF21" s="108">
        <f t="shared" si="29"/>
        <v>0</v>
      </c>
      <c r="AH21" s="110" t="s">
        <v>355</v>
      </c>
      <c r="AI21" s="4" t="e">
        <f>C14</f>
        <v>#REF!</v>
      </c>
      <c r="AJ21" s="111">
        <f>AA14*0.425</f>
        <v>1.9318181818181818E-2</v>
      </c>
      <c r="AK21" s="111">
        <f>AA14*0.85</f>
        <v>3.8636363636363635E-2</v>
      </c>
      <c r="AL21" s="111">
        <f>AJ21</f>
        <v>1.9318181818181818E-2</v>
      </c>
      <c r="AM21" s="112">
        <v>0</v>
      </c>
      <c r="AN21" s="112">
        <v>0</v>
      </c>
      <c r="AO21" s="112">
        <f>AC7*0.588</f>
        <v>0</v>
      </c>
      <c r="AP21" s="112">
        <v>0</v>
      </c>
      <c r="AQ21" s="114" t="e">
        <f>(1.66*(X14+AE14)+0.55*(Y14+AF14)-7.6)-(1.66*X14+0.55*Y14-7.6)</f>
        <v>#REF!</v>
      </c>
    </row>
    <row r="22" spans="1:43" s="62" customFormat="1" ht="19.5" customHeight="1" x14ac:dyDescent="0.25">
      <c r="A22" s="4" t="e">
        <f>PLANTILLA!#REF!</f>
        <v>#REF!</v>
      </c>
      <c r="B22" s="4" t="e">
        <f>PLANTILLA!#REF!</f>
        <v>#REF!</v>
      </c>
      <c r="C22" s="72" t="e">
        <f>PLANTILLA!#REF!</f>
        <v>#REF!</v>
      </c>
      <c r="D22" s="53" t="e">
        <f>PLANTILLA!#REF!</f>
        <v>#REF!</v>
      </c>
      <c r="E22" s="54" t="e">
        <f>PLANTILLA!#REF!</f>
        <v>#REF!</v>
      </c>
      <c r="F22" s="67" t="e">
        <f>PLANTILLA!#REF!</f>
        <v>#REF!</v>
      </c>
      <c r="G22" s="179" t="e">
        <f>PLANTILLA!#REF!</f>
        <v>#REF!</v>
      </c>
      <c r="H22" s="55" t="e">
        <f>PLANTILLA!#REF!</f>
        <v>#REF!</v>
      </c>
      <c r="I22" s="122" t="e">
        <f>PLANTILLA!#REF!</f>
        <v>#REF!</v>
      </c>
      <c r="J22" s="122" t="e">
        <f>PLANTILLA!#REF!</f>
        <v>#REF!</v>
      </c>
      <c r="K22" s="122" t="e">
        <f>PLANTILLA!#REF!</f>
        <v>#REF!</v>
      </c>
      <c r="L22" s="122" t="e">
        <f>PLANTILLA!#REF!</f>
        <v>#REF!</v>
      </c>
      <c r="M22" s="122" t="e">
        <f>PLANTILLA!#REF!</f>
        <v>#REF!</v>
      </c>
      <c r="N22" s="122" t="e">
        <f>PLANTILLA!#REF!</f>
        <v>#REF!</v>
      </c>
      <c r="O22" s="122" t="e">
        <f>PLANTILLA!#REF!</f>
        <v>#REF!</v>
      </c>
      <c r="P22" s="66" t="e">
        <f t="shared" si="11"/>
        <v>#REF!</v>
      </c>
      <c r="Q22" s="103" t="e">
        <f t="shared" si="12"/>
        <v>#REF!</v>
      </c>
      <c r="R22" s="74" t="e">
        <f t="shared" si="13"/>
        <v>#REF!</v>
      </c>
      <c r="S22" s="137" t="e">
        <f t="shared" si="14"/>
        <v>#REF!</v>
      </c>
      <c r="T22" s="137" t="e">
        <f t="shared" si="15"/>
        <v>#REF!</v>
      </c>
      <c r="U22" s="137" t="e">
        <f t="shared" si="16"/>
        <v>#REF!</v>
      </c>
      <c r="V22" s="137" t="e">
        <f t="shared" si="17"/>
        <v>#REF!</v>
      </c>
      <c r="W22" s="137" t="e">
        <f t="shared" si="18"/>
        <v>#REF!</v>
      </c>
      <c r="X22" s="137" t="e">
        <f t="shared" si="19"/>
        <v>#REF!</v>
      </c>
      <c r="Y22" s="137" t="e">
        <f t="shared" si="20"/>
        <v>#REF!</v>
      </c>
      <c r="Z22" s="108" t="e">
        <f t="shared" si="21"/>
        <v>#REF!</v>
      </c>
      <c r="AA22" s="108" t="e">
        <f t="shared" si="28"/>
        <v>#REF!</v>
      </c>
      <c r="AB22" s="108" t="e">
        <f t="shared" si="22"/>
        <v>#REF!</v>
      </c>
      <c r="AC22" s="108" t="e">
        <f t="shared" si="23"/>
        <v>#REF!</v>
      </c>
      <c r="AD22" s="108" t="e">
        <f t="shared" si="24"/>
        <v>#REF!</v>
      </c>
      <c r="AE22" s="108" t="e">
        <f t="shared" si="29"/>
        <v>#REF!</v>
      </c>
      <c r="AF22" s="108" t="e">
        <f t="shared" si="29"/>
        <v>#REF!</v>
      </c>
      <c r="AH22" s="110" t="s">
        <v>355</v>
      </c>
      <c r="AI22" s="81" t="str">
        <f>AI7</f>
        <v>T. McPhail</v>
      </c>
      <c r="AJ22" s="111">
        <f>AJ7</f>
        <v>5.5624999999999997E-3</v>
      </c>
      <c r="AK22" s="111">
        <f t="shared" ref="AK22:AL22" si="31">AK7</f>
        <v>2.2593749999999999E-2</v>
      </c>
      <c r="AL22" s="111">
        <f t="shared" si="31"/>
        <v>1.1093749999999999E-2</v>
      </c>
      <c r="AM22" s="111">
        <v>0</v>
      </c>
      <c r="AN22" s="111">
        <f t="shared" ref="AN22:AP28" si="32">AN8</f>
        <v>0</v>
      </c>
      <c r="AO22" s="111">
        <f t="shared" si="32"/>
        <v>0</v>
      </c>
      <c r="AP22" s="111">
        <f t="shared" si="32"/>
        <v>0</v>
      </c>
      <c r="AQ22" s="113">
        <f>AQ7</f>
        <v>0</v>
      </c>
    </row>
    <row r="23" spans="1:43" s="1" customFormat="1" ht="19.5" customHeight="1" x14ac:dyDescent="0.25">
      <c r="A23" s="4" t="e">
        <f>PLANTILLA!#REF!</f>
        <v>#REF!</v>
      </c>
      <c r="B23" s="4" t="e">
        <f>PLANTILLA!#REF!</f>
        <v>#REF!</v>
      </c>
      <c r="C23" s="72" t="e">
        <f>PLANTILLA!#REF!</f>
        <v>#REF!</v>
      </c>
      <c r="D23" s="53" t="e">
        <f>PLANTILLA!#REF!</f>
        <v>#REF!</v>
      </c>
      <c r="E23" s="54" t="e">
        <f>PLANTILLA!#REF!</f>
        <v>#REF!</v>
      </c>
      <c r="F23" s="67"/>
      <c r="G23" s="179" t="e">
        <f>PLANTILLA!#REF!</f>
        <v>#REF!</v>
      </c>
      <c r="H23" s="55" t="e">
        <f>PLANTILLA!#REF!</f>
        <v>#REF!</v>
      </c>
      <c r="I23" s="122" t="e">
        <f>PLANTILLA!#REF!</f>
        <v>#REF!</v>
      </c>
      <c r="J23" s="122" t="e">
        <f>PLANTILLA!#REF!</f>
        <v>#REF!</v>
      </c>
      <c r="K23" s="122" t="e">
        <f>PLANTILLA!#REF!</f>
        <v>#REF!</v>
      </c>
      <c r="L23" s="122" t="e">
        <f>PLANTILLA!#REF!</f>
        <v>#REF!</v>
      </c>
      <c r="M23" s="122" t="e">
        <f>PLANTILLA!#REF!</f>
        <v>#REF!</v>
      </c>
      <c r="N23" s="122" t="e">
        <f>PLANTILLA!#REF!</f>
        <v>#REF!</v>
      </c>
      <c r="O23" s="122" t="e">
        <f>PLANTILLA!#REF!</f>
        <v>#REF!</v>
      </c>
      <c r="P23" s="66" t="e">
        <f t="shared" si="11"/>
        <v>#REF!</v>
      </c>
      <c r="Q23" s="103" t="e">
        <f t="shared" si="12"/>
        <v>#REF!</v>
      </c>
      <c r="R23" s="74" t="e">
        <f t="shared" si="13"/>
        <v>#REF!</v>
      </c>
      <c r="S23" s="137" t="e">
        <f t="shared" si="14"/>
        <v>#REF!</v>
      </c>
      <c r="T23" s="137" t="e">
        <f t="shared" si="15"/>
        <v>#REF!</v>
      </c>
      <c r="U23" s="137" t="e">
        <f t="shared" si="16"/>
        <v>#REF!</v>
      </c>
      <c r="V23" s="137" t="e">
        <f t="shared" si="17"/>
        <v>#REF!</v>
      </c>
      <c r="W23" s="137" t="e">
        <f t="shared" si="18"/>
        <v>#REF!</v>
      </c>
      <c r="X23" s="137" t="e">
        <f t="shared" si="19"/>
        <v>#REF!</v>
      </c>
      <c r="Y23" s="137" t="e">
        <f t="shared" si="20"/>
        <v>#REF!</v>
      </c>
      <c r="Z23" s="108" t="e">
        <f t="shared" si="21"/>
        <v>#REF!</v>
      </c>
      <c r="AA23" s="108" t="e">
        <f t="shared" si="28"/>
        <v>#REF!</v>
      </c>
      <c r="AB23" s="108" t="e">
        <f t="shared" si="22"/>
        <v>#REF!</v>
      </c>
      <c r="AC23" s="108" t="e">
        <f t="shared" si="23"/>
        <v>#REF!</v>
      </c>
      <c r="AD23" s="108" t="e">
        <f t="shared" si="24"/>
        <v>#REF!</v>
      </c>
      <c r="AE23" s="108" t="e">
        <f t="shared" si="29"/>
        <v>#REF!</v>
      </c>
      <c r="AF23" s="108" t="e">
        <f t="shared" si="29"/>
        <v>#REF!</v>
      </c>
      <c r="AH23" s="109" t="s">
        <v>154</v>
      </c>
      <c r="AI23" s="4" t="str">
        <f>AI8</f>
        <v>C. Mosser</v>
      </c>
      <c r="AJ23" s="111">
        <f t="shared" ref="AJ23:AL23" si="33">AJ8</f>
        <v>0</v>
      </c>
      <c r="AK23" s="111">
        <f t="shared" si="33"/>
        <v>1.328125E-2</v>
      </c>
      <c r="AL23" s="111">
        <f t="shared" si="33"/>
        <v>3.125E-2</v>
      </c>
      <c r="AM23" s="112">
        <v>0</v>
      </c>
      <c r="AN23" s="112">
        <f t="shared" si="32"/>
        <v>0</v>
      </c>
      <c r="AO23" s="112">
        <f t="shared" si="32"/>
        <v>0</v>
      </c>
      <c r="AP23" s="112">
        <f t="shared" si="32"/>
        <v>0</v>
      </c>
      <c r="AQ23" s="113">
        <f t="shared" ref="AQ23:AQ28" si="34">AQ8</f>
        <v>0</v>
      </c>
    </row>
    <row r="24" spans="1:43" s="1" customFormat="1" ht="19.5" customHeight="1" x14ac:dyDescent="0.25">
      <c r="A24" s="4" t="e">
        <f>PLANTILLA!#REF!</f>
        <v>#REF!</v>
      </c>
      <c r="B24" s="4" t="e">
        <f>PLANTILLA!#REF!</f>
        <v>#REF!</v>
      </c>
      <c r="C24" s="72" t="e">
        <f>PLANTILLA!#REF!</f>
        <v>#REF!</v>
      </c>
      <c r="D24" s="53" t="e">
        <f>PLANTILLA!#REF!</f>
        <v>#REF!</v>
      </c>
      <c r="E24" s="54" t="e">
        <f>PLANTILLA!#REF!</f>
        <v>#REF!</v>
      </c>
      <c r="F24" s="67" t="e">
        <f>PLANTILLA!#REF!</f>
        <v>#REF!</v>
      </c>
      <c r="G24" s="179" t="e">
        <f>PLANTILLA!#REF!</f>
        <v>#REF!</v>
      </c>
      <c r="H24" s="55" t="e">
        <f>PLANTILLA!#REF!</f>
        <v>#REF!</v>
      </c>
      <c r="I24" s="122" t="e">
        <f>PLANTILLA!#REF!</f>
        <v>#REF!</v>
      </c>
      <c r="J24" s="122" t="e">
        <f>PLANTILLA!#REF!</f>
        <v>#REF!</v>
      </c>
      <c r="K24" s="122" t="e">
        <f>PLANTILLA!#REF!</f>
        <v>#REF!</v>
      </c>
      <c r="L24" s="122" t="e">
        <f>PLANTILLA!#REF!</f>
        <v>#REF!</v>
      </c>
      <c r="M24" s="122" t="e">
        <f>PLANTILLA!#REF!</f>
        <v>#REF!</v>
      </c>
      <c r="N24" s="122" t="e">
        <f>PLANTILLA!#REF!</f>
        <v>#REF!</v>
      </c>
      <c r="O24" s="122" t="e">
        <f>PLANTILLA!#REF!</f>
        <v>#REF!</v>
      </c>
      <c r="P24" s="66" t="e">
        <f t="shared" si="11"/>
        <v>#REF!</v>
      </c>
      <c r="Q24" s="103" t="e">
        <f t="shared" si="12"/>
        <v>#REF!</v>
      </c>
      <c r="R24" s="74" t="e">
        <f t="shared" si="13"/>
        <v>#REF!</v>
      </c>
      <c r="S24" s="137" t="e">
        <f t="shared" si="14"/>
        <v>#REF!</v>
      </c>
      <c r="T24" s="137" t="e">
        <f t="shared" si="15"/>
        <v>#REF!</v>
      </c>
      <c r="U24" s="137" t="e">
        <f t="shared" si="16"/>
        <v>#REF!</v>
      </c>
      <c r="V24" s="137" t="e">
        <f t="shared" si="17"/>
        <v>#REF!</v>
      </c>
      <c r="W24" s="137" t="e">
        <f t="shared" si="18"/>
        <v>#REF!</v>
      </c>
      <c r="X24" s="137" t="e">
        <f t="shared" si="19"/>
        <v>#REF!</v>
      </c>
      <c r="Y24" s="137" t="e">
        <f t="shared" si="20"/>
        <v>#REF!</v>
      </c>
      <c r="Z24" s="108" t="e">
        <f t="shared" si="21"/>
        <v>#REF!</v>
      </c>
      <c r="AA24" s="108" t="e">
        <f t="shared" si="28"/>
        <v>#REF!</v>
      </c>
      <c r="AB24" s="108" t="e">
        <f t="shared" si="22"/>
        <v>#REF!</v>
      </c>
      <c r="AC24" s="108" t="e">
        <f t="shared" si="23"/>
        <v>#REF!</v>
      </c>
      <c r="AD24" s="108" t="e">
        <f t="shared" si="24"/>
        <v>#REF!</v>
      </c>
      <c r="AE24" s="108" t="e">
        <f t="shared" si="29"/>
        <v>#REF!</v>
      </c>
      <c r="AF24" s="108" t="e">
        <f t="shared" si="29"/>
        <v>#REF!</v>
      </c>
      <c r="AH24" s="110" t="s">
        <v>121</v>
      </c>
      <c r="AI24" s="4" t="str">
        <f t="shared" ref="AI24:AM28" si="35">AI9</f>
        <v>S. Hovhannesyan</v>
      </c>
      <c r="AJ24" s="111">
        <f t="shared" si="35"/>
        <v>1.0499999999999999E-2</v>
      </c>
      <c r="AK24" s="111">
        <f t="shared" si="35"/>
        <v>2.361111111111111E-2</v>
      </c>
      <c r="AL24" s="111">
        <f t="shared" si="35"/>
        <v>5.1666666666666666E-3</v>
      </c>
      <c r="AM24" s="112" t="e">
        <f t="shared" si="35"/>
        <v>#REF!</v>
      </c>
      <c r="AN24" s="112">
        <f t="shared" si="32"/>
        <v>0</v>
      </c>
      <c r="AO24" s="112">
        <f t="shared" si="32"/>
        <v>0</v>
      </c>
      <c r="AP24" s="112">
        <f t="shared" si="32"/>
        <v>0</v>
      </c>
      <c r="AQ24" s="113">
        <f t="shared" si="34"/>
        <v>0</v>
      </c>
    </row>
    <row r="25" spans="1:43" ht="19.5" customHeight="1" x14ac:dyDescent="0.25">
      <c r="A25" s="4" t="e">
        <f>PLANTILLA!#REF!</f>
        <v>#REF!</v>
      </c>
      <c r="B25" s="4" t="e">
        <f>PLANTILLA!#REF!</f>
        <v>#REF!</v>
      </c>
      <c r="C25" s="72" t="e">
        <f>PLANTILLA!#REF!</f>
        <v>#REF!</v>
      </c>
      <c r="D25" s="53" t="e">
        <f>PLANTILLA!#REF!</f>
        <v>#REF!</v>
      </c>
      <c r="E25" s="54" t="e">
        <f>PLANTILLA!#REF!</f>
        <v>#REF!</v>
      </c>
      <c r="F25" s="67"/>
      <c r="G25" s="179" t="e">
        <f>PLANTILLA!#REF!</f>
        <v>#REF!</v>
      </c>
      <c r="H25" s="55" t="e">
        <f>PLANTILLA!#REF!</f>
        <v>#REF!</v>
      </c>
      <c r="I25" s="122" t="e">
        <f>PLANTILLA!#REF!</f>
        <v>#REF!</v>
      </c>
      <c r="J25" s="122" t="e">
        <f>PLANTILLA!#REF!</f>
        <v>#REF!</v>
      </c>
      <c r="K25" s="122" t="e">
        <f>PLANTILLA!#REF!</f>
        <v>#REF!</v>
      </c>
      <c r="L25" s="122" t="e">
        <f>PLANTILLA!#REF!</f>
        <v>#REF!</v>
      </c>
      <c r="M25" s="122" t="e">
        <f>PLANTILLA!#REF!</f>
        <v>#REF!</v>
      </c>
      <c r="N25" s="122" t="e">
        <f>PLANTILLA!#REF!</f>
        <v>#REF!</v>
      </c>
      <c r="O25" s="122" t="e">
        <f>PLANTILLA!#REF!</f>
        <v>#REF!</v>
      </c>
      <c r="P25" s="66" t="e">
        <f t="shared" si="11"/>
        <v>#REF!</v>
      </c>
      <c r="Q25" s="103" t="e">
        <f t="shared" si="12"/>
        <v>#REF!</v>
      </c>
      <c r="R25" s="74" t="e">
        <f t="shared" si="13"/>
        <v>#REF!</v>
      </c>
      <c r="S25" s="137" t="e">
        <f t="shared" si="14"/>
        <v>#REF!</v>
      </c>
      <c r="T25" s="137" t="e">
        <f t="shared" si="15"/>
        <v>#REF!</v>
      </c>
      <c r="U25" s="137" t="e">
        <f t="shared" si="16"/>
        <v>#REF!</v>
      </c>
      <c r="V25" s="137" t="e">
        <f t="shared" si="17"/>
        <v>#REF!</v>
      </c>
      <c r="W25" s="137" t="e">
        <f t="shared" si="18"/>
        <v>#REF!</v>
      </c>
      <c r="X25" s="137" t="e">
        <f t="shared" si="19"/>
        <v>#REF!</v>
      </c>
      <c r="Y25" s="137" t="e">
        <f t="shared" si="20"/>
        <v>#REF!</v>
      </c>
      <c r="Z25" s="108" t="e">
        <f t="shared" si="21"/>
        <v>#REF!</v>
      </c>
      <c r="AA25" s="108" t="e">
        <f t="shared" si="28"/>
        <v>#REF!</v>
      </c>
      <c r="AB25" s="108" t="e">
        <f t="shared" si="22"/>
        <v>#REF!</v>
      </c>
      <c r="AC25" s="108" t="e">
        <f t="shared" si="23"/>
        <v>#REF!</v>
      </c>
      <c r="AD25" s="108" t="e">
        <f t="shared" si="24"/>
        <v>#REF!</v>
      </c>
      <c r="AE25" s="108" t="e">
        <f t="shared" si="29"/>
        <v>#REF!</v>
      </c>
      <c r="AF25" s="108" t="e">
        <f t="shared" si="29"/>
        <v>#REF!</v>
      </c>
      <c r="AH25" s="110" t="s">
        <v>121</v>
      </c>
      <c r="AI25" s="4" t="str">
        <f t="shared" si="35"/>
        <v>Y. Galitsky</v>
      </c>
      <c r="AJ25" s="111">
        <f t="shared" si="35"/>
        <v>6.3181818181818191E-3</v>
      </c>
      <c r="AK25" s="111">
        <f t="shared" si="35"/>
        <v>1.9318181818181818E-2</v>
      </c>
      <c r="AL25" s="111">
        <f t="shared" si="35"/>
        <v>6.3181818181818191E-3</v>
      </c>
      <c r="AM25" s="112">
        <f t="shared" si="35"/>
        <v>0</v>
      </c>
      <c r="AN25" s="112">
        <f t="shared" si="32"/>
        <v>0</v>
      </c>
      <c r="AO25" s="112">
        <f t="shared" si="32"/>
        <v>0</v>
      </c>
      <c r="AP25" s="112">
        <f t="shared" si="32"/>
        <v>0</v>
      </c>
      <c r="AQ25" s="113">
        <f t="shared" si="34"/>
        <v>0</v>
      </c>
    </row>
    <row r="26" spans="1:43" s="1" customFormat="1" ht="19.5" customHeight="1" x14ac:dyDescent="0.25">
      <c r="A26" s="4" t="e">
        <f>PLANTILLA!#REF!</f>
        <v>#REF!</v>
      </c>
      <c r="B26" s="4" t="e">
        <f>PLANTILLA!#REF!</f>
        <v>#REF!</v>
      </c>
      <c r="C26" s="72" t="e">
        <f>PLANTILLA!#REF!</f>
        <v>#REF!</v>
      </c>
      <c r="D26" s="53" t="e">
        <f>PLANTILLA!#REF!</f>
        <v>#REF!</v>
      </c>
      <c r="E26" s="54" t="e">
        <f>PLANTILLA!#REF!</f>
        <v>#REF!</v>
      </c>
      <c r="F26" s="67" t="e">
        <f>PLANTILLA!#REF!</f>
        <v>#REF!</v>
      </c>
      <c r="G26" s="179" t="e">
        <f>PLANTILLA!#REF!</f>
        <v>#REF!</v>
      </c>
      <c r="H26" s="55" t="e">
        <f>PLANTILLA!#REF!</f>
        <v>#REF!</v>
      </c>
      <c r="I26" s="122" t="e">
        <f>PLANTILLA!#REF!</f>
        <v>#REF!</v>
      </c>
      <c r="J26" s="122" t="e">
        <f>PLANTILLA!#REF!</f>
        <v>#REF!</v>
      </c>
      <c r="K26" s="122" t="e">
        <f>PLANTILLA!#REF!</f>
        <v>#REF!</v>
      </c>
      <c r="L26" s="122" t="e">
        <f>PLANTILLA!#REF!</f>
        <v>#REF!</v>
      </c>
      <c r="M26" s="122" t="e">
        <f>PLANTILLA!#REF!</f>
        <v>#REF!</v>
      </c>
      <c r="N26" s="122" t="e">
        <f>PLANTILLA!#REF!</f>
        <v>#REF!</v>
      </c>
      <c r="O26" s="122" t="e">
        <f>PLANTILLA!#REF!</f>
        <v>#REF!</v>
      </c>
      <c r="P26" s="66" t="e">
        <f t="shared" si="11"/>
        <v>#REF!</v>
      </c>
      <c r="Q26" s="103" t="e">
        <f t="shared" si="12"/>
        <v>#REF!</v>
      </c>
      <c r="R26" s="74" t="e">
        <f t="shared" si="13"/>
        <v>#REF!</v>
      </c>
      <c r="S26" s="137" t="e">
        <f t="shared" si="14"/>
        <v>#REF!</v>
      </c>
      <c r="T26" s="137" t="e">
        <f t="shared" si="15"/>
        <v>#REF!</v>
      </c>
      <c r="U26" s="137" t="e">
        <f t="shared" si="16"/>
        <v>#REF!</v>
      </c>
      <c r="V26" s="137" t="e">
        <f t="shared" si="17"/>
        <v>#REF!</v>
      </c>
      <c r="W26" s="137" t="e">
        <f t="shared" si="18"/>
        <v>#REF!</v>
      </c>
      <c r="X26" s="137" t="e">
        <f t="shared" si="19"/>
        <v>#REF!</v>
      </c>
      <c r="Y26" s="137" t="e">
        <f t="shared" si="20"/>
        <v>#REF!</v>
      </c>
      <c r="Z26" s="108" t="e">
        <f t="shared" si="21"/>
        <v>#REF!</v>
      </c>
      <c r="AA26" s="108" t="e">
        <f t="shared" si="28"/>
        <v>#REF!</v>
      </c>
      <c r="AB26" s="108" t="e">
        <f t="shared" si="22"/>
        <v>#REF!</v>
      </c>
      <c r="AC26" s="108" t="e">
        <f t="shared" si="23"/>
        <v>#REF!</v>
      </c>
      <c r="AD26" s="108" t="e">
        <f t="shared" si="24"/>
        <v>#REF!</v>
      </c>
      <c r="AE26" s="108" t="e">
        <f t="shared" si="29"/>
        <v>#REF!</v>
      </c>
      <c r="AF26" s="108" t="e">
        <f t="shared" si="29"/>
        <v>#REF!</v>
      </c>
      <c r="AH26" s="110" t="s">
        <v>121</v>
      </c>
      <c r="AI26" s="4" t="str">
        <f t="shared" si="35"/>
        <v>I. Stone</v>
      </c>
      <c r="AJ26" s="111">
        <f t="shared" si="35"/>
        <v>5.8125E-3</v>
      </c>
      <c r="AK26" s="111">
        <f t="shared" si="35"/>
        <v>2.6562499999999999E-2</v>
      </c>
      <c r="AL26" s="111">
        <f t="shared" si="35"/>
        <v>1.18125E-2</v>
      </c>
      <c r="AM26" s="112">
        <f t="shared" si="35"/>
        <v>0</v>
      </c>
      <c r="AN26" s="112">
        <f t="shared" si="32"/>
        <v>0</v>
      </c>
      <c r="AO26" s="112">
        <f t="shared" si="32"/>
        <v>0</v>
      </c>
      <c r="AP26" s="112">
        <f t="shared" si="32"/>
        <v>0</v>
      </c>
      <c r="AQ26" s="113">
        <f t="shared" si="34"/>
        <v>0</v>
      </c>
    </row>
    <row r="27" spans="1:43" ht="19.5" customHeight="1" x14ac:dyDescent="0.25">
      <c r="A27" s="4"/>
      <c r="B27" s="4"/>
      <c r="C27" s="72"/>
      <c r="D27" s="53"/>
      <c r="E27" s="54"/>
      <c r="F27" s="67"/>
      <c r="G27" s="179"/>
      <c r="H27" s="55"/>
      <c r="I27" s="122"/>
      <c r="J27" s="122"/>
      <c r="K27" s="122"/>
      <c r="L27" s="122"/>
      <c r="M27" s="122"/>
      <c r="N27" s="122"/>
      <c r="O27" s="122"/>
      <c r="P27" s="66"/>
      <c r="Q27" s="103"/>
      <c r="R27" s="74"/>
      <c r="S27" s="137"/>
      <c r="T27" s="137"/>
      <c r="U27" s="137"/>
      <c r="V27" s="137"/>
      <c r="W27" s="137"/>
      <c r="X27" s="137"/>
      <c r="Y27" s="137"/>
      <c r="Z27" s="108"/>
      <c r="AA27" s="108"/>
      <c r="AB27" s="108"/>
      <c r="AC27" s="108"/>
      <c r="AD27" s="108"/>
      <c r="AE27" s="108"/>
      <c r="AF27" s="108"/>
      <c r="AH27" s="110" t="s">
        <v>356</v>
      </c>
      <c r="AI27" s="4" t="str">
        <f t="shared" si="35"/>
        <v>I. Vanags</v>
      </c>
      <c r="AJ27" s="111">
        <f t="shared" si="35"/>
        <v>1.8124999999999999E-2</v>
      </c>
      <c r="AK27" s="111">
        <f t="shared" si="35"/>
        <v>1.58125E-2</v>
      </c>
      <c r="AL27" s="111">
        <f t="shared" si="35"/>
        <v>0</v>
      </c>
      <c r="AM27" s="112">
        <f t="shared" si="35"/>
        <v>0</v>
      </c>
      <c r="AN27" s="111">
        <f t="shared" si="32"/>
        <v>0</v>
      </c>
      <c r="AO27" s="111">
        <f t="shared" si="32"/>
        <v>0</v>
      </c>
      <c r="AP27" s="111">
        <f t="shared" si="32"/>
        <v>0</v>
      </c>
      <c r="AQ27" s="113">
        <f t="shared" si="34"/>
        <v>0</v>
      </c>
    </row>
    <row r="28" spans="1:43" ht="19.5" customHeight="1" x14ac:dyDescent="0.25">
      <c r="A28" s="4"/>
      <c r="B28" s="4"/>
      <c r="C28" s="72"/>
      <c r="D28" s="53"/>
      <c r="E28" s="54"/>
      <c r="F28" s="67"/>
      <c r="G28" s="179"/>
      <c r="H28" s="55"/>
      <c r="I28" s="122"/>
      <c r="J28" s="122"/>
      <c r="K28" s="122"/>
      <c r="L28" s="122"/>
      <c r="M28" s="122"/>
      <c r="N28" s="122"/>
      <c r="O28" s="122"/>
      <c r="P28" s="66"/>
      <c r="Q28" s="103"/>
      <c r="R28" s="74"/>
      <c r="S28" s="137"/>
      <c r="T28" s="137"/>
      <c r="U28" s="137"/>
      <c r="V28" s="137"/>
      <c r="W28" s="137"/>
      <c r="X28" s="137"/>
      <c r="Y28" s="137"/>
      <c r="Z28" s="108"/>
      <c r="AA28" s="108"/>
      <c r="AB28" s="108"/>
      <c r="AC28" s="108"/>
      <c r="AD28" s="108"/>
      <c r="AE28" s="108"/>
      <c r="AF28" s="108"/>
      <c r="AH28" s="110" t="s">
        <v>356</v>
      </c>
      <c r="AI28" s="4" t="str">
        <f t="shared" si="35"/>
        <v>M. Bondarewski</v>
      </c>
      <c r="AJ28" s="111">
        <f t="shared" si="35"/>
        <v>0</v>
      </c>
      <c r="AK28" s="111">
        <f t="shared" si="35"/>
        <v>1.8071428571428572E-2</v>
      </c>
      <c r="AL28" s="111">
        <f t="shared" si="35"/>
        <v>2.0714285714285713E-2</v>
      </c>
      <c r="AM28" s="112">
        <f t="shared" si="35"/>
        <v>0</v>
      </c>
      <c r="AN28" s="112">
        <f t="shared" si="32"/>
        <v>0</v>
      </c>
      <c r="AO28" s="112">
        <f t="shared" si="32"/>
        <v>0</v>
      </c>
      <c r="AP28" s="112">
        <f t="shared" si="32"/>
        <v>0</v>
      </c>
      <c r="AQ28" s="113">
        <f t="shared" si="34"/>
        <v>0</v>
      </c>
    </row>
    <row r="29" spans="1:43" x14ac:dyDescent="0.25">
      <c r="S29" s="48"/>
      <c r="T29" s="48"/>
      <c r="U29" s="48"/>
      <c r="V29" s="48"/>
      <c r="W29" s="48"/>
      <c r="X29" s="48"/>
      <c r="Y29" s="48"/>
      <c r="AH29" s="2"/>
    </row>
    <row r="30" spans="1:43" x14ac:dyDescent="0.25">
      <c r="S30" s="48"/>
      <c r="T30" s="48"/>
      <c r="U30" s="48"/>
      <c r="V30" s="48"/>
      <c r="W30" s="48"/>
      <c r="X30" s="48"/>
      <c r="Y30" s="48"/>
    </row>
    <row r="31" spans="1:43" x14ac:dyDescent="0.25">
      <c r="S31" s="48"/>
      <c r="T31" s="48"/>
      <c r="U31" s="48"/>
      <c r="V31" s="48"/>
      <c r="W31" s="48"/>
      <c r="X31" s="48"/>
      <c r="Y31" s="48"/>
    </row>
    <row r="32" spans="1:43" x14ac:dyDescent="0.25">
      <c r="S32" s="48"/>
      <c r="T32" s="48"/>
      <c r="U32" s="48"/>
      <c r="V32" s="48"/>
      <c r="W32" s="48"/>
      <c r="X32" s="48"/>
      <c r="Y32" s="48"/>
    </row>
  </sheetData>
  <mergeCells count="4">
    <mergeCell ref="AH1:AQ1"/>
    <mergeCell ref="D2:F2"/>
    <mergeCell ref="AH3:AI3"/>
    <mergeCell ref="AH17:AI17"/>
  </mergeCells>
  <conditionalFormatting sqref="H4:H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O28">
    <cfRule type="cellIs" dxfId="8" priority="16" operator="greaterThan">
      <formula>8</formula>
    </cfRule>
    <cfRule type="colorScale" priority="943">
      <colorScale>
        <cfvo type="min"/>
        <cfvo type="max"/>
        <color rgb="FFFFEF9C"/>
        <color rgb="FFFF7128"/>
      </colorScale>
    </cfRule>
  </conditionalFormatting>
  <conditionalFormatting sqref="S4:Y26">
    <cfRule type="colorScale" priority="937">
      <colorScale>
        <cfvo type="min"/>
        <cfvo type="max"/>
        <color rgb="FFFCFCFF"/>
        <color rgb="FFF8696B"/>
      </colorScale>
    </cfRule>
  </conditionalFormatting>
  <conditionalFormatting sqref="S27:Y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Z4:AF28 AJ18:AP28">
    <cfRule type="cellIs" dxfId="7" priority="1" operator="greaterThan">
      <formula>0</formula>
    </cfRule>
  </conditionalFormatting>
  <conditionalFormatting sqref="AJ2:AP2">
    <cfRule type="cellIs" dxfId="6" priority="4" operator="greaterThan">
      <formula>0</formula>
    </cfRule>
  </conditionalFormatting>
  <conditionalFormatting sqref="AJ4:AP14">
    <cfRule type="cellIs" dxfId="5" priority="7" operator="greaterThan">
      <formula>0</formula>
    </cfRule>
  </conditionalFormatting>
  <conditionalFormatting sqref="AJ16:AP16">
    <cfRule type="cellIs" dxfId="4" priority="3" operator="greaterThan">
      <formula>0</formula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Y21"/>
  <sheetViews>
    <sheetView zoomScale="110" zoomScaleNormal="110" workbookViewId="0">
      <selection activeCell="Q10" sqref="Q10"/>
    </sheetView>
  </sheetViews>
  <sheetFormatPr baseColWidth="10" defaultColWidth="11.42578125" defaultRowHeight="15" x14ac:dyDescent="0.25"/>
  <cols>
    <col min="1" max="1" width="13.28515625" style="56" customWidth="1"/>
    <col min="2" max="2" width="14.28515625" style="56" customWidth="1"/>
    <col min="3" max="10" width="8.28515625" style="56" customWidth="1"/>
    <col min="11" max="11" width="9.28515625" style="56" customWidth="1"/>
    <col min="12" max="12" width="8.28515625" style="56" customWidth="1"/>
    <col min="14" max="14" width="12.28515625" bestFit="1" customWidth="1"/>
    <col min="15" max="15" width="14.28515625" bestFit="1" customWidth="1"/>
    <col min="16" max="16" width="8.28515625" bestFit="1" customWidth="1"/>
    <col min="17" max="17" width="8" bestFit="1" customWidth="1"/>
    <col min="18" max="18" width="7.7109375" bestFit="1" customWidth="1"/>
    <col min="19" max="19" width="7.140625" bestFit="1" customWidth="1"/>
    <col min="20" max="21" width="6.7109375" bestFit="1" customWidth="1"/>
    <col min="22" max="24" width="6.5703125" bestFit="1" customWidth="1"/>
    <col min="25" max="25" width="7.28515625" bestFit="1" customWidth="1"/>
  </cols>
  <sheetData>
    <row r="1" spans="1:25" x14ac:dyDescent="0.25">
      <c r="B1" s="2" t="s">
        <v>357</v>
      </c>
      <c r="C1" s="150">
        <f t="shared" ref="C1:L1" si="0">MAX(C3:C19)</f>
        <v>7.1716681096681112E-2</v>
      </c>
      <c r="D1" s="150">
        <f t="shared" si="0"/>
        <v>0.1392782683982684</v>
      </c>
      <c r="E1" s="150">
        <f t="shared" si="0"/>
        <v>5.5134432375222822E-2</v>
      </c>
      <c r="F1" s="150">
        <f t="shared" si="0"/>
        <v>0</v>
      </c>
      <c r="G1" s="150">
        <f t="shared" si="0"/>
        <v>0</v>
      </c>
      <c r="H1" s="150">
        <f t="shared" si="0"/>
        <v>0</v>
      </c>
      <c r="I1" s="150">
        <f t="shared" si="0"/>
        <v>0</v>
      </c>
      <c r="J1" s="150">
        <f t="shared" si="0"/>
        <v>0</v>
      </c>
      <c r="K1" s="150">
        <f t="shared" si="0"/>
        <v>0</v>
      </c>
      <c r="L1" s="150">
        <f t="shared" si="0"/>
        <v>0.13552961309523823</v>
      </c>
      <c r="N1" s="56"/>
      <c r="O1" s="2" t="s">
        <v>357</v>
      </c>
      <c r="P1" s="150">
        <f t="shared" ref="P1:Y1" si="1">MAX(P3:P19)</f>
        <v>1</v>
      </c>
      <c r="Q1" s="150">
        <f t="shared" si="1"/>
        <v>1</v>
      </c>
      <c r="R1" s="150">
        <f t="shared" si="1"/>
        <v>1</v>
      </c>
      <c r="S1" s="150">
        <f t="shared" si="1"/>
        <v>0</v>
      </c>
      <c r="T1" s="150">
        <f t="shared" si="1"/>
        <v>0</v>
      </c>
      <c r="U1" s="150">
        <f t="shared" si="1"/>
        <v>0</v>
      </c>
      <c r="V1" s="150">
        <f t="shared" si="1"/>
        <v>0</v>
      </c>
      <c r="W1" s="150">
        <f t="shared" si="1"/>
        <v>0</v>
      </c>
      <c r="X1" s="150">
        <f t="shared" si="1"/>
        <v>0</v>
      </c>
      <c r="Y1" s="150">
        <f t="shared" si="1"/>
        <v>1</v>
      </c>
    </row>
    <row r="2" spans="1:25" x14ac:dyDescent="0.25">
      <c r="A2" s="412" t="s">
        <v>358</v>
      </c>
      <c r="B2" s="172" t="s">
        <v>359</v>
      </c>
      <c r="C2" s="87" t="s">
        <v>346</v>
      </c>
      <c r="D2" s="139" t="s">
        <v>347</v>
      </c>
      <c r="E2" s="139" t="s">
        <v>348</v>
      </c>
      <c r="F2" s="139" t="s">
        <v>349</v>
      </c>
      <c r="G2" s="139" t="s">
        <v>350</v>
      </c>
      <c r="H2" s="139" t="s">
        <v>351</v>
      </c>
      <c r="I2" s="139" t="s">
        <v>352</v>
      </c>
      <c r="J2" s="139" t="s">
        <v>353</v>
      </c>
      <c r="K2" s="139" t="s">
        <v>354</v>
      </c>
      <c r="L2" s="139" t="s">
        <v>609</v>
      </c>
      <c r="N2" s="412" t="s">
        <v>358</v>
      </c>
      <c r="O2" s="172" t="s">
        <v>359</v>
      </c>
      <c r="P2" s="87" t="s">
        <v>346</v>
      </c>
      <c r="Q2" s="139" t="s">
        <v>347</v>
      </c>
      <c r="R2" s="139" t="s">
        <v>348</v>
      </c>
      <c r="S2" s="139" t="s">
        <v>349</v>
      </c>
      <c r="T2" s="139" t="s">
        <v>350</v>
      </c>
      <c r="U2" s="139" t="s">
        <v>351</v>
      </c>
      <c r="V2" s="139" t="s">
        <v>352</v>
      </c>
      <c r="W2" s="139" t="s">
        <v>353</v>
      </c>
      <c r="X2" s="139" t="s">
        <v>354</v>
      </c>
      <c r="Y2" s="139" t="s">
        <v>609</v>
      </c>
    </row>
    <row r="3" spans="1:25" x14ac:dyDescent="0.25">
      <c r="A3" s="413" t="s">
        <v>360</v>
      </c>
      <c r="B3" s="138" t="s">
        <v>361</v>
      </c>
      <c r="C3" s="414">
        <v>1.6921538461538467E-2</v>
      </c>
      <c r="D3" s="404">
        <v>2.5421538461538468E-2</v>
      </c>
      <c r="E3" s="404">
        <v>1.219346153846154E-2</v>
      </c>
      <c r="F3" s="145"/>
      <c r="G3" s="145"/>
      <c r="H3" s="145"/>
      <c r="I3" s="145"/>
      <c r="J3" s="145"/>
      <c r="K3" s="145"/>
      <c r="L3" s="404"/>
      <c r="N3" s="413" t="s">
        <v>360</v>
      </c>
      <c r="O3" s="138" t="s">
        <v>361</v>
      </c>
      <c r="P3" s="419">
        <f>(C3-C12)/C12</f>
        <v>-0.76405017350528848</v>
      </c>
      <c r="Q3" s="419">
        <f t="shared" ref="Q3:R3" si="2">(D3-D12)/D12</f>
        <v>-0.81747663326165732</v>
      </c>
      <c r="R3" s="419">
        <f t="shared" si="2"/>
        <v>-0.77884126102037765</v>
      </c>
      <c r="S3" s="145"/>
      <c r="T3" s="145"/>
      <c r="U3" s="145"/>
      <c r="V3" s="145"/>
      <c r="W3" s="145"/>
      <c r="X3" s="145"/>
      <c r="Y3" s="404"/>
    </row>
    <row r="4" spans="1:25" x14ac:dyDescent="0.25">
      <c r="A4" s="458" t="s">
        <v>618</v>
      </c>
      <c r="B4" s="143" t="s">
        <v>172</v>
      </c>
      <c r="C4" s="415">
        <v>7.0356681096681112E-2</v>
      </c>
      <c r="D4" s="405">
        <v>0.13655826839826843</v>
      </c>
      <c r="E4" s="405">
        <v>5.415443237522282E-2</v>
      </c>
      <c r="F4" s="147"/>
      <c r="G4" s="147"/>
      <c r="H4" s="147"/>
      <c r="I4" s="147"/>
      <c r="J4" s="147"/>
      <c r="K4" s="147"/>
      <c r="L4" s="405"/>
      <c r="N4" s="458" t="s">
        <v>618</v>
      </c>
      <c r="O4" s="143" t="s">
        <v>172</v>
      </c>
      <c r="P4" s="417">
        <v>1</v>
      </c>
      <c r="Q4" s="418">
        <v>1</v>
      </c>
      <c r="R4" s="418">
        <v>1</v>
      </c>
      <c r="S4" s="147"/>
      <c r="T4" s="147"/>
      <c r="U4" s="147"/>
      <c r="V4" s="147"/>
      <c r="W4" s="147"/>
      <c r="X4" s="147"/>
      <c r="Y4" s="405"/>
    </row>
    <row r="5" spans="1:25" x14ac:dyDescent="0.25">
      <c r="A5" s="459"/>
      <c r="B5" s="408" t="s">
        <v>621</v>
      </c>
      <c r="C5" s="416">
        <v>3.5178340548340556E-2</v>
      </c>
      <c r="D5" s="406">
        <v>6.8279134199134214E-2</v>
      </c>
      <c r="E5" s="406">
        <v>2.707721618761141E-2</v>
      </c>
      <c r="F5" s="146"/>
      <c r="G5" s="146"/>
      <c r="H5" s="146"/>
      <c r="I5" s="146"/>
      <c r="J5" s="146"/>
      <c r="K5" s="146"/>
      <c r="L5" s="406"/>
      <c r="N5" s="459"/>
      <c r="O5" s="408" t="s">
        <v>621</v>
      </c>
      <c r="P5" s="420">
        <f>(C5-C4)/C4</f>
        <v>-0.5</v>
      </c>
      <c r="Q5" s="420">
        <f t="shared" ref="Q5:R5" si="3">(D5-D4)/D4</f>
        <v>-0.5</v>
      </c>
      <c r="R5" s="420">
        <f t="shared" si="3"/>
        <v>-0.5</v>
      </c>
      <c r="S5" s="146"/>
      <c r="T5" s="146"/>
      <c r="U5" s="146"/>
      <c r="V5" s="146"/>
      <c r="W5" s="146"/>
      <c r="X5" s="146"/>
      <c r="Y5" s="406"/>
    </row>
    <row r="6" spans="1:25" x14ac:dyDescent="0.25">
      <c r="A6" s="460"/>
      <c r="B6" s="143" t="s">
        <v>173</v>
      </c>
      <c r="C6" s="148"/>
      <c r="D6" s="146"/>
      <c r="E6" s="146"/>
      <c r="F6" s="146"/>
      <c r="G6" s="146"/>
      <c r="H6" s="146"/>
      <c r="I6" s="146"/>
      <c r="J6" s="146"/>
      <c r="K6" s="146"/>
      <c r="L6" s="406"/>
      <c r="N6" s="460"/>
      <c r="O6" s="143" t="s">
        <v>173</v>
      </c>
      <c r="P6" s="148"/>
      <c r="Q6" s="146"/>
      <c r="R6" s="146"/>
      <c r="S6" s="146"/>
      <c r="T6" s="146"/>
      <c r="U6" s="146"/>
      <c r="V6" s="146"/>
      <c r="W6" s="146"/>
      <c r="X6" s="146"/>
      <c r="Y6" s="406"/>
    </row>
    <row r="7" spans="1:25" x14ac:dyDescent="0.25">
      <c r="A7" s="460"/>
      <c r="B7" s="143" t="s">
        <v>362</v>
      </c>
      <c r="C7" s="148"/>
      <c r="D7" s="146"/>
      <c r="E7" s="146"/>
      <c r="F7" s="146"/>
      <c r="G7" s="146"/>
      <c r="H7" s="146"/>
      <c r="I7" s="146"/>
      <c r="J7" s="146"/>
      <c r="K7" s="146"/>
      <c r="L7" s="406"/>
      <c r="N7" s="460"/>
      <c r="O7" s="143" t="s">
        <v>362</v>
      </c>
      <c r="P7" s="148"/>
      <c r="Q7" s="146"/>
      <c r="R7" s="146"/>
      <c r="S7" s="146"/>
      <c r="T7" s="146"/>
      <c r="U7" s="146"/>
      <c r="V7" s="146"/>
      <c r="W7" s="146"/>
      <c r="X7" s="146"/>
      <c r="Y7" s="406"/>
    </row>
    <row r="8" spans="1:25" x14ac:dyDescent="0.25">
      <c r="A8" s="460"/>
      <c r="B8" s="143" t="s">
        <v>363</v>
      </c>
      <c r="C8" s="148"/>
      <c r="D8" s="146"/>
      <c r="E8" s="146"/>
      <c r="F8" s="146"/>
      <c r="G8" s="146"/>
      <c r="H8" s="146"/>
      <c r="I8" s="146"/>
      <c r="J8" s="146"/>
      <c r="K8" s="146"/>
      <c r="L8" s="406"/>
      <c r="N8" s="460"/>
      <c r="O8" s="143" t="s">
        <v>363</v>
      </c>
      <c r="P8" s="148"/>
      <c r="Q8" s="146"/>
      <c r="R8" s="146"/>
      <c r="S8" s="146"/>
      <c r="T8" s="146"/>
      <c r="U8" s="146"/>
      <c r="V8" s="146"/>
      <c r="W8" s="146"/>
      <c r="X8" s="146"/>
      <c r="Y8" s="406"/>
    </row>
    <row r="9" spans="1:25" x14ac:dyDescent="0.25">
      <c r="A9" s="460"/>
      <c r="B9" s="143" t="s">
        <v>156</v>
      </c>
      <c r="C9" s="148"/>
      <c r="D9" s="146"/>
      <c r="E9" s="146"/>
      <c r="F9" s="146"/>
      <c r="G9" s="146"/>
      <c r="H9" s="146"/>
      <c r="I9" s="146"/>
      <c r="J9" s="146"/>
      <c r="K9" s="146"/>
      <c r="L9" s="406">
        <v>0.13256532738095217</v>
      </c>
      <c r="N9" s="460"/>
      <c r="O9" s="143" t="s">
        <v>156</v>
      </c>
      <c r="P9" s="148"/>
      <c r="Q9" s="146"/>
      <c r="R9" s="146"/>
      <c r="S9" s="146"/>
      <c r="T9" s="146"/>
      <c r="U9" s="146"/>
      <c r="V9" s="146"/>
      <c r="W9" s="146"/>
      <c r="X9" s="146"/>
      <c r="Y9" s="411">
        <v>1</v>
      </c>
    </row>
    <row r="10" spans="1:25" x14ac:dyDescent="0.25">
      <c r="A10" s="459"/>
      <c r="B10" s="408" t="s">
        <v>620</v>
      </c>
      <c r="C10" s="409"/>
      <c r="D10" s="146"/>
      <c r="E10" s="146"/>
      <c r="F10" s="146"/>
      <c r="G10" s="146"/>
      <c r="H10" s="146"/>
      <c r="I10" s="146"/>
      <c r="J10" s="146"/>
      <c r="K10" s="146"/>
      <c r="L10" s="406">
        <v>0.12426547619047597</v>
      </c>
      <c r="N10" s="459"/>
      <c r="O10" s="408" t="s">
        <v>620</v>
      </c>
      <c r="P10" s="409"/>
      <c r="Q10" s="146"/>
      <c r="R10" s="146"/>
      <c r="S10" s="146"/>
      <c r="T10" s="146"/>
      <c r="U10" s="146"/>
      <c r="V10" s="146"/>
      <c r="W10" s="146"/>
      <c r="X10" s="146"/>
      <c r="Y10" s="141">
        <f>(L10-L9)/L9</f>
        <v>-6.2609517544696805E-2</v>
      </c>
    </row>
    <row r="11" spans="1:25" x14ac:dyDescent="0.25">
      <c r="A11" s="460"/>
      <c r="B11" s="143" t="s">
        <v>157</v>
      </c>
      <c r="C11" s="149"/>
      <c r="D11" s="140"/>
      <c r="E11" s="140"/>
      <c r="F11" s="140"/>
      <c r="G11" s="140"/>
      <c r="H11" s="140"/>
      <c r="I11" s="140"/>
      <c r="J11" s="140"/>
      <c r="K11" s="140"/>
      <c r="L11" s="407">
        <v>9.3499999999999875E-2</v>
      </c>
      <c r="N11" s="460"/>
      <c r="O11" s="143" t="s">
        <v>157</v>
      </c>
      <c r="P11" s="149"/>
      <c r="Q11" s="140"/>
      <c r="R11" s="140"/>
      <c r="S11" s="140"/>
      <c r="T11" s="140"/>
      <c r="U11" s="140"/>
      <c r="V11" s="140"/>
      <c r="W11" s="140"/>
      <c r="X11" s="140"/>
      <c r="Y11" s="142">
        <f>(L11-L9)/L9</f>
        <v>-0.2946873677510749</v>
      </c>
    </row>
    <row r="12" spans="1:25" x14ac:dyDescent="0.25">
      <c r="A12" s="458" t="s">
        <v>619</v>
      </c>
      <c r="B12" s="144" t="s">
        <v>172</v>
      </c>
      <c r="C12" s="415">
        <v>7.1716681096681112E-2</v>
      </c>
      <c r="D12" s="405">
        <v>0.1392782683982684</v>
      </c>
      <c r="E12" s="405">
        <v>5.5134432375222822E-2</v>
      </c>
      <c r="F12" s="147"/>
      <c r="G12" s="147"/>
      <c r="H12" s="147"/>
      <c r="I12" s="147"/>
      <c r="J12" s="147"/>
      <c r="K12" s="147"/>
      <c r="L12" s="405"/>
      <c r="N12" s="458" t="s">
        <v>619</v>
      </c>
      <c r="O12" s="144" t="s">
        <v>172</v>
      </c>
      <c r="P12" s="417">
        <v>1</v>
      </c>
      <c r="Q12" s="418">
        <v>1</v>
      </c>
      <c r="R12" s="418">
        <v>1</v>
      </c>
      <c r="S12" s="147"/>
      <c r="T12" s="147"/>
      <c r="U12" s="147"/>
      <c r="V12" s="147"/>
      <c r="W12" s="147"/>
      <c r="X12" s="147"/>
      <c r="Y12" s="405"/>
    </row>
    <row r="13" spans="1:25" x14ac:dyDescent="0.25">
      <c r="A13" s="458"/>
      <c r="B13" s="408" t="s">
        <v>621</v>
      </c>
      <c r="C13" s="416">
        <v>4.1746522366522376E-2</v>
      </c>
      <c r="D13" s="406">
        <v>8.1415497835497855E-2</v>
      </c>
      <c r="E13" s="406">
        <v>3.1810170733065954E-2</v>
      </c>
      <c r="F13" s="146"/>
      <c r="G13" s="146"/>
      <c r="H13" s="146"/>
      <c r="I13" s="146"/>
      <c r="J13" s="146"/>
      <c r="K13" s="146"/>
      <c r="L13" s="406"/>
      <c r="N13" s="458"/>
      <c r="O13" s="408" t="s">
        <v>621</v>
      </c>
      <c r="P13" s="420">
        <f>(C13-C12)/C12</f>
        <v>-0.41789662142557915</v>
      </c>
      <c r="Q13" s="420">
        <f t="shared" ref="Q13:R13" si="4">(D13-D12)/D12</f>
        <v>-0.41544722825897751</v>
      </c>
      <c r="R13" s="420">
        <f t="shared" si="4"/>
        <v>-0.42304347097329859</v>
      </c>
      <c r="S13" s="146"/>
      <c r="T13" s="146"/>
      <c r="U13" s="146"/>
      <c r="V13" s="146"/>
      <c r="W13" s="146"/>
      <c r="X13" s="146"/>
      <c r="Y13" s="406"/>
    </row>
    <row r="14" spans="1:25" x14ac:dyDescent="0.25">
      <c r="A14" s="460"/>
      <c r="B14" s="143" t="s">
        <v>173</v>
      </c>
      <c r="C14" s="148"/>
      <c r="D14" s="146"/>
      <c r="E14" s="146"/>
      <c r="F14" s="146"/>
      <c r="G14" s="146"/>
      <c r="H14" s="146"/>
      <c r="I14" s="146"/>
      <c r="J14" s="146"/>
      <c r="K14" s="146"/>
      <c r="L14" s="406"/>
      <c r="N14" s="460"/>
      <c r="O14" s="143" t="s">
        <v>173</v>
      </c>
      <c r="P14" s="148"/>
      <c r="Q14" s="146"/>
      <c r="R14" s="146"/>
      <c r="S14" s="146"/>
      <c r="T14" s="146"/>
      <c r="U14" s="146"/>
      <c r="V14" s="146"/>
      <c r="W14" s="146"/>
      <c r="X14" s="146"/>
      <c r="Y14" s="406"/>
    </row>
    <row r="15" spans="1:25" x14ac:dyDescent="0.25">
      <c r="A15" s="460"/>
      <c r="B15" s="143" t="s">
        <v>362</v>
      </c>
      <c r="C15" s="148"/>
      <c r="D15" s="146"/>
      <c r="E15" s="146"/>
      <c r="F15" s="146"/>
      <c r="G15" s="146"/>
      <c r="H15" s="146"/>
      <c r="I15" s="146"/>
      <c r="J15" s="146"/>
      <c r="K15" s="146"/>
      <c r="L15" s="406"/>
      <c r="N15" s="460"/>
      <c r="O15" s="143" t="s">
        <v>362</v>
      </c>
      <c r="P15" s="148"/>
      <c r="Q15" s="146"/>
      <c r="R15" s="146"/>
      <c r="S15" s="146"/>
      <c r="T15" s="146"/>
      <c r="U15" s="146"/>
      <c r="V15" s="146"/>
      <c r="W15" s="146"/>
      <c r="X15" s="146"/>
      <c r="Y15" s="406"/>
    </row>
    <row r="16" spans="1:25" x14ac:dyDescent="0.25">
      <c r="A16" s="460"/>
      <c r="B16" s="143" t="s">
        <v>363</v>
      </c>
      <c r="C16" s="148"/>
      <c r="D16" s="146"/>
      <c r="E16" s="146"/>
      <c r="F16" s="146"/>
      <c r="G16" s="146"/>
      <c r="H16" s="146"/>
      <c r="I16" s="146"/>
      <c r="J16" s="146"/>
      <c r="K16" s="146"/>
      <c r="L16" s="406"/>
      <c r="N16" s="460"/>
      <c r="O16" s="143" t="s">
        <v>363</v>
      </c>
      <c r="P16" s="148"/>
      <c r="Q16" s="146"/>
      <c r="R16" s="146"/>
      <c r="S16" s="146"/>
      <c r="T16" s="146"/>
      <c r="U16" s="146"/>
      <c r="V16" s="146"/>
      <c r="W16" s="146"/>
      <c r="X16" s="146"/>
      <c r="Y16" s="406"/>
    </row>
    <row r="17" spans="1:25" x14ac:dyDescent="0.25">
      <c r="A17" s="460"/>
      <c r="B17" s="143" t="s">
        <v>156</v>
      </c>
      <c r="C17" s="148"/>
      <c r="D17" s="146"/>
      <c r="E17" s="146"/>
      <c r="F17" s="146"/>
      <c r="G17" s="146"/>
      <c r="H17" s="146"/>
      <c r="I17" s="146"/>
      <c r="J17" s="146"/>
      <c r="K17" s="146"/>
      <c r="L17" s="406">
        <v>0.13552961309523823</v>
      </c>
      <c r="N17" s="460"/>
      <c r="O17" s="143" t="s">
        <v>156</v>
      </c>
      <c r="P17" s="148"/>
      <c r="Q17" s="146"/>
      <c r="R17" s="146"/>
      <c r="S17" s="146"/>
      <c r="T17" s="146"/>
      <c r="U17" s="146"/>
      <c r="V17" s="146"/>
      <c r="W17" s="146"/>
      <c r="X17" s="146"/>
      <c r="Y17" s="411">
        <v>1</v>
      </c>
    </row>
    <row r="18" spans="1:25" x14ac:dyDescent="0.25">
      <c r="A18" s="459"/>
      <c r="B18" s="408" t="s">
        <v>620</v>
      </c>
      <c r="C18" s="409"/>
      <c r="D18" s="146"/>
      <c r="E18" s="146"/>
      <c r="F18" s="146"/>
      <c r="G18" s="146"/>
      <c r="H18" s="146"/>
      <c r="I18" s="146"/>
      <c r="J18" s="146"/>
      <c r="K18" s="146"/>
      <c r="L18" s="406">
        <v>0.12611428571428504</v>
      </c>
      <c r="N18" s="459"/>
      <c r="O18" s="408" t="s">
        <v>620</v>
      </c>
      <c r="P18" s="409"/>
      <c r="Q18" s="146"/>
      <c r="R18" s="146"/>
      <c r="S18" s="146"/>
      <c r="T18" s="146"/>
      <c r="U18" s="146"/>
      <c r="V18" s="146"/>
      <c r="W18" s="146"/>
      <c r="X18" s="146"/>
      <c r="Y18" s="141">
        <f>(L18-L17)/L17</f>
        <v>-6.9470628344057372E-2</v>
      </c>
    </row>
    <row r="19" spans="1:25" x14ac:dyDescent="0.25">
      <c r="A19" s="460"/>
      <c r="B19" s="143" t="s">
        <v>157</v>
      </c>
      <c r="C19" s="149"/>
      <c r="D19" s="140"/>
      <c r="E19" s="140"/>
      <c r="F19" s="140"/>
      <c r="G19" s="140"/>
      <c r="H19" s="140"/>
      <c r="I19" s="140"/>
      <c r="J19" s="140"/>
      <c r="K19" s="140"/>
      <c r="L19" s="407">
        <v>9.7166666666666762E-2</v>
      </c>
      <c r="N19" s="460"/>
      <c r="O19" s="143" t="s">
        <v>157</v>
      </c>
      <c r="P19" s="149"/>
      <c r="Q19" s="140"/>
      <c r="R19" s="140"/>
      <c r="S19" s="140"/>
      <c r="T19" s="140"/>
      <c r="U19" s="140"/>
      <c r="V19" s="140"/>
      <c r="W19" s="140"/>
      <c r="X19" s="140"/>
      <c r="Y19" s="142">
        <f>(L19-L17)/L17</f>
        <v>-0.28305951409758234</v>
      </c>
    </row>
    <row r="20" spans="1:25" x14ac:dyDescent="0.25"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5">
      <c r="B21" s="213">
        <v>44783</v>
      </c>
      <c r="C21" s="457"/>
      <c r="D21" s="457"/>
      <c r="E21" s="457"/>
      <c r="F21" s="457"/>
      <c r="G21" s="457"/>
      <c r="H21" s="457"/>
      <c r="N21" s="56"/>
      <c r="O21" s="213">
        <v>44783</v>
      </c>
      <c r="P21" s="457"/>
      <c r="Q21" s="457"/>
      <c r="R21" s="457"/>
      <c r="S21" s="457"/>
      <c r="T21" s="457"/>
      <c r="U21" s="457"/>
      <c r="V21" s="56"/>
      <c r="W21" s="56"/>
      <c r="X21" s="56"/>
      <c r="Y21" s="56"/>
    </row>
  </sheetData>
  <mergeCells count="6">
    <mergeCell ref="C21:H21"/>
    <mergeCell ref="P21:U21"/>
    <mergeCell ref="A4:A11"/>
    <mergeCell ref="N4:N11"/>
    <mergeCell ref="A12:A19"/>
    <mergeCell ref="N12:N19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28" t="s">
        <v>83</v>
      </c>
      <c r="C2" s="128" t="s">
        <v>84</v>
      </c>
      <c r="D2" s="128" t="s">
        <v>169</v>
      </c>
      <c r="E2" s="128" t="s">
        <v>14</v>
      </c>
      <c r="F2" s="128" t="s">
        <v>37</v>
      </c>
      <c r="G2" s="128" t="s">
        <v>153</v>
      </c>
      <c r="H2" s="128" t="s">
        <v>30</v>
      </c>
      <c r="I2" s="128" t="s">
        <v>155</v>
      </c>
      <c r="J2" s="128" t="s">
        <v>156</v>
      </c>
      <c r="K2" s="128" t="s">
        <v>157</v>
      </c>
      <c r="M2" s="86">
        <v>352</v>
      </c>
      <c r="N2" s="56" t="s">
        <v>364</v>
      </c>
      <c r="O2" s="45" t="s">
        <v>245</v>
      </c>
      <c r="P2" s="45" t="s">
        <v>365</v>
      </c>
      <c r="Q2" s="45" t="s">
        <v>245</v>
      </c>
      <c r="R2" s="45" t="s">
        <v>28</v>
      </c>
      <c r="S2" s="45" t="s">
        <v>247</v>
      </c>
      <c r="T2" s="45" t="s">
        <v>248</v>
      </c>
      <c r="U2" s="45" t="s">
        <v>247</v>
      </c>
      <c r="V2" s="45" t="s">
        <v>242</v>
      </c>
      <c r="W2" s="45" t="s">
        <v>366</v>
      </c>
      <c r="X2" s="45" t="s">
        <v>367</v>
      </c>
    </row>
    <row r="3" spans="2:25" x14ac:dyDescent="0.25">
      <c r="B3" t="s">
        <v>14</v>
      </c>
      <c r="C3" t="e">
        <f>Evaluacion!A3</f>
        <v>#REF!</v>
      </c>
      <c r="D3" s="56"/>
      <c r="E3" s="68" t="e">
        <f>Evaluacion!K3</f>
        <v>#REF!</v>
      </c>
      <c r="F3" s="68" t="e">
        <f>Evaluacion!L3</f>
        <v>#REF!</v>
      </c>
      <c r="G3" s="68" t="e">
        <f>Evaluacion!M3</f>
        <v>#REF!</v>
      </c>
      <c r="H3" s="68" t="e">
        <f>Evaluacion!N3</f>
        <v>#REF!</v>
      </c>
      <c r="I3" s="68" t="e">
        <f>Evaluacion!O3</f>
        <v>#REF!</v>
      </c>
      <c r="J3" s="68" t="e">
        <f>Evaluacion!P3</f>
        <v>#REF!</v>
      </c>
      <c r="K3" s="68" t="e">
        <f>Evaluacion!Q3</f>
        <v>#REF!</v>
      </c>
      <c r="M3" t="s">
        <v>14</v>
      </c>
      <c r="N3" s="153">
        <v>1</v>
      </c>
      <c r="O3" s="114" t="e">
        <f>Evaluacion!X3</f>
        <v>#REF!</v>
      </c>
      <c r="P3" s="114" t="e">
        <f>Evaluacion!Y3</f>
        <v>#REF!</v>
      </c>
      <c r="Q3" s="114" t="e">
        <f>Evaluacion!Z3</f>
        <v>#REF!</v>
      </c>
      <c r="R3" s="114">
        <v>0</v>
      </c>
      <c r="S3" s="114">
        <v>0</v>
      </c>
      <c r="T3" s="114">
        <v>0</v>
      </c>
      <c r="U3" s="114">
        <v>0</v>
      </c>
      <c r="V3" s="114">
        <v>0</v>
      </c>
      <c r="W3" s="114">
        <f>Evaluacion!T3</f>
        <v>0</v>
      </c>
      <c r="X3" s="114">
        <f>Evaluacion!U3</f>
        <v>0</v>
      </c>
      <c r="Y3" s="157"/>
    </row>
    <row r="4" spans="2:25" x14ac:dyDescent="0.25">
      <c r="B4" t="s">
        <v>368</v>
      </c>
      <c r="C4" t="str">
        <f>Evaluacion!A6</f>
        <v>V. Gardner</v>
      </c>
      <c r="D4" s="56"/>
      <c r="E4" s="68">
        <f>Evaluacion!K6</f>
        <v>0</v>
      </c>
      <c r="F4" s="68">
        <f>Evaluacion!L6</f>
        <v>15</v>
      </c>
      <c r="G4" s="68">
        <f>Evaluacion!M6</f>
        <v>8</v>
      </c>
      <c r="H4" s="68">
        <f>Evaluacion!N6</f>
        <v>3</v>
      </c>
      <c r="I4" s="68">
        <f>Evaluacion!O6</f>
        <v>4</v>
      </c>
      <c r="J4" s="68">
        <f>Evaluacion!P6</f>
        <v>7</v>
      </c>
      <c r="K4" s="68">
        <f>Evaluacion!Q6</f>
        <v>19</v>
      </c>
      <c r="M4" t="s">
        <v>368</v>
      </c>
      <c r="N4" s="153">
        <v>1</v>
      </c>
      <c r="O4" s="114">
        <f ca="1">Evaluacion!AI6</f>
        <v>15.946666666666665</v>
      </c>
      <c r="P4" s="114">
        <f ca="1">Evaluacion!AJ6</f>
        <v>7.1759999999999993</v>
      </c>
      <c r="Q4" s="114">
        <v>0</v>
      </c>
      <c r="R4" s="114">
        <f ca="1">Evaluacion!AK6</f>
        <v>1.7256666666666669</v>
      </c>
      <c r="S4" s="114">
        <f ca="1">Evaluacion!AL6</f>
        <v>3.1359999999999997</v>
      </c>
      <c r="T4" s="114">
        <v>0</v>
      </c>
      <c r="U4" s="114">
        <v>0</v>
      </c>
      <c r="V4" s="114">
        <f ca="1">Evaluacion!R6</f>
        <v>18.283685181650238</v>
      </c>
      <c r="W4" s="114">
        <f>Evaluacion!T6</f>
        <v>0</v>
      </c>
      <c r="X4" s="114">
        <f>Evaluacion!U6</f>
        <v>0</v>
      </c>
    </row>
    <row r="5" spans="2:25" x14ac:dyDescent="0.25">
      <c r="B5" t="s">
        <v>369</v>
      </c>
      <c r="C5" t="str">
        <f>Evaluacion!A14</f>
        <v>S. Sawczyn</v>
      </c>
      <c r="D5" s="56"/>
      <c r="E5" s="68">
        <f>Evaluacion!K14</f>
        <v>0</v>
      </c>
      <c r="F5" s="68">
        <f>Evaluacion!L14</f>
        <v>12</v>
      </c>
      <c r="G5" s="68">
        <f>Evaluacion!M14</f>
        <v>14</v>
      </c>
      <c r="H5" s="68">
        <f>Evaluacion!N14</f>
        <v>3</v>
      </c>
      <c r="I5" s="68">
        <f>Evaluacion!O14</f>
        <v>6</v>
      </c>
      <c r="J5" s="68">
        <f>Evaluacion!P14</f>
        <v>9</v>
      </c>
      <c r="K5" s="68">
        <f>Evaluacion!Q14</f>
        <v>19</v>
      </c>
      <c r="M5" t="s">
        <v>369</v>
      </c>
      <c r="N5" s="153">
        <v>1</v>
      </c>
      <c r="O5" s="114">
        <f ca="1">(Evaluacion!AA14+Evaluacion!AC14)/2</f>
        <v>5.2706892426974044</v>
      </c>
      <c r="P5" s="114">
        <f ca="1">Evaluacion!AB14</f>
        <v>13.619352048313706</v>
      </c>
      <c r="Q5" s="114">
        <f ca="1">O5</f>
        <v>5.2706892426974044</v>
      </c>
      <c r="R5" s="114">
        <f ca="1">Evaluacion!AD14</f>
        <v>3.7174057874986617</v>
      </c>
      <c r="S5" s="114">
        <v>0</v>
      </c>
      <c r="T5" s="114">
        <v>0</v>
      </c>
      <c r="U5" s="114">
        <v>0</v>
      </c>
      <c r="V5" s="114">
        <f ca="1">Evaluacion!R14</f>
        <v>19.886725285711051</v>
      </c>
      <c r="W5" s="114">
        <f>Evaluacion!T14</f>
        <v>0</v>
      </c>
      <c r="X5" s="114">
        <f>Evaluacion!U14</f>
        <v>0</v>
      </c>
    </row>
    <row r="6" spans="2:25" x14ac:dyDescent="0.25">
      <c r="B6" t="s">
        <v>368</v>
      </c>
      <c r="C6" t="str">
        <f>Evaluacion!A9</f>
        <v>P. Tuderek</v>
      </c>
      <c r="D6" s="56" t="str">
        <f>Evaluacion!D9</f>
        <v>Cab</v>
      </c>
      <c r="E6" s="68">
        <f>Evaluacion!K9</f>
        <v>0</v>
      </c>
      <c r="F6" s="68">
        <f>Evaluacion!L9</f>
        <v>11</v>
      </c>
      <c r="G6" s="68">
        <f>Evaluacion!M9</f>
        <v>15</v>
      </c>
      <c r="H6" s="68">
        <f>Evaluacion!N9</f>
        <v>2</v>
      </c>
      <c r="I6" s="68">
        <f>Evaluacion!O9</f>
        <v>3</v>
      </c>
      <c r="J6" s="68">
        <f>Evaluacion!P9</f>
        <v>8</v>
      </c>
      <c r="K6" s="68">
        <f>Evaluacion!Q9</f>
        <v>20</v>
      </c>
      <c r="M6" t="s">
        <v>368</v>
      </c>
      <c r="N6" s="153">
        <v>1</v>
      </c>
      <c r="O6" s="114">
        <v>0</v>
      </c>
      <c r="P6" s="114">
        <f ca="1">Evaluacion!AJ9</f>
        <v>5.5428487622073401</v>
      </c>
      <c r="Q6" s="114">
        <f ca="1">Evaluacion!AI9</f>
        <v>12.317441693794089</v>
      </c>
      <c r="R6" s="114">
        <f ca="1">Evaluacion!AK9</f>
        <v>2.9038834378952321</v>
      </c>
      <c r="S6" s="114">
        <v>0</v>
      </c>
      <c r="T6" s="114">
        <f>0</f>
        <v>0</v>
      </c>
      <c r="U6" s="114">
        <f ca="1">Evaluacion!AL9</f>
        <v>2.580451865164048</v>
      </c>
      <c r="V6" s="114">
        <f ca="1">Evaluacion!R9</f>
        <v>20.432837941294881</v>
      </c>
      <c r="W6" s="114">
        <f>Evaluacion!T9</f>
        <v>0</v>
      </c>
      <c r="X6" s="114">
        <f>Evaluacion!U9</f>
        <v>0</v>
      </c>
    </row>
    <row r="7" spans="2:25" x14ac:dyDescent="0.25">
      <c r="B7" t="s">
        <v>234</v>
      </c>
      <c r="C7" t="str">
        <f>Evaluacion!A12</f>
        <v>纪 (J.) 昌永 (Changyong)</v>
      </c>
      <c r="D7" s="56" t="str">
        <f>Evaluacion!D12</f>
        <v>Cab</v>
      </c>
      <c r="E7" s="68">
        <f>Evaluacion!K12</f>
        <v>0</v>
      </c>
      <c r="F7" s="68">
        <f>Evaluacion!L12</f>
        <v>13</v>
      </c>
      <c r="G7" s="68">
        <f>Evaluacion!M12</f>
        <v>16</v>
      </c>
      <c r="H7" s="68">
        <f>Evaluacion!N12</f>
        <v>3</v>
      </c>
      <c r="I7" s="68">
        <f>Evaluacion!O12</f>
        <v>3</v>
      </c>
      <c r="J7" s="68">
        <f>Evaluacion!P12</f>
        <v>9</v>
      </c>
      <c r="K7" s="68">
        <f>Evaluacion!Q12</f>
        <v>19</v>
      </c>
      <c r="M7" t="s">
        <v>234</v>
      </c>
      <c r="N7" s="153">
        <v>0.82499999999999984</v>
      </c>
      <c r="O7" s="114">
        <f ca="1">Evaluacion!BE12*N7</f>
        <v>3.7144497779813865</v>
      </c>
      <c r="P7" s="114">
        <f ca="1">Evaluacion!BF12*N7</f>
        <v>4.4420224149055754</v>
      </c>
      <c r="Q7" s="114">
        <v>0</v>
      </c>
      <c r="R7" s="114">
        <f ca="1">Evaluacion!BG12*N7</f>
        <v>13.425939791758081</v>
      </c>
      <c r="S7" s="114">
        <f ca="1">Evaluacion!BH12*N7</f>
        <v>4.0133302495720056</v>
      </c>
      <c r="T7" s="114">
        <f ca="1">Evaluacion!BI12*N7</f>
        <v>1.0879781666443793</v>
      </c>
      <c r="U7" s="114">
        <v>0</v>
      </c>
      <c r="V7" s="114">
        <v>0</v>
      </c>
      <c r="W7" s="114">
        <f>Evaluacion!T12*N7</f>
        <v>0</v>
      </c>
      <c r="X7" s="114">
        <f>Evaluacion!U12*N7</f>
        <v>0</v>
      </c>
    </row>
    <row r="8" spans="2:25" x14ac:dyDescent="0.25">
      <c r="B8" t="s">
        <v>121</v>
      </c>
      <c r="C8" t="str">
        <f>Evaluacion!A15</f>
        <v>S. Hovhannesyan</v>
      </c>
      <c r="D8" s="56"/>
      <c r="E8" s="68">
        <f>Evaluacion!K15</f>
        <v>0</v>
      </c>
      <c r="F8" s="68">
        <f>Evaluacion!L15</f>
        <v>13</v>
      </c>
      <c r="G8" s="68">
        <f>Evaluacion!M15</f>
        <v>16</v>
      </c>
      <c r="H8" s="68">
        <f>Evaluacion!N15</f>
        <v>2</v>
      </c>
      <c r="I8" s="68">
        <f>Evaluacion!O15</f>
        <v>2</v>
      </c>
      <c r="J8" s="68">
        <f>Evaluacion!P15</f>
        <v>8</v>
      </c>
      <c r="K8" s="68">
        <f>Evaluacion!Q15</f>
        <v>19</v>
      </c>
      <c r="M8" t="s">
        <v>121</v>
      </c>
      <c r="N8" s="153">
        <v>0.82499999999999984</v>
      </c>
      <c r="O8" s="114">
        <f ca="1">((Evaluacion!AX15+Evaluacion!AZ15)/2)*N8</f>
        <v>1.7503395298541828</v>
      </c>
      <c r="P8" s="114">
        <f ca="1">Evaluacion!AY15*N8</f>
        <v>4.9392297138742371</v>
      </c>
      <c r="Q8" s="114">
        <f ca="1">O8</f>
        <v>1.7503395298541828</v>
      </c>
      <c r="R8" s="114">
        <f ca="1">Evaluacion!BA15*N8</f>
        <v>14.823074284685593</v>
      </c>
      <c r="S8" s="114">
        <f ca="1">((Evaluacion!BB15+Evaluacion!BD15)/2)*N8</f>
        <v>0.62106584551909139</v>
      </c>
      <c r="T8" s="114">
        <f ca="1">Evaluacion!BC15*N8</f>
        <v>2.842963930861762</v>
      </c>
      <c r="U8" s="114">
        <f ca="1">S8</f>
        <v>0.62106584551909139</v>
      </c>
      <c r="V8" s="114">
        <v>0</v>
      </c>
      <c r="W8" s="114">
        <f>Evaluacion!T15*N8</f>
        <v>0</v>
      </c>
      <c r="X8" s="114">
        <f>Evaluacion!U15*N8</f>
        <v>0</v>
      </c>
    </row>
    <row r="9" spans="2:25" x14ac:dyDescent="0.25">
      <c r="B9" t="s">
        <v>234</v>
      </c>
      <c r="C9" t="str">
        <f>Evaluacion!A13</f>
        <v>Y. Galitsky</v>
      </c>
      <c r="D9" s="56" t="str">
        <f>Evaluacion!D13</f>
        <v>Imp</v>
      </c>
      <c r="E9" s="68">
        <f>Evaluacion!K13</f>
        <v>0</v>
      </c>
      <c r="F9" s="68">
        <f>Evaluacion!L13</f>
        <v>14</v>
      </c>
      <c r="G9" s="68">
        <f>Evaluacion!M13</f>
        <v>15</v>
      </c>
      <c r="H9" s="68">
        <f>Evaluacion!N13</f>
        <v>1</v>
      </c>
      <c r="I9" s="68">
        <f>Evaluacion!O13</f>
        <v>5</v>
      </c>
      <c r="J9" s="68">
        <f>Evaluacion!P13</f>
        <v>9</v>
      </c>
      <c r="K9" s="68">
        <f>Evaluacion!Q13</f>
        <v>18</v>
      </c>
      <c r="M9" t="s">
        <v>234</v>
      </c>
      <c r="N9" s="153">
        <v>0.82499999999999984</v>
      </c>
      <c r="O9" s="114">
        <v>0</v>
      </c>
      <c r="P9" s="114">
        <f ca="1">Evaluacion!BF13*N9</f>
        <v>4.6926386679929442</v>
      </c>
      <c r="Q9" s="114">
        <f ca="1">Evaluacion!BE13*N9</f>
        <v>3.9240168172009962</v>
      </c>
      <c r="R9" s="114">
        <f ca="1">Evaluacion!BG13*N9</f>
        <v>12.606752202591334</v>
      </c>
      <c r="S9" s="114">
        <v>0</v>
      </c>
      <c r="T9" s="114">
        <f ca="1">Evaluacion!BI13*N9</f>
        <v>1.4603621235238495</v>
      </c>
      <c r="U9" s="114">
        <f ca="1">Evaluacion!BH13*N9</f>
        <v>3.4927789535796778</v>
      </c>
      <c r="V9" s="114">
        <v>0</v>
      </c>
      <c r="W9" s="114">
        <f>Evaluacion!T13*N9</f>
        <v>0</v>
      </c>
      <c r="X9" s="114">
        <f>Evaluacion!U13*N9</f>
        <v>0</v>
      </c>
    </row>
    <row r="10" spans="2:25" x14ac:dyDescent="0.25">
      <c r="B10" t="s">
        <v>237</v>
      </c>
      <c r="C10" t="e">
        <f>#REF!</f>
        <v>#REF!</v>
      </c>
      <c r="D10" s="56" t="e">
        <f>#REF!</f>
        <v>#REF!</v>
      </c>
      <c r="E10" s="68" t="e">
        <f>#REF!</f>
        <v>#REF!</v>
      </c>
      <c r="F10" s="68" t="e">
        <f>#REF!</f>
        <v>#REF!</v>
      </c>
      <c r="G10" s="68" t="e">
        <f>#REF!</f>
        <v>#REF!</v>
      </c>
      <c r="H10" s="68" t="e">
        <f>#REF!</f>
        <v>#REF!</v>
      </c>
      <c r="I10" s="68" t="e">
        <f>#REF!</f>
        <v>#REF!</v>
      </c>
      <c r="J10" s="68" t="e">
        <f>#REF!</f>
        <v>#REF!</v>
      </c>
      <c r="K10" s="68" t="e">
        <f>#REF!</f>
        <v>#REF!</v>
      </c>
      <c r="M10" t="s">
        <v>237</v>
      </c>
      <c r="N10" s="153">
        <v>1</v>
      </c>
      <c r="O10" s="114" t="e">
        <f>#REF!</f>
        <v>#REF!</v>
      </c>
      <c r="P10" s="114" t="e">
        <f>#REF!</f>
        <v>#REF!</v>
      </c>
      <c r="Q10" s="114">
        <v>0</v>
      </c>
      <c r="R10" s="114" t="e">
        <f>#REF!</f>
        <v>#REF!</v>
      </c>
      <c r="S10" s="114" t="e">
        <f>#REF!</f>
        <v>#REF!</v>
      </c>
      <c r="T10" s="114" t="e">
        <f>#REF!</f>
        <v>#REF!</v>
      </c>
      <c r="U10" s="114">
        <v>0</v>
      </c>
      <c r="V10" s="114">
        <v>0</v>
      </c>
      <c r="W10" s="114" t="e">
        <f>#REF!*N10</f>
        <v>#REF!</v>
      </c>
      <c r="X10" s="114" t="e">
        <f>#REF!*N10</f>
        <v>#REF!</v>
      </c>
    </row>
    <row r="11" spans="2:25" x14ac:dyDescent="0.25">
      <c r="B11" t="s">
        <v>237</v>
      </c>
      <c r="C11" t="str">
        <f>Evaluacion!A10</f>
        <v>T. McPhail</v>
      </c>
      <c r="D11" s="56" t="str">
        <f>Evaluacion!D10</f>
        <v>Imp</v>
      </c>
      <c r="E11" s="68">
        <f>Evaluacion!K10</f>
        <v>0</v>
      </c>
      <c r="F11" s="68">
        <f>Evaluacion!L10</f>
        <v>13</v>
      </c>
      <c r="G11" s="68">
        <f>Evaluacion!M10</f>
        <v>14</v>
      </c>
      <c r="H11" s="68">
        <f>Evaluacion!N10</f>
        <v>4</v>
      </c>
      <c r="I11" s="68">
        <f>Evaluacion!O10</f>
        <v>4</v>
      </c>
      <c r="J11" s="68">
        <f>Evaluacion!P10</f>
        <v>9</v>
      </c>
      <c r="K11" s="68">
        <f>Evaluacion!Q10</f>
        <v>17</v>
      </c>
      <c r="M11" t="s">
        <v>237</v>
      </c>
      <c r="N11" s="153">
        <v>1</v>
      </c>
      <c r="O11" s="114">
        <v>0</v>
      </c>
      <c r="P11" s="114">
        <f ca="1">Evaluacion!BU10</f>
        <v>3.7670936320474939</v>
      </c>
      <c r="Q11" s="114">
        <f ca="1">Evaluacion!BT10</f>
        <v>4.3846499651700332</v>
      </c>
      <c r="R11" s="114">
        <f ca="1">Evaluacion!BV10</f>
        <v>7.4797032892688931</v>
      </c>
      <c r="S11" s="114">
        <v>0</v>
      </c>
      <c r="T11" s="114">
        <f ca="1">Evaluacion!BX10</f>
        <v>0.77910790769568339</v>
      </c>
      <c r="U11" s="114">
        <f ca="1">Evaluacion!BW10</f>
        <v>7.1343104274943574</v>
      </c>
      <c r="V11" s="114">
        <v>0</v>
      </c>
      <c r="W11" s="114">
        <f>Evaluacion!T10*N11</f>
        <v>0</v>
      </c>
      <c r="X11" s="114">
        <f>Evaluacion!U10*N11</f>
        <v>0</v>
      </c>
    </row>
    <row r="12" spans="2:25" x14ac:dyDescent="0.25">
      <c r="B12" t="s">
        <v>21</v>
      </c>
      <c r="C12" t="str">
        <f>Evaluacion!A18</f>
        <v>I. Vanags</v>
      </c>
      <c r="D12" s="56" t="str">
        <f>Evaluacion!D18</f>
        <v>Cab</v>
      </c>
      <c r="E12" s="68">
        <f>Evaluacion!K18</f>
        <v>0</v>
      </c>
      <c r="F12" s="68">
        <f>Evaluacion!L18</f>
        <v>10</v>
      </c>
      <c r="G12" s="68">
        <f>Evaluacion!M18</f>
        <v>15</v>
      </c>
      <c r="H12" s="68">
        <f>Evaluacion!N18</f>
        <v>2</v>
      </c>
      <c r="I12" s="68">
        <f>Evaluacion!O18</f>
        <v>3</v>
      </c>
      <c r="J12" s="68">
        <f>Evaluacion!P18</f>
        <v>8</v>
      </c>
      <c r="K12" s="68">
        <f>Evaluacion!Q18</f>
        <v>19</v>
      </c>
      <c r="M12" t="s">
        <v>21</v>
      </c>
      <c r="N12" s="153">
        <v>0.94499999999999995</v>
      </c>
      <c r="O12" s="114">
        <v>0</v>
      </c>
      <c r="P12" s="114">
        <v>0</v>
      </c>
      <c r="Q12" s="114">
        <v>0</v>
      </c>
      <c r="R12" s="114">
        <f ca="1">N12*Evaluacion!CK18</f>
        <v>4.1080386958248409</v>
      </c>
      <c r="S12" s="114">
        <f ca="1">N12*Evaluacion!CH18</f>
        <v>4.192067429995503</v>
      </c>
      <c r="T12" s="114">
        <f ca="1">N12*Evaluacion!CI18</f>
        <v>11.696159898336827</v>
      </c>
      <c r="U12" s="114">
        <f ca="1">S12</f>
        <v>4.192067429995503</v>
      </c>
      <c r="V12" s="114">
        <v>0</v>
      </c>
      <c r="W12" s="114">
        <f>Evaluacion!T18*N12</f>
        <v>0</v>
      </c>
      <c r="X12" s="114">
        <f>Evaluacion!U18*N12</f>
        <v>0</v>
      </c>
    </row>
    <row r="13" spans="2:25" x14ac:dyDescent="0.25">
      <c r="B13" t="s">
        <v>122</v>
      </c>
      <c r="C13" t="e">
        <f>Evaluacion!#REF!</f>
        <v>#REF!</v>
      </c>
      <c r="D13" s="56" t="e">
        <f>Evaluacion!#REF!</f>
        <v>#REF!</v>
      </c>
      <c r="E13" s="68" t="e">
        <f>Evaluacion!#REF!</f>
        <v>#REF!</v>
      </c>
      <c r="F13" s="68" t="e">
        <f>Evaluacion!#REF!</f>
        <v>#REF!</v>
      </c>
      <c r="G13" s="68" t="e">
        <f>Evaluacion!#REF!</f>
        <v>#REF!</v>
      </c>
      <c r="H13" s="68" t="e">
        <f>Evaluacion!#REF!</f>
        <v>#REF!</v>
      </c>
      <c r="I13" s="68" t="e">
        <f>Evaluacion!#REF!</f>
        <v>#REF!</v>
      </c>
      <c r="J13" s="68" t="e">
        <f>Evaluacion!#REF!</f>
        <v>#REF!</v>
      </c>
      <c r="K13" s="68" t="e">
        <f>Evaluacion!#REF!</f>
        <v>#REF!</v>
      </c>
      <c r="M13" t="s">
        <v>122</v>
      </c>
      <c r="N13" s="153">
        <f>1-0.055</f>
        <v>0.94499999999999995</v>
      </c>
      <c r="O13" s="114">
        <v>0</v>
      </c>
      <c r="P13" s="114">
        <v>0</v>
      </c>
      <c r="Q13" s="114">
        <v>0</v>
      </c>
      <c r="R13" s="114" t="e">
        <f>N13*Evaluacion!#REF!</f>
        <v>#REF!</v>
      </c>
      <c r="S13" s="114" t="e">
        <f>N13*Evaluacion!#REF!</f>
        <v>#REF!</v>
      </c>
      <c r="T13" s="114" t="e">
        <f>N13*Evaluacion!#REF!</f>
        <v>#REF!</v>
      </c>
      <c r="U13" s="114" t="e">
        <f>S13</f>
        <v>#REF!</v>
      </c>
      <c r="V13" s="114">
        <v>0</v>
      </c>
      <c r="W13" s="114" t="e">
        <f>Evaluacion!#REF!*N13</f>
        <v>#REF!</v>
      </c>
      <c r="X13" s="114" t="e">
        <f>Evaluacion!#REF!*N13</f>
        <v>#REF!</v>
      </c>
    </row>
    <row r="14" spans="2:25" x14ac:dyDescent="0.25">
      <c r="N14" s="56"/>
      <c r="O14" s="154" t="e">
        <f t="shared" ref="O14:X14" si="0">SUM(O3:O13)</f>
        <v>#REF!</v>
      </c>
      <c r="P14" s="154" t="e">
        <f t="shared" si="0"/>
        <v>#REF!</v>
      </c>
      <c r="Q14" s="154" t="e">
        <f t="shared" si="0"/>
        <v>#REF!</v>
      </c>
      <c r="R14" s="154" t="e">
        <f t="shared" ca="1" si="0"/>
        <v>#REF!</v>
      </c>
      <c r="S14" s="154" t="e">
        <f t="shared" ca="1" si="0"/>
        <v>#REF!</v>
      </c>
      <c r="T14" s="154" t="e">
        <f t="shared" ca="1" si="0"/>
        <v>#REF!</v>
      </c>
      <c r="U14" s="154" t="e">
        <f t="shared" ca="1" si="0"/>
        <v>#REF!</v>
      </c>
      <c r="V14" s="154">
        <f t="shared" ca="1" si="0"/>
        <v>58.603248408656171</v>
      </c>
      <c r="W14" s="154" t="e">
        <f t="shared" si="0"/>
        <v>#REF!</v>
      </c>
      <c r="X14" s="154" t="e">
        <f t="shared" si="0"/>
        <v>#REF!</v>
      </c>
    </row>
    <row r="15" spans="2:25" ht="15.75" x14ac:dyDescent="0.25">
      <c r="N15" t="s">
        <v>370</v>
      </c>
      <c r="O15" s="156" t="e">
        <f>O14*0.34</f>
        <v>#REF!</v>
      </c>
      <c r="P15" s="156" t="e">
        <f>P14*0.245</f>
        <v>#REF!</v>
      </c>
      <c r="Q15" s="156" t="e">
        <f>Q14*0.34</f>
        <v>#REF!</v>
      </c>
      <c r="R15" s="156" t="e">
        <f ca="1">R14*0.125</f>
        <v>#REF!</v>
      </c>
      <c r="S15" s="156" t="e">
        <f ca="1">S14*0.25</f>
        <v>#REF!</v>
      </c>
      <c r="T15" s="156" t="e">
        <f ca="1">T14*0.19</f>
        <v>#REF!</v>
      </c>
      <c r="U15" s="156" t="e">
        <f ca="1">U14*0.25</f>
        <v>#REF!</v>
      </c>
    </row>
    <row r="16" spans="2:25" ht="15.75" x14ac:dyDescent="0.25">
      <c r="N16" t="s">
        <v>371</v>
      </c>
      <c r="O16" s="160" t="e">
        <f>O15*1.2/1.05</f>
        <v>#REF!</v>
      </c>
      <c r="P16" s="160" t="e">
        <f>P15*1.2/1.05</f>
        <v>#REF!</v>
      </c>
      <c r="Q16" s="160" t="e">
        <f>Q15*1.2/1.05</f>
        <v>#REF!</v>
      </c>
      <c r="R16" s="160" t="e">
        <f ca="1">R15</f>
        <v>#REF!</v>
      </c>
      <c r="S16" s="160" t="e">
        <f ca="1">S15*0.925/1.05</f>
        <v>#REF!</v>
      </c>
      <c r="T16" s="160" t="e">
        <f ca="1">T15*0.925/1.05</f>
        <v>#REF!</v>
      </c>
      <c r="U16" s="160" t="e">
        <f ca="1">U15*0.925/1.05</f>
        <v>#REF!</v>
      </c>
    </row>
    <row r="17" spans="14:21" ht="15.75" x14ac:dyDescent="0.25">
      <c r="N17" t="s">
        <v>372</v>
      </c>
      <c r="O17" s="160" t="e">
        <f>O15*0.925/1.05</f>
        <v>#REF!</v>
      </c>
      <c r="P17" s="160" t="e">
        <f>P15*0.925/1.05</f>
        <v>#REF!</v>
      </c>
      <c r="Q17" s="160" t="e">
        <f>Q15*0.925/1.05</f>
        <v>#REF!</v>
      </c>
      <c r="R17" s="160" t="e">
        <f ca="1">R16</f>
        <v>#REF!</v>
      </c>
      <c r="S17" s="160" t="e">
        <f ca="1">S15*1.135/1.05</f>
        <v>#REF!</v>
      </c>
      <c r="T17" s="160" t="e">
        <f ca="1">T15*1.135/1.05</f>
        <v>#REF!</v>
      </c>
      <c r="U17" s="160" t="e">
        <f ca="1">U15*1.135/1.05</f>
        <v>#REF!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28" t="s">
        <v>83</v>
      </c>
      <c r="B1" s="128" t="s">
        <v>84</v>
      </c>
      <c r="C1" s="128" t="s">
        <v>169</v>
      </c>
      <c r="D1" s="128" t="s">
        <v>14</v>
      </c>
      <c r="E1" s="128" t="s">
        <v>37</v>
      </c>
      <c r="F1" s="128" t="s">
        <v>153</v>
      </c>
      <c r="G1" s="128" t="s">
        <v>30</v>
      </c>
      <c r="H1" s="128" t="s">
        <v>155</v>
      </c>
      <c r="I1" s="128" t="s">
        <v>156</v>
      </c>
      <c r="J1" s="128" t="s">
        <v>157</v>
      </c>
      <c r="L1" s="86">
        <v>541</v>
      </c>
      <c r="M1" s="56" t="s">
        <v>364</v>
      </c>
      <c r="N1" s="45" t="s">
        <v>245</v>
      </c>
      <c r="O1" s="45" t="s">
        <v>365</v>
      </c>
      <c r="P1" s="45" t="s">
        <v>245</v>
      </c>
      <c r="Q1" s="45" t="s">
        <v>28</v>
      </c>
      <c r="R1" s="45" t="s">
        <v>247</v>
      </c>
      <c r="S1" s="45" t="s">
        <v>248</v>
      </c>
      <c r="T1" s="45" t="s">
        <v>247</v>
      </c>
      <c r="U1" s="45" t="s">
        <v>242</v>
      </c>
      <c r="V1" s="45" t="s">
        <v>366</v>
      </c>
      <c r="W1" s="45" t="s">
        <v>367</v>
      </c>
    </row>
    <row r="2" spans="1:27" x14ac:dyDescent="0.25">
      <c r="A2" t="s">
        <v>14</v>
      </c>
      <c r="B2" t="e">
        <f>Evaluacion!A3</f>
        <v>#REF!</v>
      </c>
      <c r="C2" t="e">
        <f>Evaluacion!D3</f>
        <v>#REF!</v>
      </c>
      <c r="D2" s="68" t="e">
        <f>Evaluacion!K3</f>
        <v>#REF!</v>
      </c>
      <c r="E2" s="68" t="e">
        <f>Evaluacion!L3</f>
        <v>#REF!</v>
      </c>
      <c r="F2" s="68" t="e">
        <f>Evaluacion!M3</f>
        <v>#REF!</v>
      </c>
      <c r="G2" s="68" t="e">
        <f>Evaluacion!N3</f>
        <v>#REF!</v>
      </c>
      <c r="H2" s="68" t="e">
        <f>Evaluacion!O3</f>
        <v>#REF!</v>
      </c>
      <c r="I2" s="68" t="e">
        <f>Evaluacion!P3</f>
        <v>#REF!</v>
      </c>
      <c r="J2" s="68" t="e">
        <f>Evaluacion!Q3</f>
        <v>#REF!</v>
      </c>
      <c r="L2" t="str">
        <f t="shared" ref="L2:L12" si="0">A2</f>
        <v>POR</v>
      </c>
      <c r="M2" s="153">
        <v>1</v>
      </c>
      <c r="N2" s="114" t="e">
        <f>Evaluacion!X3</f>
        <v>#REF!</v>
      </c>
      <c r="O2" s="114" t="e">
        <f>Evaluacion!Y3</f>
        <v>#REF!</v>
      </c>
      <c r="P2" s="114" t="e">
        <f>Evaluacion!Z3</f>
        <v>#REF!</v>
      </c>
      <c r="Q2" s="114">
        <v>0</v>
      </c>
      <c r="R2" s="114">
        <v>0</v>
      </c>
      <c r="S2" s="114">
        <v>0</v>
      </c>
      <c r="T2" s="114">
        <v>0</v>
      </c>
      <c r="U2" s="114">
        <v>0</v>
      </c>
      <c r="V2" s="114">
        <f>Evaluacion!T3</f>
        <v>0</v>
      </c>
      <c r="W2" s="114">
        <f>Evaluacion!U3</f>
        <v>0</v>
      </c>
      <c r="AA2" s="49"/>
    </row>
    <row r="3" spans="1:27" x14ac:dyDescent="0.25">
      <c r="A3" t="s">
        <v>368</v>
      </c>
      <c r="B3" t="str">
        <f>Evaluacion!A9</f>
        <v>P. Tuderek</v>
      </c>
      <c r="C3" t="str">
        <f>Evaluacion!D9</f>
        <v>Cab</v>
      </c>
      <c r="D3" s="68">
        <f>Evaluacion!K9</f>
        <v>0</v>
      </c>
      <c r="E3" s="68">
        <f>Evaluacion!L9</f>
        <v>11</v>
      </c>
      <c r="F3" s="68">
        <f>Evaluacion!M9</f>
        <v>15</v>
      </c>
      <c r="G3" s="68">
        <f>Evaluacion!N9</f>
        <v>2</v>
      </c>
      <c r="H3" s="68">
        <f>Evaluacion!O9</f>
        <v>3</v>
      </c>
      <c r="I3" s="68">
        <f>Evaluacion!P9</f>
        <v>8</v>
      </c>
      <c r="J3" s="68">
        <f>Evaluacion!Q9</f>
        <v>20</v>
      </c>
      <c r="L3" t="str">
        <f t="shared" si="0"/>
        <v>LATN</v>
      </c>
      <c r="M3" s="153">
        <v>1</v>
      </c>
      <c r="N3" s="114">
        <f ca="1">Evaluacion!AI9</f>
        <v>12.317441693794089</v>
      </c>
      <c r="O3" s="114">
        <f ca="1">Evaluacion!AJ9</f>
        <v>5.5428487622073401</v>
      </c>
      <c r="P3" s="114">
        <v>0</v>
      </c>
      <c r="Q3" s="114">
        <f ca="1">Evaluacion!AK9</f>
        <v>2.9038834378952321</v>
      </c>
      <c r="R3" s="114">
        <f ca="1">Evaluacion!AL9</f>
        <v>2.580451865164048</v>
      </c>
      <c r="S3" s="114">
        <v>0</v>
      </c>
      <c r="T3" s="114">
        <v>0</v>
      </c>
      <c r="U3" s="114">
        <f ca="1">Evaluacion!R9</f>
        <v>20.432837941294881</v>
      </c>
      <c r="V3" s="114">
        <f>Evaluacion!T9</f>
        <v>0</v>
      </c>
      <c r="W3" s="114">
        <f>Evaluacion!U9</f>
        <v>0</v>
      </c>
      <c r="AA3" s="49"/>
    </row>
    <row r="4" spans="1:27" x14ac:dyDescent="0.25">
      <c r="A4" t="s">
        <v>373</v>
      </c>
      <c r="B4" t="str">
        <f>Evaluacion!A7</f>
        <v>A. Grimaud</v>
      </c>
      <c r="C4" t="str">
        <f>Evaluacion!D7</f>
        <v>Ráp</v>
      </c>
      <c r="D4" s="68">
        <f>Evaluacion!K7</f>
        <v>0</v>
      </c>
      <c r="E4" s="68">
        <f>Evaluacion!L7</f>
        <v>14</v>
      </c>
      <c r="F4" s="68">
        <f>Evaluacion!M7</f>
        <v>10</v>
      </c>
      <c r="G4" s="68">
        <f>Evaluacion!N7</f>
        <v>2</v>
      </c>
      <c r="H4" s="68">
        <f>Evaluacion!O7</f>
        <v>3</v>
      </c>
      <c r="I4" s="68">
        <f>Evaluacion!P7</f>
        <v>7</v>
      </c>
      <c r="J4" s="68">
        <f>Evaluacion!Q7</f>
        <v>18</v>
      </c>
      <c r="L4" t="str">
        <f t="shared" si="0"/>
        <v>DCHL</v>
      </c>
      <c r="M4" s="153">
        <v>0.9</v>
      </c>
      <c r="N4" s="114">
        <f ca="1">M4*Evaluacion!AM7</f>
        <v>11.155443191423892</v>
      </c>
      <c r="O4" s="114">
        <f ca="1">M4*Evaluacion!AN7</f>
        <v>10.474872386642062</v>
      </c>
      <c r="P4" s="114">
        <v>0</v>
      </c>
      <c r="Q4" s="114">
        <f ca="1">M4*Evaluacion!AO7</f>
        <v>3.0719679217079445</v>
      </c>
      <c r="R4" s="114">
        <f ca="1">M4*Evaluacion!AP7</f>
        <v>5.2906132920144087</v>
      </c>
      <c r="S4" s="114">
        <v>0</v>
      </c>
      <c r="T4" s="114">
        <v>0</v>
      </c>
      <c r="U4" s="114">
        <f ca="1">Evaluacion!R7</f>
        <v>17.972408384955052</v>
      </c>
      <c r="V4" s="114">
        <f>Evaluacion!T7*M4</f>
        <v>0</v>
      </c>
      <c r="W4" s="114">
        <f>Evaluacion!U7*M4</f>
        <v>0</v>
      </c>
      <c r="AA4" s="49"/>
    </row>
    <row r="5" spans="1:27" x14ac:dyDescent="0.25">
      <c r="A5" t="s">
        <v>120</v>
      </c>
      <c r="B5" t="str">
        <f>Evaluacion!A6</f>
        <v>V. Gardner</v>
      </c>
      <c r="C5" t="str">
        <f>Evaluacion!D6</f>
        <v/>
      </c>
      <c r="D5" s="68">
        <f>Evaluacion!K6</f>
        <v>0</v>
      </c>
      <c r="E5" s="68">
        <f>Evaluacion!L6</f>
        <v>15</v>
      </c>
      <c r="F5" s="68">
        <f>Evaluacion!M6</f>
        <v>8</v>
      </c>
      <c r="G5" s="68">
        <f>Evaluacion!N6</f>
        <v>3</v>
      </c>
      <c r="H5" s="68">
        <f>Evaluacion!O6</f>
        <v>4</v>
      </c>
      <c r="I5" s="68">
        <f>Evaluacion!P6</f>
        <v>7</v>
      </c>
      <c r="J5" s="68">
        <f>Evaluacion!Q6</f>
        <v>19</v>
      </c>
      <c r="L5" t="str">
        <f t="shared" si="0"/>
        <v>DCN</v>
      </c>
      <c r="M5" s="153">
        <v>0.9</v>
      </c>
      <c r="N5" s="114">
        <f ca="1">M5*(Evaluacion!AA6+Evaluacion!AC6)/2</f>
        <v>6.0371999999999995</v>
      </c>
      <c r="O5" s="114">
        <f ca="1">M5*Evaluacion!AB6</f>
        <v>15.6</v>
      </c>
      <c r="P5" s="114">
        <f ca="1">N5</f>
        <v>6.0371999999999995</v>
      </c>
      <c r="Q5" s="114">
        <f ca="1">M5*Evaluacion!AD6</f>
        <v>2.2134</v>
      </c>
      <c r="R5" s="114">
        <v>0</v>
      </c>
      <c r="S5" s="114">
        <f>0</f>
        <v>0</v>
      </c>
      <c r="T5" s="114">
        <v>0</v>
      </c>
      <c r="U5" s="114">
        <f ca="1">Evaluacion!R6</f>
        <v>18.283685181650238</v>
      </c>
      <c r="V5" s="114">
        <f>Evaluacion!T6*M5</f>
        <v>0</v>
      </c>
      <c r="W5" s="114">
        <f>Evaluacion!U6*M5</f>
        <v>0</v>
      </c>
      <c r="AA5" s="49"/>
    </row>
    <row r="6" spans="1:27" x14ac:dyDescent="0.25">
      <c r="A6" t="s">
        <v>373</v>
      </c>
      <c r="B6" t="e">
        <f>Evaluacion!A5</f>
        <v>#REF!</v>
      </c>
      <c r="C6" t="e">
        <f>Evaluacion!D5</f>
        <v>#REF!</v>
      </c>
      <c r="D6" s="68" t="e">
        <f>Evaluacion!K5</f>
        <v>#REF!</v>
      </c>
      <c r="E6" s="68" t="e">
        <f>Evaluacion!L5</f>
        <v>#REF!</v>
      </c>
      <c r="F6" s="68" t="e">
        <f>Evaluacion!M5</f>
        <v>#REF!</v>
      </c>
      <c r="G6" s="68" t="e">
        <f>Evaluacion!N5</f>
        <v>#REF!</v>
      </c>
      <c r="H6" s="68" t="e">
        <f>Evaluacion!O5</f>
        <v>#REF!</v>
      </c>
      <c r="I6" s="68" t="e">
        <f>Evaluacion!P5</f>
        <v>#REF!</v>
      </c>
      <c r="J6" s="68" t="e">
        <f>Evaluacion!Q5</f>
        <v>#REF!</v>
      </c>
      <c r="L6" t="str">
        <f t="shared" si="0"/>
        <v>DCHL</v>
      </c>
      <c r="M6" s="153">
        <v>0.9</v>
      </c>
      <c r="N6" s="114">
        <v>0</v>
      </c>
      <c r="O6" s="114" t="e">
        <f>M6*Evaluacion!AN5</f>
        <v>#REF!</v>
      </c>
      <c r="P6" s="114" t="e">
        <f>M6*Evaluacion!AM5</f>
        <v>#REF!</v>
      </c>
      <c r="Q6" s="114" t="e">
        <f>M6*Evaluacion!AO5</f>
        <v>#REF!</v>
      </c>
      <c r="R6" s="114">
        <v>0</v>
      </c>
      <c r="S6" s="114">
        <v>0</v>
      </c>
      <c r="T6" s="114" t="e">
        <f>M6*Evaluacion!AP5</f>
        <v>#REF!</v>
      </c>
      <c r="U6" s="114" t="e">
        <f>Evaluacion!R5</f>
        <v>#REF!</v>
      </c>
      <c r="V6" s="114">
        <f>Evaluacion!T5*M6</f>
        <v>0</v>
      </c>
      <c r="W6" s="114">
        <f>Evaluacion!U5*M6</f>
        <v>0</v>
      </c>
      <c r="AA6" s="49"/>
    </row>
    <row r="7" spans="1:27" x14ac:dyDescent="0.25">
      <c r="A7" t="s">
        <v>368</v>
      </c>
      <c r="B7" t="e">
        <f>#REF!</f>
        <v>#REF!</v>
      </c>
      <c r="C7" t="e">
        <f>#REF!</f>
        <v>#REF!</v>
      </c>
      <c r="D7" s="68" t="e">
        <f>#REF!</f>
        <v>#REF!</v>
      </c>
      <c r="E7" s="68" t="e">
        <f>#REF!</f>
        <v>#REF!</v>
      </c>
      <c r="F7" s="68" t="e">
        <f>#REF!</f>
        <v>#REF!</v>
      </c>
      <c r="G7" s="68" t="e">
        <f>#REF!</f>
        <v>#REF!</v>
      </c>
      <c r="H7" s="68" t="e">
        <f>#REF!</f>
        <v>#REF!</v>
      </c>
      <c r="I7" s="68" t="e">
        <f>#REF!</f>
        <v>#REF!</v>
      </c>
      <c r="J7" s="68" t="e">
        <f>#REF!</f>
        <v>#REF!</v>
      </c>
      <c r="L7" t="str">
        <f t="shared" si="0"/>
        <v>LATN</v>
      </c>
      <c r="M7" s="153">
        <v>1</v>
      </c>
      <c r="N7" s="114">
        <v>0</v>
      </c>
      <c r="O7" s="114" t="e">
        <f>#REF!</f>
        <v>#REF!</v>
      </c>
      <c r="P7" s="114" t="e">
        <f>#REF!</f>
        <v>#REF!</v>
      </c>
      <c r="Q7" s="114" t="e">
        <f>#REF!</f>
        <v>#REF!</v>
      </c>
      <c r="R7" s="114">
        <v>0</v>
      </c>
      <c r="S7" s="114">
        <v>0</v>
      </c>
      <c r="T7" s="114" t="e">
        <f>#REF!</f>
        <v>#REF!</v>
      </c>
      <c r="U7" s="114" t="e">
        <f>#REF!</f>
        <v>#REF!</v>
      </c>
      <c r="V7" s="114" t="e">
        <f>#REF!</f>
        <v>#REF!</v>
      </c>
      <c r="W7" s="114" t="e">
        <f>#REF!</f>
        <v>#REF!</v>
      </c>
      <c r="AA7" s="49"/>
    </row>
    <row r="8" spans="1:27" x14ac:dyDescent="0.25">
      <c r="A8" t="s">
        <v>234</v>
      </c>
      <c r="B8" t="str">
        <f>Evaluacion!A13</f>
        <v>Y. Galitsky</v>
      </c>
      <c r="C8" t="str">
        <f>Evaluacion!D13</f>
        <v>Imp</v>
      </c>
      <c r="D8" s="68">
        <f>Evaluacion!K13</f>
        <v>0</v>
      </c>
      <c r="E8" s="68">
        <f>Evaluacion!L13</f>
        <v>14</v>
      </c>
      <c r="F8" s="68">
        <f>Evaluacion!M13</f>
        <v>15</v>
      </c>
      <c r="G8" s="68">
        <f>Evaluacion!N13</f>
        <v>1</v>
      </c>
      <c r="H8" s="68">
        <f>Evaluacion!O13</f>
        <v>5</v>
      </c>
      <c r="I8" s="68">
        <f>Evaluacion!P13</f>
        <v>9</v>
      </c>
      <c r="J8" s="68">
        <f>Evaluacion!Q13</f>
        <v>18</v>
      </c>
      <c r="L8" t="str">
        <f t="shared" si="0"/>
        <v>IHL</v>
      </c>
      <c r="M8" s="153">
        <f>1-0.065</f>
        <v>0.93500000000000005</v>
      </c>
      <c r="N8" s="114">
        <f ca="1">M8*Evaluacion!BE13</f>
        <v>4.4472190594944632</v>
      </c>
      <c r="O8" s="114">
        <f ca="1">M8*Evaluacion!BF13</f>
        <v>5.3183238237253381</v>
      </c>
      <c r="P8" s="114">
        <v>0</v>
      </c>
      <c r="Q8" s="114">
        <f ca="1">Evaluacion!BG13*M8</f>
        <v>14.287652496270182</v>
      </c>
      <c r="R8" s="114">
        <f ca="1">Evaluacion!BH13*M8</f>
        <v>3.958482814056969</v>
      </c>
      <c r="S8" s="114">
        <f ca="1">Evaluacion!BI13*M8</f>
        <v>1.6550770733270299</v>
      </c>
      <c r="T8" s="114">
        <v>0</v>
      </c>
      <c r="U8" s="114">
        <v>0</v>
      </c>
      <c r="V8" s="114">
        <f>Evaluacion!T13*M8</f>
        <v>0</v>
      </c>
      <c r="W8" s="114">
        <f>Evaluacion!U13*M8</f>
        <v>0</v>
      </c>
      <c r="AA8" s="49"/>
    </row>
    <row r="9" spans="1:27" x14ac:dyDescent="0.25">
      <c r="A9" t="s">
        <v>234</v>
      </c>
      <c r="B9" t="str">
        <f>Evaluacion!A12</f>
        <v>纪 (J.) 昌永 (Changyong)</v>
      </c>
      <c r="C9" t="str">
        <f>Evaluacion!D12</f>
        <v>Cab</v>
      </c>
      <c r="D9" s="68">
        <f>Evaluacion!K12</f>
        <v>0</v>
      </c>
      <c r="E9" s="68">
        <f>Evaluacion!L12</f>
        <v>13</v>
      </c>
      <c r="F9" s="68">
        <f>Evaluacion!M12</f>
        <v>16</v>
      </c>
      <c r="G9" s="68">
        <f>Evaluacion!N12</f>
        <v>3</v>
      </c>
      <c r="H9" s="68">
        <f>Evaluacion!O12</f>
        <v>3</v>
      </c>
      <c r="I9" s="68">
        <f>Evaluacion!P12</f>
        <v>9</v>
      </c>
      <c r="J9" s="68">
        <f>Evaluacion!Q12</f>
        <v>19</v>
      </c>
      <c r="L9" t="str">
        <f t="shared" si="0"/>
        <v>IHL</v>
      </c>
      <c r="M9" s="153">
        <f>1-0.065</f>
        <v>0.93500000000000005</v>
      </c>
      <c r="N9" s="114">
        <v>0</v>
      </c>
      <c r="O9" s="114">
        <f ca="1">M9*Evaluacion!BF12</f>
        <v>5.0342920702263205</v>
      </c>
      <c r="P9" s="114">
        <f ca="1">M9*Evaluacion!BE12</f>
        <v>4.2097097483789057</v>
      </c>
      <c r="Q9" s="114">
        <f ca="1">Evaluacion!BG12*M9</f>
        <v>15.216065097325828</v>
      </c>
      <c r="R9" s="114">
        <v>0</v>
      </c>
      <c r="S9" s="114">
        <f ca="1">Evaluacion!BI12*M9</f>
        <v>1.2330419221969635</v>
      </c>
      <c r="T9" s="114">
        <f ca="1">Evaluacion!BH12*M9</f>
        <v>4.5484409495149407</v>
      </c>
      <c r="U9" s="114">
        <v>0</v>
      </c>
      <c r="V9" s="114">
        <f>Evaluacion!T12*M9</f>
        <v>0</v>
      </c>
      <c r="W9" s="114">
        <f>Evaluacion!U12*M9</f>
        <v>0</v>
      </c>
      <c r="AA9" s="49"/>
    </row>
    <row r="10" spans="1:27" x14ac:dyDescent="0.25">
      <c r="A10" t="s">
        <v>237</v>
      </c>
      <c r="B10" t="str">
        <f>Evaluacion!A10</f>
        <v>T. McPhail</v>
      </c>
      <c r="C10" t="str">
        <f>Evaluacion!D10</f>
        <v>Imp</v>
      </c>
      <c r="D10" s="68">
        <f>Evaluacion!K10</f>
        <v>0</v>
      </c>
      <c r="E10" s="68">
        <f>Evaluacion!L10</f>
        <v>13</v>
      </c>
      <c r="F10" s="68">
        <f>Evaluacion!M10</f>
        <v>14</v>
      </c>
      <c r="G10" s="68">
        <f>Evaluacion!N10</f>
        <v>4</v>
      </c>
      <c r="H10" s="68">
        <f>Evaluacion!O10</f>
        <v>4</v>
      </c>
      <c r="I10" s="68">
        <f>Evaluacion!P10</f>
        <v>9</v>
      </c>
      <c r="J10" s="68">
        <f>Evaluacion!Q10</f>
        <v>17</v>
      </c>
      <c r="L10" t="str">
        <f t="shared" si="0"/>
        <v>EXTN</v>
      </c>
      <c r="M10" s="153">
        <v>1</v>
      </c>
      <c r="N10" s="114">
        <f ca="1">Evaluacion!BT10</f>
        <v>4.3846499651700332</v>
      </c>
      <c r="O10" s="114">
        <f ca="1">Evaluacion!BU10</f>
        <v>3.7670936320474939</v>
      </c>
      <c r="P10" s="114">
        <v>0</v>
      </c>
      <c r="Q10" s="114">
        <f ca="1">Evaluacion!BV10</f>
        <v>7.4797032892688931</v>
      </c>
      <c r="R10" s="114">
        <f ca="1">Evaluacion!BW10</f>
        <v>7.1343104274943574</v>
      </c>
      <c r="S10" s="114">
        <f ca="1">Evaluacion!BX10</f>
        <v>0.77910790769568339</v>
      </c>
      <c r="T10" s="114">
        <v>0</v>
      </c>
      <c r="U10" s="114">
        <v>0</v>
      </c>
      <c r="V10" s="114">
        <f>Evaluacion!T10</f>
        <v>0</v>
      </c>
      <c r="W10" s="114">
        <f>Evaluacion!U10</f>
        <v>0</v>
      </c>
      <c r="AA10" s="49"/>
    </row>
    <row r="11" spans="1:27" x14ac:dyDescent="0.25">
      <c r="A11" t="s">
        <v>237</v>
      </c>
      <c r="B11" t="str">
        <f>Evaluacion!A11</f>
        <v>K. Teglborg</v>
      </c>
      <c r="C11" t="str">
        <f>Evaluacion!D11</f>
        <v>Cab</v>
      </c>
      <c r="D11" s="68">
        <f>Evaluacion!K11</f>
        <v>0</v>
      </c>
      <c r="E11" s="68">
        <f>Evaluacion!L11</f>
        <v>11</v>
      </c>
      <c r="F11" s="68">
        <f>Evaluacion!M11</f>
        <v>16</v>
      </c>
      <c r="G11" s="68">
        <f>Evaluacion!N11</f>
        <v>2</v>
      </c>
      <c r="H11" s="68">
        <f>Evaluacion!O11</f>
        <v>2</v>
      </c>
      <c r="I11" s="68">
        <f>Evaluacion!P11</f>
        <v>9</v>
      </c>
      <c r="J11" s="68">
        <f>Evaluacion!Q11</f>
        <v>18</v>
      </c>
      <c r="L11" t="str">
        <f t="shared" si="0"/>
        <v>EXTN</v>
      </c>
      <c r="M11" s="153">
        <v>1</v>
      </c>
      <c r="N11" s="114">
        <v>0</v>
      </c>
      <c r="O11" s="114">
        <f ca="1">Evaluacion!BU11</f>
        <v>3.2823478343804431</v>
      </c>
      <c r="P11" s="114">
        <f ca="1">Evaluacion!BT11</f>
        <v>3.8204376432952696</v>
      </c>
      <c r="Q11" s="114">
        <f ca="1">Evaluacion!BV11</f>
        <v>8.3957715764061547</v>
      </c>
      <c r="R11" s="114">
        <v>0</v>
      </c>
      <c r="S11" s="114">
        <f ca="1">Evaluacion!BX11</f>
        <v>0.53872167196735099</v>
      </c>
      <c r="T11" s="114">
        <f ca="1">Evaluacion!BW11</f>
        <v>4.933087706940702</v>
      </c>
      <c r="U11" s="114">
        <v>0</v>
      </c>
      <c r="V11" s="114">
        <f>Evaluacion!T11</f>
        <v>0</v>
      </c>
      <c r="W11" s="114">
        <f>Evaluacion!U11</f>
        <v>0</v>
      </c>
      <c r="AA11" s="49"/>
    </row>
    <row r="12" spans="1:27" x14ac:dyDescent="0.25">
      <c r="A12" t="s">
        <v>122</v>
      </c>
      <c r="B12" t="e">
        <f>Evaluacion!#REF!</f>
        <v>#REF!</v>
      </c>
      <c r="C12" t="e">
        <f>Evaluacion!#REF!</f>
        <v>#REF!</v>
      </c>
      <c r="D12" s="68" t="e">
        <f>Evaluacion!#REF!</f>
        <v>#REF!</v>
      </c>
      <c r="E12" s="68" t="e">
        <f>Evaluacion!#REF!</f>
        <v>#REF!</v>
      </c>
      <c r="F12" s="68" t="e">
        <f>Evaluacion!#REF!</f>
        <v>#REF!</v>
      </c>
      <c r="G12" s="68" t="e">
        <f>Evaluacion!#REF!</f>
        <v>#REF!</v>
      </c>
      <c r="H12" s="68" t="e">
        <f>Evaluacion!#REF!</f>
        <v>#REF!</v>
      </c>
      <c r="I12" s="68" t="e">
        <f>Evaluacion!#REF!</f>
        <v>#REF!</v>
      </c>
      <c r="J12" s="68" t="e">
        <f>Evaluacion!#REF!</f>
        <v>#REF!</v>
      </c>
      <c r="L12" t="str">
        <f t="shared" si="0"/>
        <v>DD</v>
      </c>
      <c r="M12" s="153">
        <v>1</v>
      </c>
      <c r="N12" s="114">
        <v>0</v>
      </c>
      <c r="O12" s="114">
        <v>0</v>
      </c>
      <c r="P12" s="114">
        <v>0</v>
      </c>
      <c r="Q12" s="114" t="e">
        <f>M12*Evaluacion!#REF!</f>
        <v>#REF!</v>
      </c>
      <c r="R12" s="114" t="e">
        <f>M12*Evaluacion!#REF!</f>
        <v>#REF!</v>
      </c>
      <c r="S12" s="114" t="e">
        <f>M12*Evaluacion!#REF!</f>
        <v>#REF!</v>
      </c>
      <c r="T12" s="114" t="e">
        <f>R12</f>
        <v>#REF!</v>
      </c>
      <c r="U12" s="114">
        <v>0</v>
      </c>
      <c r="V12" s="114" t="e">
        <f>Evaluacion!#REF!*M12</f>
        <v>#REF!</v>
      </c>
      <c r="W12" s="114" t="e">
        <f>Evaluacion!#REF!*M12</f>
        <v>#REF!</v>
      </c>
      <c r="AA12" s="49"/>
    </row>
    <row r="13" spans="1:27" x14ac:dyDescent="0.25">
      <c r="M13" s="56"/>
      <c r="N13" s="154" t="e">
        <f t="shared" ref="N13:W13" si="1">SUM(N2:N12)</f>
        <v>#REF!</v>
      </c>
      <c r="O13" s="154" t="e">
        <f t="shared" si="1"/>
        <v>#REF!</v>
      </c>
      <c r="P13" s="154" t="e">
        <f t="shared" si="1"/>
        <v>#REF!</v>
      </c>
      <c r="Q13" s="154" t="e">
        <f t="shared" ca="1" si="1"/>
        <v>#REF!</v>
      </c>
      <c r="R13" s="154" t="e">
        <f t="shared" ca="1" si="1"/>
        <v>#REF!</v>
      </c>
      <c r="S13" s="154" t="e">
        <f t="shared" ca="1" si="1"/>
        <v>#REF!</v>
      </c>
      <c r="T13" s="154" t="e">
        <f t="shared" si="1"/>
        <v>#REF!</v>
      </c>
      <c r="U13" s="155" t="e">
        <f t="shared" ca="1" si="1"/>
        <v>#REF!</v>
      </c>
      <c r="V13" s="155" t="e">
        <f t="shared" si="1"/>
        <v>#REF!</v>
      </c>
      <c r="W13" s="155" t="e">
        <f t="shared" si="1"/>
        <v>#REF!</v>
      </c>
    </row>
    <row r="14" spans="1:27" ht="15.75" x14ac:dyDescent="0.25">
      <c r="M14" t="s">
        <v>370</v>
      </c>
      <c r="N14" s="156" t="e">
        <f>N13*0.34</f>
        <v>#REF!</v>
      </c>
      <c r="O14" s="156" t="e">
        <f>O13*0.245</f>
        <v>#REF!</v>
      </c>
      <c r="P14" s="156" t="e">
        <f>P13*0.34</f>
        <v>#REF!</v>
      </c>
      <c r="Q14" s="156" t="e">
        <f ca="1">Q13*0.125</f>
        <v>#REF!</v>
      </c>
      <c r="R14" s="156" t="e">
        <f ca="1">R13*0.25</f>
        <v>#REF!</v>
      </c>
      <c r="S14" s="156" t="e">
        <f ca="1">S13*0.19</f>
        <v>#REF!</v>
      </c>
      <c r="T14" s="156" t="e">
        <f>T13*0.25</f>
        <v>#REF!</v>
      </c>
    </row>
    <row r="15" spans="1:27" ht="15.75" x14ac:dyDescent="0.25">
      <c r="M15" t="s">
        <v>371</v>
      </c>
      <c r="N15" s="160" t="e">
        <f>N14*1.2/1.05</f>
        <v>#REF!</v>
      </c>
      <c r="O15" s="160" t="e">
        <f>O14*1.2/1.05</f>
        <v>#REF!</v>
      </c>
      <c r="P15" s="160" t="e">
        <f>P14*1.2/1.05</f>
        <v>#REF!</v>
      </c>
      <c r="Q15" s="160" t="e">
        <f ca="1">Q14</f>
        <v>#REF!</v>
      </c>
      <c r="R15" s="160" t="e">
        <f ca="1">R14*0.925/1.05</f>
        <v>#REF!</v>
      </c>
      <c r="S15" s="160" t="e">
        <f ca="1">S14*0.925/1.05</f>
        <v>#REF!</v>
      </c>
      <c r="T15" s="160" t="e">
        <f>T14*0.925/1.05</f>
        <v>#REF!</v>
      </c>
    </row>
    <row r="16" spans="1:27" ht="15.75" x14ac:dyDescent="0.25">
      <c r="M16" t="s">
        <v>372</v>
      </c>
      <c r="N16" s="160" t="e">
        <f>N14*0.925/1.05</f>
        <v>#REF!</v>
      </c>
      <c r="O16" s="160" t="e">
        <f>O14*0.925/1.05</f>
        <v>#REF!</v>
      </c>
      <c r="P16" s="160" t="e">
        <f>P14*0.925/1.05</f>
        <v>#REF!</v>
      </c>
      <c r="Q16" s="160" t="e">
        <f ca="1">Q15</f>
        <v>#REF!</v>
      </c>
      <c r="R16" s="160" t="e">
        <f ca="1">R14*1.135/1.05</f>
        <v>#REF!</v>
      </c>
      <c r="S16" s="160" t="e">
        <f ca="1">S14*1.135/1.05</f>
        <v>#REF!</v>
      </c>
      <c r="T16" s="16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555</v>
      </c>
      <c r="B1" s="391">
        <v>44377</v>
      </c>
      <c r="C1" s="56"/>
    </row>
    <row r="2" spans="1:4" x14ac:dyDescent="0.25">
      <c r="A2" t="s">
        <v>556</v>
      </c>
      <c r="B2" s="391">
        <v>44392</v>
      </c>
      <c r="C2" s="56"/>
    </row>
    <row r="3" spans="1:4" x14ac:dyDescent="0.25">
      <c r="C3" s="56"/>
    </row>
    <row r="4" spans="1:4" x14ac:dyDescent="0.25">
      <c r="A4" s="3" t="s">
        <v>557</v>
      </c>
      <c r="B4" s="3" t="s">
        <v>558</v>
      </c>
      <c r="C4" s="2" t="s">
        <v>559</v>
      </c>
      <c r="D4" s="2" t="s">
        <v>560</v>
      </c>
    </row>
    <row r="5" spans="1:4" x14ac:dyDescent="0.25">
      <c r="A5" t="s">
        <v>561</v>
      </c>
      <c r="B5" t="s">
        <v>562</v>
      </c>
      <c r="C5" s="56">
        <v>2</v>
      </c>
      <c r="D5" s="56">
        <v>4</v>
      </c>
    </row>
    <row r="6" spans="1:4" x14ac:dyDescent="0.25">
      <c r="A6" t="s">
        <v>563</v>
      </c>
      <c r="B6" t="s">
        <v>564</v>
      </c>
      <c r="C6" s="56">
        <v>0</v>
      </c>
      <c r="D6" s="56">
        <v>1</v>
      </c>
    </row>
    <row r="7" spans="1:4" x14ac:dyDescent="0.25">
      <c r="A7" t="s">
        <v>565</v>
      </c>
      <c r="B7" t="s">
        <v>566</v>
      </c>
      <c r="C7" s="56">
        <v>0</v>
      </c>
      <c r="D7" s="56">
        <v>2</v>
      </c>
    </row>
    <row r="8" spans="1:4" x14ac:dyDescent="0.25">
      <c r="A8" t="s">
        <v>567</v>
      </c>
      <c r="B8" t="s">
        <v>568</v>
      </c>
      <c r="C8" s="56">
        <v>0</v>
      </c>
      <c r="D8" s="56">
        <v>2</v>
      </c>
    </row>
    <row r="9" spans="1:4" x14ac:dyDescent="0.25">
      <c r="A9" t="s">
        <v>569</v>
      </c>
      <c r="B9" t="s">
        <v>570</v>
      </c>
      <c r="C9" s="392" t="s">
        <v>571</v>
      </c>
      <c r="D9" s="39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6" customWidth="1"/>
    <col min="13" max="13" width="8.28515625" style="56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374</v>
      </c>
      <c r="AA1" t="s">
        <v>375</v>
      </c>
      <c r="AD1" t="s">
        <v>376</v>
      </c>
    </row>
    <row r="2" spans="1:31" x14ac:dyDescent="0.25">
      <c r="B2" s="70">
        <v>44035</v>
      </c>
      <c r="X2" s="166"/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377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76" t="s">
        <v>378</v>
      </c>
      <c r="N3" s="164" t="s">
        <v>14</v>
      </c>
      <c r="O3" s="163" t="s">
        <v>369</v>
      </c>
      <c r="P3" s="162" t="s">
        <v>380</v>
      </c>
      <c r="Q3" s="235" t="s">
        <v>446</v>
      </c>
      <c r="R3" s="162" t="s">
        <v>381</v>
      </c>
      <c r="S3" s="162" t="s">
        <v>121</v>
      </c>
      <c r="T3" s="162" t="s">
        <v>234</v>
      </c>
      <c r="U3" s="162" t="s">
        <v>382</v>
      </c>
      <c r="V3" s="163" t="s">
        <v>122</v>
      </c>
      <c r="W3" s="163" t="s">
        <v>21</v>
      </c>
      <c r="X3" s="164" t="s">
        <v>383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 t="e">
        <f>PLANTILLA!#REF!</f>
        <v>#REF!</v>
      </c>
      <c r="B4" s="232" t="e">
        <f>PLANTILLA!#REF!</f>
        <v>#REF!</v>
      </c>
      <c r="C4" s="4" t="e">
        <f>PLANTILLA!#REF!</f>
        <v>#REF!</v>
      </c>
      <c r="D4" s="200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89">
        <f>1/10</f>
        <v>0.1</v>
      </c>
      <c r="M4" s="89">
        <f t="shared" ref="M4:M15" si="0">L4/6</f>
        <v>1.6666666666666666E-2</v>
      </c>
      <c r="N4" s="98"/>
      <c r="O4" s="98">
        <f>L4*(0.245*1+0.34*0.516+0.34*0.258)/(0.245+0.34)</f>
        <v>8.6864957264957285E-2</v>
      </c>
      <c r="P4" s="98">
        <f>L4*(0.245*0.708+0.34*0.754)/(0.245+0.34)</f>
        <v>7.3473504273504284E-2</v>
      </c>
      <c r="Q4" s="98">
        <f>L4*(0.245*0.479+0.34*1)/(0.245+0.34)</f>
        <v>7.8180341880341897E-2</v>
      </c>
      <c r="R4" s="98">
        <f>L4*(0.245*0.414+0.34*0.919)/(0.245+0.34)</f>
        <v>7.0750427350427358E-2</v>
      </c>
      <c r="S4" s="98"/>
      <c r="T4" s="98"/>
      <c r="U4" s="98"/>
      <c r="V4" s="98"/>
      <c r="W4" s="98"/>
      <c r="X4" s="98">
        <f t="shared" ref="X4:X25" si="1">MAX(N4:U4)</f>
        <v>8.6864957264957285E-2</v>
      </c>
      <c r="AA4" t="s">
        <v>368</v>
      </c>
      <c r="AB4" t="s">
        <v>384</v>
      </c>
      <c r="AD4" t="s">
        <v>368</v>
      </c>
      <c r="AE4" t="str">
        <f>AB4</f>
        <v>B. Pinczehelyi</v>
      </c>
    </row>
    <row r="5" spans="1:31" x14ac:dyDescent="0.25">
      <c r="A5" s="4">
        <f>PLANTILLA!A8</f>
        <v>12</v>
      </c>
      <c r="B5" s="232" t="str">
        <f>PLANTILLA!C8</f>
        <v>P. Tuderek</v>
      </c>
      <c r="C5" s="4" t="str">
        <f>PLANTILLA!D8</f>
        <v>32.57</v>
      </c>
      <c r="D5" s="200" t="e">
        <f>PLANTILLA!#REF!</f>
        <v>#REF!</v>
      </c>
      <c r="E5" s="48">
        <f>PLANTILLA!U8</f>
        <v>0</v>
      </c>
      <c r="F5" s="48">
        <f>PLANTILLA!V8</f>
        <v>11</v>
      </c>
      <c r="G5" s="48">
        <f>PLANTILLA!W8</f>
        <v>15</v>
      </c>
      <c r="H5" s="48">
        <f>PLANTILLA!X8</f>
        <v>2</v>
      </c>
      <c r="I5" s="48">
        <f>PLANTILLA!Y8</f>
        <v>3</v>
      </c>
      <c r="J5" s="48">
        <f>PLANTILLA!Z8</f>
        <v>8</v>
      </c>
      <c r="K5" s="48">
        <f>PLANTILLA!AA8</f>
        <v>20</v>
      </c>
      <c r="L5" s="89">
        <f>1/10</f>
        <v>0.1</v>
      </c>
      <c r="M5" s="89">
        <f t="shared" si="0"/>
        <v>1.6666666666666666E-2</v>
      </c>
      <c r="N5" s="98"/>
      <c r="O5" s="98">
        <f>L5*(0.245*1+0.34*0.516+0.34*0.258)/(0.245+0.34)</f>
        <v>8.6864957264957285E-2</v>
      </c>
      <c r="P5" s="98">
        <f>L5*(0.245*0.708+0.34*0.754)/(0.245+0.34)</f>
        <v>7.3473504273504284E-2</v>
      </c>
      <c r="Q5" s="98">
        <f>L5*(0.245*0.479+0.34*1)/(0.245+0.34)</f>
        <v>7.8180341880341897E-2</v>
      </c>
      <c r="R5" s="98">
        <f>L5*(0.245*0.414+0.34*0.919)/(0.245+0.34)</f>
        <v>7.0750427350427358E-2</v>
      </c>
      <c r="S5" s="98"/>
      <c r="T5" s="98"/>
      <c r="U5" s="98"/>
      <c r="V5" s="98"/>
      <c r="W5" s="98"/>
      <c r="X5" s="98">
        <f t="shared" si="1"/>
        <v>8.6864957264957285E-2</v>
      </c>
      <c r="AA5" t="s">
        <v>369</v>
      </c>
      <c r="AB5" t="s">
        <v>162</v>
      </c>
      <c r="AD5" t="s">
        <v>373</v>
      </c>
      <c r="AE5" t="s">
        <v>161</v>
      </c>
    </row>
    <row r="6" spans="1:31" x14ac:dyDescent="0.25">
      <c r="A6" s="4" t="e">
        <f>PLANTILLA!#REF!</f>
        <v>#REF!</v>
      </c>
      <c r="B6" s="232" t="e">
        <f>PLANTILLA!#REF!</f>
        <v>#REF!</v>
      </c>
      <c r="C6" s="4" t="e">
        <f>PLANTILLA!#REF!</f>
        <v>#REF!</v>
      </c>
      <c r="D6" s="200" t="e">
        <f>PLANTILLA!#REF!</f>
        <v>#REF!</v>
      </c>
      <c r="E6" s="48" t="e">
        <f>PLANTILLA!#REF!</f>
        <v>#REF!</v>
      </c>
      <c r="F6" s="48" t="e">
        <f>PLANTILLA!#REF!</f>
        <v>#REF!</v>
      </c>
      <c r="G6" s="48" t="e">
        <f>PLANTILLA!#REF!</f>
        <v>#REF!</v>
      </c>
      <c r="H6" s="48" t="e">
        <f>PLANTILLA!#REF!</f>
        <v>#REF!</v>
      </c>
      <c r="I6" s="48" t="e">
        <f>PLANTILLA!#REF!</f>
        <v>#REF!</v>
      </c>
      <c r="J6" s="48" t="e">
        <f>PLANTILLA!#REF!</f>
        <v>#REF!</v>
      </c>
      <c r="K6" s="48" t="e">
        <f>PLANTILLA!#REF!</f>
        <v>#REF!</v>
      </c>
      <c r="L6" s="89">
        <f>1/4</f>
        <v>0.25</v>
      </c>
      <c r="M6" s="89">
        <f t="shared" si="0"/>
        <v>4.1666666666666664E-2</v>
      </c>
      <c r="N6" s="98">
        <f>L6*(0.245*0.425+0.34*0.276)/(0.245+0.34)</f>
        <v>8.460042735042736E-2</v>
      </c>
      <c r="O6" s="98"/>
      <c r="P6" s="98"/>
      <c r="Q6" s="98"/>
      <c r="R6" s="98"/>
      <c r="S6" s="98"/>
      <c r="T6" s="98"/>
      <c r="U6" s="98"/>
      <c r="V6" s="98"/>
      <c r="W6" s="98"/>
      <c r="X6" s="98">
        <f t="shared" si="1"/>
        <v>8.460042735042736E-2</v>
      </c>
      <c r="AA6" t="s">
        <v>368</v>
      </c>
      <c r="AB6" t="s">
        <v>126</v>
      </c>
      <c r="AD6" t="s">
        <v>120</v>
      </c>
      <c r="AE6" t="s">
        <v>126</v>
      </c>
    </row>
    <row r="7" spans="1:31" x14ac:dyDescent="0.25">
      <c r="A7" s="4">
        <f>PLANTILLA!A6</f>
        <v>13</v>
      </c>
      <c r="B7" s="232" t="str">
        <f>PLANTILLA!C6</f>
        <v>A. Grimaud</v>
      </c>
      <c r="C7" s="4" t="str">
        <f>PLANTILLA!D6</f>
        <v>32.79</v>
      </c>
      <c r="D7" s="200" t="e">
        <f>PLANTILLA!#REF!</f>
        <v>#REF!</v>
      </c>
      <c r="E7" s="48">
        <f>PLANTILLA!U6</f>
        <v>0</v>
      </c>
      <c r="F7" s="48">
        <f>PLANTILLA!V6</f>
        <v>14</v>
      </c>
      <c r="G7" s="48">
        <f>PLANTILLA!W6</f>
        <v>10</v>
      </c>
      <c r="H7" s="48">
        <f>PLANTILLA!X6</f>
        <v>2</v>
      </c>
      <c r="I7" s="48">
        <f>PLANTILLA!Y6</f>
        <v>3</v>
      </c>
      <c r="J7" s="48">
        <f>PLANTILLA!Z6</f>
        <v>7</v>
      </c>
      <c r="K7" s="48">
        <f>PLANTILLA!AA6</f>
        <v>18</v>
      </c>
      <c r="L7" s="89">
        <f>1/11</f>
        <v>9.0909090909090912E-2</v>
      </c>
      <c r="M7" s="89">
        <f t="shared" si="0"/>
        <v>1.5151515151515152E-2</v>
      </c>
      <c r="N7" s="98"/>
      <c r="O7" s="98">
        <f>L7*(0.245*1+0.34*0.516+0.34*0.258)/(0.245+0.34)</f>
        <v>7.8968142968142974E-2</v>
      </c>
      <c r="P7" s="98">
        <f>L7*(0.245*0.708+0.34*0.754)/(0.245+0.34)</f>
        <v>6.6794094794094788E-2</v>
      </c>
      <c r="Q7" s="98">
        <f>L7*(0.245*0.479+0.34*1)/(0.245+0.34)</f>
        <v>7.1073038073038081E-2</v>
      </c>
      <c r="R7" s="98">
        <f>L7*(0.245*0.414+0.34*0.919)/(0.245+0.34)</f>
        <v>6.4318570318570328E-2</v>
      </c>
      <c r="S7" s="98"/>
      <c r="T7" s="98"/>
      <c r="U7" s="98"/>
      <c r="V7" s="98"/>
      <c r="W7" s="98"/>
      <c r="X7" s="98">
        <f t="shared" si="1"/>
        <v>7.8968142968142974E-2</v>
      </c>
      <c r="AA7" t="s">
        <v>234</v>
      </c>
      <c r="AB7" t="s">
        <v>128</v>
      </c>
      <c r="AD7" t="s">
        <v>373</v>
      </c>
      <c r="AE7" t="s">
        <v>160</v>
      </c>
    </row>
    <row r="8" spans="1:31" x14ac:dyDescent="0.25">
      <c r="A8" s="4">
        <f>PLANTILLA!A7</f>
        <v>5</v>
      </c>
      <c r="B8" s="232" t="str">
        <f>PLANTILLA!C7</f>
        <v>C. Mosser</v>
      </c>
      <c r="C8" s="4" t="str">
        <f>PLANTILLA!D7</f>
        <v>30.96</v>
      </c>
      <c r="D8" s="200" t="e">
        <f>PLANTILLA!#REF!</f>
        <v>#REF!</v>
      </c>
      <c r="E8" s="48">
        <f>PLANTILLA!U7</f>
        <v>1</v>
      </c>
      <c r="F8" s="48">
        <f>PLANTILLA!V7</f>
        <v>15</v>
      </c>
      <c r="G8" s="48">
        <f>PLANTILLA!W7</f>
        <v>3</v>
      </c>
      <c r="H8" s="48">
        <f>PLANTILLA!X7</f>
        <v>6</v>
      </c>
      <c r="I8" s="48">
        <f>PLANTILLA!Y7</f>
        <v>2</v>
      </c>
      <c r="J8" s="48">
        <f>PLANTILLA!Z7</f>
        <v>11</v>
      </c>
      <c r="K8" s="48">
        <f>PLANTILLA!AA7</f>
        <v>19</v>
      </c>
      <c r="L8" s="89">
        <f>1/11</f>
        <v>9.0909090909090912E-2</v>
      </c>
      <c r="M8" s="89">
        <f t="shared" si="0"/>
        <v>1.5151515151515152E-2</v>
      </c>
      <c r="N8" s="98"/>
      <c r="O8" s="98">
        <f>L8*(0.245*1+0.34*0.516+0.34*0.258)/(0.245+0.34)</f>
        <v>7.8968142968142974E-2</v>
      </c>
      <c r="P8" s="98">
        <f>L8*(0.245*0.708+0.34*0.754)/(0.245+0.34)</f>
        <v>6.6794094794094788E-2</v>
      </c>
      <c r="Q8" s="98">
        <f>L8*(0.245*0.479+0.34*1)/(0.245+0.34)</f>
        <v>7.1073038073038081E-2</v>
      </c>
      <c r="R8" s="98">
        <f>L8*(0.245*0.414+0.34*0.919)/(0.245+0.34)</f>
        <v>6.4318570318570328E-2</v>
      </c>
      <c r="S8" s="98"/>
      <c r="T8" s="98"/>
      <c r="U8" s="98"/>
      <c r="V8" s="98"/>
      <c r="W8" s="98"/>
      <c r="X8" s="98">
        <f t="shared" si="1"/>
        <v>7.8968142968142974E-2</v>
      </c>
      <c r="AA8" t="s">
        <v>121</v>
      </c>
      <c r="AB8" t="s">
        <v>165</v>
      </c>
      <c r="AD8" t="s">
        <v>368</v>
      </c>
      <c r="AE8" t="s">
        <v>127</v>
      </c>
    </row>
    <row r="9" spans="1:31" x14ac:dyDescent="0.25">
      <c r="A9" s="4">
        <f>PLANTILLA!A5</f>
        <v>6</v>
      </c>
      <c r="B9" s="232" t="str">
        <f>PLANTILLA!C5</f>
        <v>V. Gardner</v>
      </c>
      <c r="C9" s="4" t="str">
        <f>PLANTILLA!D5</f>
        <v>32.68</v>
      </c>
      <c r="D9" s="200" t="e">
        <f>PLANTILLA!#REF!</f>
        <v>#REF!</v>
      </c>
      <c r="E9" s="48">
        <f>PLANTILLA!U5</f>
        <v>0</v>
      </c>
      <c r="F9" s="48">
        <f>PLANTILLA!V5</f>
        <v>15</v>
      </c>
      <c r="G9" s="48">
        <f>PLANTILLA!W5</f>
        <v>8</v>
      </c>
      <c r="H9" s="48">
        <f>PLANTILLA!X5</f>
        <v>3</v>
      </c>
      <c r="I9" s="48">
        <f>PLANTILLA!Y5</f>
        <v>4</v>
      </c>
      <c r="J9" s="48">
        <f>PLANTILLA!Z5</f>
        <v>7</v>
      </c>
      <c r="K9" s="48">
        <f>PLANTILLA!AA5</f>
        <v>19</v>
      </c>
      <c r="L9" s="89">
        <f>1/11</f>
        <v>9.0909090909090912E-2</v>
      </c>
      <c r="M9" s="89">
        <f t="shared" si="0"/>
        <v>1.5151515151515152E-2</v>
      </c>
      <c r="N9" s="98"/>
      <c r="O9" s="98">
        <f>L9*(0.245*1+0.34*0.516+0.34*0.258)/(0.245+0.34)</f>
        <v>7.8968142968142974E-2</v>
      </c>
      <c r="P9" s="98">
        <f>L9*(0.245*0.708+0.34*0.754)/(0.245+0.34)</f>
        <v>6.6794094794094788E-2</v>
      </c>
      <c r="Q9" s="98">
        <f>L9*(0.245*0.479+0.34*1)/(0.245+0.34)</f>
        <v>7.1073038073038081E-2</v>
      </c>
      <c r="R9" s="98">
        <f>L9*(0.245*0.414+0.34*0.919)/(0.245+0.34)</f>
        <v>6.4318570318570328E-2</v>
      </c>
      <c r="S9" s="98"/>
      <c r="T9" s="98"/>
      <c r="U9" s="98"/>
      <c r="V9" s="98"/>
      <c r="W9" s="98"/>
      <c r="X9" s="98">
        <f t="shared" si="1"/>
        <v>7.8968142968142974E-2</v>
      </c>
      <c r="AA9" t="s">
        <v>234</v>
      </c>
      <c r="AB9" t="s">
        <v>163</v>
      </c>
      <c r="AD9" t="s">
        <v>234</v>
      </c>
      <c r="AE9" t="s">
        <v>163</v>
      </c>
    </row>
    <row r="10" spans="1:31" x14ac:dyDescent="0.25">
      <c r="A10" s="4">
        <f>PLANTILLA!A15</f>
        <v>9</v>
      </c>
      <c r="B10" s="234" t="str">
        <f>PLANTILLA!C15</f>
        <v>M. Bondarewski</v>
      </c>
      <c r="C10" s="4" t="str">
        <f>PLANTILLA!D15</f>
        <v>32.71</v>
      </c>
      <c r="D10" s="200" t="e">
        <f>PLANTILLA!#REF!</f>
        <v>#REF!</v>
      </c>
      <c r="E10" s="48">
        <f>PLANTILLA!U15</f>
        <v>0</v>
      </c>
      <c r="F10" s="48">
        <f>PLANTILLA!V15</f>
        <v>8</v>
      </c>
      <c r="G10" s="48">
        <f>PLANTILLA!W15</f>
        <v>15</v>
      </c>
      <c r="H10" s="48">
        <f>PLANTILLA!X15</f>
        <v>4</v>
      </c>
      <c r="I10" s="48">
        <f>PLANTILLA!Y15</f>
        <v>4</v>
      </c>
      <c r="J10" s="48">
        <f>PLANTILLA!Z15</f>
        <v>9</v>
      </c>
      <c r="K10" s="48">
        <f>PLANTILLA!AA15</f>
        <v>20</v>
      </c>
      <c r="L10" s="89">
        <f>1/3</f>
        <v>0.33333333333333331</v>
      </c>
      <c r="M10" s="89">
        <f t="shared" si="0"/>
        <v>5.5555555555555552E-2</v>
      </c>
      <c r="N10" s="98"/>
      <c r="O10" s="98"/>
      <c r="P10" s="98"/>
      <c r="Q10" s="98"/>
      <c r="R10" s="98"/>
      <c r="S10" s="98">
        <f t="shared" ref="S10:S15" si="2">L10*(0.245*0.4+0.34*0.189+0.34*0.095)</f>
        <v>6.4853333333333332E-2</v>
      </c>
      <c r="T10" s="98">
        <f t="shared" ref="T10:T15" si="3">L10*(0.245*0.348+0.34*0.291)</f>
        <v>6.1399999999999989E-2</v>
      </c>
      <c r="U10" s="98">
        <f t="shared" ref="U10:U15" si="4">L10*(0.245*0.201+0.34*0.349)</f>
        <v>5.5968333333333328E-2</v>
      </c>
      <c r="V10" s="98"/>
      <c r="W10" s="98"/>
      <c r="X10" s="98">
        <f t="shared" si="1"/>
        <v>6.4853333333333332E-2</v>
      </c>
      <c r="AA10" t="s">
        <v>237</v>
      </c>
      <c r="AB10" t="s">
        <v>127</v>
      </c>
      <c r="AD10" t="s">
        <v>234</v>
      </c>
      <c r="AE10" t="s">
        <v>128</v>
      </c>
    </row>
    <row r="11" spans="1:31" x14ac:dyDescent="0.25">
      <c r="A11" s="4">
        <f>PLANTILLA!A17</f>
        <v>16</v>
      </c>
      <c r="B11" s="234" t="str">
        <f>PLANTILLA!C17</f>
        <v>I. Vanags</v>
      </c>
      <c r="C11" s="4" t="str">
        <f>PLANTILLA!D17</f>
        <v>32.55</v>
      </c>
      <c r="D11" s="200" t="e">
        <f>PLANTILLA!#REF!</f>
        <v>#REF!</v>
      </c>
      <c r="E11" s="48">
        <f>PLANTILLA!U17</f>
        <v>0</v>
      </c>
      <c r="F11" s="48">
        <f>PLANTILLA!V17</f>
        <v>10</v>
      </c>
      <c r="G11" s="48">
        <f>PLANTILLA!W17</f>
        <v>15</v>
      </c>
      <c r="H11" s="48">
        <f>PLANTILLA!X17</f>
        <v>2</v>
      </c>
      <c r="I11" s="48">
        <f>PLANTILLA!Y17</f>
        <v>3</v>
      </c>
      <c r="J11" s="48">
        <f>PLANTILLA!Z17</f>
        <v>8</v>
      </c>
      <c r="K11" s="48">
        <f>PLANTILLA!AA17</f>
        <v>19</v>
      </c>
      <c r="L11" s="89">
        <f>1/3</f>
        <v>0.33333333333333331</v>
      </c>
      <c r="M11" s="89">
        <f t="shared" si="0"/>
        <v>5.5555555555555552E-2</v>
      </c>
      <c r="N11" s="98"/>
      <c r="O11" s="98"/>
      <c r="P11" s="98"/>
      <c r="Q11" s="98"/>
      <c r="R11" s="98"/>
      <c r="S11" s="98">
        <f t="shared" si="2"/>
        <v>6.4853333333333332E-2</v>
      </c>
      <c r="T11" s="98">
        <f t="shared" si="3"/>
        <v>6.1399999999999989E-2</v>
      </c>
      <c r="U11" s="98">
        <f t="shared" si="4"/>
        <v>5.5968333333333328E-2</v>
      </c>
      <c r="V11" s="98"/>
      <c r="W11" s="98"/>
      <c r="X11" s="98">
        <f t="shared" si="1"/>
        <v>6.4853333333333332E-2</v>
      </c>
      <c r="AA11" t="s">
        <v>237</v>
      </c>
      <c r="AB11" t="s">
        <v>166</v>
      </c>
      <c r="AD11" t="s">
        <v>237</v>
      </c>
      <c r="AE11" t="s">
        <v>166</v>
      </c>
    </row>
    <row r="12" spans="1:31" x14ac:dyDescent="0.25">
      <c r="A12" s="4">
        <f>PLANTILLA!A14</f>
        <v>7</v>
      </c>
      <c r="B12" s="233" t="str">
        <f>PLANTILLA!C14</f>
        <v>S. Hovhannesyan</v>
      </c>
      <c r="C12" s="4" t="str">
        <f>PLANTILLA!D14</f>
        <v>31.71</v>
      </c>
      <c r="D12" s="200" t="e">
        <f>PLANTILLA!#REF!</f>
        <v>#REF!</v>
      </c>
      <c r="E12" s="48">
        <f>PLANTILLA!U14</f>
        <v>0</v>
      </c>
      <c r="F12" s="48">
        <f>PLANTILLA!V14</f>
        <v>13</v>
      </c>
      <c r="G12" s="48">
        <f>PLANTILLA!W14</f>
        <v>16</v>
      </c>
      <c r="H12" s="48">
        <f>PLANTILLA!X14</f>
        <v>2</v>
      </c>
      <c r="I12" s="48">
        <f>PLANTILLA!Y14</f>
        <v>2</v>
      </c>
      <c r="J12" s="48">
        <f>PLANTILLA!Z14</f>
        <v>8</v>
      </c>
      <c r="K12" s="48">
        <f>PLANTILLA!AA14</f>
        <v>19</v>
      </c>
      <c r="L12" s="89">
        <f>1/4</f>
        <v>0.25</v>
      </c>
      <c r="M12" s="89">
        <f t="shared" si="0"/>
        <v>4.1666666666666664E-2</v>
      </c>
      <c r="N12" s="98"/>
      <c r="O12" s="98"/>
      <c r="P12" s="98"/>
      <c r="Q12" s="98"/>
      <c r="R12" s="98"/>
      <c r="S12" s="98">
        <f t="shared" si="2"/>
        <v>4.8640000000000003E-2</v>
      </c>
      <c r="T12" s="98">
        <f t="shared" si="3"/>
        <v>4.6049999999999994E-2</v>
      </c>
      <c r="U12" s="98">
        <f t="shared" si="4"/>
        <v>4.197625E-2</v>
      </c>
      <c r="V12" s="98"/>
      <c r="W12" s="98"/>
      <c r="X12" s="98">
        <f t="shared" si="1"/>
        <v>4.8640000000000003E-2</v>
      </c>
      <c r="AA12" t="s">
        <v>21</v>
      </c>
      <c r="AB12" t="s">
        <v>164</v>
      </c>
      <c r="AD12" t="s">
        <v>237</v>
      </c>
      <c r="AE12" t="s">
        <v>145</v>
      </c>
    </row>
    <row r="13" spans="1:31" x14ac:dyDescent="0.25">
      <c r="A13" s="4">
        <f>PLANTILLA!A16</f>
        <v>8</v>
      </c>
      <c r="B13" s="233" t="str">
        <f>PLANTILLA!C16</f>
        <v>I. Stone</v>
      </c>
      <c r="C13" s="4">
        <f>PLANTILLA!D16</f>
        <v>31110</v>
      </c>
      <c r="D13" s="200" t="e">
        <f>PLANTILLA!#REF!</f>
        <v>#REF!</v>
      </c>
      <c r="E13" s="48">
        <f>PLANTILLA!U16</f>
        <v>0</v>
      </c>
      <c r="F13" s="48">
        <f>PLANTILLA!V16</f>
        <v>9</v>
      </c>
      <c r="G13" s="48">
        <f>PLANTILLA!W16</f>
        <v>14</v>
      </c>
      <c r="H13" s="48">
        <f>PLANTILLA!X16</f>
        <v>2</v>
      </c>
      <c r="I13" s="48">
        <f>PLANTILLA!Y16</f>
        <v>6</v>
      </c>
      <c r="J13" s="48">
        <f>PLANTILLA!Z16</f>
        <v>10</v>
      </c>
      <c r="K13" s="48">
        <f>PLANTILLA!AA16</f>
        <v>19</v>
      </c>
      <c r="L13" s="89">
        <f>1/4</f>
        <v>0.25</v>
      </c>
      <c r="M13" s="89">
        <f t="shared" si="0"/>
        <v>4.1666666666666664E-2</v>
      </c>
      <c r="N13" s="98"/>
      <c r="O13" s="98"/>
      <c r="P13" s="98"/>
      <c r="Q13" s="98"/>
      <c r="R13" s="98"/>
      <c r="S13" s="98">
        <f t="shared" si="2"/>
        <v>4.8640000000000003E-2</v>
      </c>
      <c r="T13" s="98">
        <f t="shared" si="3"/>
        <v>4.6049999999999994E-2</v>
      </c>
      <c r="U13" s="98">
        <f t="shared" si="4"/>
        <v>4.197625E-2</v>
      </c>
      <c r="V13" s="98"/>
      <c r="W13" s="98"/>
      <c r="X13" s="98">
        <f t="shared" si="1"/>
        <v>4.8640000000000003E-2</v>
      </c>
      <c r="AA13" t="s">
        <v>21</v>
      </c>
      <c r="AB13" t="s">
        <v>145</v>
      </c>
      <c r="AD13" t="s">
        <v>21</v>
      </c>
      <c r="AE13" t="s">
        <v>164</v>
      </c>
    </row>
    <row r="14" spans="1:31" x14ac:dyDescent="0.25">
      <c r="A14" s="4">
        <f>PLANTILLA!A13</f>
        <v>17</v>
      </c>
      <c r="B14" s="233" t="str">
        <f>PLANTILLA!C13</f>
        <v>S. Sawczyn</v>
      </c>
      <c r="C14" s="4" t="str">
        <f>PLANTILLA!D13</f>
        <v>31.70</v>
      </c>
      <c r="D14" s="200" t="e">
        <f>PLANTILLA!#REF!</f>
        <v>#REF!</v>
      </c>
      <c r="E14" s="48">
        <f>PLANTILLA!U13</f>
        <v>0</v>
      </c>
      <c r="F14" s="48">
        <f>PLANTILLA!V13</f>
        <v>12</v>
      </c>
      <c r="G14" s="48">
        <f>PLANTILLA!W13</f>
        <v>14</v>
      </c>
      <c r="H14" s="48">
        <f>PLANTILLA!X13</f>
        <v>3</v>
      </c>
      <c r="I14" s="48">
        <f>PLANTILLA!Y13</f>
        <v>6</v>
      </c>
      <c r="J14" s="48">
        <f>PLANTILLA!Z13</f>
        <v>9</v>
      </c>
      <c r="K14" s="48">
        <f>PLANTILLA!AA13</f>
        <v>19</v>
      </c>
      <c r="L14" s="89">
        <f>1/5</f>
        <v>0.2</v>
      </c>
      <c r="M14" s="89">
        <f t="shared" si="0"/>
        <v>3.3333333333333333E-2</v>
      </c>
      <c r="N14" s="98"/>
      <c r="O14" s="98"/>
      <c r="P14" s="98"/>
      <c r="Q14" s="98"/>
      <c r="R14" s="98"/>
      <c r="S14" s="98">
        <f t="shared" si="2"/>
        <v>3.8912000000000002E-2</v>
      </c>
      <c r="T14" s="98">
        <f t="shared" si="3"/>
        <v>3.6839999999999998E-2</v>
      </c>
      <c r="U14" s="98">
        <f t="shared" si="4"/>
        <v>3.3581E-2</v>
      </c>
      <c r="V14" s="98"/>
      <c r="W14" s="98"/>
      <c r="X14" s="98">
        <f t="shared" si="1"/>
        <v>3.8912000000000002E-2</v>
      </c>
    </row>
    <row r="15" spans="1:31" x14ac:dyDescent="0.25">
      <c r="A15" s="4">
        <f>PLANTILLA!A11</f>
        <v>3</v>
      </c>
      <c r="B15" s="233" t="str">
        <f>PLANTILLA!C11</f>
        <v>纪 (J.) 昌永 (Changyong)</v>
      </c>
      <c r="C15" s="4" t="str">
        <f>PLANTILLA!D11</f>
        <v>33.43</v>
      </c>
      <c r="D15" s="200" t="e">
        <f>PLANTILLA!#REF!</f>
        <v>#REF!</v>
      </c>
      <c r="E15" s="48">
        <f>PLANTILLA!U11</f>
        <v>0</v>
      </c>
      <c r="F15" s="48">
        <f>PLANTILLA!V11</f>
        <v>13</v>
      </c>
      <c r="G15" s="48">
        <f>PLANTILLA!W11</f>
        <v>16</v>
      </c>
      <c r="H15" s="48">
        <f>PLANTILLA!X11</f>
        <v>3</v>
      </c>
      <c r="I15" s="48">
        <f>PLANTILLA!Y11</f>
        <v>3</v>
      </c>
      <c r="J15" s="48">
        <f>PLANTILLA!Z11</f>
        <v>9</v>
      </c>
      <c r="K15" s="48">
        <f>PLANTILLA!AA11</f>
        <v>19</v>
      </c>
      <c r="L15" s="89">
        <f>1/6</f>
        <v>0.16666666666666666</v>
      </c>
      <c r="M15" s="89">
        <f t="shared" si="0"/>
        <v>2.7777777777777776E-2</v>
      </c>
      <c r="N15" s="98"/>
      <c r="O15" s="98"/>
      <c r="P15" s="98"/>
      <c r="Q15" s="98"/>
      <c r="R15" s="98"/>
      <c r="S15" s="98">
        <f t="shared" si="2"/>
        <v>3.2426666666666666E-2</v>
      </c>
      <c r="T15" s="98">
        <f t="shared" si="3"/>
        <v>3.0699999999999995E-2</v>
      </c>
      <c r="U15" s="98">
        <f t="shared" si="4"/>
        <v>2.7984166666666664E-2</v>
      </c>
      <c r="V15" s="98"/>
      <c r="W15" s="98"/>
      <c r="X15" s="98">
        <f t="shared" si="1"/>
        <v>3.2426666666666666E-2</v>
      </c>
    </row>
    <row r="16" spans="1:31" x14ac:dyDescent="0.25">
      <c r="A16" s="4">
        <f>PLANTILLA!A12</f>
        <v>4</v>
      </c>
      <c r="B16" s="231" t="str">
        <f>PLANTILLA!C12</f>
        <v>Y. Galitsky</v>
      </c>
      <c r="C16" s="4" t="str">
        <f>PLANTILLA!D12</f>
        <v>33.49</v>
      </c>
      <c r="D16" s="200" t="e">
        <f>PLANTILLA!#REF!</f>
        <v>#REF!</v>
      </c>
      <c r="E16" s="48">
        <f>PLANTILLA!U12</f>
        <v>0</v>
      </c>
      <c r="F16" s="48">
        <f>PLANTILLA!V12</f>
        <v>14</v>
      </c>
      <c r="G16" s="48">
        <f>PLANTILLA!W12</f>
        <v>15</v>
      </c>
      <c r="H16" s="48">
        <f>PLANTILLA!X12</f>
        <v>1</v>
      </c>
      <c r="I16" s="48">
        <f>PLANTILLA!Y12</f>
        <v>5</v>
      </c>
      <c r="J16" s="48">
        <f>PLANTILLA!Z12</f>
        <v>9</v>
      </c>
      <c r="K16" s="48">
        <f>PLANTILLA!AA12</f>
        <v>18</v>
      </c>
      <c r="L16" s="89"/>
      <c r="M16" s="89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>
        <f t="shared" si="1"/>
        <v>0</v>
      </c>
    </row>
    <row r="17" spans="1:24" x14ac:dyDescent="0.25">
      <c r="A17" s="4" t="e">
        <f>PLANTILLA!#REF!</f>
        <v>#REF!</v>
      </c>
      <c r="B17" s="231" t="e">
        <f>PLANTILLA!#REF!</f>
        <v>#REF!</v>
      </c>
      <c r="C17" s="4" t="e">
        <f>PLANTILLA!#REF!</f>
        <v>#REF!</v>
      </c>
      <c r="D17" s="200" t="e">
        <f>PLANTILLA!#REF!</f>
        <v>#REF!</v>
      </c>
      <c r="E17" s="48" t="e">
        <f>PLANTILLA!#REF!</f>
        <v>#REF!</v>
      </c>
      <c r="F17" s="48" t="e">
        <f>PLANTILLA!#REF!</f>
        <v>#REF!</v>
      </c>
      <c r="G17" s="48" t="e">
        <f>PLANTILLA!#REF!</f>
        <v>#REF!</v>
      </c>
      <c r="H17" s="48" t="e">
        <f>PLANTILLA!#REF!</f>
        <v>#REF!</v>
      </c>
      <c r="I17" s="48" t="e">
        <f>PLANTILLA!#REF!</f>
        <v>#REF!</v>
      </c>
      <c r="J17" s="48" t="e">
        <f>PLANTILLA!#REF!</f>
        <v>#REF!</v>
      </c>
      <c r="K17" s="48" t="e">
        <f>PLANTILLA!#REF!</f>
        <v>#REF!</v>
      </c>
      <c r="L17" s="89"/>
      <c r="M17" s="89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>
        <f t="shared" si="1"/>
        <v>0</v>
      </c>
    </row>
    <row r="18" spans="1:24" x14ac:dyDescent="0.25">
      <c r="A18" s="4">
        <f>PLANTILLA!A10</f>
        <v>11</v>
      </c>
      <c r="B18" s="231" t="str">
        <f>PLANTILLA!C10</f>
        <v>K. Teglborg</v>
      </c>
      <c r="C18" s="4">
        <f>PLANTILLA!D10</f>
        <v>32101</v>
      </c>
      <c r="D18" s="200" t="e">
        <f>PLANTILLA!#REF!</f>
        <v>#REF!</v>
      </c>
      <c r="E18" s="48">
        <f>PLANTILLA!U10</f>
        <v>0</v>
      </c>
      <c r="F18" s="48">
        <f>PLANTILLA!V10</f>
        <v>11</v>
      </c>
      <c r="G18" s="48">
        <f>PLANTILLA!W10</f>
        <v>16</v>
      </c>
      <c r="H18" s="48">
        <f>PLANTILLA!X10</f>
        <v>2</v>
      </c>
      <c r="I18" s="48">
        <f>PLANTILLA!Y10</f>
        <v>2</v>
      </c>
      <c r="J18" s="48">
        <f>PLANTILLA!Z10</f>
        <v>9</v>
      </c>
      <c r="K18" s="48">
        <f>PLANTILLA!AA10</f>
        <v>18</v>
      </c>
      <c r="L18" s="89"/>
      <c r="M18" s="89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>
        <f t="shared" si="1"/>
        <v>0</v>
      </c>
    </row>
    <row r="19" spans="1:24" x14ac:dyDescent="0.25">
      <c r="A19" s="4" t="e">
        <f>PLANTILLA!#REF!</f>
        <v>#REF!</v>
      </c>
      <c r="B19" s="231" t="e">
        <f>PLANTILLA!#REF!</f>
        <v>#REF!</v>
      </c>
      <c r="C19" s="4" t="e">
        <f>PLANTILLA!#REF!</f>
        <v>#REF!</v>
      </c>
      <c r="D19" s="200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89"/>
      <c r="M19" s="89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>
        <f t="shared" si="1"/>
        <v>0</v>
      </c>
    </row>
    <row r="20" spans="1:24" x14ac:dyDescent="0.25">
      <c r="A20" s="4" t="e">
        <f>PLANTILLA!#REF!</f>
        <v>#REF!</v>
      </c>
      <c r="B20" s="231" t="e">
        <f>PLANTILLA!#REF!</f>
        <v>#REF!</v>
      </c>
      <c r="C20" s="4" t="e">
        <f>PLANTILLA!#REF!</f>
        <v>#REF!</v>
      </c>
      <c r="D20" s="200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89"/>
      <c r="M20" s="89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>
        <f t="shared" si="1"/>
        <v>0</v>
      </c>
    </row>
    <row r="21" spans="1:24" x14ac:dyDescent="0.25">
      <c r="A21" s="4" t="e">
        <f>PLANTILLA!#REF!</f>
        <v>#REF!</v>
      </c>
      <c r="B21" s="231" t="e">
        <f>PLANTILLA!#REF!</f>
        <v>#REF!</v>
      </c>
      <c r="C21" s="4" t="e">
        <f>PLANTILLA!#REF!</f>
        <v>#REF!</v>
      </c>
      <c r="D21" s="200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89"/>
      <c r="M21" s="89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>
        <f t="shared" si="1"/>
        <v>0</v>
      </c>
    </row>
    <row r="22" spans="1:24" x14ac:dyDescent="0.25">
      <c r="A22" s="4">
        <f>PLANTILLA!A9</f>
        <v>2</v>
      </c>
      <c r="B22" s="231" t="str">
        <f>PLANTILLA!C9</f>
        <v>T. McPhail</v>
      </c>
      <c r="C22" s="4" t="str">
        <f>PLANTILLA!D9</f>
        <v>32.88</v>
      </c>
      <c r="D22" s="200" t="e">
        <f>PLANTILLA!#REF!</f>
        <v>#REF!</v>
      </c>
      <c r="E22" s="48">
        <f>PLANTILLA!U9</f>
        <v>0</v>
      </c>
      <c r="F22" s="48">
        <f>PLANTILLA!V9</f>
        <v>13</v>
      </c>
      <c r="G22" s="48">
        <f>PLANTILLA!W9</f>
        <v>14</v>
      </c>
      <c r="H22" s="48">
        <f>PLANTILLA!X9</f>
        <v>4</v>
      </c>
      <c r="I22" s="48">
        <f>PLANTILLA!Y9</f>
        <v>4</v>
      </c>
      <c r="J22" s="48">
        <f>PLANTILLA!Z9</f>
        <v>9</v>
      </c>
      <c r="K22" s="48">
        <f>PLANTILLA!AA9</f>
        <v>17</v>
      </c>
      <c r="L22" s="89"/>
      <c r="M22" s="89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>
        <f t="shared" si="1"/>
        <v>0</v>
      </c>
    </row>
    <row r="23" spans="1:24" x14ac:dyDescent="0.25">
      <c r="A23" s="4" t="e">
        <f>PLANTILLA!#REF!</f>
        <v>#REF!</v>
      </c>
      <c r="B23" s="231" t="e">
        <f>PLANTILLA!#REF!</f>
        <v>#REF!</v>
      </c>
      <c r="C23" s="4" t="e">
        <f>PLANTILLA!#REF!</f>
        <v>#REF!</v>
      </c>
      <c r="D23" s="200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89"/>
      <c r="M23" s="89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>
        <f t="shared" si="1"/>
        <v>0</v>
      </c>
    </row>
    <row r="24" spans="1:24" x14ac:dyDescent="0.25">
      <c r="A24" s="4" t="e">
        <f>PLANTILLA!#REF!</f>
        <v>#REF!</v>
      </c>
      <c r="B24" s="231" t="e">
        <f>PLANTILLA!#REF!</f>
        <v>#REF!</v>
      </c>
      <c r="C24" s="4" t="e">
        <f>PLANTILLA!#REF!</f>
        <v>#REF!</v>
      </c>
      <c r="D24" s="200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89"/>
      <c r="M24" s="89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>
        <f t="shared" si="1"/>
        <v>0</v>
      </c>
    </row>
    <row r="25" spans="1:24" x14ac:dyDescent="0.25">
      <c r="A25" s="4" t="e">
        <f>PLANTILLA!#REF!</f>
        <v>#REF!</v>
      </c>
      <c r="B25" s="231" t="e">
        <f>PLANTILLA!#REF!</f>
        <v>#REF!</v>
      </c>
      <c r="C25" s="4" t="e">
        <f>PLANTILLA!#REF!</f>
        <v>#REF!</v>
      </c>
      <c r="D25" s="200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89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6" customWidth="1"/>
    <col min="14" max="14" width="8.28515625" style="56" customWidth="1"/>
    <col min="15" max="15" width="4.5703125" style="56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374</v>
      </c>
      <c r="AA1" t="s">
        <v>375</v>
      </c>
      <c r="AD1" t="s">
        <v>376</v>
      </c>
    </row>
    <row r="2" spans="1:31" x14ac:dyDescent="0.25">
      <c r="B2" s="70">
        <v>44035</v>
      </c>
      <c r="X2" s="166"/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377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161">
        <v>0.5</v>
      </c>
      <c r="N3" s="76" t="s">
        <v>385</v>
      </c>
      <c r="O3" s="163" t="s">
        <v>14</v>
      </c>
      <c r="P3" s="163" t="s">
        <v>369</v>
      </c>
      <c r="Q3" s="163" t="s">
        <v>448</v>
      </c>
      <c r="R3" s="162" t="s">
        <v>380</v>
      </c>
      <c r="S3" s="162" t="s">
        <v>381</v>
      </c>
      <c r="T3" s="162" t="s">
        <v>121</v>
      </c>
      <c r="U3" s="162" t="s">
        <v>447</v>
      </c>
      <c r="V3" s="163" t="s">
        <v>122</v>
      </c>
      <c r="W3" s="165" t="s">
        <v>21</v>
      </c>
      <c r="X3" s="164" t="s">
        <v>383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>
        <f>PLANTILLA!A14</f>
        <v>7</v>
      </c>
      <c r="B4" s="50" t="str">
        <f>PLANTILLA!C14</f>
        <v>S. Hovhannesyan</v>
      </c>
      <c r="C4" s="4" t="str">
        <f>PLANTILLA!D14</f>
        <v>31.71</v>
      </c>
      <c r="D4" s="200" t="e">
        <f>PLANTILLA!#REF!</f>
        <v>#REF!</v>
      </c>
      <c r="E4" s="48">
        <f>PLANTILLA!U14</f>
        <v>0</v>
      </c>
      <c r="F4" s="48">
        <f>PLANTILLA!V14</f>
        <v>13</v>
      </c>
      <c r="G4" s="48">
        <f>PLANTILLA!W14</f>
        <v>16</v>
      </c>
      <c r="H4" s="48">
        <f>PLANTILLA!X14</f>
        <v>2</v>
      </c>
      <c r="I4" s="48">
        <f>PLANTILLA!Y14</f>
        <v>2</v>
      </c>
      <c r="J4" s="48">
        <f>PLANTILLA!Z14</f>
        <v>8</v>
      </c>
      <c r="K4" s="48">
        <f>PLANTILLA!AA14</f>
        <v>19</v>
      </c>
      <c r="L4" s="89">
        <f>1/12.5</f>
        <v>0.08</v>
      </c>
      <c r="M4" s="89">
        <f t="shared" ref="M4:M14" si="0">L4*0.5</f>
        <v>0.04</v>
      </c>
      <c r="N4" s="89">
        <f t="shared" ref="N4:N14" si="1">L4*0.125</f>
        <v>0.01</v>
      </c>
      <c r="O4" s="98"/>
      <c r="P4" s="98"/>
      <c r="Q4" s="98"/>
      <c r="R4" s="98"/>
      <c r="S4" s="98"/>
      <c r="T4" s="98">
        <f t="shared" ref="T4:T9" si="2">L4*1</f>
        <v>0.08</v>
      </c>
      <c r="U4" s="98">
        <f>L4*0.631</f>
        <v>5.0480000000000004E-2</v>
      </c>
      <c r="V4" s="98"/>
      <c r="W4" s="98"/>
      <c r="X4" s="98">
        <f t="shared" ref="X4:X22" si="3">MAX(O4:W4)</f>
        <v>0.08</v>
      </c>
      <c r="AA4" t="s">
        <v>368</v>
      </c>
      <c r="AB4" t="s">
        <v>384</v>
      </c>
      <c r="AD4" t="s">
        <v>368</v>
      </c>
      <c r="AE4" t="str">
        <f>AB4</f>
        <v>B. Pinczehelyi</v>
      </c>
    </row>
    <row r="5" spans="1:31" x14ac:dyDescent="0.25">
      <c r="A5" s="4">
        <f>PLANTILLA!A15</f>
        <v>9</v>
      </c>
      <c r="B5" s="50" t="str">
        <f>PLANTILLA!C15</f>
        <v>M. Bondarewski</v>
      </c>
      <c r="C5" s="4" t="str">
        <f>PLANTILLA!D15</f>
        <v>32.71</v>
      </c>
      <c r="D5" s="200" t="e">
        <f>PLANTILLA!#REF!</f>
        <v>#REF!</v>
      </c>
      <c r="E5" s="48">
        <f>PLANTILLA!U15</f>
        <v>0</v>
      </c>
      <c r="F5" s="48">
        <f>PLANTILLA!V15</f>
        <v>8</v>
      </c>
      <c r="G5" s="48">
        <f>PLANTILLA!W15</f>
        <v>15</v>
      </c>
      <c r="H5" s="48">
        <f>PLANTILLA!X15</f>
        <v>4</v>
      </c>
      <c r="I5" s="48">
        <f>PLANTILLA!Y15</f>
        <v>4</v>
      </c>
      <c r="J5" s="48">
        <f>PLANTILLA!Z15</f>
        <v>9</v>
      </c>
      <c r="K5" s="48">
        <f>PLANTILLA!AA15</f>
        <v>20</v>
      </c>
      <c r="L5" s="89">
        <f>1/11</f>
        <v>9.0909090909090912E-2</v>
      </c>
      <c r="M5" s="89">
        <f t="shared" si="0"/>
        <v>4.5454545454545456E-2</v>
      </c>
      <c r="N5" s="89">
        <f t="shared" si="1"/>
        <v>1.1363636363636364E-2</v>
      </c>
      <c r="O5" s="98"/>
      <c r="P5" s="98"/>
      <c r="Q5" s="98"/>
      <c r="R5" s="98"/>
      <c r="S5" s="98"/>
      <c r="T5" s="98">
        <f t="shared" si="2"/>
        <v>9.0909090909090912E-2</v>
      </c>
      <c r="U5" s="98">
        <f t="shared" ref="U5:U9" si="4">L5*0.631</f>
        <v>5.7363636363636367E-2</v>
      </c>
      <c r="V5" s="98"/>
      <c r="W5" s="98"/>
      <c r="X5" s="98">
        <f t="shared" si="3"/>
        <v>9.0909090909090912E-2</v>
      </c>
      <c r="AA5" t="s">
        <v>369</v>
      </c>
      <c r="AB5" t="s">
        <v>162</v>
      </c>
      <c r="AD5" t="s">
        <v>373</v>
      </c>
      <c r="AE5" t="s">
        <v>161</v>
      </c>
    </row>
    <row r="6" spans="1:31" x14ac:dyDescent="0.25">
      <c r="A6" s="4">
        <f>PLANTILLA!A13</f>
        <v>17</v>
      </c>
      <c r="B6" s="50" t="str">
        <f>PLANTILLA!C13</f>
        <v>S. Sawczyn</v>
      </c>
      <c r="C6" s="4" t="str">
        <f>PLANTILLA!D13</f>
        <v>31.70</v>
      </c>
      <c r="D6" s="200" t="e">
        <f>PLANTILLA!#REF!</f>
        <v>#REF!</v>
      </c>
      <c r="E6" s="48">
        <f>PLANTILLA!U13</f>
        <v>0</v>
      </c>
      <c r="F6" s="48">
        <f>PLANTILLA!V13</f>
        <v>12</v>
      </c>
      <c r="G6" s="48">
        <f>PLANTILLA!W13</f>
        <v>14</v>
      </c>
      <c r="H6" s="48">
        <f>PLANTILLA!X13</f>
        <v>3</v>
      </c>
      <c r="I6" s="48">
        <f>PLANTILLA!Y13</f>
        <v>6</v>
      </c>
      <c r="J6" s="48">
        <f>PLANTILLA!Z13</f>
        <v>9</v>
      </c>
      <c r="K6" s="48">
        <f>PLANTILLA!AA13</f>
        <v>19</v>
      </c>
      <c r="L6" s="89">
        <f>1/11</f>
        <v>9.0909090909090912E-2</v>
      </c>
      <c r="M6" s="89">
        <f t="shared" si="0"/>
        <v>4.5454545454545456E-2</v>
      </c>
      <c r="N6" s="89">
        <f t="shared" si="1"/>
        <v>1.1363636363636364E-2</v>
      </c>
      <c r="O6" s="98"/>
      <c r="P6" s="98"/>
      <c r="Q6" s="98"/>
      <c r="R6" s="98"/>
      <c r="S6" s="98"/>
      <c r="T6" s="98">
        <f t="shared" si="2"/>
        <v>9.0909090909090912E-2</v>
      </c>
      <c r="U6" s="98">
        <f t="shared" si="4"/>
        <v>5.7363636363636367E-2</v>
      </c>
      <c r="V6" s="98"/>
      <c r="W6" s="98"/>
      <c r="X6" s="98">
        <f t="shared" si="3"/>
        <v>9.0909090909090912E-2</v>
      </c>
      <c r="AA6" t="s">
        <v>368</v>
      </c>
      <c r="AB6" t="s">
        <v>126</v>
      </c>
      <c r="AD6" t="s">
        <v>120</v>
      </c>
      <c r="AE6" t="s">
        <v>126</v>
      </c>
    </row>
    <row r="7" spans="1:31" x14ac:dyDescent="0.25">
      <c r="A7" s="4">
        <f>PLANTILLA!A16</f>
        <v>8</v>
      </c>
      <c r="B7" s="50" t="str">
        <f>PLANTILLA!C16</f>
        <v>I. Stone</v>
      </c>
      <c r="C7" s="4">
        <f>PLANTILLA!D16</f>
        <v>31110</v>
      </c>
      <c r="D7" s="200" t="e">
        <f>PLANTILLA!#REF!</f>
        <v>#REF!</v>
      </c>
      <c r="E7" s="48">
        <f>PLANTILLA!U16</f>
        <v>0</v>
      </c>
      <c r="F7" s="48">
        <f>PLANTILLA!V16</f>
        <v>9</v>
      </c>
      <c r="G7" s="48">
        <f>PLANTILLA!W16</f>
        <v>14</v>
      </c>
      <c r="H7" s="48">
        <f>PLANTILLA!X16</f>
        <v>2</v>
      </c>
      <c r="I7" s="48">
        <f>PLANTILLA!Y16</f>
        <v>6</v>
      </c>
      <c r="J7" s="48">
        <f>PLANTILLA!Z16</f>
        <v>10</v>
      </c>
      <c r="K7" s="48">
        <f>PLANTILLA!AA16</f>
        <v>19</v>
      </c>
      <c r="L7" s="89">
        <f>1/13</f>
        <v>7.6923076923076927E-2</v>
      </c>
      <c r="M7" s="89">
        <f t="shared" si="0"/>
        <v>3.8461538461538464E-2</v>
      </c>
      <c r="N7" s="89">
        <f t="shared" si="1"/>
        <v>9.6153846153846159E-3</v>
      </c>
      <c r="O7" s="98"/>
      <c r="P7" s="98"/>
      <c r="Q7" s="98"/>
      <c r="R7" s="98"/>
      <c r="S7" s="98"/>
      <c r="T7" s="98">
        <f t="shared" si="2"/>
        <v>7.6923076923076927E-2</v>
      </c>
      <c r="U7" s="98">
        <f t="shared" si="4"/>
        <v>4.8538461538461544E-2</v>
      </c>
      <c r="V7" s="98"/>
      <c r="W7" s="98"/>
      <c r="X7" s="98">
        <f t="shared" si="3"/>
        <v>7.6923076923076927E-2</v>
      </c>
      <c r="AA7" t="s">
        <v>234</v>
      </c>
      <c r="AB7" t="s">
        <v>128</v>
      </c>
      <c r="AD7" t="s">
        <v>373</v>
      </c>
      <c r="AE7" t="s">
        <v>160</v>
      </c>
    </row>
    <row r="8" spans="1:31" x14ac:dyDescent="0.25">
      <c r="A8" s="4">
        <f>PLANTILLA!A17</f>
        <v>16</v>
      </c>
      <c r="B8" s="50" t="str">
        <f>PLANTILLA!C17</f>
        <v>I. Vanags</v>
      </c>
      <c r="C8" s="4" t="str">
        <f>PLANTILLA!D17</f>
        <v>32.55</v>
      </c>
      <c r="D8" s="200" t="e">
        <f>PLANTILLA!#REF!</f>
        <v>#REF!</v>
      </c>
      <c r="E8" s="48">
        <f>PLANTILLA!U17</f>
        <v>0</v>
      </c>
      <c r="F8" s="48">
        <f>PLANTILLA!V17</f>
        <v>10</v>
      </c>
      <c r="G8" s="48">
        <f>PLANTILLA!W17</f>
        <v>15</v>
      </c>
      <c r="H8" s="48">
        <f>PLANTILLA!X17</f>
        <v>2</v>
      </c>
      <c r="I8" s="48">
        <f>PLANTILLA!Y17</f>
        <v>3</v>
      </c>
      <c r="J8" s="48">
        <f>PLANTILLA!Z17</f>
        <v>8</v>
      </c>
      <c r="K8" s="48">
        <f>PLANTILLA!AA17</f>
        <v>19</v>
      </c>
      <c r="L8" s="89">
        <f>1/13</f>
        <v>7.6923076923076927E-2</v>
      </c>
      <c r="M8" s="89">
        <f t="shared" si="0"/>
        <v>3.8461538461538464E-2</v>
      </c>
      <c r="N8" s="89">
        <f t="shared" si="1"/>
        <v>9.6153846153846159E-3</v>
      </c>
      <c r="O8" s="98"/>
      <c r="P8" s="98"/>
      <c r="Q8" s="98"/>
      <c r="R8" s="98"/>
      <c r="S8" s="98"/>
      <c r="T8" s="98">
        <f t="shared" si="2"/>
        <v>7.6923076923076927E-2</v>
      </c>
      <c r="U8" s="98">
        <f t="shared" si="4"/>
        <v>4.8538461538461544E-2</v>
      </c>
      <c r="V8" s="98"/>
      <c r="W8" s="98"/>
      <c r="X8" s="98">
        <f t="shared" si="3"/>
        <v>7.6923076923076927E-2</v>
      </c>
      <c r="AA8" t="s">
        <v>121</v>
      </c>
      <c r="AB8" t="s">
        <v>165</v>
      </c>
      <c r="AD8" t="s">
        <v>368</v>
      </c>
      <c r="AE8" t="s">
        <v>127</v>
      </c>
    </row>
    <row r="9" spans="1:31" x14ac:dyDescent="0.25">
      <c r="A9" s="4">
        <f>PLANTILLA!A11</f>
        <v>3</v>
      </c>
      <c r="B9" s="50" t="str">
        <f>PLANTILLA!C11</f>
        <v>纪 (J.) 昌永 (Changyong)</v>
      </c>
      <c r="C9" s="4" t="str">
        <f>PLANTILLA!D11</f>
        <v>33.43</v>
      </c>
      <c r="D9" s="200" t="e">
        <f>PLANTILLA!#REF!</f>
        <v>#REF!</v>
      </c>
      <c r="E9" s="48">
        <f>PLANTILLA!U11</f>
        <v>0</v>
      </c>
      <c r="F9" s="48">
        <f>PLANTILLA!V11</f>
        <v>13</v>
      </c>
      <c r="G9" s="48">
        <f>PLANTILLA!W11</f>
        <v>16</v>
      </c>
      <c r="H9" s="48">
        <f>PLANTILLA!X11</f>
        <v>3</v>
      </c>
      <c r="I9" s="48">
        <f>PLANTILLA!Y11</f>
        <v>3</v>
      </c>
      <c r="J9" s="48">
        <f>PLANTILLA!Z11</f>
        <v>9</v>
      </c>
      <c r="K9" s="48">
        <f>PLANTILLA!AA11</f>
        <v>19</v>
      </c>
      <c r="L9" s="89">
        <f>1/13</f>
        <v>7.6923076923076927E-2</v>
      </c>
      <c r="M9" s="89">
        <f t="shared" si="0"/>
        <v>3.8461538461538464E-2</v>
      </c>
      <c r="N9" s="89">
        <f t="shared" si="1"/>
        <v>9.6153846153846159E-3</v>
      </c>
      <c r="O9" s="98"/>
      <c r="P9" s="98"/>
      <c r="Q9" s="98"/>
      <c r="R9" s="98"/>
      <c r="S9" s="98"/>
      <c r="T9" s="98">
        <f t="shared" si="2"/>
        <v>7.6923076923076927E-2</v>
      </c>
      <c r="U9" s="98">
        <f t="shared" si="4"/>
        <v>4.8538461538461544E-2</v>
      </c>
      <c r="V9" s="98"/>
      <c r="W9" s="98"/>
      <c r="X9" s="98">
        <f t="shared" si="3"/>
        <v>7.6923076923076927E-2</v>
      </c>
      <c r="AA9" t="s">
        <v>234</v>
      </c>
      <c r="AB9" t="s">
        <v>163</v>
      </c>
      <c r="AD9" t="s">
        <v>234</v>
      </c>
      <c r="AE9" t="s">
        <v>163</v>
      </c>
    </row>
    <row r="10" spans="1:31" x14ac:dyDescent="0.25">
      <c r="A10" s="4">
        <f>PLANTILLA!A6</f>
        <v>13</v>
      </c>
      <c r="B10" s="50" t="str">
        <f>PLANTILLA!C6</f>
        <v>A. Grimaud</v>
      </c>
      <c r="C10" s="4" t="str">
        <f>PLANTILLA!D6</f>
        <v>32.79</v>
      </c>
      <c r="D10" s="200" t="e">
        <f>PLANTILLA!#REF!</f>
        <v>#REF!</v>
      </c>
      <c r="E10" s="48">
        <f>PLANTILLA!U6</f>
        <v>0</v>
      </c>
      <c r="F10" s="48">
        <f>PLANTILLA!V6</f>
        <v>14</v>
      </c>
      <c r="G10" s="48">
        <f>PLANTILLA!W6</f>
        <v>10</v>
      </c>
      <c r="H10" s="48">
        <f>PLANTILLA!X6</f>
        <v>2</v>
      </c>
      <c r="I10" s="48">
        <f>PLANTILLA!Y6</f>
        <v>3</v>
      </c>
      <c r="J10" s="48">
        <f>PLANTILLA!Z6</f>
        <v>7</v>
      </c>
      <c r="K10" s="48">
        <f>PLANTILLA!AA6</f>
        <v>18</v>
      </c>
      <c r="L10" s="89">
        <f>1/5.5</f>
        <v>0.18181818181818182</v>
      </c>
      <c r="M10" s="89">
        <f t="shared" si="0"/>
        <v>9.0909090909090912E-2</v>
      </c>
      <c r="N10" s="89">
        <f t="shared" si="1"/>
        <v>2.2727272727272728E-2</v>
      </c>
      <c r="O10" s="98"/>
      <c r="P10" s="98">
        <f>L10*0.236</f>
        <v>4.2909090909090911E-2</v>
      </c>
      <c r="Q10" s="98">
        <f>L10*0.363</f>
        <v>6.6000000000000003E-2</v>
      </c>
      <c r="R10" s="98">
        <f>L10*0.165</f>
        <v>3.0000000000000002E-2</v>
      </c>
      <c r="S10" s="98">
        <f>L10*0.167</f>
        <v>3.0363636363636367E-2</v>
      </c>
      <c r="T10" s="98"/>
      <c r="U10" s="98"/>
      <c r="V10" s="98"/>
      <c r="W10" s="98"/>
      <c r="X10" s="98">
        <f t="shared" si="3"/>
        <v>6.6000000000000003E-2</v>
      </c>
      <c r="AA10" t="s">
        <v>237</v>
      </c>
      <c r="AB10" t="s">
        <v>127</v>
      </c>
      <c r="AD10" t="s">
        <v>234</v>
      </c>
      <c r="AE10" t="s">
        <v>128</v>
      </c>
    </row>
    <row r="11" spans="1:31" x14ac:dyDescent="0.25">
      <c r="A11" s="4">
        <f>PLANTILLA!A7</f>
        <v>5</v>
      </c>
      <c r="B11" s="50" t="str">
        <f>PLANTILLA!C7</f>
        <v>C. Mosser</v>
      </c>
      <c r="C11" s="4" t="str">
        <f>PLANTILLA!D7</f>
        <v>30.96</v>
      </c>
      <c r="D11" s="200" t="e">
        <f>PLANTILLA!#REF!</f>
        <v>#REF!</v>
      </c>
      <c r="E11" s="48">
        <f>PLANTILLA!U7</f>
        <v>1</v>
      </c>
      <c r="F11" s="48">
        <f>PLANTILLA!V7</f>
        <v>15</v>
      </c>
      <c r="G11" s="48">
        <f>PLANTILLA!W7</f>
        <v>3</v>
      </c>
      <c r="H11" s="48">
        <f>PLANTILLA!X7</f>
        <v>6</v>
      </c>
      <c r="I11" s="48">
        <f>PLANTILLA!Y7</f>
        <v>2</v>
      </c>
      <c r="J11" s="48">
        <f>PLANTILLA!Z7</f>
        <v>11</v>
      </c>
      <c r="K11" s="48">
        <f>PLANTILLA!AA7</f>
        <v>19</v>
      </c>
      <c r="L11" s="89">
        <f>1/5.5</f>
        <v>0.18181818181818182</v>
      </c>
      <c r="M11" s="89">
        <f t="shared" si="0"/>
        <v>9.0909090909090912E-2</v>
      </c>
      <c r="N11" s="89">
        <f t="shared" si="1"/>
        <v>2.2727272727272728E-2</v>
      </c>
      <c r="O11" s="98"/>
      <c r="P11" s="98">
        <f>L11*0.236</f>
        <v>4.2909090909090911E-2</v>
      </c>
      <c r="Q11" s="98">
        <f t="shared" ref="Q11:Q14" si="5">L11*0.363</f>
        <v>6.6000000000000003E-2</v>
      </c>
      <c r="R11" s="98">
        <f>L11*0.165</f>
        <v>3.0000000000000002E-2</v>
      </c>
      <c r="S11" s="98">
        <f>L11*0.167</f>
        <v>3.0363636363636367E-2</v>
      </c>
      <c r="T11" s="98"/>
      <c r="U11" s="98"/>
      <c r="V11" s="98"/>
      <c r="W11" s="98"/>
      <c r="X11" s="98">
        <f t="shared" si="3"/>
        <v>6.6000000000000003E-2</v>
      </c>
      <c r="AA11" t="s">
        <v>237</v>
      </c>
      <c r="AB11" t="s">
        <v>166</v>
      </c>
      <c r="AD11" t="s">
        <v>237</v>
      </c>
      <c r="AE11" t="s">
        <v>166</v>
      </c>
    </row>
    <row r="12" spans="1:31" x14ac:dyDescent="0.25">
      <c r="A12" s="4">
        <f>PLANTILLA!A8</f>
        <v>12</v>
      </c>
      <c r="B12" s="50" t="str">
        <f>PLANTILLA!C8</f>
        <v>P. Tuderek</v>
      </c>
      <c r="C12" s="4" t="str">
        <f>PLANTILLA!D8</f>
        <v>32.57</v>
      </c>
      <c r="D12" s="200" t="e">
        <f>PLANTILLA!#REF!</f>
        <v>#REF!</v>
      </c>
      <c r="E12" s="48">
        <f>PLANTILLA!U8</f>
        <v>0</v>
      </c>
      <c r="F12" s="48">
        <f>PLANTILLA!V8</f>
        <v>11</v>
      </c>
      <c r="G12" s="48">
        <f>PLANTILLA!W8</f>
        <v>15</v>
      </c>
      <c r="H12" s="48">
        <f>PLANTILLA!X8</f>
        <v>2</v>
      </c>
      <c r="I12" s="48">
        <f>PLANTILLA!Y8</f>
        <v>3</v>
      </c>
      <c r="J12" s="48">
        <f>PLANTILLA!Z8</f>
        <v>8</v>
      </c>
      <c r="K12" s="48">
        <f>PLANTILLA!AA8</f>
        <v>20</v>
      </c>
      <c r="L12" s="89">
        <f>1/5.5</f>
        <v>0.18181818181818182</v>
      </c>
      <c r="M12" s="89">
        <f t="shared" si="0"/>
        <v>9.0909090909090912E-2</v>
      </c>
      <c r="N12" s="89">
        <f t="shared" si="1"/>
        <v>2.2727272727272728E-2</v>
      </c>
      <c r="O12" s="98"/>
      <c r="P12" s="98">
        <f>L12*0.236</f>
        <v>4.2909090909090911E-2</v>
      </c>
      <c r="Q12" s="98">
        <f t="shared" si="5"/>
        <v>6.6000000000000003E-2</v>
      </c>
      <c r="R12" s="98">
        <f>L12*0.165</f>
        <v>3.0000000000000002E-2</v>
      </c>
      <c r="S12" s="98">
        <f>L12*0.167</f>
        <v>3.0363636363636367E-2</v>
      </c>
      <c r="T12" s="98"/>
      <c r="U12" s="98"/>
      <c r="V12" s="98"/>
      <c r="W12" s="98"/>
      <c r="X12" s="98">
        <f t="shared" si="3"/>
        <v>6.6000000000000003E-2</v>
      </c>
      <c r="AA12" t="s">
        <v>21</v>
      </c>
      <c r="AB12" t="s">
        <v>164</v>
      </c>
      <c r="AD12" t="s">
        <v>237</v>
      </c>
      <c r="AE12" t="s">
        <v>145</v>
      </c>
    </row>
    <row r="13" spans="1:31" x14ac:dyDescent="0.25">
      <c r="A13" s="4">
        <f>PLANTILLA!A5</f>
        <v>6</v>
      </c>
      <c r="B13" s="50" t="str">
        <f>PLANTILLA!C5</f>
        <v>V. Gardner</v>
      </c>
      <c r="C13" s="4" t="str">
        <f>PLANTILLA!D5</f>
        <v>32.68</v>
      </c>
      <c r="D13" s="200" t="e">
        <f>PLANTILLA!#REF!</f>
        <v>#REF!</v>
      </c>
      <c r="E13" s="48">
        <f>PLANTILLA!U5</f>
        <v>0</v>
      </c>
      <c r="F13" s="48">
        <f>PLANTILLA!V5</f>
        <v>15</v>
      </c>
      <c r="G13" s="48">
        <f>PLANTILLA!W5</f>
        <v>8</v>
      </c>
      <c r="H13" s="48">
        <f>PLANTILLA!X5</f>
        <v>3</v>
      </c>
      <c r="I13" s="48">
        <f>PLANTILLA!Y5</f>
        <v>4</v>
      </c>
      <c r="J13" s="48">
        <f>PLANTILLA!Z5</f>
        <v>7</v>
      </c>
      <c r="K13" s="48">
        <f>PLANTILLA!AA5</f>
        <v>19</v>
      </c>
      <c r="L13" s="89">
        <f>1/5.5</f>
        <v>0.18181818181818182</v>
      </c>
      <c r="M13" s="89">
        <f t="shared" si="0"/>
        <v>9.0909090909090912E-2</v>
      </c>
      <c r="N13" s="89">
        <f t="shared" si="1"/>
        <v>2.2727272727272728E-2</v>
      </c>
      <c r="O13" s="98"/>
      <c r="P13" s="98"/>
      <c r="Q13" s="98">
        <f>L13*0.363</f>
        <v>6.6000000000000003E-2</v>
      </c>
      <c r="R13" s="98">
        <f>L13*0.165</f>
        <v>3.0000000000000002E-2</v>
      </c>
      <c r="S13" s="98">
        <f>L13*0.167</f>
        <v>3.0363636363636367E-2</v>
      </c>
      <c r="T13" s="98"/>
      <c r="U13" s="98"/>
      <c r="V13" s="98"/>
      <c r="W13" s="98"/>
      <c r="X13" s="98">
        <f t="shared" si="3"/>
        <v>6.6000000000000003E-2</v>
      </c>
      <c r="AA13" t="s">
        <v>21</v>
      </c>
      <c r="AB13" t="s">
        <v>145</v>
      </c>
      <c r="AD13" t="s">
        <v>21</v>
      </c>
      <c r="AE13" t="s">
        <v>164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00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89">
        <f>1/5.5</f>
        <v>0.18181818181818182</v>
      </c>
      <c r="M14" s="89">
        <f t="shared" si="0"/>
        <v>9.0909090909090912E-2</v>
      </c>
      <c r="N14" s="89">
        <f t="shared" si="1"/>
        <v>2.2727272727272728E-2</v>
      </c>
      <c r="O14" s="98"/>
      <c r="P14" s="98"/>
      <c r="Q14" s="98">
        <f t="shared" si="5"/>
        <v>6.6000000000000003E-2</v>
      </c>
      <c r="R14" s="98">
        <f>L14*0.165</f>
        <v>3.0000000000000002E-2</v>
      </c>
      <c r="S14" s="98">
        <f>L14*0.167</f>
        <v>3.0363636363636367E-2</v>
      </c>
      <c r="T14" s="98"/>
      <c r="U14" s="98"/>
      <c r="V14" s="98"/>
      <c r="W14" s="98"/>
      <c r="X14" s="98">
        <f t="shared" si="3"/>
        <v>6.6000000000000003E-2</v>
      </c>
    </row>
    <row r="15" spans="1:31" x14ac:dyDescent="0.25">
      <c r="A15" s="4" t="e">
        <f>PLANTILLA!#REF!</f>
        <v>#REF!</v>
      </c>
      <c r="B15" s="50" t="e">
        <f>PLANTILLA!#REF!</f>
        <v>#REF!</v>
      </c>
      <c r="C15" s="4" t="e">
        <f>PLANTILLA!#REF!</f>
        <v>#REF!</v>
      </c>
      <c r="D15" s="200" t="e">
        <f>PLANTILLA!#REF!</f>
        <v>#REF!</v>
      </c>
      <c r="E15" s="48" t="e">
        <f>PLANTILLA!#REF!</f>
        <v>#REF!</v>
      </c>
      <c r="F15" s="48" t="e">
        <f>PLANTILLA!#REF!</f>
        <v>#REF!</v>
      </c>
      <c r="G15" s="48" t="e">
        <f>PLANTILLA!#REF!</f>
        <v>#REF!</v>
      </c>
      <c r="H15" s="48" t="e">
        <f>PLANTILLA!#REF!</f>
        <v>#REF!</v>
      </c>
      <c r="I15" s="48" t="e">
        <f>PLANTILLA!#REF!</f>
        <v>#REF!</v>
      </c>
      <c r="J15" s="48" t="e">
        <f>PLANTILLA!#REF!</f>
        <v>#REF!</v>
      </c>
      <c r="K15" s="48" t="e">
        <f>PLANTILLA!#REF!</f>
        <v>#REF!</v>
      </c>
      <c r="L15" s="89"/>
      <c r="M15" s="89"/>
      <c r="N15" s="89"/>
      <c r="O15" s="98"/>
      <c r="P15" s="98"/>
      <c r="Q15" s="98"/>
      <c r="R15" s="98"/>
      <c r="S15" s="98"/>
      <c r="T15" s="98"/>
      <c r="U15" s="98"/>
      <c r="V15" s="98"/>
      <c r="W15" s="98"/>
      <c r="X15" s="98">
        <f t="shared" si="3"/>
        <v>0</v>
      </c>
    </row>
    <row r="16" spans="1:31" x14ac:dyDescent="0.25">
      <c r="A16" s="4" t="e">
        <f>PLANTILLA!#REF!</f>
        <v>#REF!</v>
      </c>
      <c r="B16" s="50" t="e">
        <f>PLANTILLA!#REF!</f>
        <v>#REF!</v>
      </c>
      <c r="C16" s="4" t="e">
        <f>PLANTILLA!#REF!</f>
        <v>#REF!</v>
      </c>
      <c r="D16" s="200" t="e">
        <f>PLANTILLA!#REF!</f>
        <v>#REF!</v>
      </c>
      <c r="E16" s="48" t="e">
        <f>PLANTILLA!#REF!</f>
        <v>#REF!</v>
      </c>
      <c r="F16" s="48" t="e">
        <f>PLANTILLA!#REF!</f>
        <v>#REF!</v>
      </c>
      <c r="G16" s="48" t="e">
        <f>PLANTILLA!#REF!</f>
        <v>#REF!</v>
      </c>
      <c r="H16" s="48" t="e">
        <f>PLANTILLA!#REF!</f>
        <v>#REF!</v>
      </c>
      <c r="I16" s="48" t="e">
        <f>PLANTILLA!#REF!</f>
        <v>#REF!</v>
      </c>
      <c r="J16" s="48" t="e">
        <f>PLANTILLA!#REF!</f>
        <v>#REF!</v>
      </c>
      <c r="K16" s="48" t="e">
        <f>PLANTILLA!#REF!</f>
        <v>#REF!</v>
      </c>
      <c r="L16" s="89"/>
      <c r="M16" s="89"/>
      <c r="N16" s="89"/>
      <c r="O16" s="98"/>
      <c r="P16" s="98"/>
      <c r="Q16" s="98"/>
      <c r="R16" s="98"/>
      <c r="S16" s="98"/>
      <c r="T16" s="98"/>
      <c r="U16" s="98"/>
      <c r="V16" s="98"/>
      <c r="W16" s="98"/>
      <c r="X16" s="98">
        <f t="shared" si="3"/>
        <v>0</v>
      </c>
    </row>
    <row r="17" spans="1:24" x14ac:dyDescent="0.25">
      <c r="A17" s="4">
        <f>PLANTILLA!A10</f>
        <v>11</v>
      </c>
      <c r="B17" s="50" t="str">
        <f>PLANTILLA!C10</f>
        <v>K. Teglborg</v>
      </c>
      <c r="C17" s="4">
        <f>PLANTILLA!D10</f>
        <v>32101</v>
      </c>
      <c r="D17" s="200" t="e">
        <f>PLANTILLA!#REF!</f>
        <v>#REF!</v>
      </c>
      <c r="E17" s="48">
        <f>PLANTILLA!U10</f>
        <v>0</v>
      </c>
      <c r="F17" s="48">
        <f>PLANTILLA!V10</f>
        <v>11</v>
      </c>
      <c r="G17" s="48">
        <f>PLANTILLA!W10</f>
        <v>16</v>
      </c>
      <c r="H17" s="48">
        <f>PLANTILLA!X10</f>
        <v>2</v>
      </c>
      <c r="I17" s="48">
        <f>PLANTILLA!Y10</f>
        <v>2</v>
      </c>
      <c r="J17" s="48">
        <f>PLANTILLA!Z10</f>
        <v>9</v>
      </c>
      <c r="K17" s="48">
        <f>PLANTILLA!AA10</f>
        <v>18</v>
      </c>
      <c r="L17"/>
      <c r="M17" s="89"/>
      <c r="N17" s="89"/>
      <c r="O17" s="98"/>
      <c r="P17" s="98"/>
      <c r="Q17" s="98"/>
      <c r="R17" s="98"/>
      <c r="S17" s="98"/>
      <c r="T17" s="98"/>
      <c r="U17" s="98"/>
      <c r="V17" s="98"/>
      <c r="W17" s="98"/>
      <c r="X17" s="98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00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89"/>
      <c r="M18" s="89"/>
      <c r="N18" s="89"/>
      <c r="O18" s="98"/>
      <c r="P18" s="98"/>
      <c r="Q18" s="98"/>
      <c r="R18" s="98"/>
      <c r="S18" s="98"/>
      <c r="T18" s="98"/>
      <c r="U18" s="98"/>
      <c r="V18" s="98"/>
      <c r="W18" s="98"/>
      <c r="X18" s="98">
        <f t="shared" si="3"/>
        <v>0</v>
      </c>
    </row>
    <row r="19" spans="1:24" x14ac:dyDescent="0.25">
      <c r="A19" s="4">
        <f>PLANTILLA!A9</f>
        <v>2</v>
      </c>
      <c r="B19" s="50" t="str">
        <f>PLANTILLA!C9</f>
        <v>T. McPhail</v>
      </c>
      <c r="C19" s="4" t="str">
        <f>PLANTILLA!D9</f>
        <v>32.88</v>
      </c>
      <c r="D19" s="200" t="e">
        <f>PLANTILLA!#REF!</f>
        <v>#REF!</v>
      </c>
      <c r="E19" s="48">
        <f>PLANTILLA!U9</f>
        <v>0</v>
      </c>
      <c r="F19" s="48">
        <f>PLANTILLA!V9</f>
        <v>13</v>
      </c>
      <c r="G19" s="48">
        <f>PLANTILLA!W9</f>
        <v>14</v>
      </c>
      <c r="H19" s="48">
        <f>PLANTILLA!X9</f>
        <v>4</v>
      </c>
      <c r="I19" s="48">
        <f>PLANTILLA!Y9</f>
        <v>4</v>
      </c>
      <c r="J19" s="48">
        <f>PLANTILLA!Z9</f>
        <v>9</v>
      </c>
      <c r="K19" s="48">
        <f>PLANTILLA!AA9</f>
        <v>17</v>
      </c>
      <c r="L19" s="89"/>
      <c r="M19" s="89"/>
      <c r="N19" s="89"/>
      <c r="O19" s="98"/>
      <c r="P19" s="98"/>
      <c r="Q19" s="98"/>
      <c r="R19" s="98"/>
      <c r="S19" s="98"/>
      <c r="T19" s="98"/>
      <c r="U19" s="98"/>
      <c r="V19" s="98"/>
      <c r="W19" s="98"/>
      <c r="X19" s="98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00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89"/>
      <c r="M20" s="89"/>
      <c r="N20" s="89"/>
      <c r="O20" s="98"/>
      <c r="P20" s="98"/>
      <c r="Q20" s="98"/>
      <c r="R20" s="98"/>
      <c r="S20" s="98"/>
      <c r="T20" s="98"/>
      <c r="U20" s="98"/>
      <c r="V20" s="98"/>
      <c r="W20" s="98"/>
      <c r="X20" s="98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00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89"/>
      <c r="M21" s="89"/>
      <c r="N21" s="89"/>
      <c r="O21" s="98"/>
      <c r="P21" s="98"/>
      <c r="Q21" s="98"/>
      <c r="R21" s="98"/>
      <c r="S21" s="98"/>
      <c r="T21" s="98"/>
      <c r="U21" s="98"/>
      <c r="V21" s="98"/>
      <c r="W21" s="98"/>
      <c r="X21" s="98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00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89"/>
      <c r="M22" s="89"/>
      <c r="N22" s="89"/>
      <c r="O22" s="98"/>
      <c r="P22" s="98"/>
      <c r="Q22" s="98"/>
      <c r="R22" s="98"/>
      <c r="S22" s="98"/>
      <c r="T22" s="98"/>
      <c r="U22" s="98"/>
      <c r="V22" s="98"/>
      <c r="W22" s="98"/>
      <c r="X22" s="98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6" customWidth="1"/>
    <col min="13" max="13" width="8.28515625" style="56" customWidth="1"/>
    <col min="14" max="14" width="4.5703125" style="56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374</v>
      </c>
      <c r="AB1" t="s">
        <v>375</v>
      </c>
      <c r="AE1" t="s">
        <v>376</v>
      </c>
    </row>
    <row r="2" spans="1:32" x14ac:dyDescent="0.25">
      <c r="B2" s="70">
        <v>44035</v>
      </c>
      <c r="X2" s="166">
        <f>SUM(X4:X14)</f>
        <v>0.38748802083333334</v>
      </c>
      <c r="Y2" s="166">
        <f>SUM(Y4:Y14)</f>
        <v>1.623934523809524</v>
      </c>
      <c r="Z2" s="166" t="e">
        <f>SUM(Z4:Z14)</f>
        <v>#REF!</v>
      </c>
      <c r="AA2" s="357" t="e">
        <f>Z2+Y2</f>
        <v>#REF!</v>
      </c>
      <c r="AB2" s="128" t="s">
        <v>83</v>
      </c>
      <c r="AC2" s="128" t="s">
        <v>84</v>
      </c>
      <c r="AE2" s="128" t="s">
        <v>83</v>
      </c>
      <c r="AF2" s="128" t="s">
        <v>84</v>
      </c>
    </row>
    <row r="3" spans="1:32" x14ac:dyDescent="0.25">
      <c r="A3" s="76" t="s">
        <v>377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76" t="s">
        <v>378</v>
      </c>
      <c r="N3" s="163" t="s">
        <v>14</v>
      </c>
      <c r="O3" s="163" t="s">
        <v>369</v>
      </c>
      <c r="P3" s="162" t="s">
        <v>379</v>
      </c>
      <c r="Q3" s="162" t="s">
        <v>380</v>
      </c>
      <c r="R3" s="162" t="s">
        <v>381</v>
      </c>
      <c r="S3" s="162" t="s">
        <v>121</v>
      </c>
      <c r="T3" s="162" t="s">
        <v>234</v>
      </c>
      <c r="U3" s="162" t="s">
        <v>382</v>
      </c>
      <c r="V3" s="163" t="s">
        <v>122</v>
      </c>
      <c r="W3" s="163" t="s">
        <v>21</v>
      </c>
      <c r="X3" s="164" t="s">
        <v>386</v>
      </c>
      <c r="Y3" s="164" t="s">
        <v>387</v>
      </c>
      <c r="Z3" s="164" t="s">
        <v>388</v>
      </c>
      <c r="AB3" t="s">
        <v>14</v>
      </c>
      <c r="AC3" t="s">
        <v>124</v>
      </c>
      <c r="AE3" t="s">
        <v>14</v>
      </c>
      <c r="AF3" t="s">
        <v>124</v>
      </c>
    </row>
    <row r="4" spans="1:32" x14ac:dyDescent="0.25">
      <c r="A4" s="4">
        <f>PLANTILLA!A7</f>
        <v>5</v>
      </c>
      <c r="B4" s="190" t="str">
        <f>PLANTILLA!C7</f>
        <v>C. Mosser</v>
      </c>
      <c r="C4" s="4" t="str">
        <f>PLANTILLA!D7</f>
        <v>30.96</v>
      </c>
      <c r="D4" s="200" t="e">
        <f>PLANTILLA!#REF!</f>
        <v>#REF!</v>
      </c>
      <c r="E4" s="48">
        <f>PLANTILLA!U7</f>
        <v>1</v>
      </c>
      <c r="F4" s="48">
        <f>PLANTILLA!V7</f>
        <v>15</v>
      </c>
      <c r="G4" s="48">
        <f>PLANTILLA!W7</f>
        <v>3</v>
      </c>
      <c r="H4" s="48">
        <f>PLANTILLA!X7</f>
        <v>6</v>
      </c>
      <c r="I4" s="48">
        <f>PLANTILLA!Y7</f>
        <v>2</v>
      </c>
      <c r="J4" s="48">
        <f>PLANTILLA!Z7</f>
        <v>11</v>
      </c>
      <c r="K4" s="48">
        <f>PLANTILLA!AA7</f>
        <v>19</v>
      </c>
      <c r="L4" s="89">
        <f>1/5</f>
        <v>0.2</v>
      </c>
      <c r="M4" s="89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98"/>
      <c r="Y4" s="98"/>
      <c r="Z4" s="98">
        <f t="shared" ref="Z4:Z8" si="1">(1.66*(J4+M4)+0.55*(K4)-7.6)-(1.66*(J4)+0.55*(K4)-7.6)</f>
        <v>5.5333333333329904E-2</v>
      </c>
      <c r="AB4" t="s">
        <v>368</v>
      </c>
      <c r="AC4" t="s">
        <v>384</v>
      </c>
      <c r="AE4" t="s">
        <v>368</v>
      </c>
      <c r="AF4" t="str">
        <f>AC4</f>
        <v>B. Pinczehelyi</v>
      </c>
    </row>
    <row r="5" spans="1:32" x14ac:dyDescent="0.25">
      <c r="A5" s="4">
        <f>PLANTILLA!A8</f>
        <v>12</v>
      </c>
      <c r="B5" s="190" t="str">
        <f>PLANTILLA!C8</f>
        <v>P. Tuderek</v>
      </c>
      <c r="C5" s="4" t="str">
        <f>PLANTILLA!D8</f>
        <v>32.57</v>
      </c>
      <c r="D5" s="200" t="e">
        <f>PLANTILLA!#REF!</f>
        <v>#REF!</v>
      </c>
      <c r="E5" s="48">
        <f>PLANTILLA!U8</f>
        <v>0</v>
      </c>
      <c r="F5" s="48">
        <f>PLANTILLA!V8</f>
        <v>11</v>
      </c>
      <c r="G5" s="48">
        <f>PLANTILLA!W8</f>
        <v>15</v>
      </c>
      <c r="H5" s="48">
        <f>PLANTILLA!X8</f>
        <v>2</v>
      </c>
      <c r="I5" s="48">
        <f>PLANTILLA!Y8</f>
        <v>3</v>
      </c>
      <c r="J5" s="48">
        <f>PLANTILLA!Z8</f>
        <v>8</v>
      </c>
      <c r="K5" s="48">
        <f>PLANTILLA!AA8</f>
        <v>20</v>
      </c>
      <c r="L5" s="89">
        <f>1/4</f>
        <v>0.25</v>
      </c>
      <c r="M5" s="89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98"/>
      <c r="Y5" s="98"/>
      <c r="Z5" s="98">
        <f t="shared" si="1"/>
        <v>6.9166666666667709E-2</v>
      </c>
      <c r="AB5" t="s">
        <v>369</v>
      </c>
      <c r="AC5" t="s">
        <v>162</v>
      </c>
      <c r="AE5" t="s">
        <v>373</v>
      </c>
      <c r="AF5" t="s">
        <v>161</v>
      </c>
    </row>
    <row r="6" spans="1:32" x14ac:dyDescent="0.25">
      <c r="A6" s="4">
        <f>PLANTILLA!A6</f>
        <v>13</v>
      </c>
      <c r="B6" s="190" t="str">
        <f>PLANTILLA!C6</f>
        <v>A. Grimaud</v>
      </c>
      <c r="C6" s="4" t="str">
        <f>PLANTILLA!D6</f>
        <v>32.79</v>
      </c>
      <c r="D6" s="200" t="e">
        <f>PLANTILLA!#REF!</f>
        <v>#REF!</v>
      </c>
      <c r="E6" s="48">
        <f>PLANTILLA!U6</f>
        <v>0</v>
      </c>
      <c r="F6" s="48">
        <f>PLANTILLA!V6</f>
        <v>14</v>
      </c>
      <c r="G6" s="48">
        <f>PLANTILLA!W6</f>
        <v>10</v>
      </c>
      <c r="H6" s="48">
        <f>PLANTILLA!X6</f>
        <v>2</v>
      </c>
      <c r="I6" s="48">
        <f>PLANTILLA!Y6</f>
        <v>3</v>
      </c>
      <c r="J6" s="48">
        <f>PLANTILLA!Z6</f>
        <v>7</v>
      </c>
      <c r="K6" s="48">
        <f>PLANTILLA!AA6</f>
        <v>18</v>
      </c>
      <c r="L6" s="89">
        <f>1/6</f>
        <v>0.16666666666666666</v>
      </c>
      <c r="M6" s="89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98"/>
      <c r="Y6" s="98"/>
      <c r="Z6" s="98">
        <f t="shared" si="1"/>
        <v>4.611111111111299E-2</v>
      </c>
      <c r="AB6" t="s">
        <v>368</v>
      </c>
      <c r="AC6" t="s">
        <v>126</v>
      </c>
      <c r="AE6" t="s">
        <v>120</v>
      </c>
      <c r="AF6" t="s">
        <v>126</v>
      </c>
    </row>
    <row r="7" spans="1:32" x14ac:dyDescent="0.25">
      <c r="A7" s="4">
        <f>PLANTILLA!A5</f>
        <v>6</v>
      </c>
      <c r="B7" s="190" t="str">
        <f>PLANTILLA!C5</f>
        <v>V. Gardner</v>
      </c>
      <c r="C7" s="4" t="str">
        <f>PLANTILLA!D5</f>
        <v>32.68</v>
      </c>
      <c r="D7" s="200" t="e">
        <f>PLANTILLA!#REF!</f>
        <v>#REF!</v>
      </c>
      <c r="E7" s="48">
        <f>PLANTILLA!U5</f>
        <v>0</v>
      </c>
      <c r="F7" s="48">
        <f>PLANTILLA!V5</f>
        <v>15</v>
      </c>
      <c r="G7" s="48">
        <f>PLANTILLA!W5</f>
        <v>8</v>
      </c>
      <c r="H7" s="48">
        <f>PLANTILLA!X5</f>
        <v>3</v>
      </c>
      <c r="I7" s="48">
        <f>PLANTILLA!Y5</f>
        <v>4</v>
      </c>
      <c r="J7" s="48">
        <f>PLANTILLA!Z5</f>
        <v>7</v>
      </c>
      <c r="K7" s="48">
        <f>PLANTILLA!AA5</f>
        <v>19</v>
      </c>
      <c r="L7" s="89">
        <f>1/6</f>
        <v>0.16666666666666666</v>
      </c>
      <c r="M7" s="89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98"/>
      <c r="Y7" s="98"/>
      <c r="Z7" s="98">
        <f t="shared" si="1"/>
        <v>4.6111111111109437E-2</v>
      </c>
      <c r="AB7" t="s">
        <v>234</v>
      </c>
      <c r="AC7" t="s">
        <v>128</v>
      </c>
      <c r="AE7" t="s">
        <v>373</v>
      </c>
      <c r="AF7" t="s">
        <v>160</v>
      </c>
    </row>
    <row r="8" spans="1:32" x14ac:dyDescent="0.25">
      <c r="A8" s="4" t="e">
        <f>PLANTILLA!#REF!</f>
        <v>#REF!</v>
      </c>
      <c r="B8" s="190" t="e">
        <f>PLANTILLA!#REF!</f>
        <v>#REF!</v>
      </c>
      <c r="C8" s="4" t="e">
        <f>PLANTILLA!#REF!</f>
        <v>#REF!</v>
      </c>
      <c r="D8" s="200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89">
        <f>1/5</f>
        <v>0.2</v>
      </c>
      <c r="M8" s="89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98"/>
      <c r="Y8" s="98"/>
      <c r="Z8" s="98" t="e">
        <f t="shared" si="1"/>
        <v>#REF!</v>
      </c>
      <c r="AB8" t="s">
        <v>121</v>
      </c>
      <c r="AC8" t="s">
        <v>165</v>
      </c>
      <c r="AE8" t="s">
        <v>368</v>
      </c>
      <c r="AF8" t="s">
        <v>127</v>
      </c>
    </row>
    <row r="9" spans="1:32" x14ac:dyDescent="0.25">
      <c r="A9" s="4">
        <f>PLANTILLA!A14</f>
        <v>7</v>
      </c>
      <c r="B9" s="190" t="str">
        <f>PLANTILLA!C14</f>
        <v>S. Hovhannesyan</v>
      </c>
      <c r="C9" s="4" t="str">
        <f>PLANTILLA!D14</f>
        <v>31.71</v>
      </c>
      <c r="D9" s="200" t="e">
        <f>PLANTILLA!#REF!</f>
        <v>#REF!</v>
      </c>
      <c r="E9" s="48">
        <f>PLANTILLA!U14</f>
        <v>0</v>
      </c>
      <c r="F9" s="48">
        <f>PLANTILLA!V14</f>
        <v>13</v>
      </c>
      <c r="G9" s="48">
        <f>PLANTILLA!W14</f>
        <v>16</v>
      </c>
      <c r="H9" s="48">
        <f>PLANTILLA!X14</f>
        <v>2</v>
      </c>
      <c r="I9" s="48">
        <f>PLANTILLA!Y14</f>
        <v>2</v>
      </c>
      <c r="J9" s="48">
        <f>PLANTILLA!Z14</f>
        <v>8</v>
      </c>
      <c r="K9" s="48">
        <f>PLANTILLA!AA14</f>
        <v>19</v>
      </c>
      <c r="L9" s="89">
        <f>1/6.4</f>
        <v>0.15625</v>
      </c>
      <c r="M9" s="89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98">
        <f t="shared" ref="X9:X14" si="6">MAX(N9:W9)</f>
        <v>6.5401278409090907E-2</v>
      </c>
      <c r="Y9" s="98">
        <f t="shared" ref="Y9:Y14" si="7">(1.66*(J9+L9)+0.55*(K9)-7.6)-(1.66*(J9)+0.55*(K9)-7.6)</f>
        <v>0.25937499999999858</v>
      </c>
      <c r="Z9" s="98"/>
      <c r="AB9" t="s">
        <v>234</v>
      </c>
      <c r="AC9" t="s">
        <v>163</v>
      </c>
      <c r="AE9" t="s">
        <v>234</v>
      </c>
      <c r="AF9" t="s">
        <v>163</v>
      </c>
    </row>
    <row r="10" spans="1:32" x14ac:dyDescent="0.25">
      <c r="A10" s="4">
        <f>PLANTILLA!A13</f>
        <v>17</v>
      </c>
      <c r="B10" s="190" t="str">
        <f>PLANTILLA!C13</f>
        <v>S. Sawczyn</v>
      </c>
      <c r="C10" s="4" t="str">
        <f>PLANTILLA!D13</f>
        <v>31.70</v>
      </c>
      <c r="D10" s="200" t="e">
        <f>PLANTILLA!#REF!</f>
        <v>#REF!</v>
      </c>
      <c r="E10" s="48">
        <f>PLANTILLA!U13</f>
        <v>0</v>
      </c>
      <c r="F10" s="48">
        <f>PLANTILLA!V13</f>
        <v>12</v>
      </c>
      <c r="G10" s="48">
        <f>PLANTILLA!W13</f>
        <v>14</v>
      </c>
      <c r="H10" s="48">
        <f>PLANTILLA!X13</f>
        <v>3</v>
      </c>
      <c r="I10" s="48">
        <f>PLANTILLA!Y13</f>
        <v>6</v>
      </c>
      <c r="J10" s="48">
        <f>PLANTILLA!Z13</f>
        <v>9</v>
      </c>
      <c r="K10" s="48">
        <f>PLANTILLA!AA13</f>
        <v>19</v>
      </c>
      <c r="L10" s="89">
        <f>1/6</f>
        <v>0.16666666666666666</v>
      </c>
      <c r="M10" s="89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98">
        <f t="shared" si="6"/>
        <v>6.2753787878787881E-2</v>
      </c>
      <c r="Y10" s="98">
        <f t="shared" si="7"/>
        <v>0.27666666666666373</v>
      </c>
      <c r="Z10" s="98"/>
      <c r="AB10" t="s">
        <v>237</v>
      </c>
      <c r="AC10" t="s">
        <v>127</v>
      </c>
      <c r="AE10" t="s">
        <v>234</v>
      </c>
      <c r="AF10" t="s">
        <v>128</v>
      </c>
    </row>
    <row r="11" spans="1:32" x14ac:dyDescent="0.25">
      <c r="A11" s="4">
        <f>PLANTILLA!A11</f>
        <v>3</v>
      </c>
      <c r="B11" s="190" t="str">
        <f>PLANTILLA!C11</f>
        <v>纪 (J.) 昌永 (Changyong)</v>
      </c>
      <c r="C11" s="4" t="str">
        <f>PLANTILLA!D11</f>
        <v>33.43</v>
      </c>
      <c r="D11" s="200" t="e">
        <f>PLANTILLA!#REF!</f>
        <v>#REF!</v>
      </c>
      <c r="E11" s="48">
        <f>PLANTILLA!U11</f>
        <v>0</v>
      </c>
      <c r="F11" s="48">
        <f>PLANTILLA!V11</f>
        <v>13</v>
      </c>
      <c r="G11" s="48">
        <f>PLANTILLA!W11</f>
        <v>16</v>
      </c>
      <c r="H11" s="48">
        <f>PLANTILLA!X11</f>
        <v>3</v>
      </c>
      <c r="I11" s="48">
        <f>PLANTILLA!Y11</f>
        <v>3</v>
      </c>
      <c r="J11" s="48">
        <f>PLANTILLA!Z11</f>
        <v>9</v>
      </c>
      <c r="K11" s="48">
        <f>PLANTILLA!AA11</f>
        <v>19</v>
      </c>
      <c r="L11" s="89">
        <f>1/5</f>
        <v>0.2</v>
      </c>
      <c r="M11" s="89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98">
        <f t="shared" si="6"/>
        <v>7.5304545454545457E-2</v>
      </c>
      <c r="Y11" s="98">
        <f t="shared" si="7"/>
        <v>0.33200000000000074</v>
      </c>
      <c r="Z11" s="98"/>
      <c r="AB11" t="s">
        <v>237</v>
      </c>
      <c r="AC11" t="s">
        <v>166</v>
      </c>
      <c r="AE11" t="s">
        <v>237</v>
      </c>
      <c r="AF11" t="s">
        <v>166</v>
      </c>
    </row>
    <row r="12" spans="1:32" x14ac:dyDescent="0.25">
      <c r="A12" s="4">
        <f>PLANTILLA!A17</f>
        <v>16</v>
      </c>
      <c r="B12" s="190" t="str">
        <f>PLANTILLA!C17</f>
        <v>I. Vanags</v>
      </c>
      <c r="C12" s="4" t="str">
        <f>PLANTILLA!D17</f>
        <v>32.55</v>
      </c>
      <c r="D12" s="200" t="e">
        <f>PLANTILLA!#REF!</f>
        <v>#REF!</v>
      </c>
      <c r="E12" s="48">
        <f>PLANTILLA!U17</f>
        <v>0</v>
      </c>
      <c r="F12" s="48">
        <f>PLANTILLA!V17</f>
        <v>10</v>
      </c>
      <c r="G12" s="48">
        <f>PLANTILLA!W17</f>
        <v>15</v>
      </c>
      <c r="H12" s="48">
        <f>PLANTILLA!X17</f>
        <v>2</v>
      </c>
      <c r="I12" s="48">
        <f>PLANTILLA!Y17</f>
        <v>3</v>
      </c>
      <c r="J12" s="48">
        <f>PLANTILLA!Z17</f>
        <v>8</v>
      </c>
      <c r="K12" s="48">
        <f>PLANTILLA!AA17</f>
        <v>19</v>
      </c>
      <c r="L12" s="89">
        <f>1/6.4</f>
        <v>0.15625</v>
      </c>
      <c r="M12" s="89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98">
        <f t="shared" si="6"/>
        <v>6.5401278409090907E-2</v>
      </c>
      <c r="Y12" s="98">
        <f t="shared" si="7"/>
        <v>0.25937499999999858</v>
      </c>
      <c r="Z12" s="98"/>
      <c r="AB12" t="s">
        <v>21</v>
      </c>
      <c r="AC12" t="s">
        <v>164</v>
      </c>
      <c r="AE12" t="s">
        <v>237</v>
      </c>
      <c r="AF12" t="s">
        <v>145</v>
      </c>
    </row>
    <row r="13" spans="1:32" x14ac:dyDescent="0.25">
      <c r="A13" s="4">
        <f>PLANTILLA!A16</f>
        <v>8</v>
      </c>
      <c r="B13" s="190" t="str">
        <f>PLANTILLA!C16</f>
        <v>I. Stone</v>
      </c>
      <c r="C13" s="4">
        <f>PLANTILLA!D16</f>
        <v>31110</v>
      </c>
      <c r="D13" s="200" t="e">
        <f>PLANTILLA!#REF!</f>
        <v>#REF!</v>
      </c>
      <c r="E13" s="48">
        <f>PLANTILLA!U16</f>
        <v>0</v>
      </c>
      <c r="F13" s="48">
        <f>PLANTILLA!V16</f>
        <v>9</v>
      </c>
      <c r="G13" s="48">
        <f>PLANTILLA!W16</f>
        <v>14</v>
      </c>
      <c r="H13" s="48">
        <f>PLANTILLA!X16</f>
        <v>2</v>
      </c>
      <c r="I13" s="48">
        <f>PLANTILLA!Y16</f>
        <v>6</v>
      </c>
      <c r="J13" s="48">
        <f>PLANTILLA!Z16</f>
        <v>10</v>
      </c>
      <c r="K13" s="48">
        <f>PLANTILLA!AA16</f>
        <v>19</v>
      </c>
      <c r="L13" s="89">
        <f>1/6.4</f>
        <v>0.15625</v>
      </c>
      <c r="M13" s="89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98">
        <f t="shared" si="6"/>
        <v>5.8831676136363635E-2</v>
      </c>
      <c r="Y13" s="98">
        <f t="shared" si="7"/>
        <v>0.25937500000000568</v>
      </c>
      <c r="Z13" s="98"/>
      <c r="AB13" t="s">
        <v>21</v>
      </c>
      <c r="AC13" t="s">
        <v>145</v>
      </c>
      <c r="AE13" t="s">
        <v>21</v>
      </c>
      <c r="AF13" t="s">
        <v>164</v>
      </c>
    </row>
    <row r="14" spans="1:32" x14ac:dyDescent="0.25">
      <c r="A14" s="4">
        <f>PLANTILLA!A15</f>
        <v>9</v>
      </c>
      <c r="B14" s="190" t="str">
        <f>PLANTILLA!C15</f>
        <v>M. Bondarewski</v>
      </c>
      <c r="C14" s="4" t="str">
        <f>PLANTILLA!D15</f>
        <v>32.71</v>
      </c>
      <c r="D14" s="200" t="e">
        <f>PLANTILLA!#REF!</f>
        <v>#REF!</v>
      </c>
      <c r="E14" s="48">
        <f>PLANTILLA!U15</f>
        <v>0</v>
      </c>
      <c r="F14" s="48">
        <f>PLANTILLA!V15</f>
        <v>8</v>
      </c>
      <c r="G14" s="48">
        <f>PLANTILLA!W15</f>
        <v>15</v>
      </c>
      <c r="H14" s="48">
        <f>PLANTILLA!X15</f>
        <v>4</v>
      </c>
      <c r="I14" s="48">
        <f>PLANTILLA!Y15</f>
        <v>4</v>
      </c>
      <c r="J14" s="48">
        <f>PLANTILLA!Z15</f>
        <v>9</v>
      </c>
      <c r="K14" s="48">
        <f>PLANTILLA!AA15</f>
        <v>20</v>
      </c>
      <c r="L14" s="89">
        <f>1/7</f>
        <v>0.14285714285714285</v>
      </c>
      <c r="M14" s="89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98">
        <f t="shared" si="6"/>
        <v>5.9795454545454547E-2</v>
      </c>
      <c r="Y14" s="98">
        <f t="shared" si="7"/>
        <v>0.23714285714285666</v>
      </c>
      <c r="Z14" s="98"/>
    </row>
  </sheetData>
  <sortState xmlns:xlrd2="http://schemas.microsoft.com/office/spreadsheetml/2017/richdata2" ref="A4:Z14">
    <sortCondition descending="1" ref="Y4:Y14"/>
  </sortState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374</v>
      </c>
      <c r="O1"/>
      <c r="AA1" t="s">
        <v>375</v>
      </c>
      <c r="AD1" t="s">
        <v>376</v>
      </c>
    </row>
    <row r="2" spans="1:31" x14ac:dyDescent="0.25">
      <c r="B2" s="167">
        <v>44035</v>
      </c>
      <c r="O2"/>
      <c r="X2" s="166">
        <f>SUM(X4:X14)</f>
        <v>0.19899864907819456</v>
      </c>
      <c r="Y2" s="357" t="e">
        <f>SUM(Y4:Y14)</f>
        <v>#REF!</v>
      </c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377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0.5</v>
      </c>
      <c r="M3" s="161" t="s">
        <v>157</v>
      </c>
      <c r="N3" s="163" t="s">
        <v>14</v>
      </c>
      <c r="O3" s="163" t="s">
        <v>369</v>
      </c>
      <c r="P3" s="162" t="s">
        <v>379</v>
      </c>
      <c r="Q3" s="162" t="s">
        <v>380</v>
      </c>
      <c r="R3" s="162" t="s">
        <v>381</v>
      </c>
      <c r="S3" s="162" t="s">
        <v>121</v>
      </c>
      <c r="T3" s="162" t="s">
        <v>234</v>
      </c>
      <c r="U3" s="162" t="s">
        <v>382</v>
      </c>
      <c r="V3" s="163" t="s">
        <v>122</v>
      </c>
      <c r="W3" s="163" t="s">
        <v>21</v>
      </c>
      <c r="X3" s="164" t="s">
        <v>386</v>
      </c>
      <c r="Y3" s="164" t="s">
        <v>389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>
        <f>PLANTILLA!A7</f>
        <v>5</v>
      </c>
      <c r="B4" s="190" t="str">
        <f>PLANTILLA!C7</f>
        <v>C. Mosser</v>
      </c>
      <c r="C4" s="4" t="str">
        <f>PLANTILLA!D7</f>
        <v>30.96</v>
      </c>
      <c r="D4" s="200" t="e">
        <f>PLANTILLA!#REF!</f>
        <v>#REF!</v>
      </c>
      <c r="E4" s="48">
        <f>PLANTILLA!U7</f>
        <v>1</v>
      </c>
      <c r="F4" s="48">
        <f>PLANTILLA!V7</f>
        <v>15</v>
      </c>
      <c r="G4" s="48">
        <f>PLANTILLA!W7</f>
        <v>3</v>
      </c>
      <c r="H4" s="48">
        <f>PLANTILLA!X7</f>
        <v>6</v>
      </c>
      <c r="I4" s="48">
        <f>PLANTILLA!Y7</f>
        <v>2</v>
      </c>
      <c r="J4" s="48">
        <f>PLANTILLA!Z7</f>
        <v>11</v>
      </c>
      <c r="K4" s="48">
        <f>PLANTILLA!AA7</f>
        <v>19</v>
      </c>
      <c r="L4" s="89">
        <f>1/9</f>
        <v>0.1111111111111111</v>
      </c>
      <c r="M4" s="89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98">
        <f t="shared" ref="X4:X14" si="0">MAX(N4:W4)</f>
        <v>0</v>
      </c>
      <c r="Y4" s="98">
        <f t="shared" ref="Y4:Y14" si="1">(1.66*(J4+L4)+0.55*(K4+M4)-7.6)-(1.66*(J4)+0.55*(K4)-7.6)</f>
        <v>0.20481481481481723</v>
      </c>
      <c r="AA4" t="s">
        <v>368</v>
      </c>
      <c r="AB4" t="s">
        <v>384</v>
      </c>
      <c r="AD4" t="s">
        <v>368</v>
      </c>
      <c r="AE4" t="str">
        <f>AB4</f>
        <v>B. Pinczehelyi</v>
      </c>
    </row>
    <row r="5" spans="1:31" x14ac:dyDescent="0.25">
      <c r="A5" s="4">
        <f>PLANTILLA!A8</f>
        <v>12</v>
      </c>
      <c r="B5" s="190" t="str">
        <f>PLANTILLA!C8</f>
        <v>P. Tuderek</v>
      </c>
      <c r="C5" s="4" t="str">
        <f>PLANTILLA!D8</f>
        <v>32.57</v>
      </c>
      <c r="D5" s="200" t="e">
        <f>PLANTILLA!#REF!</f>
        <v>#REF!</v>
      </c>
      <c r="E5" s="48">
        <f>PLANTILLA!U8</f>
        <v>0</v>
      </c>
      <c r="F5" s="48">
        <f>PLANTILLA!V8</f>
        <v>11</v>
      </c>
      <c r="G5" s="48">
        <f>PLANTILLA!W8</f>
        <v>15</v>
      </c>
      <c r="H5" s="48">
        <f>PLANTILLA!X8</f>
        <v>2</v>
      </c>
      <c r="I5" s="48">
        <f>PLANTILLA!Y8</f>
        <v>3</v>
      </c>
      <c r="J5" s="48">
        <f>PLANTILLA!Z8</f>
        <v>8</v>
      </c>
      <c r="K5" s="48">
        <f>PLANTILLA!AA8</f>
        <v>20</v>
      </c>
      <c r="L5" s="89">
        <f>1/9</f>
        <v>0.1111111111111111</v>
      </c>
      <c r="M5" s="89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98">
        <f t="shared" si="0"/>
        <v>0</v>
      </c>
      <c r="Y5" s="98">
        <f t="shared" si="1"/>
        <v>0.20015873015872643</v>
      </c>
      <c r="AA5" t="s">
        <v>369</v>
      </c>
      <c r="AB5" t="s">
        <v>162</v>
      </c>
      <c r="AD5" t="s">
        <v>373</v>
      </c>
      <c r="AE5" t="s">
        <v>161</v>
      </c>
    </row>
    <row r="6" spans="1:31" x14ac:dyDescent="0.25">
      <c r="A6" s="4">
        <f>PLANTILLA!A6</f>
        <v>13</v>
      </c>
      <c r="B6" s="190" t="str">
        <f>PLANTILLA!C6</f>
        <v>A. Grimaud</v>
      </c>
      <c r="C6" s="4" t="str">
        <f>PLANTILLA!D6</f>
        <v>32.79</v>
      </c>
      <c r="D6" s="200" t="e">
        <f>PLANTILLA!#REF!</f>
        <v>#REF!</v>
      </c>
      <c r="E6" s="48">
        <f>PLANTILLA!U6</f>
        <v>0</v>
      </c>
      <c r="F6" s="48">
        <f>PLANTILLA!V6</f>
        <v>14</v>
      </c>
      <c r="G6" s="48">
        <f>PLANTILLA!W6</f>
        <v>10</v>
      </c>
      <c r="H6" s="48">
        <f>PLANTILLA!X6</f>
        <v>2</v>
      </c>
      <c r="I6" s="48">
        <f>PLANTILLA!Y6</f>
        <v>3</v>
      </c>
      <c r="J6" s="48">
        <f>PLANTILLA!Z6</f>
        <v>7</v>
      </c>
      <c r="K6" s="48">
        <f>PLANTILLA!AA6</f>
        <v>18</v>
      </c>
      <c r="L6" s="89">
        <f>1/11</f>
        <v>9.0909090909090912E-2</v>
      </c>
      <c r="M6" s="89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98">
        <f t="shared" si="0"/>
        <v>0</v>
      </c>
      <c r="Y6" s="98">
        <f t="shared" si="1"/>
        <v>0.16662337662337734</v>
      </c>
      <c r="AA6" t="s">
        <v>368</v>
      </c>
      <c r="AB6" t="s">
        <v>126</v>
      </c>
      <c r="AD6" t="s">
        <v>120</v>
      </c>
      <c r="AE6" t="s">
        <v>126</v>
      </c>
    </row>
    <row r="7" spans="1:31" x14ac:dyDescent="0.25">
      <c r="A7" s="4">
        <f>PLANTILLA!A5</f>
        <v>6</v>
      </c>
      <c r="B7" s="190" t="str">
        <f>PLANTILLA!C5</f>
        <v>V. Gardner</v>
      </c>
      <c r="C7" s="4" t="str">
        <f>PLANTILLA!D5</f>
        <v>32.68</v>
      </c>
      <c r="D7" s="200" t="e">
        <f>PLANTILLA!#REF!</f>
        <v>#REF!</v>
      </c>
      <c r="E7" s="48">
        <f>PLANTILLA!U5</f>
        <v>0</v>
      </c>
      <c r="F7" s="48">
        <f>PLANTILLA!V5</f>
        <v>15</v>
      </c>
      <c r="G7" s="48">
        <f>PLANTILLA!W5</f>
        <v>8</v>
      </c>
      <c r="H7" s="48">
        <f>PLANTILLA!X5</f>
        <v>3</v>
      </c>
      <c r="I7" s="48">
        <f>PLANTILLA!Y5</f>
        <v>4</v>
      </c>
      <c r="J7" s="48">
        <f>PLANTILLA!Z5</f>
        <v>7</v>
      </c>
      <c r="K7" s="48">
        <f>PLANTILLA!AA5</f>
        <v>19</v>
      </c>
      <c r="L7" s="89">
        <f>1/11</f>
        <v>9.0909090909090912E-2</v>
      </c>
      <c r="M7" s="89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98">
        <f t="shared" si="0"/>
        <v>0</v>
      </c>
      <c r="Y7" s="98">
        <f t="shared" si="1"/>
        <v>0.16662337662337734</v>
      </c>
      <c r="AA7" t="s">
        <v>234</v>
      </c>
      <c r="AB7" t="s">
        <v>128</v>
      </c>
      <c r="AD7" t="s">
        <v>373</v>
      </c>
      <c r="AE7" t="s">
        <v>160</v>
      </c>
    </row>
    <row r="8" spans="1:31" x14ac:dyDescent="0.25">
      <c r="A8" s="4">
        <f>PLANTILLA!A11</f>
        <v>3</v>
      </c>
      <c r="B8" s="190" t="str">
        <f>PLANTILLA!C11</f>
        <v>纪 (J.) 昌永 (Changyong)</v>
      </c>
      <c r="C8" s="4" t="str">
        <f>PLANTILLA!D11</f>
        <v>33.43</v>
      </c>
      <c r="D8" s="200" t="e">
        <f>PLANTILLA!#REF!</f>
        <v>#REF!</v>
      </c>
      <c r="E8" s="48">
        <f>PLANTILLA!U11</f>
        <v>0</v>
      </c>
      <c r="F8" s="48">
        <f>PLANTILLA!V11</f>
        <v>13</v>
      </c>
      <c r="G8" s="48">
        <f>PLANTILLA!W11</f>
        <v>16</v>
      </c>
      <c r="H8" s="48">
        <f>PLANTILLA!X11</f>
        <v>3</v>
      </c>
      <c r="I8" s="48">
        <f>PLANTILLA!Y11</f>
        <v>3</v>
      </c>
      <c r="J8" s="48">
        <f>PLANTILLA!Z11</f>
        <v>9</v>
      </c>
      <c r="K8" s="48">
        <f>PLANTILLA!AA11</f>
        <v>19</v>
      </c>
      <c r="L8" s="89">
        <f>1/10</f>
        <v>0.1</v>
      </c>
      <c r="M8" s="89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98">
        <f t="shared" si="0"/>
        <v>3.7652272727272729E-2</v>
      </c>
      <c r="Y8" s="98">
        <f t="shared" si="1"/>
        <v>0.18637037037036919</v>
      </c>
      <c r="AA8" t="s">
        <v>121</v>
      </c>
      <c r="AB8" t="s">
        <v>165</v>
      </c>
      <c r="AD8" t="s">
        <v>368</v>
      </c>
      <c r="AE8" t="s">
        <v>127</v>
      </c>
    </row>
    <row r="9" spans="1:31" x14ac:dyDescent="0.25">
      <c r="A9" s="4" t="e">
        <f>PLANTILLA!#REF!</f>
        <v>#REF!</v>
      </c>
      <c r="B9" s="190" t="e">
        <f>PLANTILLA!#REF!</f>
        <v>#REF!</v>
      </c>
      <c r="C9" s="4" t="e">
        <f>PLANTILLA!#REF!</f>
        <v>#REF!</v>
      </c>
      <c r="D9" s="200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89">
        <f>1/10</f>
        <v>0.1</v>
      </c>
      <c r="M9" s="89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98">
        <f t="shared" si="0"/>
        <v>0</v>
      </c>
      <c r="Y9" s="98" t="e">
        <f t="shared" si="1"/>
        <v>#REF!</v>
      </c>
      <c r="AA9" t="s">
        <v>234</v>
      </c>
      <c r="AB9" t="s">
        <v>163</v>
      </c>
      <c r="AD9" t="s">
        <v>234</v>
      </c>
      <c r="AE9" t="s">
        <v>163</v>
      </c>
    </row>
    <row r="10" spans="1:31" x14ac:dyDescent="0.25">
      <c r="A10" s="4">
        <f>PLANTILLA!A13</f>
        <v>17</v>
      </c>
      <c r="B10" s="190" t="str">
        <f>PLANTILLA!C13</f>
        <v>S. Sawczyn</v>
      </c>
      <c r="C10" s="4" t="str">
        <f>PLANTILLA!D13</f>
        <v>31.70</v>
      </c>
      <c r="D10" s="200" t="e">
        <f>PLANTILLA!#REF!</f>
        <v>#REF!</v>
      </c>
      <c r="E10" s="48">
        <f>PLANTILLA!U13</f>
        <v>0</v>
      </c>
      <c r="F10" s="48">
        <f>PLANTILLA!V13</f>
        <v>12</v>
      </c>
      <c r="G10" s="48">
        <f>PLANTILLA!W13</f>
        <v>14</v>
      </c>
      <c r="H10" s="48">
        <f>PLANTILLA!X13</f>
        <v>3</v>
      </c>
      <c r="I10" s="48">
        <f>PLANTILLA!Y13</f>
        <v>6</v>
      </c>
      <c r="J10" s="48">
        <f>PLANTILLA!Z13</f>
        <v>9</v>
      </c>
      <c r="K10" s="48">
        <f>PLANTILLA!AA13</f>
        <v>19</v>
      </c>
      <c r="L10" s="89">
        <f>1/11</f>
        <v>9.0909090909090912E-2</v>
      </c>
      <c r="M10" s="89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98">
        <f t="shared" si="0"/>
        <v>3.4229338842975209E-2</v>
      </c>
      <c r="Y10" s="98">
        <f t="shared" si="1"/>
        <v>0.15778409090908951</v>
      </c>
      <c r="AA10" t="s">
        <v>237</v>
      </c>
      <c r="AB10" t="s">
        <v>127</v>
      </c>
      <c r="AD10" t="s">
        <v>234</v>
      </c>
      <c r="AE10" t="s">
        <v>128</v>
      </c>
    </row>
    <row r="11" spans="1:31" x14ac:dyDescent="0.25">
      <c r="A11" s="4">
        <f>PLANTILLA!A14</f>
        <v>7</v>
      </c>
      <c r="B11" s="190" t="str">
        <f>PLANTILLA!C14</f>
        <v>S. Hovhannesyan</v>
      </c>
      <c r="C11" s="4" t="str">
        <f>PLANTILLA!D14</f>
        <v>31.71</v>
      </c>
      <c r="D11" s="200" t="e">
        <f>PLANTILLA!#REF!</f>
        <v>#REF!</v>
      </c>
      <c r="E11" s="48">
        <f>PLANTILLA!U14</f>
        <v>0</v>
      </c>
      <c r="F11" s="48">
        <f>PLANTILLA!V14</f>
        <v>13</v>
      </c>
      <c r="G11" s="48">
        <f>PLANTILLA!W14</f>
        <v>16</v>
      </c>
      <c r="H11" s="48">
        <f>PLANTILLA!X14</f>
        <v>2</v>
      </c>
      <c r="I11" s="48">
        <f>PLANTILLA!Y14</f>
        <v>2</v>
      </c>
      <c r="J11" s="48">
        <f>PLANTILLA!Z14</f>
        <v>8</v>
      </c>
      <c r="K11" s="48">
        <f>PLANTILLA!AA14</f>
        <v>19</v>
      </c>
      <c r="L11" s="89">
        <f>1/11</f>
        <v>9.0909090909090912E-2</v>
      </c>
      <c r="M11" s="89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98">
        <f t="shared" si="0"/>
        <v>3.8051652892561988E-2</v>
      </c>
      <c r="Y11" s="98">
        <f t="shared" si="1"/>
        <v>0.16313131313130924</v>
      </c>
      <c r="AA11" t="s">
        <v>237</v>
      </c>
      <c r="AB11" t="s">
        <v>166</v>
      </c>
      <c r="AD11" t="s">
        <v>237</v>
      </c>
      <c r="AE11" t="s">
        <v>166</v>
      </c>
    </row>
    <row r="12" spans="1:31" x14ac:dyDescent="0.25">
      <c r="A12" s="4">
        <f>PLANTILLA!A16</f>
        <v>8</v>
      </c>
      <c r="B12" s="190" t="str">
        <f>PLANTILLA!C16</f>
        <v>I. Stone</v>
      </c>
      <c r="C12" s="4">
        <f>PLANTILLA!D16</f>
        <v>31110</v>
      </c>
      <c r="D12" s="200" t="e">
        <f>PLANTILLA!#REF!</f>
        <v>#REF!</v>
      </c>
      <c r="E12" s="48">
        <f>PLANTILLA!U16</f>
        <v>0</v>
      </c>
      <c r="F12" s="48">
        <f>PLANTILLA!V16</f>
        <v>9</v>
      </c>
      <c r="G12" s="48">
        <f>PLANTILLA!W16</f>
        <v>14</v>
      </c>
      <c r="H12" s="48">
        <f>PLANTILLA!X16</f>
        <v>2</v>
      </c>
      <c r="I12" s="48">
        <f>PLANTILLA!Y16</f>
        <v>6</v>
      </c>
      <c r="J12" s="48">
        <f>PLANTILLA!Z16</f>
        <v>10</v>
      </c>
      <c r="K12" s="48">
        <f>PLANTILLA!AA16</f>
        <v>19</v>
      </c>
      <c r="L12" s="89">
        <f>1/13</f>
        <v>7.6923076923076927E-2</v>
      </c>
      <c r="M12" s="89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98">
        <f t="shared" si="0"/>
        <v>2.8963286713286719E-2</v>
      </c>
      <c r="Y12" s="98">
        <f t="shared" si="1"/>
        <v>0.14806267806267925</v>
      </c>
      <c r="AA12" t="s">
        <v>21</v>
      </c>
      <c r="AB12" t="s">
        <v>164</v>
      </c>
      <c r="AD12" t="s">
        <v>237</v>
      </c>
      <c r="AE12" t="s">
        <v>145</v>
      </c>
    </row>
    <row r="13" spans="1:31" x14ac:dyDescent="0.25">
      <c r="A13" s="4">
        <f>PLANTILLA!A17</f>
        <v>16</v>
      </c>
      <c r="B13" s="190" t="str">
        <f>PLANTILLA!C17</f>
        <v>I. Vanags</v>
      </c>
      <c r="C13" s="4" t="str">
        <f>PLANTILLA!D17</f>
        <v>32.55</v>
      </c>
      <c r="D13" s="200" t="e">
        <f>PLANTILLA!#REF!</f>
        <v>#REF!</v>
      </c>
      <c r="E13" s="48">
        <f>PLANTILLA!U17</f>
        <v>0</v>
      </c>
      <c r="F13" s="48">
        <f>PLANTILLA!V17</f>
        <v>10</v>
      </c>
      <c r="G13" s="48">
        <f>PLANTILLA!W17</f>
        <v>15</v>
      </c>
      <c r="H13" s="48">
        <f>PLANTILLA!X17</f>
        <v>2</v>
      </c>
      <c r="I13" s="48">
        <f>PLANTILLA!Y17</f>
        <v>3</v>
      </c>
      <c r="J13" s="48">
        <f>PLANTILLA!Z17</f>
        <v>8</v>
      </c>
      <c r="K13" s="48">
        <f>PLANTILLA!AA17</f>
        <v>19</v>
      </c>
      <c r="L13" s="89">
        <f>1/13</f>
        <v>7.6923076923076927E-2</v>
      </c>
      <c r="M13" s="89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98">
        <f t="shared" si="0"/>
        <v>3.2197552447552451E-2</v>
      </c>
      <c r="Y13" s="98">
        <f t="shared" si="1"/>
        <v>0.13991452991452746</v>
      </c>
      <c r="AA13" t="s">
        <v>21</v>
      </c>
      <c r="AB13" t="s">
        <v>145</v>
      </c>
      <c r="AD13" t="s">
        <v>21</v>
      </c>
      <c r="AE13" t="s">
        <v>164</v>
      </c>
    </row>
    <row r="14" spans="1:31" x14ac:dyDescent="0.25">
      <c r="A14" s="4">
        <f>PLANTILLA!A15</f>
        <v>9</v>
      </c>
      <c r="B14" s="190" t="str">
        <f>PLANTILLA!C15</f>
        <v>M. Bondarewski</v>
      </c>
      <c r="C14" s="4" t="str">
        <f>PLANTILLA!D15</f>
        <v>32.71</v>
      </c>
      <c r="D14" s="200" t="e">
        <f>PLANTILLA!#REF!</f>
        <v>#REF!</v>
      </c>
      <c r="E14" s="48">
        <f>PLANTILLA!U15</f>
        <v>0</v>
      </c>
      <c r="F14" s="48">
        <f>PLANTILLA!V15</f>
        <v>8</v>
      </c>
      <c r="G14" s="48">
        <f>PLANTILLA!W15</f>
        <v>15</v>
      </c>
      <c r="H14" s="48">
        <f>PLANTILLA!X15</f>
        <v>4</v>
      </c>
      <c r="I14" s="48">
        <f>PLANTILLA!Y15</f>
        <v>4</v>
      </c>
      <c r="J14" s="48">
        <f>PLANTILLA!Z15</f>
        <v>9</v>
      </c>
      <c r="K14" s="48">
        <f>PLANTILLA!AA15</f>
        <v>20</v>
      </c>
      <c r="L14" s="89">
        <f>1/15</f>
        <v>6.6666666666666666E-2</v>
      </c>
      <c r="M14" s="89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98">
        <f t="shared" si="0"/>
        <v>2.7904545454545456E-2</v>
      </c>
      <c r="Y14" s="98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374</v>
      </c>
      <c r="O1"/>
      <c r="AB1" t="s">
        <v>375</v>
      </c>
      <c r="AE1" t="s">
        <v>376</v>
      </c>
    </row>
    <row r="2" spans="1:32" x14ac:dyDescent="0.25">
      <c r="B2" s="167">
        <v>44035</v>
      </c>
      <c r="O2"/>
      <c r="X2" s="166" t="e">
        <f>SUM(X4:X14)</f>
        <v>#REF!</v>
      </c>
      <c r="Y2" s="166">
        <f>SUM(Y4:Y14)</f>
        <v>0.10999999999999943</v>
      </c>
      <c r="Z2" s="357" t="e">
        <f>Y2+X2</f>
        <v>#REF!</v>
      </c>
      <c r="AB2" s="128" t="s">
        <v>83</v>
      </c>
      <c r="AC2" s="128" t="s">
        <v>84</v>
      </c>
      <c r="AE2" s="128" t="s">
        <v>83</v>
      </c>
      <c r="AF2" s="128" t="s">
        <v>84</v>
      </c>
    </row>
    <row r="3" spans="1:32" x14ac:dyDescent="0.25">
      <c r="A3" s="76" t="s">
        <v>377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161">
        <v>1.25</v>
      </c>
      <c r="N3" s="163" t="s">
        <v>14</v>
      </c>
      <c r="O3" s="163" t="s">
        <v>369</v>
      </c>
      <c r="P3" s="162" t="s">
        <v>379</v>
      </c>
      <c r="Q3" s="162" t="s">
        <v>380</v>
      </c>
      <c r="R3" s="162" t="s">
        <v>381</v>
      </c>
      <c r="S3" s="162" t="s">
        <v>121</v>
      </c>
      <c r="T3" s="162" t="s">
        <v>234</v>
      </c>
      <c r="U3" s="162" t="s">
        <v>382</v>
      </c>
      <c r="V3" s="163" t="s">
        <v>122</v>
      </c>
      <c r="W3" s="163" t="s">
        <v>21</v>
      </c>
      <c r="X3" s="164" t="s">
        <v>387</v>
      </c>
      <c r="Y3" s="164" t="s">
        <v>538</v>
      </c>
      <c r="Z3" s="166"/>
      <c r="AB3" t="s">
        <v>14</v>
      </c>
      <c r="AC3" t="s">
        <v>124</v>
      </c>
      <c r="AE3" t="s">
        <v>14</v>
      </c>
      <c r="AF3" t="s">
        <v>124</v>
      </c>
    </row>
    <row r="4" spans="1:32" x14ac:dyDescent="0.25">
      <c r="A4" s="4">
        <f>PLANTILLA!A7</f>
        <v>5</v>
      </c>
      <c r="B4" s="190" t="str">
        <f>PLANTILLA!C7</f>
        <v>C. Mosser</v>
      </c>
      <c r="C4" s="4" t="str">
        <f>PLANTILLA!D7</f>
        <v>30.96</v>
      </c>
      <c r="D4" s="200" t="e">
        <f>PLANTILLA!#REF!</f>
        <v>#REF!</v>
      </c>
      <c r="E4" s="48">
        <f>PLANTILLA!U7</f>
        <v>1</v>
      </c>
      <c r="F4" s="48">
        <f>PLANTILLA!V7</f>
        <v>15</v>
      </c>
      <c r="G4" s="48">
        <f>PLANTILLA!W7</f>
        <v>3</v>
      </c>
      <c r="H4" s="48">
        <f>PLANTILLA!X7</f>
        <v>6</v>
      </c>
      <c r="I4" s="48">
        <f>PLANTILLA!Y7</f>
        <v>2</v>
      </c>
      <c r="J4" s="48">
        <f>PLANTILLA!Z7</f>
        <v>11</v>
      </c>
      <c r="K4" s="48">
        <f>PLANTILLA!AA7</f>
        <v>19</v>
      </c>
      <c r="L4" s="89">
        <f>1/3</f>
        <v>0.33333333333333331</v>
      </c>
      <c r="M4" s="89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98">
        <f t="shared" ref="X4:X14" si="0">(1.66*(J4)+0.55*(K4+L4)-7.6)-(1.66*(J4)+0.55*(K4)-7.6)</f>
        <v>0.18333333333333002</v>
      </c>
      <c r="Y4" s="98"/>
      <c r="Z4" s="98"/>
      <c r="AB4" t="s">
        <v>368</v>
      </c>
      <c r="AC4" t="s">
        <v>384</v>
      </c>
      <c r="AE4" t="s">
        <v>368</v>
      </c>
      <c r="AF4" t="str">
        <f>AC4</f>
        <v>B. Pinczehelyi</v>
      </c>
    </row>
    <row r="5" spans="1:32" x14ac:dyDescent="0.25">
      <c r="A5" s="4">
        <f>PLANTILLA!A11</f>
        <v>3</v>
      </c>
      <c r="B5" s="190" t="str">
        <f>PLANTILLA!C11</f>
        <v>纪 (J.) 昌永 (Changyong)</v>
      </c>
      <c r="C5" s="4" t="str">
        <f>PLANTILLA!D11</f>
        <v>33.43</v>
      </c>
      <c r="D5" s="200" t="e">
        <f>PLANTILLA!#REF!</f>
        <v>#REF!</v>
      </c>
      <c r="E5" s="48">
        <f>PLANTILLA!U11</f>
        <v>0</v>
      </c>
      <c r="F5" s="48">
        <f>PLANTILLA!V11</f>
        <v>13</v>
      </c>
      <c r="G5" s="48">
        <f>PLANTILLA!W11</f>
        <v>16</v>
      </c>
      <c r="H5" s="48">
        <f>PLANTILLA!X11</f>
        <v>3</v>
      </c>
      <c r="I5" s="48">
        <f>PLANTILLA!Y11</f>
        <v>3</v>
      </c>
      <c r="J5" s="48">
        <f>PLANTILLA!Z11</f>
        <v>9</v>
      </c>
      <c r="K5" s="48">
        <f>PLANTILLA!AA11</f>
        <v>19</v>
      </c>
      <c r="L5" s="89">
        <f>1/4</f>
        <v>0.25</v>
      </c>
      <c r="M5" s="89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98">
        <f t="shared" si="0"/>
        <v>0.13750000000000284</v>
      </c>
      <c r="Y5" s="98"/>
      <c r="Z5" s="98"/>
      <c r="AB5" t="s">
        <v>369</v>
      </c>
      <c r="AC5" t="s">
        <v>162</v>
      </c>
      <c r="AE5" t="s">
        <v>373</v>
      </c>
      <c r="AF5" t="s">
        <v>161</v>
      </c>
    </row>
    <row r="6" spans="1:32" x14ac:dyDescent="0.25">
      <c r="A6" s="4">
        <f>PLANTILLA!A16</f>
        <v>8</v>
      </c>
      <c r="B6" s="190" t="str">
        <f>PLANTILLA!C16</f>
        <v>I. Stone</v>
      </c>
      <c r="C6" s="4">
        <f>PLANTILLA!D16</f>
        <v>31110</v>
      </c>
      <c r="D6" s="200" t="e">
        <f>PLANTILLA!#REF!</f>
        <v>#REF!</v>
      </c>
      <c r="E6" s="48">
        <f>PLANTILLA!U16</f>
        <v>0</v>
      </c>
      <c r="F6" s="48">
        <f>PLANTILLA!V16</f>
        <v>9</v>
      </c>
      <c r="G6" s="48">
        <f>PLANTILLA!W16</f>
        <v>14</v>
      </c>
      <c r="H6" s="48">
        <f>PLANTILLA!X16</f>
        <v>2</v>
      </c>
      <c r="I6" s="48">
        <f>PLANTILLA!Y16</f>
        <v>6</v>
      </c>
      <c r="J6" s="48">
        <f>PLANTILLA!Z16</f>
        <v>10</v>
      </c>
      <c r="K6" s="48">
        <f>PLANTILLA!AA16</f>
        <v>19</v>
      </c>
      <c r="L6" s="89">
        <f>1/3</f>
        <v>0.33333333333333331</v>
      </c>
      <c r="M6" s="89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98">
        <f t="shared" si="0"/>
        <v>0.18333333333333712</v>
      </c>
      <c r="Y6" s="98"/>
      <c r="Z6" s="98"/>
      <c r="AB6" t="s">
        <v>368</v>
      </c>
      <c r="AC6" t="s">
        <v>126</v>
      </c>
      <c r="AE6" t="s">
        <v>120</v>
      </c>
      <c r="AF6" t="s">
        <v>126</v>
      </c>
    </row>
    <row r="7" spans="1:32" x14ac:dyDescent="0.25">
      <c r="A7" s="4">
        <f>PLANTILLA!A17</f>
        <v>16</v>
      </c>
      <c r="B7" s="190" t="str">
        <f>PLANTILLA!C17</f>
        <v>I. Vanags</v>
      </c>
      <c r="C7" s="4" t="str">
        <f>PLANTILLA!D17</f>
        <v>32.55</v>
      </c>
      <c r="D7" s="200" t="e">
        <f>PLANTILLA!#REF!</f>
        <v>#REF!</v>
      </c>
      <c r="E7" s="48">
        <f>PLANTILLA!U17</f>
        <v>0</v>
      </c>
      <c r="F7" s="48">
        <f>PLANTILLA!V17</f>
        <v>10</v>
      </c>
      <c r="G7" s="48">
        <f>PLANTILLA!W17</f>
        <v>15</v>
      </c>
      <c r="H7" s="48">
        <f>PLANTILLA!X17</f>
        <v>2</v>
      </c>
      <c r="I7" s="48">
        <f>PLANTILLA!Y17</f>
        <v>3</v>
      </c>
      <c r="J7" s="48">
        <f>PLANTILLA!Z17</f>
        <v>8</v>
      </c>
      <c r="K7" s="48">
        <f>PLANTILLA!AA17</f>
        <v>19</v>
      </c>
      <c r="L7" s="89">
        <f>1/6</f>
        <v>0.16666666666666666</v>
      </c>
      <c r="M7" s="89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98"/>
      <c r="Y7" s="98">
        <f>(1.66*(J7)+0.55*(K7+M7)-7.6)-(1.66*(J7)+0.55*(K7)-7.6)</f>
        <v>0.10999999999999943</v>
      </c>
      <c r="Z7" s="98"/>
      <c r="AB7" t="s">
        <v>234</v>
      </c>
      <c r="AC7" t="s">
        <v>128</v>
      </c>
      <c r="AE7" t="s">
        <v>373</v>
      </c>
      <c r="AF7" t="s">
        <v>160</v>
      </c>
    </row>
    <row r="8" spans="1:32" x14ac:dyDescent="0.25">
      <c r="A8" s="4">
        <f>PLANTILLA!A6</f>
        <v>13</v>
      </c>
      <c r="B8" s="190" t="str">
        <f>PLANTILLA!C6</f>
        <v>A. Grimaud</v>
      </c>
      <c r="C8" s="4" t="str">
        <f>PLANTILLA!D6</f>
        <v>32.79</v>
      </c>
      <c r="D8" s="200" t="e">
        <f>PLANTILLA!#REF!</f>
        <v>#REF!</v>
      </c>
      <c r="E8" s="48">
        <f>PLANTILLA!U6</f>
        <v>0</v>
      </c>
      <c r="F8" s="48">
        <f>PLANTILLA!V6</f>
        <v>14</v>
      </c>
      <c r="G8" s="48">
        <f>PLANTILLA!W6</f>
        <v>10</v>
      </c>
      <c r="H8" s="48">
        <f>PLANTILLA!X6</f>
        <v>2</v>
      </c>
      <c r="I8" s="48">
        <f>PLANTILLA!Y6</f>
        <v>3</v>
      </c>
      <c r="J8" s="48">
        <f>PLANTILLA!Z6</f>
        <v>7</v>
      </c>
      <c r="K8" s="48">
        <f>PLANTILLA!AA6</f>
        <v>18</v>
      </c>
      <c r="L8" s="89">
        <f>1/4</f>
        <v>0.25</v>
      </c>
      <c r="M8" s="89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98">
        <f t="shared" si="0"/>
        <v>0.13749999999999929</v>
      </c>
      <c r="Y8" s="98"/>
      <c r="Z8" s="98"/>
      <c r="AB8" t="s">
        <v>121</v>
      </c>
      <c r="AC8" t="s">
        <v>165</v>
      </c>
      <c r="AE8" t="s">
        <v>368</v>
      </c>
      <c r="AF8" t="s">
        <v>127</v>
      </c>
    </row>
    <row r="9" spans="1:32" x14ac:dyDescent="0.25">
      <c r="A9" s="4">
        <f>PLANTILLA!A5</f>
        <v>6</v>
      </c>
      <c r="B9" s="190" t="str">
        <f>PLANTILLA!C5</f>
        <v>V. Gardner</v>
      </c>
      <c r="C9" s="4" t="str">
        <f>PLANTILLA!D5</f>
        <v>32.68</v>
      </c>
      <c r="D9" s="200" t="e">
        <f>PLANTILLA!#REF!</f>
        <v>#REF!</v>
      </c>
      <c r="E9" s="48">
        <f>PLANTILLA!U5</f>
        <v>0</v>
      </c>
      <c r="F9" s="48">
        <f>PLANTILLA!V5</f>
        <v>15</v>
      </c>
      <c r="G9" s="48">
        <f>PLANTILLA!W5</f>
        <v>8</v>
      </c>
      <c r="H9" s="48">
        <f>PLANTILLA!X5</f>
        <v>3</v>
      </c>
      <c r="I9" s="48">
        <f>PLANTILLA!Y5</f>
        <v>4</v>
      </c>
      <c r="J9" s="48">
        <f>PLANTILLA!Z5</f>
        <v>7</v>
      </c>
      <c r="K9" s="48">
        <f>PLANTILLA!AA5</f>
        <v>19</v>
      </c>
      <c r="L9" s="89">
        <f>1/4</f>
        <v>0.25</v>
      </c>
      <c r="M9" s="89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98">
        <f t="shared" si="0"/>
        <v>0.13749999999999929</v>
      </c>
      <c r="Y9" s="98"/>
      <c r="Z9" s="98"/>
      <c r="AB9" t="s">
        <v>234</v>
      </c>
      <c r="AC9" t="s">
        <v>163</v>
      </c>
      <c r="AE9" t="s">
        <v>234</v>
      </c>
      <c r="AF9" t="s">
        <v>163</v>
      </c>
    </row>
    <row r="10" spans="1:32" x14ac:dyDescent="0.25">
      <c r="A10" s="4">
        <f>PLANTILLA!A8</f>
        <v>12</v>
      </c>
      <c r="B10" s="190" t="str">
        <f>PLANTILLA!C8</f>
        <v>P. Tuderek</v>
      </c>
      <c r="C10" s="4" t="str">
        <f>PLANTILLA!D8</f>
        <v>32.57</v>
      </c>
      <c r="D10" s="200" t="e">
        <f>PLANTILLA!#REF!</f>
        <v>#REF!</v>
      </c>
      <c r="E10" s="48">
        <f>PLANTILLA!U8</f>
        <v>0</v>
      </c>
      <c r="F10" s="48">
        <f>PLANTILLA!V8</f>
        <v>11</v>
      </c>
      <c r="G10" s="48">
        <f>PLANTILLA!W8</f>
        <v>15</v>
      </c>
      <c r="H10" s="48">
        <f>PLANTILLA!X8</f>
        <v>2</v>
      </c>
      <c r="I10" s="48">
        <f>PLANTILLA!Y8</f>
        <v>3</v>
      </c>
      <c r="J10" s="48">
        <f>PLANTILLA!Z8</f>
        <v>8</v>
      </c>
      <c r="K10" s="48">
        <f>PLANTILLA!AA8</f>
        <v>20</v>
      </c>
      <c r="L10" s="89">
        <f>1/4</f>
        <v>0.25</v>
      </c>
      <c r="M10" s="89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98">
        <f t="shared" si="0"/>
        <v>0.13750000000000284</v>
      </c>
      <c r="Y10" s="98"/>
      <c r="Z10" s="98"/>
      <c r="AB10" t="s">
        <v>237</v>
      </c>
      <c r="AC10" t="s">
        <v>127</v>
      </c>
      <c r="AE10" t="s">
        <v>234</v>
      </c>
      <c r="AF10" t="s">
        <v>128</v>
      </c>
    </row>
    <row r="11" spans="1:32" x14ac:dyDescent="0.25">
      <c r="A11" s="4">
        <f>PLANTILLA!A14</f>
        <v>7</v>
      </c>
      <c r="B11" s="190" t="str">
        <f>PLANTILLA!C14</f>
        <v>S. Hovhannesyan</v>
      </c>
      <c r="C11" s="4" t="str">
        <f>PLANTILLA!D14</f>
        <v>31.71</v>
      </c>
      <c r="D11" s="200" t="e">
        <f>PLANTILLA!#REF!</f>
        <v>#REF!</v>
      </c>
      <c r="E11" s="48">
        <f>PLANTILLA!U14</f>
        <v>0</v>
      </c>
      <c r="F11" s="48">
        <f>PLANTILLA!V14</f>
        <v>13</v>
      </c>
      <c r="G11" s="48">
        <f>PLANTILLA!W14</f>
        <v>16</v>
      </c>
      <c r="H11" s="48">
        <f>PLANTILLA!X14</f>
        <v>2</v>
      </c>
      <c r="I11" s="48">
        <f>PLANTILLA!Y14</f>
        <v>2</v>
      </c>
      <c r="J11" s="48">
        <f>PLANTILLA!Z14</f>
        <v>8</v>
      </c>
      <c r="K11" s="48">
        <f>PLANTILLA!AA14</f>
        <v>19</v>
      </c>
      <c r="L11" s="89">
        <f>1/6</f>
        <v>0.16666666666666666</v>
      </c>
      <c r="M11" s="89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98">
        <f t="shared" si="0"/>
        <v>9.1666666666661456E-2</v>
      </c>
      <c r="Y11" s="98"/>
      <c r="Z11" s="98"/>
      <c r="AB11" t="s">
        <v>237</v>
      </c>
      <c r="AC11" t="s">
        <v>166</v>
      </c>
      <c r="AE11" t="s">
        <v>237</v>
      </c>
      <c r="AF11" t="s">
        <v>166</v>
      </c>
    </row>
    <row r="12" spans="1:32" x14ac:dyDescent="0.25">
      <c r="A12" s="4">
        <f>PLANTILLA!A15</f>
        <v>9</v>
      </c>
      <c r="B12" s="190" t="str">
        <f>PLANTILLA!C15</f>
        <v>M. Bondarewski</v>
      </c>
      <c r="C12" s="4" t="str">
        <f>PLANTILLA!D15</f>
        <v>32.71</v>
      </c>
      <c r="D12" s="200" t="e">
        <f>PLANTILLA!#REF!</f>
        <v>#REF!</v>
      </c>
      <c r="E12" s="48">
        <f>PLANTILLA!U15</f>
        <v>0</v>
      </c>
      <c r="F12" s="48">
        <f>PLANTILLA!V15</f>
        <v>8</v>
      </c>
      <c r="G12" s="48">
        <f>PLANTILLA!W15</f>
        <v>15</v>
      </c>
      <c r="H12" s="48">
        <f>PLANTILLA!X15</f>
        <v>4</v>
      </c>
      <c r="I12" s="48">
        <f>PLANTILLA!Y15</f>
        <v>4</v>
      </c>
      <c r="J12" s="48">
        <f>PLANTILLA!Z15</f>
        <v>9</v>
      </c>
      <c r="K12" s="48">
        <f>PLANTILLA!AA15</f>
        <v>20</v>
      </c>
      <c r="L12" s="89">
        <f>1/4</f>
        <v>0.25</v>
      </c>
      <c r="M12" s="89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98">
        <f t="shared" si="0"/>
        <v>0.13750000000000284</v>
      </c>
      <c r="Y12" s="98"/>
      <c r="Z12" s="98"/>
      <c r="AB12" t="s">
        <v>21</v>
      </c>
      <c r="AC12" t="s">
        <v>164</v>
      </c>
      <c r="AE12" t="s">
        <v>237</v>
      </c>
      <c r="AF12" t="s">
        <v>145</v>
      </c>
    </row>
    <row r="13" spans="1:32" x14ac:dyDescent="0.25">
      <c r="A13" s="4">
        <f>PLANTILLA!A13</f>
        <v>17</v>
      </c>
      <c r="B13" s="190" t="str">
        <f>PLANTILLA!C13</f>
        <v>S. Sawczyn</v>
      </c>
      <c r="C13" s="4" t="str">
        <f>PLANTILLA!D13</f>
        <v>31.70</v>
      </c>
      <c r="D13" s="200" t="e">
        <f>PLANTILLA!#REF!</f>
        <v>#REF!</v>
      </c>
      <c r="E13" s="48">
        <f>PLANTILLA!U13</f>
        <v>0</v>
      </c>
      <c r="F13" s="48">
        <f>PLANTILLA!V13</f>
        <v>12</v>
      </c>
      <c r="G13" s="48">
        <f>PLANTILLA!W13</f>
        <v>14</v>
      </c>
      <c r="H13" s="48">
        <f>PLANTILLA!X13</f>
        <v>3</v>
      </c>
      <c r="I13" s="48">
        <f>PLANTILLA!Y13</f>
        <v>6</v>
      </c>
      <c r="J13" s="48">
        <f>PLANTILLA!Z13</f>
        <v>9</v>
      </c>
      <c r="K13" s="48">
        <f>PLANTILLA!AA13</f>
        <v>19</v>
      </c>
      <c r="L13" s="89">
        <f>1/6</f>
        <v>0.16666666666666666</v>
      </c>
      <c r="M13" s="89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98">
        <f t="shared" si="0"/>
        <v>9.1666666666668561E-2</v>
      </c>
      <c r="Y13" s="98"/>
      <c r="Z13" s="98"/>
      <c r="AB13" t="s">
        <v>21</v>
      </c>
      <c r="AC13" t="s">
        <v>145</v>
      </c>
      <c r="AE13" t="s">
        <v>21</v>
      </c>
      <c r="AF13" t="s">
        <v>164</v>
      </c>
    </row>
    <row r="14" spans="1:32" x14ac:dyDescent="0.25">
      <c r="A14" s="4" t="e">
        <f>PLANTILLA!#REF!</f>
        <v>#REF!</v>
      </c>
      <c r="B14" s="190" t="e">
        <f>PLANTILLA!#REF!</f>
        <v>#REF!</v>
      </c>
      <c r="C14" s="4" t="e">
        <f>PLANTILLA!#REF!</f>
        <v>#REF!</v>
      </c>
      <c r="D14" s="200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89">
        <f>1/6</f>
        <v>0.16666666666666666</v>
      </c>
      <c r="M14" s="89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98" t="e">
        <f t="shared" si="0"/>
        <v>#REF!</v>
      </c>
      <c r="Y14" s="98"/>
      <c r="Z14" s="98"/>
    </row>
  </sheetData>
  <sortState xmlns:xlrd2="http://schemas.microsoft.com/office/spreadsheetml/2017/richdata2" ref="A4:X14">
    <sortCondition descending="1" ref="X4:X14"/>
  </sortState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12" sqref="F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390</v>
      </c>
      <c r="N1" s="7" t="s">
        <v>391</v>
      </c>
      <c r="O1" s="7" t="s">
        <v>392</v>
      </c>
      <c r="P1" s="7" t="s">
        <v>393</v>
      </c>
      <c r="Q1" s="7" t="s">
        <v>394</v>
      </c>
      <c r="R1" s="7" t="s">
        <v>395</v>
      </c>
      <c r="S1" s="7" t="s">
        <v>396</v>
      </c>
    </row>
    <row r="2" spans="1:30" x14ac:dyDescent="0.25">
      <c r="C2" s="8" t="s">
        <v>397</v>
      </c>
      <c r="D2" s="461" t="s">
        <v>398</v>
      </c>
      <c r="E2" s="461"/>
      <c r="F2" s="462" t="s">
        <v>399</v>
      </c>
      <c r="G2" s="462"/>
      <c r="H2" s="463" t="s">
        <v>400</v>
      </c>
      <c r="I2" s="463"/>
      <c r="K2" t="s">
        <v>401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ht="15.75" thickBot="1" x14ac:dyDescent="0.3">
      <c r="A3" s="12" t="s">
        <v>402</v>
      </c>
      <c r="B3" s="13">
        <f>B4+B5+B6+B7</f>
        <v>62221</v>
      </c>
      <c r="C3" s="14">
        <f>C4+C5+C6+C7</f>
        <v>71200.2</v>
      </c>
      <c r="D3" s="4" t="s">
        <v>403</v>
      </c>
      <c r="E3" s="4" t="s">
        <v>404</v>
      </c>
      <c r="F3" s="4" t="s">
        <v>403</v>
      </c>
      <c r="G3" s="4" t="s">
        <v>405</v>
      </c>
      <c r="H3" s="4" t="s">
        <v>403</v>
      </c>
      <c r="I3" s="5" t="s">
        <v>406</v>
      </c>
      <c r="J3" s="4" t="s">
        <v>407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573</v>
      </c>
      <c r="V3" t="s">
        <v>574</v>
      </c>
      <c r="W3" t="s">
        <v>575</v>
      </c>
    </row>
    <row r="4" spans="1:30" x14ac:dyDescent="0.25">
      <c r="A4" s="12" t="s">
        <v>408</v>
      </c>
      <c r="B4" s="13">
        <v>35404</v>
      </c>
      <c r="C4" s="65">
        <v>40513.199999999997</v>
      </c>
      <c r="D4" s="17">
        <v>45</v>
      </c>
      <c r="E4" s="4">
        <f>D4*(C4-B4)</f>
        <v>229913.99999999988</v>
      </c>
      <c r="F4" s="18">
        <v>0.5</v>
      </c>
      <c r="G4" s="4">
        <f>(C4-B4)*F4</f>
        <v>2554.5999999999985</v>
      </c>
      <c r="H4" s="18">
        <v>7</v>
      </c>
      <c r="I4" s="5">
        <f>(C4-B4)*H4</f>
        <v>35764.39999999998</v>
      </c>
      <c r="J4" s="4">
        <f>H4*C4</f>
        <v>283592.39999999997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409</v>
      </c>
      <c r="B5" s="13">
        <v>13589</v>
      </c>
      <c r="C5" s="21">
        <v>15550.199999999999</v>
      </c>
      <c r="D5" s="19">
        <v>75</v>
      </c>
      <c r="E5" s="4">
        <f>D5*(C5-B5)</f>
        <v>147089.99999999991</v>
      </c>
      <c r="F5" s="20">
        <v>0.7</v>
      </c>
      <c r="G5" s="4">
        <f>(C5-B5)*F5</f>
        <v>1372.8399999999992</v>
      </c>
      <c r="H5" s="20">
        <v>10</v>
      </c>
      <c r="I5" s="5">
        <f>(C5-B5)*H5</f>
        <v>19611.999999999989</v>
      </c>
      <c r="J5" s="4">
        <f>H5*C5</f>
        <v>155502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410</v>
      </c>
      <c r="B6" s="13">
        <v>11811</v>
      </c>
      <c r="C6" s="21">
        <v>13515</v>
      </c>
      <c r="D6" s="17">
        <v>90</v>
      </c>
      <c r="E6" s="4">
        <f>D6*(C6-B6)</f>
        <v>153360</v>
      </c>
      <c r="F6" s="18">
        <v>1</v>
      </c>
      <c r="G6" s="4">
        <f>(C6-B6)*F6</f>
        <v>1704</v>
      </c>
      <c r="H6" s="18">
        <v>19</v>
      </c>
      <c r="I6" s="5">
        <f>(C6-B6)*H6</f>
        <v>32376</v>
      </c>
      <c r="J6" s="4">
        <f>H6*C6</f>
        <v>256785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ht="15.75" thickBot="1" x14ac:dyDescent="0.3">
      <c r="A7" s="12" t="s">
        <v>411</v>
      </c>
      <c r="B7" s="13">
        <v>1417</v>
      </c>
      <c r="C7" s="22">
        <v>1621.8</v>
      </c>
      <c r="D7" s="19">
        <v>300</v>
      </c>
      <c r="E7" s="4">
        <f>D7*(C7-B7)</f>
        <v>61439.999999999985</v>
      </c>
      <c r="F7" s="20">
        <v>2.5</v>
      </c>
      <c r="G7" s="4">
        <f>(C7-B7)*F7</f>
        <v>511.99999999999989</v>
      </c>
      <c r="H7" s="20">
        <v>35</v>
      </c>
      <c r="I7" s="5">
        <f>(C7-B7)*H7</f>
        <v>7167.9999999999982</v>
      </c>
      <c r="J7" s="4">
        <f>H7*C7</f>
        <v>56763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752642.39999999991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0.21840107190710137</v>
      </c>
      <c r="E9" s="36">
        <v>35404.46</v>
      </c>
      <c r="F9" s="49">
        <f>E9-B4</f>
        <v>0.45999999999912689</v>
      </c>
      <c r="G9" s="49">
        <f>C4-B4</f>
        <v>5109.1999999999971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1.6616705771314254E-2</v>
      </c>
      <c r="C10" s="25">
        <f>C6/$C$3</f>
        <v>0.18981688253684681</v>
      </c>
      <c r="E10" s="36">
        <v>13589.31</v>
      </c>
      <c r="F10" s="49">
        <f t="shared" ref="F10:F12" si="3">E10-B5</f>
        <v>0.30999999999949068</v>
      </c>
      <c r="G10" s="49">
        <f t="shared" ref="G10:G12" si="4">C5-B5</f>
        <v>1961.1999999999989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412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-0.25</v>
      </c>
      <c r="G11" s="49">
        <f t="shared" si="4"/>
        <v>1704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413</v>
      </c>
      <c r="B12" s="29">
        <f>E7+E6+E5+E4</f>
        <v>591803.99999999977</v>
      </c>
      <c r="E12" s="36">
        <v>1417.29</v>
      </c>
      <c r="F12" s="49">
        <f t="shared" si="3"/>
        <v>0.28999999999996362</v>
      </c>
      <c r="G12" s="49">
        <f t="shared" si="4"/>
        <v>204.79999999999995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226</v>
      </c>
      <c r="B13" s="31">
        <f>B11+B12</f>
        <v>601803.99999999977</v>
      </c>
    </row>
    <row r="15" spans="1:30" x14ac:dyDescent="0.25">
      <c r="A15" s="2"/>
      <c r="B15" s="32" t="s">
        <v>179</v>
      </c>
      <c r="C15" s="32" t="s">
        <v>180</v>
      </c>
      <c r="D15" s="32" t="s">
        <v>181</v>
      </c>
      <c r="E15" s="32" t="s">
        <v>182</v>
      </c>
      <c r="F15" s="32" t="s">
        <v>183</v>
      </c>
      <c r="G15" s="32" t="s">
        <v>184</v>
      </c>
      <c r="H15" s="32" t="s">
        <v>185</v>
      </c>
      <c r="I15" s="32" t="s">
        <v>186</v>
      </c>
      <c r="J15" s="32" t="s">
        <v>187</v>
      </c>
      <c r="K15" s="32" t="s">
        <v>188</v>
      </c>
      <c r="L15" s="32" t="s">
        <v>189</v>
      </c>
      <c r="M15" s="32" t="s">
        <v>190</v>
      </c>
      <c r="N15" s="32" t="s">
        <v>191</v>
      </c>
      <c r="O15" s="32" t="s">
        <v>192</v>
      </c>
      <c r="P15" s="32" t="s">
        <v>193</v>
      </c>
      <c r="Q15" s="32" t="s">
        <v>178</v>
      </c>
      <c r="R15" s="32" t="s">
        <v>179</v>
      </c>
      <c r="S15" s="32" t="s">
        <v>180</v>
      </c>
      <c r="T15" s="32" t="s">
        <v>181</v>
      </c>
      <c r="U15" s="32" t="s">
        <v>182</v>
      </c>
      <c r="V15" s="32" t="s">
        <v>183</v>
      </c>
      <c r="W15" s="32" t="s">
        <v>184</v>
      </c>
      <c r="X15" s="32" t="s">
        <v>185</v>
      </c>
      <c r="Y15" s="32" t="s">
        <v>186</v>
      </c>
      <c r="Z15" s="32" t="s">
        <v>187</v>
      </c>
      <c r="AA15" s="32" t="s">
        <v>188</v>
      </c>
      <c r="AB15" s="32" t="s">
        <v>189</v>
      </c>
      <c r="AC15" s="32" t="s">
        <v>190</v>
      </c>
      <c r="AD15" s="32" t="s">
        <v>191</v>
      </c>
    </row>
    <row r="16" spans="1:30" x14ac:dyDescent="0.25">
      <c r="A16" s="33" t="s">
        <v>414</v>
      </c>
      <c r="B16" s="33">
        <v>3180</v>
      </c>
      <c r="C16" s="33">
        <f>B16+0</f>
        <v>3180</v>
      </c>
      <c r="D16" s="33">
        <f>C16+1</f>
        <v>3181</v>
      </c>
      <c r="E16" s="33">
        <v>3403</v>
      </c>
      <c r="F16" s="33">
        <f t="shared" ref="F16" si="5">E16+0</f>
        <v>3403</v>
      </c>
      <c r="G16" s="33">
        <f t="shared" ref="G16" si="6">F16+1</f>
        <v>3404</v>
      </c>
      <c r="H16" s="33">
        <v>3404</v>
      </c>
      <c r="I16" s="33">
        <f t="shared" ref="I16" si="7">H16+0</f>
        <v>3404</v>
      </c>
      <c r="J16" s="33">
        <f t="shared" ref="J16" si="8">I16+1</f>
        <v>3405</v>
      </c>
      <c r="K16" s="33">
        <v>3405</v>
      </c>
      <c r="L16" s="33">
        <f t="shared" ref="L16" si="9">K16+0</f>
        <v>3405</v>
      </c>
      <c r="M16" s="33">
        <f t="shared" ref="M16" si="10">L16+1</f>
        <v>3406</v>
      </c>
      <c r="N16" s="33">
        <v>3406</v>
      </c>
      <c r="O16" s="33">
        <f t="shared" ref="O16" si="11">N16+0</f>
        <v>3406</v>
      </c>
      <c r="P16" s="33">
        <f t="shared" ref="P16" si="12">O16+1</f>
        <v>3407</v>
      </c>
      <c r="Q16" s="33">
        <v>3407</v>
      </c>
      <c r="R16" s="33">
        <f t="shared" ref="R16" si="13">Q16+0</f>
        <v>3407</v>
      </c>
      <c r="S16" s="33">
        <f t="shared" ref="S16" si="14">R16+1</f>
        <v>3408</v>
      </c>
      <c r="T16" s="33">
        <v>3408</v>
      </c>
      <c r="U16" s="33">
        <f t="shared" ref="U16:AD16" si="15">T16+2</f>
        <v>3410</v>
      </c>
      <c r="V16" s="33">
        <f t="shared" si="15"/>
        <v>3412</v>
      </c>
      <c r="W16" s="33">
        <f t="shared" si="15"/>
        <v>3414</v>
      </c>
      <c r="X16" s="33">
        <f t="shared" si="15"/>
        <v>3416</v>
      </c>
      <c r="Y16" s="33">
        <f t="shared" si="15"/>
        <v>3418</v>
      </c>
      <c r="Z16" s="33">
        <f t="shared" si="15"/>
        <v>3420</v>
      </c>
      <c r="AA16" s="33">
        <f t="shared" si="15"/>
        <v>3422</v>
      </c>
      <c r="AB16" s="33">
        <f t="shared" si="15"/>
        <v>3424</v>
      </c>
      <c r="AC16" s="33">
        <f t="shared" si="15"/>
        <v>3426</v>
      </c>
      <c r="AD16" s="33">
        <f t="shared" si="15"/>
        <v>3428</v>
      </c>
    </row>
    <row r="17" spans="1:30" x14ac:dyDescent="0.25">
      <c r="A17" s="33"/>
      <c r="B17" s="34">
        <f t="shared" ref="B17:AD17" si="16">B18+B19+B20+B21</f>
        <v>71200.2</v>
      </c>
      <c r="C17" s="34">
        <f t="shared" si="16"/>
        <v>71200.2</v>
      </c>
      <c r="D17" s="34">
        <f t="shared" si="16"/>
        <v>71222.59</v>
      </c>
      <c r="E17" s="34">
        <f t="shared" si="16"/>
        <v>76193.17</v>
      </c>
      <c r="F17" s="34">
        <f t="shared" si="16"/>
        <v>76193.17</v>
      </c>
      <c r="G17" s="34">
        <f t="shared" si="16"/>
        <v>76215.559999999983</v>
      </c>
      <c r="H17" s="34">
        <f t="shared" si="16"/>
        <v>76215.559999999983</v>
      </c>
      <c r="I17" s="34">
        <f t="shared" si="16"/>
        <v>76215.559999999983</v>
      </c>
      <c r="J17" s="34">
        <f t="shared" si="16"/>
        <v>76237.95</v>
      </c>
      <c r="K17" s="34">
        <f t="shared" si="16"/>
        <v>76237.95</v>
      </c>
      <c r="L17" s="34">
        <f t="shared" si="16"/>
        <v>76237.95</v>
      </c>
      <c r="M17" s="34">
        <f t="shared" si="16"/>
        <v>76260.34</v>
      </c>
      <c r="N17" s="34">
        <f t="shared" si="16"/>
        <v>76260.34</v>
      </c>
      <c r="O17" s="34">
        <f t="shared" si="16"/>
        <v>76260.34</v>
      </c>
      <c r="P17" s="34">
        <f t="shared" si="16"/>
        <v>76282.73000000001</v>
      </c>
      <c r="Q17" s="34">
        <f t="shared" si="16"/>
        <v>76282.73000000001</v>
      </c>
      <c r="R17" s="34">
        <f t="shared" si="16"/>
        <v>76282.73000000001</v>
      </c>
      <c r="S17" s="34">
        <f t="shared" si="16"/>
        <v>76305.119999999995</v>
      </c>
      <c r="T17" s="34">
        <f t="shared" si="16"/>
        <v>76305.119999999995</v>
      </c>
      <c r="U17" s="34">
        <f t="shared" si="16"/>
        <v>76349.900000000009</v>
      </c>
      <c r="V17" s="34">
        <f t="shared" si="16"/>
        <v>76394.679999999993</v>
      </c>
      <c r="W17" s="34">
        <f t="shared" si="16"/>
        <v>76439.460000000006</v>
      </c>
      <c r="X17" s="34">
        <f t="shared" si="16"/>
        <v>76484.240000000005</v>
      </c>
      <c r="Y17" s="34">
        <f t="shared" si="16"/>
        <v>76529.01999999999</v>
      </c>
      <c r="Z17" s="34">
        <f t="shared" si="16"/>
        <v>76573.8</v>
      </c>
      <c r="AA17" s="34">
        <f t="shared" si="16"/>
        <v>76618.58</v>
      </c>
      <c r="AB17" s="34">
        <f t="shared" si="16"/>
        <v>76663.360000000001</v>
      </c>
      <c r="AC17" s="34">
        <f t="shared" si="16"/>
        <v>76708.14</v>
      </c>
      <c r="AD17" s="34">
        <f t="shared" si="16"/>
        <v>76752.92</v>
      </c>
    </row>
    <row r="18" spans="1:30" x14ac:dyDescent="0.25">
      <c r="A18" s="35" t="s">
        <v>415</v>
      </c>
      <c r="B18" s="36">
        <f>B16*$N$5</f>
        <v>40513.199999999997</v>
      </c>
      <c r="C18" s="36">
        <f t="shared" ref="C18:AD18" si="17">C16*$N$5</f>
        <v>40513.199999999997</v>
      </c>
      <c r="D18" s="36">
        <f t="shared" si="17"/>
        <v>40525.94</v>
      </c>
      <c r="E18" s="36">
        <f t="shared" si="17"/>
        <v>43354.22</v>
      </c>
      <c r="F18" s="36">
        <f t="shared" si="17"/>
        <v>43354.22</v>
      </c>
      <c r="G18" s="36">
        <f t="shared" si="17"/>
        <v>43366.96</v>
      </c>
      <c r="H18" s="36">
        <f t="shared" si="17"/>
        <v>43366.96</v>
      </c>
      <c r="I18" s="36">
        <f t="shared" si="17"/>
        <v>43366.96</v>
      </c>
      <c r="J18" s="36">
        <f t="shared" si="17"/>
        <v>43379.7</v>
      </c>
      <c r="K18" s="36">
        <f t="shared" si="17"/>
        <v>43379.7</v>
      </c>
      <c r="L18" s="36">
        <f t="shared" si="17"/>
        <v>43379.7</v>
      </c>
      <c r="M18" s="36">
        <f t="shared" si="17"/>
        <v>43392.44</v>
      </c>
      <c r="N18" s="36">
        <f t="shared" si="17"/>
        <v>43392.44</v>
      </c>
      <c r="O18" s="36">
        <f t="shared" si="17"/>
        <v>43392.44</v>
      </c>
      <c r="P18" s="36">
        <f t="shared" si="17"/>
        <v>43405.18</v>
      </c>
      <c r="Q18" s="36">
        <f t="shared" si="17"/>
        <v>43405.18</v>
      </c>
      <c r="R18" s="36">
        <f t="shared" si="17"/>
        <v>43405.18</v>
      </c>
      <c r="S18" s="36">
        <f t="shared" si="17"/>
        <v>43417.919999999998</v>
      </c>
      <c r="T18" s="36">
        <f t="shared" si="17"/>
        <v>43417.919999999998</v>
      </c>
      <c r="U18" s="36">
        <f t="shared" si="17"/>
        <v>43443.4</v>
      </c>
      <c r="V18" s="36">
        <f t="shared" si="17"/>
        <v>43468.88</v>
      </c>
      <c r="W18" s="36">
        <f t="shared" si="17"/>
        <v>43494.36</v>
      </c>
      <c r="X18" s="36">
        <f t="shared" si="17"/>
        <v>43519.840000000004</v>
      </c>
      <c r="Y18" s="36">
        <f t="shared" si="17"/>
        <v>43545.32</v>
      </c>
      <c r="Z18" s="36">
        <f t="shared" si="17"/>
        <v>43570.8</v>
      </c>
      <c r="AA18" s="36">
        <f t="shared" si="17"/>
        <v>43596.28</v>
      </c>
      <c r="AB18" s="36">
        <f t="shared" si="17"/>
        <v>43621.760000000002</v>
      </c>
      <c r="AC18" s="36">
        <f t="shared" si="17"/>
        <v>43647.24</v>
      </c>
      <c r="AD18" s="36">
        <f t="shared" si="17"/>
        <v>43672.72</v>
      </c>
    </row>
    <row r="19" spans="1:30" x14ac:dyDescent="0.25">
      <c r="A19" s="35" t="s">
        <v>416</v>
      </c>
      <c r="B19" s="36">
        <f>B16*$O$5</f>
        <v>15550.199999999999</v>
      </c>
      <c r="C19" s="36">
        <f t="shared" ref="C19:AD19" si="18">C16*$O$5</f>
        <v>15550.199999999999</v>
      </c>
      <c r="D19" s="36">
        <f t="shared" si="18"/>
        <v>15555.089999999998</v>
      </c>
      <c r="E19" s="36">
        <f t="shared" si="18"/>
        <v>16640.669999999998</v>
      </c>
      <c r="F19" s="36">
        <f t="shared" si="18"/>
        <v>16640.669999999998</v>
      </c>
      <c r="G19" s="36">
        <f t="shared" si="18"/>
        <v>16645.559999999998</v>
      </c>
      <c r="H19" s="36">
        <f t="shared" si="18"/>
        <v>16645.559999999998</v>
      </c>
      <c r="I19" s="36">
        <f t="shared" si="18"/>
        <v>16645.559999999998</v>
      </c>
      <c r="J19" s="36">
        <f t="shared" si="18"/>
        <v>16650.45</v>
      </c>
      <c r="K19" s="36">
        <f t="shared" si="18"/>
        <v>16650.45</v>
      </c>
      <c r="L19" s="36">
        <f t="shared" si="18"/>
        <v>16650.45</v>
      </c>
      <c r="M19" s="36">
        <f t="shared" si="18"/>
        <v>16655.34</v>
      </c>
      <c r="N19" s="36">
        <f t="shared" si="18"/>
        <v>16655.34</v>
      </c>
      <c r="O19" s="36">
        <f t="shared" si="18"/>
        <v>16655.34</v>
      </c>
      <c r="P19" s="36">
        <f t="shared" si="18"/>
        <v>16660.23</v>
      </c>
      <c r="Q19" s="36">
        <f t="shared" si="18"/>
        <v>16660.23</v>
      </c>
      <c r="R19" s="36">
        <f t="shared" si="18"/>
        <v>16660.23</v>
      </c>
      <c r="S19" s="36">
        <f t="shared" si="18"/>
        <v>16665.12</v>
      </c>
      <c r="T19" s="36">
        <f t="shared" si="18"/>
        <v>16665.12</v>
      </c>
      <c r="U19" s="36">
        <f t="shared" si="18"/>
        <v>16674.899999999998</v>
      </c>
      <c r="V19" s="36">
        <f t="shared" si="18"/>
        <v>16684.68</v>
      </c>
      <c r="W19" s="36">
        <f t="shared" si="18"/>
        <v>16694.46</v>
      </c>
      <c r="X19" s="36">
        <f t="shared" si="18"/>
        <v>16704.239999999998</v>
      </c>
      <c r="Y19" s="36">
        <f t="shared" si="18"/>
        <v>16714.02</v>
      </c>
      <c r="Z19" s="36">
        <f t="shared" si="18"/>
        <v>16723.8</v>
      </c>
      <c r="AA19" s="36">
        <f t="shared" si="18"/>
        <v>16733.579999999998</v>
      </c>
      <c r="AB19" s="36">
        <f t="shared" si="18"/>
        <v>16743.36</v>
      </c>
      <c r="AC19" s="36">
        <f t="shared" si="18"/>
        <v>16753.14</v>
      </c>
      <c r="AD19" s="36">
        <f t="shared" si="18"/>
        <v>16762.919999999998</v>
      </c>
    </row>
    <row r="20" spans="1:30" x14ac:dyDescent="0.25">
      <c r="A20" s="35" t="s">
        <v>417</v>
      </c>
      <c r="B20" s="36">
        <f>B16*$P$5</f>
        <v>13515</v>
      </c>
      <c r="C20" s="36">
        <f t="shared" ref="C20:AD20" si="19">C16*$P$5</f>
        <v>13515</v>
      </c>
      <c r="D20" s="36">
        <f t="shared" si="19"/>
        <v>13519.25</v>
      </c>
      <c r="E20" s="36">
        <f t="shared" si="19"/>
        <v>14462.75</v>
      </c>
      <c r="F20" s="36">
        <f t="shared" si="19"/>
        <v>14462.75</v>
      </c>
      <c r="G20" s="36">
        <f t="shared" si="19"/>
        <v>14467</v>
      </c>
      <c r="H20" s="36">
        <f t="shared" si="19"/>
        <v>14467</v>
      </c>
      <c r="I20" s="36">
        <f t="shared" si="19"/>
        <v>14467</v>
      </c>
      <c r="J20" s="36">
        <f t="shared" si="19"/>
        <v>14471.25</v>
      </c>
      <c r="K20" s="36">
        <f t="shared" si="19"/>
        <v>14471.25</v>
      </c>
      <c r="L20" s="36">
        <f t="shared" si="19"/>
        <v>14471.25</v>
      </c>
      <c r="M20" s="36">
        <f t="shared" si="19"/>
        <v>14475.5</v>
      </c>
      <c r="N20" s="36">
        <f t="shared" si="19"/>
        <v>14475.5</v>
      </c>
      <c r="O20" s="36">
        <f t="shared" si="19"/>
        <v>14475.5</v>
      </c>
      <c r="P20" s="36">
        <f t="shared" si="19"/>
        <v>14479.75</v>
      </c>
      <c r="Q20" s="36">
        <f t="shared" si="19"/>
        <v>14479.75</v>
      </c>
      <c r="R20" s="36">
        <f t="shared" si="19"/>
        <v>14479.75</v>
      </c>
      <c r="S20" s="36">
        <f t="shared" si="19"/>
        <v>14484</v>
      </c>
      <c r="T20" s="36">
        <f t="shared" si="19"/>
        <v>14484</v>
      </c>
      <c r="U20" s="36">
        <f t="shared" si="19"/>
        <v>14492.5</v>
      </c>
      <c r="V20" s="36">
        <f t="shared" si="19"/>
        <v>14501</v>
      </c>
      <c r="W20" s="36">
        <f t="shared" si="19"/>
        <v>14509.5</v>
      </c>
      <c r="X20" s="36">
        <f t="shared" si="19"/>
        <v>14518</v>
      </c>
      <c r="Y20" s="36">
        <f t="shared" si="19"/>
        <v>14526.5</v>
      </c>
      <c r="Z20" s="36">
        <f t="shared" si="19"/>
        <v>14535</v>
      </c>
      <c r="AA20" s="36">
        <f t="shared" si="19"/>
        <v>14543.5</v>
      </c>
      <c r="AB20" s="36">
        <f t="shared" si="19"/>
        <v>14552</v>
      </c>
      <c r="AC20" s="36">
        <f t="shared" si="19"/>
        <v>14560.5</v>
      </c>
      <c r="AD20" s="36">
        <f t="shared" si="19"/>
        <v>14569</v>
      </c>
    </row>
    <row r="21" spans="1:30" x14ac:dyDescent="0.25">
      <c r="A21" s="35" t="s">
        <v>418</v>
      </c>
      <c r="B21" s="36">
        <f>B16*$Q$5</f>
        <v>1621.8</v>
      </c>
      <c r="C21" s="36">
        <f t="shared" ref="C21:AD21" si="20">C16*$Q$5</f>
        <v>1621.8</v>
      </c>
      <c r="D21" s="36">
        <f t="shared" si="20"/>
        <v>1622.31</v>
      </c>
      <c r="E21" s="36">
        <f t="shared" si="20"/>
        <v>1735.53</v>
      </c>
      <c r="F21" s="36">
        <f t="shared" si="20"/>
        <v>1735.53</v>
      </c>
      <c r="G21" s="36">
        <f t="shared" si="20"/>
        <v>1736.04</v>
      </c>
      <c r="H21" s="36">
        <f t="shared" si="20"/>
        <v>1736.04</v>
      </c>
      <c r="I21" s="36">
        <f t="shared" si="20"/>
        <v>1736.04</v>
      </c>
      <c r="J21" s="36">
        <f t="shared" si="20"/>
        <v>1736.55</v>
      </c>
      <c r="K21" s="36">
        <f t="shared" si="20"/>
        <v>1736.55</v>
      </c>
      <c r="L21" s="36">
        <f t="shared" si="20"/>
        <v>1736.55</v>
      </c>
      <c r="M21" s="36">
        <f t="shared" si="20"/>
        <v>1737.06</v>
      </c>
      <c r="N21" s="36">
        <f t="shared" si="20"/>
        <v>1737.06</v>
      </c>
      <c r="O21" s="36">
        <f t="shared" si="20"/>
        <v>1737.06</v>
      </c>
      <c r="P21" s="36">
        <f t="shared" si="20"/>
        <v>1737.57</v>
      </c>
      <c r="Q21" s="36">
        <f t="shared" si="20"/>
        <v>1737.57</v>
      </c>
      <c r="R21" s="36">
        <f t="shared" si="20"/>
        <v>1737.57</v>
      </c>
      <c r="S21" s="36">
        <f t="shared" si="20"/>
        <v>1738.08</v>
      </c>
      <c r="T21" s="36">
        <f t="shared" si="20"/>
        <v>1738.08</v>
      </c>
      <c r="U21" s="36">
        <f t="shared" si="20"/>
        <v>1739.1000000000001</v>
      </c>
      <c r="V21" s="36">
        <f t="shared" si="20"/>
        <v>1740.1200000000001</v>
      </c>
      <c r="W21" s="36">
        <f t="shared" si="20"/>
        <v>1741.14</v>
      </c>
      <c r="X21" s="36">
        <f t="shared" si="20"/>
        <v>1742.16</v>
      </c>
      <c r="Y21" s="36">
        <f t="shared" si="20"/>
        <v>1743.18</v>
      </c>
      <c r="Z21" s="36">
        <f t="shared" si="20"/>
        <v>1744.2</v>
      </c>
      <c r="AA21" s="36">
        <f t="shared" si="20"/>
        <v>1745.22</v>
      </c>
      <c r="AB21" s="36">
        <f t="shared" si="20"/>
        <v>1746.24</v>
      </c>
      <c r="AC21" s="36">
        <f t="shared" si="20"/>
        <v>1747.26</v>
      </c>
      <c r="AD21" s="36">
        <f t="shared" si="20"/>
        <v>1748.28</v>
      </c>
    </row>
    <row r="22" spans="1:30" x14ac:dyDescent="0.25">
      <c r="A22" s="35" t="s">
        <v>419</v>
      </c>
      <c r="B22" s="36">
        <f t="shared" ref="B22:AD22" si="21">MIN(B$18,$C$4)</f>
        <v>40513.199999999997</v>
      </c>
      <c r="C22" s="36">
        <f t="shared" si="21"/>
        <v>40513.199999999997</v>
      </c>
      <c r="D22" s="36">
        <f t="shared" si="21"/>
        <v>40513.199999999997</v>
      </c>
      <c r="E22" s="36">
        <f t="shared" si="21"/>
        <v>40513.199999999997</v>
      </c>
      <c r="F22" s="36">
        <f t="shared" si="21"/>
        <v>40513.199999999997</v>
      </c>
      <c r="G22" s="36">
        <f t="shared" si="21"/>
        <v>40513.199999999997</v>
      </c>
      <c r="H22" s="36">
        <f t="shared" si="21"/>
        <v>40513.199999999997</v>
      </c>
      <c r="I22" s="36">
        <f t="shared" si="21"/>
        <v>40513.199999999997</v>
      </c>
      <c r="J22" s="36">
        <f t="shared" si="21"/>
        <v>40513.199999999997</v>
      </c>
      <c r="K22" s="36">
        <f t="shared" si="21"/>
        <v>40513.199999999997</v>
      </c>
      <c r="L22" s="36">
        <f t="shared" si="21"/>
        <v>40513.199999999997</v>
      </c>
      <c r="M22" s="36">
        <f t="shared" si="21"/>
        <v>40513.199999999997</v>
      </c>
      <c r="N22" s="36">
        <f t="shared" si="21"/>
        <v>40513.199999999997</v>
      </c>
      <c r="O22" s="36">
        <f t="shared" si="21"/>
        <v>40513.199999999997</v>
      </c>
      <c r="P22" s="36">
        <f t="shared" si="21"/>
        <v>40513.199999999997</v>
      </c>
      <c r="Q22" s="36">
        <f t="shared" si="21"/>
        <v>40513.199999999997</v>
      </c>
      <c r="R22" s="36">
        <f t="shared" si="21"/>
        <v>40513.199999999997</v>
      </c>
      <c r="S22" s="36">
        <f t="shared" si="21"/>
        <v>40513.199999999997</v>
      </c>
      <c r="T22" s="36">
        <f t="shared" si="21"/>
        <v>40513.199999999997</v>
      </c>
      <c r="U22" s="36">
        <f t="shared" si="21"/>
        <v>40513.199999999997</v>
      </c>
      <c r="V22" s="36">
        <f t="shared" si="21"/>
        <v>40513.199999999997</v>
      </c>
      <c r="W22" s="36">
        <f t="shared" si="21"/>
        <v>40513.199999999997</v>
      </c>
      <c r="X22" s="36">
        <f t="shared" si="21"/>
        <v>40513.199999999997</v>
      </c>
      <c r="Y22" s="36">
        <f t="shared" si="21"/>
        <v>40513.199999999997</v>
      </c>
      <c r="Z22" s="36">
        <f t="shared" si="21"/>
        <v>40513.199999999997</v>
      </c>
      <c r="AA22" s="36">
        <f t="shared" si="21"/>
        <v>40513.199999999997</v>
      </c>
      <c r="AB22" s="36">
        <f t="shared" si="21"/>
        <v>40513.199999999997</v>
      </c>
      <c r="AC22" s="36">
        <f t="shared" si="21"/>
        <v>40513.199999999997</v>
      </c>
      <c r="AD22" s="36">
        <f t="shared" si="21"/>
        <v>40513.199999999997</v>
      </c>
    </row>
    <row r="23" spans="1:30" x14ac:dyDescent="0.25">
      <c r="A23" s="35" t="s">
        <v>420</v>
      </c>
      <c r="B23" s="36">
        <f t="shared" ref="B23:AD23" si="22">MIN(B$19,$C$5)</f>
        <v>15550.199999999999</v>
      </c>
      <c r="C23" s="36">
        <f t="shared" si="22"/>
        <v>15550.199999999999</v>
      </c>
      <c r="D23" s="36">
        <f t="shared" si="22"/>
        <v>15550.199999999999</v>
      </c>
      <c r="E23" s="36">
        <f t="shared" si="22"/>
        <v>15550.199999999999</v>
      </c>
      <c r="F23" s="36">
        <f t="shared" si="22"/>
        <v>15550.199999999999</v>
      </c>
      <c r="G23" s="36">
        <f t="shared" si="22"/>
        <v>15550.199999999999</v>
      </c>
      <c r="H23" s="36">
        <f t="shared" si="22"/>
        <v>15550.199999999999</v>
      </c>
      <c r="I23" s="36">
        <f t="shared" si="22"/>
        <v>15550.199999999999</v>
      </c>
      <c r="J23" s="36">
        <f t="shared" si="22"/>
        <v>15550.199999999999</v>
      </c>
      <c r="K23" s="36">
        <f t="shared" si="22"/>
        <v>15550.199999999999</v>
      </c>
      <c r="L23" s="36">
        <f t="shared" si="22"/>
        <v>15550.199999999999</v>
      </c>
      <c r="M23" s="36">
        <f t="shared" si="22"/>
        <v>15550.199999999999</v>
      </c>
      <c r="N23" s="36">
        <f t="shared" si="22"/>
        <v>15550.199999999999</v>
      </c>
      <c r="O23" s="36">
        <f t="shared" si="22"/>
        <v>15550.199999999999</v>
      </c>
      <c r="P23" s="36">
        <f t="shared" si="22"/>
        <v>15550.199999999999</v>
      </c>
      <c r="Q23" s="36">
        <f t="shared" si="22"/>
        <v>15550.199999999999</v>
      </c>
      <c r="R23" s="36">
        <f t="shared" si="22"/>
        <v>15550.199999999999</v>
      </c>
      <c r="S23" s="36">
        <f t="shared" si="22"/>
        <v>15550.199999999999</v>
      </c>
      <c r="T23" s="36">
        <f t="shared" si="22"/>
        <v>15550.199999999999</v>
      </c>
      <c r="U23" s="36">
        <f t="shared" si="22"/>
        <v>15550.199999999999</v>
      </c>
      <c r="V23" s="36">
        <f t="shared" si="22"/>
        <v>15550.199999999999</v>
      </c>
      <c r="W23" s="36">
        <f t="shared" si="22"/>
        <v>15550.199999999999</v>
      </c>
      <c r="X23" s="36">
        <f t="shared" si="22"/>
        <v>15550.199999999999</v>
      </c>
      <c r="Y23" s="36">
        <f t="shared" si="22"/>
        <v>15550.199999999999</v>
      </c>
      <c r="Z23" s="36">
        <f t="shared" si="22"/>
        <v>15550.199999999999</v>
      </c>
      <c r="AA23" s="36">
        <f t="shared" si="22"/>
        <v>15550.199999999999</v>
      </c>
      <c r="AB23" s="36">
        <f t="shared" si="22"/>
        <v>15550.199999999999</v>
      </c>
      <c r="AC23" s="36">
        <f t="shared" si="22"/>
        <v>15550.199999999999</v>
      </c>
      <c r="AD23" s="36">
        <f t="shared" si="22"/>
        <v>15550.199999999999</v>
      </c>
    </row>
    <row r="24" spans="1:30" x14ac:dyDescent="0.25">
      <c r="A24" s="35" t="s">
        <v>421</v>
      </c>
      <c r="B24" s="36">
        <f t="shared" ref="B24:AD24" si="23">MIN(B$20,$C$6)</f>
        <v>13515</v>
      </c>
      <c r="C24" s="36">
        <f t="shared" si="23"/>
        <v>13515</v>
      </c>
      <c r="D24" s="36">
        <f t="shared" si="23"/>
        <v>13515</v>
      </c>
      <c r="E24" s="36">
        <f t="shared" si="23"/>
        <v>13515</v>
      </c>
      <c r="F24" s="36">
        <f t="shared" si="23"/>
        <v>13515</v>
      </c>
      <c r="G24" s="36">
        <f t="shared" si="23"/>
        <v>13515</v>
      </c>
      <c r="H24" s="36">
        <f t="shared" si="23"/>
        <v>13515</v>
      </c>
      <c r="I24" s="36">
        <f t="shared" si="23"/>
        <v>13515</v>
      </c>
      <c r="J24" s="36">
        <f t="shared" si="23"/>
        <v>13515</v>
      </c>
      <c r="K24" s="36">
        <f t="shared" si="23"/>
        <v>13515</v>
      </c>
      <c r="L24" s="36">
        <f t="shared" si="23"/>
        <v>13515</v>
      </c>
      <c r="M24" s="36">
        <f t="shared" si="23"/>
        <v>13515</v>
      </c>
      <c r="N24" s="36">
        <f t="shared" si="23"/>
        <v>13515</v>
      </c>
      <c r="O24" s="36">
        <f t="shared" si="23"/>
        <v>13515</v>
      </c>
      <c r="P24" s="36">
        <f t="shared" si="23"/>
        <v>13515</v>
      </c>
      <c r="Q24" s="36">
        <f t="shared" si="23"/>
        <v>13515</v>
      </c>
      <c r="R24" s="36">
        <f t="shared" si="23"/>
        <v>13515</v>
      </c>
      <c r="S24" s="36">
        <f t="shared" si="23"/>
        <v>13515</v>
      </c>
      <c r="T24" s="36">
        <f t="shared" si="23"/>
        <v>13515</v>
      </c>
      <c r="U24" s="36">
        <f t="shared" si="23"/>
        <v>13515</v>
      </c>
      <c r="V24" s="36">
        <f t="shared" si="23"/>
        <v>13515</v>
      </c>
      <c r="W24" s="36">
        <f t="shared" si="23"/>
        <v>13515</v>
      </c>
      <c r="X24" s="36">
        <f t="shared" si="23"/>
        <v>13515</v>
      </c>
      <c r="Y24" s="36">
        <f t="shared" si="23"/>
        <v>13515</v>
      </c>
      <c r="Z24" s="36">
        <f t="shared" si="23"/>
        <v>13515</v>
      </c>
      <c r="AA24" s="36">
        <f t="shared" si="23"/>
        <v>13515</v>
      </c>
      <c r="AB24" s="36">
        <f t="shared" si="23"/>
        <v>13515</v>
      </c>
      <c r="AC24" s="36">
        <f t="shared" si="23"/>
        <v>13515</v>
      </c>
      <c r="AD24" s="36">
        <f t="shared" si="23"/>
        <v>13515</v>
      </c>
    </row>
    <row r="25" spans="1:30" x14ac:dyDescent="0.25">
      <c r="A25" s="35" t="s">
        <v>422</v>
      </c>
      <c r="B25" s="36">
        <f t="shared" ref="B25:AD25" si="24">MIN(B$21,$C$7)</f>
        <v>1621.8</v>
      </c>
      <c r="C25" s="36">
        <f t="shared" si="24"/>
        <v>1621.8</v>
      </c>
      <c r="D25" s="36">
        <f t="shared" si="24"/>
        <v>1621.8</v>
      </c>
      <c r="E25" s="36">
        <f t="shared" si="24"/>
        <v>1621.8</v>
      </c>
      <c r="F25" s="36">
        <f t="shared" si="24"/>
        <v>1621.8</v>
      </c>
      <c r="G25" s="36">
        <f t="shared" si="24"/>
        <v>1621.8</v>
      </c>
      <c r="H25" s="36">
        <f t="shared" si="24"/>
        <v>1621.8</v>
      </c>
      <c r="I25" s="36">
        <f t="shared" si="24"/>
        <v>1621.8</v>
      </c>
      <c r="J25" s="36">
        <f t="shared" si="24"/>
        <v>1621.8</v>
      </c>
      <c r="K25" s="36">
        <f t="shared" si="24"/>
        <v>1621.8</v>
      </c>
      <c r="L25" s="36">
        <f t="shared" si="24"/>
        <v>1621.8</v>
      </c>
      <c r="M25" s="36">
        <f t="shared" si="24"/>
        <v>1621.8</v>
      </c>
      <c r="N25" s="36">
        <f t="shared" si="24"/>
        <v>1621.8</v>
      </c>
      <c r="O25" s="36">
        <f t="shared" si="24"/>
        <v>1621.8</v>
      </c>
      <c r="P25" s="36">
        <f t="shared" si="24"/>
        <v>1621.8</v>
      </c>
      <c r="Q25" s="36">
        <f t="shared" si="24"/>
        <v>1621.8</v>
      </c>
      <c r="R25" s="36">
        <f t="shared" si="24"/>
        <v>1621.8</v>
      </c>
      <c r="S25" s="36">
        <f t="shared" si="24"/>
        <v>1621.8</v>
      </c>
      <c r="T25" s="36">
        <f t="shared" si="24"/>
        <v>1621.8</v>
      </c>
      <c r="U25" s="36">
        <f t="shared" si="24"/>
        <v>1621.8</v>
      </c>
      <c r="V25" s="36">
        <f t="shared" si="24"/>
        <v>1621.8</v>
      </c>
      <c r="W25" s="36">
        <f t="shared" si="24"/>
        <v>1621.8</v>
      </c>
      <c r="X25" s="36">
        <f t="shared" si="24"/>
        <v>1621.8</v>
      </c>
      <c r="Y25" s="36">
        <f t="shared" si="24"/>
        <v>1621.8</v>
      </c>
      <c r="Z25" s="36">
        <f t="shared" si="24"/>
        <v>1621.8</v>
      </c>
      <c r="AA25" s="36">
        <f t="shared" si="24"/>
        <v>1621.8</v>
      </c>
      <c r="AB25" s="36">
        <f t="shared" si="24"/>
        <v>1621.8</v>
      </c>
      <c r="AC25" s="36">
        <f t="shared" si="24"/>
        <v>1621.8</v>
      </c>
      <c r="AD25" s="36">
        <f t="shared" si="24"/>
        <v>1621.8</v>
      </c>
    </row>
    <row r="26" spans="1:30" x14ac:dyDescent="0.25">
      <c r="A26" s="37" t="s">
        <v>423</v>
      </c>
      <c r="B26" s="38">
        <v>0</v>
      </c>
      <c r="C26" s="38">
        <f>IF(C22&gt;$B$4,(C22-$B$4)*$H$4,0)</f>
        <v>35764.39999999998</v>
      </c>
      <c r="D26" s="38">
        <v>0</v>
      </c>
      <c r="E26" s="38">
        <f>IF(E22&gt;$B$4,(E22-$B$4)*$H$4,0)</f>
        <v>35764.39999999998</v>
      </c>
      <c r="F26" s="38">
        <v>0</v>
      </c>
      <c r="G26" s="38">
        <f>IF(G22&gt;$B$4,(G22-$B$4)*$H$4,0)</f>
        <v>35764.39999999998</v>
      </c>
      <c r="H26" s="38">
        <v>0</v>
      </c>
      <c r="I26" s="38">
        <v>0</v>
      </c>
      <c r="J26" s="38">
        <f>IF(J22&gt;$B$4,(J22-$B$4)*$H$4,0)</f>
        <v>35764.39999999998</v>
      </c>
      <c r="K26" s="38">
        <v>0</v>
      </c>
      <c r="L26" s="38">
        <f>IF(L22&gt;$B$4,(L22-$B$4)*$H$4,0)</f>
        <v>35764.39999999998</v>
      </c>
      <c r="M26" s="38">
        <v>0</v>
      </c>
      <c r="N26" s="38">
        <f>IF(N22&gt;$B$4,(N22-$B$4)*$H$4,0)</f>
        <v>35764.39999999998</v>
      </c>
      <c r="O26" s="38">
        <v>0</v>
      </c>
      <c r="P26" s="38">
        <f>IF(P22&gt;$B$4,(P22-$B$4)*$H$4,0)</f>
        <v>35764.39999999998</v>
      </c>
      <c r="Q26" s="38">
        <v>0</v>
      </c>
      <c r="R26" s="38">
        <f>IF(R22&gt;$B$4,(R22-$B$4)*$H$4,0)</f>
        <v>35764.39999999998</v>
      </c>
      <c r="S26" s="38">
        <v>0</v>
      </c>
      <c r="T26" s="38">
        <f>IF(T22&gt;$B$4,(T22-$B$4)*$H$4,0)</f>
        <v>35764.39999999998</v>
      </c>
      <c r="U26" s="38">
        <v>0</v>
      </c>
      <c r="V26" s="38">
        <f>IF(V22&gt;$B$4,(V22-$B$4)*$H$4,0)</f>
        <v>35764.39999999998</v>
      </c>
      <c r="W26" s="38">
        <v>0</v>
      </c>
      <c r="X26" s="38">
        <f>IF(X22&gt;$B$4,(X22-$B$4)*$H$4,0)</f>
        <v>35764.39999999998</v>
      </c>
      <c r="Y26" s="38">
        <v>0</v>
      </c>
      <c r="Z26" s="38">
        <f>IF(Z22&gt;$B$4,(Z22-$B$4)*$H$4,0)</f>
        <v>35764.39999999998</v>
      </c>
      <c r="AA26" s="38">
        <v>0</v>
      </c>
      <c r="AB26" s="38">
        <f>IF(AB22&gt;$B$4,(AB22-$B$4)*$H$4,0)</f>
        <v>35764.39999999998</v>
      </c>
      <c r="AC26" s="38">
        <v>0</v>
      </c>
      <c r="AD26" s="38">
        <f>IF(AD22&gt;$B$4,(AD22-$B$4)*$H$4,0)</f>
        <v>35764.39999999998</v>
      </c>
    </row>
    <row r="27" spans="1:30" x14ac:dyDescent="0.25">
      <c r="A27" s="37" t="s">
        <v>424</v>
      </c>
      <c r="B27" s="38">
        <v>0</v>
      </c>
      <c r="C27" s="38">
        <f>IF(C23&gt;$B$5,(C23-$B$5)*$H$5,0)</f>
        <v>19611.999999999989</v>
      </c>
      <c r="D27" s="38">
        <v>0</v>
      </c>
      <c r="E27" s="38">
        <f>IF(E23&gt;$B$5,(E23-$B$5)*$H$5,0)</f>
        <v>19611.999999999989</v>
      </c>
      <c r="F27" s="38">
        <v>0</v>
      </c>
      <c r="G27" s="38">
        <f>IF(G23&gt;$B$5,(G23-$B$5)*$H$5,0)</f>
        <v>19611.999999999989</v>
      </c>
      <c r="H27" s="38">
        <v>0</v>
      </c>
      <c r="I27" s="38">
        <v>0</v>
      </c>
      <c r="J27" s="38">
        <f>IF(J23&gt;$B$5,(J23-$B$5)*$H$5,0)</f>
        <v>19611.999999999989</v>
      </c>
      <c r="K27" s="38">
        <v>0</v>
      </c>
      <c r="L27" s="38">
        <f>IF(L23&gt;$B$5,(L23-$B$5)*$H$5,0)</f>
        <v>19611.999999999989</v>
      </c>
      <c r="M27" s="38">
        <v>0</v>
      </c>
      <c r="N27" s="38">
        <f>IF(N23&gt;$B$5,(N23-$B$5)*$H$5,0)</f>
        <v>19611.999999999989</v>
      </c>
      <c r="O27" s="38">
        <v>0</v>
      </c>
      <c r="P27" s="38">
        <f>IF(P23&gt;$B$5,(P23-$B$5)*$H$5,0)</f>
        <v>19611.999999999989</v>
      </c>
      <c r="Q27" s="38">
        <v>0</v>
      </c>
      <c r="R27" s="38">
        <f>IF(R23&gt;$B$5,(R23-$B$5)*$H$5,0)</f>
        <v>19611.999999999989</v>
      </c>
      <c r="S27" s="38">
        <v>0</v>
      </c>
      <c r="T27" s="38">
        <f>IF(T23&gt;$B$5,(T23-$B$5)*$H$5,0)</f>
        <v>19611.999999999989</v>
      </c>
      <c r="U27" s="38">
        <v>0</v>
      </c>
      <c r="V27" s="38">
        <f>IF(V23&gt;$B$5,(V23-$B$5)*$H$5,0)</f>
        <v>19611.999999999989</v>
      </c>
      <c r="W27" s="38">
        <v>0</v>
      </c>
      <c r="X27" s="38">
        <f>IF(X23&gt;$B$5,(X23-$B$5)*$H$5,0)</f>
        <v>19611.999999999989</v>
      </c>
      <c r="Y27" s="38">
        <v>0</v>
      </c>
      <c r="Z27" s="38">
        <f>IF(Z23&gt;$B$5,(Z23-$B$5)*$H$5,0)</f>
        <v>19611.999999999989</v>
      </c>
      <c r="AA27" s="38">
        <v>0</v>
      </c>
      <c r="AB27" s="38">
        <f>IF(AB23&gt;$B$5,(AB23-$B$5)*$H$5,0)</f>
        <v>19611.999999999989</v>
      </c>
      <c r="AC27" s="38">
        <v>0</v>
      </c>
      <c r="AD27" s="38">
        <f>IF(AD23&gt;$B$5,(AD23-$B$5)*$H$5,0)</f>
        <v>19611.999999999989</v>
      </c>
    </row>
    <row r="28" spans="1:30" x14ac:dyDescent="0.25">
      <c r="A28" s="37" t="s">
        <v>425</v>
      </c>
      <c r="B28" s="38">
        <v>0</v>
      </c>
      <c r="C28" s="38">
        <f>IF(C24&gt;$B$6,(C24-$B$6)*$H$6,0)</f>
        <v>32376</v>
      </c>
      <c r="D28" s="38">
        <v>0</v>
      </c>
      <c r="E28" s="38">
        <f>IF(E24&gt;$B$6,(E24-$B$6)*$H$6,0)</f>
        <v>32376</v>
      </c>
      <c r="F28" s="38">
        <v>0</v>
      </c>
      <c r="G28" s="38">
        <f>IF(G24&gt;$B$6,(G24-$B$6)*$H$6,0)</f>
        <v>32376</v>
      </c>
      <c r="H28" s="38">
        <v>0</v>
      </c>
      <c r="I28" s="38">
        <v>0</v>
      </c>
      <c r="J28" s="38">
        <f>IF(J24&gt;$B$6,(J24-$B$6)*$H$6,0)</f>
        <v>32376</v>
      </c>
      <c r="K28" s="38">
        <v>0</v>
      </c>
      <c r="L28" s="38">
        <f>IF(L24&gt;$B$6,(L24-$B$6)*$H$6,0)</f>
        <v>32376</v>
      </c>
      <c r="M28" s="38">
        <v>0</v>
      </c>
      <c r="N28" s="38">
        <f>IF(N24&gt;$B$6,(N24-$B$6)*$H$6,0)</f>
        <v>32376</v>
      </c>
      <c r="O28" s="38">
        <v>0</v>
      </c>
      <c r="P28" s="38">
        <f>IF(P24&gt;$B$6,(P24-$B$6)*$H$6,0)</f>
        <v>32376</v>
      </c>
      <c r="Q28" s="38">
        <v>0</v>
      </c>
      <c r="R28" s="38">
        <f>IF(R24&gt;$B$6,(R24-$B$6)*$H$6,0)</f>
        <v>32376</v>
      </c>
      <c r="S28" s="38">
        <v>0</v>
      </c>
      <c r="T28" s="38">
        <f>IF(T24&gt;$B$6,(T24-$B$6)*$H$6,0)</f>
        <v>32376</v>
      </c>
      <c r="U28" s="38">
        <v>0</v>
      </c>
      <c r="V28" s="38">
        <f>IF(V24&gt;$B$6,(V24-$B$6)*$H$6,0)</f>
        <v>32376</v>
      </c>
      <c r="W28" s="38">
        <v>0</v>
      </c>
      <c r="X28" s="38">
        <f>IF(X24&gt;$B$6,(X24-$B$6)*$H$6,0)</f>
        <v>32376</v>
      </c>
      <c r="Y28" s="38">
        <v>0</v>
      </c>
      <c r="Z28" s="38">
        <f>IF(Z24&gt;$B$6,(Z24-$B$6)*$H$6,0)</f>
        <v>32376</v>
      </c>
      <c r="AA28" s="38">
        <v>0</v>
      </c>
      <c r="AB28" s="38">
        <f>IF(AB24&gt;$B$6,(AB24-$B$6)*$H$6,0)</f>
        <v>32376</v>
      </c>
      <c r="AC28" s="38">
        <v>0</v>
      </c>
      <c r="AD28" s="38">
        <f>IF(AD24&gt;$B$6,(AD24-$B$6)*$H$6,0)</f>
        <v>32376</v>
      </c>
    </row>
    <row r="29" spans="1:30" x14ac:dyDescent="0.25">
      <c r="A29" s="37" t="s">
        <v>426</v>
      </c>
      <c r="B29" s="38">
        <v>0</v>
      </c>
      <c r="C29" s="38">
        <f>IF(C25&gt;$B$7,(C25-$B$7)*$H$7,0)</f>
        <v>7167.9999999999982</v>
      </c>
      <c r="D29" s="38">
        <v>0</v>
      </c>
      <c r="E29" s="38">
        <f>IF(E25&gt;$B$7,(E25-$B$7)*$H$7,0)</f>
        <v>7167.9999999999982</v>
      </c>
      <c r="F29" s="38">
        <v>0</v>
      </c>
      <c r="G29" s="38">
        <f>IF(G25&gt;$B$7,(G25-$B$7)*$H$7,0)</f>
        <v>7167.9999999999982</v>
      </c>
      <c r="H29" s="38">
        <v>0</v>
      </c>
      <c r="I29" s="38">
        <v>0</v>
      </c>
      <c r="J29" s="38">
        <f>IF(J25&gt;$B$7,(J25-$B$7)*$H$7,0)</f>
        <v>7167.9999999999982</v>
      </c>
      <c r="K29" s="38">
        <v>0</v>
      </c>
      <c r="L29" s="38">
        <f>IF(L25&gt;$B$7,(L25-$B$7)*$H$7,0)</f>
        <v>7167.9999999999982</v>
      </c>
      <c r="M29" s="38">
        <v>0</v>
      </c>
      <c r="N29" s="38">
        <f>IF(N25&gt;$B$7,(N25-$B$7)*$H$7,0)</f>
        <v>7167.9999999999982</v>
      </c>
      <c r="O29" s="38">
        <v>0</v>
      </c>
      <c r="P29" s="38">
        <f>IF(P25&gt;$B$7,(P25-$B$7)*$H$7,0)</f>
        <v>7167.9999999999982</v>
      </c>
      <c r="Q29" s="38">
        <v>0</v>
      </c>
      <c r="R29" s="38">
        <f>IF(R25&gt;$B$7,(R25-$B$7)*$H$7,0)</f>
        <v>7167.9999999999982</v>
      </c>
      <c r="S29" s="38">
        <v>0</v>
      </c>
      <c r="T29" s="38">
        <f>IF(T25&gt;$B$7,(T25-$B$7)*$H$7,0)</f>
        <v>7167.9999999999982</v>
      </c>
      <c r="U29" s="38">
        <v>0</v>
      </c>
      <c r="V29" s="38">
        <f>IF(V25&gt;$B$7,(V25-$B$7)*$H$7,0)</f>
        <v>7167.9999999999982</v>
      </c>
      <c r="W29" s="38">
        <v>0</v>
      </c>
      <c r="X29" s="38">
        <f>IF(X25&gt;$B$7,(X25-$B$7)*$H$7,0)</f>
        <v>7167.9999999999982</v>
      </c>
      <c r="Y29" s="38">
        <v>0</v>
      </c>
      <c r="Z29" s="38">
        <f>IF(Z25&gt;$B$7,(Z25-$B$7)*$H$7,0)</f>
        <v>7167.9999999999982</v>
      </c>
      <c r="AA29" s="38">
        <v>0</v>
      </c>
      <c r="AB29" s="38">
        <f>IF(AB25&gt;$B$7,(AB25-$B$7)*$H$7,0)</f>
        <v>7167.9999999999982</v>
      </c>
      <c r="AC29" s="38">
        <v>0</v>
      </c>
      <c r="AD29" s="38">
        <f>IF(AD25&gt;$B$7,(AD25-$B$7)*$H$7,0)</f>
        <v>7167.9999999999982</v>
      </c>
    </row>
    <row r="30" spans="1:30" x14ac:dyDescent="0.25">
      <c r="A30" s="39" t="s">
        <v>427</v>
      </c>
      <c r="B30" s="40">
        <f>G4+G5+G6+G7</f>
        <v>6143.4399999999978</v>
      </c>
      <c r="C30" s="40">
        <f t="shared" ref="C30:AD30" si="25">B30</f>
        <v>6143.4399999999978</v>
      </c>
      <c r="D30" s="40">
        <f t="shared" si="25"/>
        <v>6143.4399999999978</v>
      </c>
      <c r="E30" s="40">
        <f t="shared" si="25"/>
        <v>6143.4399999999978</v>
      </c>
      <c r="F30" s="40">
        <f t="shared" si="25"/>
        <v>6143.4399999999978</v>
      </c>
      <c r="G30" s="40">
        <f t="shared" si="25"/>
        <v>6143.4399999999978</v>
      </c>
      <c r="H30" s="40">
        <f t="shared" si="25"/>
        <v>6143.4399999999978</v>
      </c>
      <c r="I30" s="40">
        <f t="shared" si="25"/>
        <v>6143.4399999999978</v>
      </c>
      <c r="J30" s="40">
        <f t="shared" si="25"/>
        <v>6143.4399999999978</v>
      </c>
      <c r="K30" s="40">
        <f t="shared" si="25"/>
        <v>6143.4399999999978</v>
      </c>
      <c r="L30" s="40">
        <f t="shared" si="25"/>
        <v>6143.4399999999978</v>
      </c>
      <c r="M30" s="40">
        <f t="shared" si="25"/>
        <v>6143.4399999999978</v>
      </c>
      <c r="N30" s="40">
        <f t="shared" si="25"/>
        <v>6143.4399999999978</v>
      </c>
      <c r="O30" s="40">
        <f t="shared" si="25"/>
        <v>6143.4399999999978</v>
      </c>
      <c r="P30" s="40">
        <f t="shared" si="25"/>
        <v>6143.4399999999978</v>
      </c>
      <c r="Q30" s="40">
        <f t="shared" si="25"/>
        <v>6143.4399999999978</v>
      </c>
      <c r="R30" s="40">
        <f t="shared" si="25"/>
        <v>6143.4399999999978</v>
      </c>
      <c r="S30" s="40">
        <f t="shared" si="25"/>
        <v>6143.4399999999978</v>
      </c>
      <c r="T30" s="40">
        <f t="shared" si="25"/>
        <v>6143.4399999999978</v>
      </c>
      <c r="U30" s="40">
        <f t="shared" si="25"/>
        <v>6143.4399999999978</v>
      </c>
      <c r="V30" s="40">
        <f t="shared" si="25"/>
        <v>6143.4399999999978</v>
      </c>
      <c r="W30" s="40">
        <f t="shared" si="25"/>
        <v>6143.4399999999978</v>
      </c>
      <c r="X30" s="40">
        <f t="shared" si="25"/>
        <v>6143.4399999999978</v>
      </c>
      <c r="Y30" s="40">
        <f t="shared" si="25"/>
        <v>6143.4399999999978</v>
      </c>
      <c r="Z30" s="40">
        <f t="shared" si="25"/>
        <v>6143.4399999999978</v>
      </c>
      <c r="AA30" s="40">
        <f t="shared" si="25"/>
        <v>6143.4399999999978</v>
      </c>
      <c r="AB30" s="40">
        <f t="shared" si="25"/>
        <v>6143.4399999999978</v>
      </c>
      <c r="AC30" s="40">
        <f t="shared" si="25"/>
        <v>6143.4399999999978</v>
      </c>
      <c r="AD30" s="40">
        <f t="shared" si="25"/>
        <v>6143.4399999999978</v>
      </c>
    </row>
    <row r="31" spans="1:30" x14ac:dyDescent="0.25">
      <c r="A31" s="41" t="s">
        <v>428</v>
      </c>
      <c r="B31" s="42">
        <f t="shared" ref="B31:AD31" si="26">B26+B27+B28+B29-B30</f>
        <v>-6143.4399999999978</v>
      </c>
      <c r="C31" s="42">
        <f t="shared" si="26"/>
        <v>88776.959999999963</v>
      </c>
      <c r="D31" s="42">
        <f t="shared" si="26"/>
        <v>-6143.4399999999978</v>
      </c>
      <c r="E31" s="42">
        <f t="shared" si="26"/>
        <v>88776.959999999963</v>
      </c>
      <c r="F31" s="42">
        <f t="shared" si="26"/>
        <v>-6143.4399999999978</v>
      </c>
      <c r="G31" s="42">
        <f t="shared" si="26"/>
        <v>88776.959999999963</v>
      </c>
      <c r="H31" s="42">
        <f t="shared" si="26"/>
        <v>-6143.4399999999978</v>
      </c>
      <c r="I31" s="42">
        <f t="shared" si="26"/>
        <v>-6143.4399999999978</v>
      </c>
      <c r="J31" s="42">
        <f t="shared" si="26"/>
        <v>88776.959999999963</v>
      </c>
      <c r="K31" s="42">
        <f t="shared" si="26"/>
        <v>-6143.4399999999978</v>
      </c>
      <c r="L31" s="42">
        <f t="shared" si="26"/>
        <v>88776.959999999963</v>
      </c>
      <c r="M31" s="42">
        <f t="shared" si="26"/>
        <v>-6143.4399999999978</v>
      </c>
      <c r="N31" s="42">
        <f t="shared" si="26"/>
        <v>88776.959999999963</v>
      </c>
      <c r="O31" s="42">
        <f t="shared" si="26"/>
        <v>-6143.4399999999978</v>
      </c>
      <c r="P31" s="42">
        <f t="shared" si="26"/>
        <v>88776.959999999963</v>
      </c>
      <c r="Q31" s="42">
        <f t="shared" si="26"/>
        <v>-6143.4399999999978</v>
      </c>
      <c r="R31" s="42">
        <f t="shared" si="26"/>
        <v>88776.959999999963</v>
      </c>
      <c r="S31" s="42">
        <f t="shared" si="26"/>
        <v>-6143.4399999999978</v>
      </c>
      <c r="T31" s="42">
        <f t="shared" si="26"/>
        <v>88776.959999999963</v>
      </c>
      <c r="U31" s="42">
        <f t="shared" si="26"/>
        <v>-6143.4399999999978</v>
      </c>
      <c r="V31" s="42">
        <f t="shared" si="26"/>
        <v>88776.959999999963</v>
      </c>
      <c r="W31" s="42">
        <f t="shared" si="26"/>
        <v>-6143.4399999999978</v>
      </c>
      <c r="X31" s="42">
        <f t="shared" si="26"/>
        <v>88776.959999999963</v>
      </c>
      <c r="Y31" s="42">
        <f t="shared" si="26"/>
        <v>-6143.4399999999978</v>
      </c>
      <c r="Z31" s="42">
        <f t="shared" si="26"/>
        <v>88776.959999999963</v>
      </c>
      <c r="AA31" s="42">
        <f t="shared" si="26"/>
        <v>-6143.4399999999978</v>
      </c>
      <c r="AB31" s="42">
        <f t="shared" si="26"/>
        <v>88776.959999999963</v>
      </c>
      <c r="AC31" s="42">
        <f t="shared" si="26"/>
        <v>-6143.4399999999978</v>
      </c>
      <c r="AD31" s="42">
        <f t="shared" si="26"/>
        <v>88776.959999999963</v>
      </c>
    </row>
    <row r="32" spans="1:30" x14ac:dyDescent="0.25">
      <c r="A32" s="43" t="s">
        <v>429</v>
      </c>
      <c r="B32" s="42">
        <f>-B12-B11+B31</f>
        <v>-607947.43999999971</v>
      </c>
      <c r="C32" s="42">
        <f t="shared" ref="C32:AD32" si="27">B32+C31</f>
        <v>-519170.47999999975</v>
      </c>
      <c r="D32" s="42">
        <f t="shared" si="27"/>
        <v>-525313.91999999969</v>
      </c>
      <c r="E32" s="42">
        <f t="shared" si="27"/>
        <v>-436536.95999999973</v>
      </c>
      <c r="F32" s="42">
        <f t="shared" si="27"/>
        <v>-442680.39999999973</v>
      </c>
      <c r="G32" s="42">
        <f t="shared" si="27"/>
        <v>-353903.43999999977</v>
      </c>
      <c r="H32" s="42">
        <f t="shared" si="27"/>
        <v>-360046.87999999977</v>
      </c>
      <c r="I32" s="42">
        <f t="shared" si="27"/>
        <v>-366190.31999999977</v>
      </c>
      <c r="J32" s="42">
        <f t="shared" si="27"/>
        <v>-277413.35999999981</v>
      </c>
      <c r="K32" s="42">
        <f t="shared" si="27"/>
        <v>-283556.79999999981</v>
      </c>
      <c r="L32" s="42">
        <f t="shared" si="27"/>
        <v>-194779.83999999985</v>
      </c>
      <c r="M32" s="42">
        <f t="shared" si="27"/>
        <v>-200923.27999999985</v>
      </c>
      <c r="N32" s="42">
        <f t="shared" si="27"/>
        <v>-112146.31999999989</v>
      </c>
      <c r="O32" s="42">
        <f t="shared" si="27"/>
        <v>-118289.75999999989</v>
      </c>
      <c r="P32" s="42">
        <f t="shared" si="27"/>
        <v>-29512.79999999993</v>
      </c>
      <c r="Q32" s="42">
        <f t="shared" si="27"/>
        <v>-35656.239999999925</v>
      </c>
      <c r="R32" s="42">
        <f t="shared" si="27"/>
        <v>53120.720000000038</v>
      </c>
      <c r="S32" s="42">
        <f t="shared" si="27"/>
        <v>46977.280000000042</v>
      </c>
      <c r="T32" s="42">
        <f t="shared" si="27"/>
        <v>135754.23999999999</v>
      </c>
      <c r="U32" s="42">
        <f t="shared" si="27"/>
        <v>129610.79999999999</v>
      </c>
      <c r="V32" s="42">
        <f t="shared" si="27"/>
        <v>218387.75999999995</v>
      </c>
      <c r="W32" s="42">
        <f t="shared" si="27"/>
        <v>212244.31999999995</v>
      </c>
      <c r="X32" s="42">
        <f t="shared" si="27"/>
        <v>301021.27999999991</v>
      </c>
      <c r="Y32" s="42">
        <f t="shared" si="27"/>
        <v>294877.83999999991</v>
      </c>
      <c r="Z32" s="42">
        <f t="shared" si="27"/>
        <v>383654.79999999987</v>
      </c>
      <c r="AA32" s="42">
        <f t="shared" si="27"/>
        <v>377511.35999999987</v>
      </c>
      <c r="AB32" s="42">
        <f t="shared" si="27"/>
        <v>466288.31999999983</v>
      </c>
      <c r="AC32" s="42">
        <f t="shared" si="27"/>
        <v>460144.87999999983</v>
      </c>
      <c r="AD32" s="42">
        <f t="shared" si="27"/>
        <v>548921.83999999985</v>
      </c>
    </row>
    <row r="33" spans="2:30" x14ac:dyDescent="0.25">
      <c r="B33" s="44">
        <f t="shared" ref="B33:AD33" si="28">B32/$B$13</f>
        <v>-1.0102083734903722</v>
      </c>
      <c r="C33" s="44">
        <f t="shared" si="28"/>
        <v>-0.86269031113119876</v>
      </c>
      <c r="D33" s="44">
        <f t="shared" si="28"/>
        <v>-0.87289868462157094</v>
      </c>
      <c r="E33" s="44">
        <f t="shared" si="28"/>
        <v>-0.72538062226239752</v>
      </c>
      <c r="F33" s="44">
        <f t="shared" si="28"/>
        <v>-0.73558899575276981</v>
      </c>
      <c r="G33" s="44">
        <f t="shared" si="28"/>
        <v>-0.5880709333935964</v>
      </c>
      <c r="H33" s="44">
        <f t="shared" si="28"/>
        <v>-0.59827930688396869</v>
      </c>
      <c r="I33" s="44">
        <f t="shared" si="28"/>
        <v>-0.60848768037434098</v>
      </c>
      <c r="J33" s="44">
        <f t="shared" si="28"/>
        <v>-0.46096961801516761</v>
      </c>
      <c r="K33" s="44">
        <f t="shared" si="28"/>
        <v>-0.47117799150553991</v>
      </c>
      <c r="L33" s="44">
        <f t="shared" si="28"/>
        <v>-0.32365992914636649</v>
      </c>
      <c r="M33" s="44">
        <f t="shared" si="28"/>
        <v>-0.33386830263673878</v>
      </c>
      <c r="N33" s="44">
        <f t="shared" si="28"/>
        <v>-0.18635024027756533</v>
      </c>
      <c r="O33" s="44">
        <f t="shared" si="28"/>
        <v>-0.19655861376793762</v>
      </c>
      <c r="P33" s="44">
        <f t="shared" si="28"/>
        <v>-4.9040551408764219E-2</v>
      </c>
      <c r="Q33" s="44">
        <f t="shared" si="28"/>
        <v>-5.9248924899136496E-2</v>
      </c>
      <c r="R33" s="44">
        <f t="shared" si="28"/>
        <v>8.8269137460036923E-2</v>
      </c>
      <c r="S33" s="44">
        <f t="shared" si="28"/>
        <v>7.8060763969664645E-2</v>
      </c>
      <c r="T33" s="44">
        <f t="shared" si="28"/>
        <v>0.22557882632883802</v>
      </c>
      <c r="U33" s="44">
        <f t="shared" si="28"/>
        <v>0.21537045283846573</v>
      </c>
      <c r="V33" s="44">
        <f t="shared" si="28"/>
        <v>0.36288851519763915</v>
      </c>
      <c r="W33" s="44">
        <f t="shared" si="28"/>
        <v>0.35268014170726686</v>
      </c>
      <c r="X33" s="44">
        <f t="shared" si="28"/>
        <v>0.50019820406644033</v>
      </c>
      <c r="Y33" s="44">
        <f t="shared" si="28"/>
        <v>0.48998983057606799</v>
      </c>
      <c r="Z33" s="44">
        <f t="shared" si="28"/>
        <v>0.63750789293524146</v>
      </c>
      <c r="AA33" s="44">
        <f t="shared" si="28"/>
        <v>0.62729951944486917</v>
      </c>
      <c r="AB33" s="44">
        <f t="shared" si="28"/>
        <v>0.77481758180404259</v>
      </c>
      <c r="AC33" s="44">
        <f t="shared" si="28"/>
        <v>0.7646092083136703</v>
      </c>
      <c r="AD33" s="44">
        <f t="shared" si="28"/>
        <v>0.91212727067284372</v>
      </c>
    </row>
    <row r="37" spans="2:30" x14ac:dyDescent="0.25">
      <c r="B37" s="96">
        <f t="shared" ref="B37:P37" si="29">B18/B17</f>
        <v>0.56900401965163017</v>
      </c>
      <c r="C37" s="96">
        <f t="shared" si="29"/>
        <v>0.56900401965163017</v>
      </c>
      <c r="D37" s="96">
        <f t="shared" si="29"/>
        <v>0.56900401965163028</v>
      </c>
      <c r="E37" s="96">
        <f t="shared" si="29"/>
        <v>0.56900401965163017</v>
      </c>
      <c r="F37" s="96">
        <f t="shared" si="29"/>
        <v>0.56900401965163017</v>
      </c>
      <c r="G37" s="96">
        <f t="shared" si="29"/>
        <v>0.56900401965163028</v>
      </c>
      <c r="H37" s="96">
        <f t="shared" si="29"/>
        <v>0.56900401965163028</v>
      </c>
      <c r="I37" s="96">
        <f t="shared" si="29"/>
        <v>0.56900401965163028</v>
      </c>
      <c r="J37" s="96">
        <f t="shared" si="29"/>
        <v>0.56900401965163017</v>
      </c>
      <c r="K37" s="96">
        <f t="shared" si="29"/>
        <v>0.56900401965163017</v>
      </c>
      <c r="L37" s="96">
        <f t="shared" si="29"/>
        <v>0.56900401965163017</v>
      </c>
      <c r="M37" s="96">
        <f t="shared" si="29"/>
        <v>0.56900401965163028</v>
      </c>
      <c r="N37" s="96">
        <f t="shared" si="29"/>
        <v>0.56900401965163028</v>
      </c>
      <c r="O37" s="96">
        <f t="shared" si="29"/>
        <v>0.56900401965163028</v>
      </c>
      <c r="P37" s="96">
        <f t="shared" si="29"/>
        <v>0.56900401965163017</v>
      </c>
    </row>
    <row r="38" spans="2:30" x14ac:dyDescent="0.25">
      <c r="B38" s="96">
        <f t="shared" ref="B38:P38" si="30">B19/B17</f>
        <v>0.21840107190710137</v>
      </c>
      <c r="C38" s="96">
        <f t="shared" si="30"/>
        <v>0.21840107190710137</v>
      </c>
      <c r="D38" s="96">
        <f t="shared" si="30"/>
        <v>0.21840107190710137</v>
      </c>
      <c r="E38" s="96">
        <f t="shared" si="30"/>
        <v>0.21840107190710137</v>
      </c>
      <c r="F38" s="96">
        <f t="shared" si="30"/>
        <v>0.21840107190710137</v>
      </c>
      <c r="G38" s="96">
        <f t="shared" si="30"/>
        <v>0.2184010719071014</v>
      </c>
      <c r="H38" s="96">
        <f t="shared" si="30"/>
        <v>0.2184010719071014</v>
      </c>
      <c r="I38" s="96">
        <f t="shared" si="30"/>
        <v>0.2184010719071014</v>
      </c>
      <c r="J38" s="96">
        <f t="shared" si="30"/>
        <v>0.2184010719071014</v>
      </c>
      <c r="K38" s="96">
        <f t="shared" si="30"/>
        <v>0.2184010719071014</v>
      </c>
      <c r="L38" s="96">
        <f t="shared" si="30"/>
        <v>0.2184010719071014</v>
      </c>
      <c r="M38" s="96">
        <f t="shared" si="30"/>
        <v>0.2184010719071014</v>
      </c>
      <c r="N38" s="96">
        <f t="shared" si="30"/>
        <v>0.2184010719071014</v>
      </c>
      <c r="O38" s="96">
        <f t="shared" si="30"/>
        <v>0.2184010719071014</v>
      </c>
      <c r="P38" s="96">
        <f t="shared" si="30"/>
        <v>0.21840107190710134</v>
      </c>
    </row>
    <row r="39" spans="2:30" x14ac:dyDescent="0.25">
      <c r="B39" s="96">
        <f t="shared" ref="B39:P39" si="31">B20/B17</f>
        <v>0.18981688253684681</v>
      </c>
      <c r="C39" s="96">
        <f t="shared" si="31"/>
        <v>0.18981688253684681</v>
      </c>
      <c r="D39" s="96">
        <f t="shared" si="31"/>
        <v>0.18981688253684681</v>
      </c>
      <c r="E39" s="96">
        <f t="shared" si="31"/>
        <v>0.18981688253684681</v>
      </c>
      <c r="F39" s="96">
        <f t="shared" si="31"/>
        <v>0.18981688253684681</v>
      </c>
      <c r="G39" s="96">
        <f t="shared" si="31"/>
        <v>0.18981688253684684</v>
      </c>
      <c r="H39" s="96">
        <f t="shared" si="31"/>
        <v>0.18981688253684684</v>
      </c>
      <c r="I39" s="96">
        <f t="shared" si="31"/>
        <v>0.18981688253684684</v>
      </c>
      <c r="J39" s="96">
        <f t="shared" si="31"/>
        <v>0.18981688253684681</v>
      </c>
      <c r="K39" s="96">
        <f t="shared" si="31"/>
        <v>0.18981688253684681</v>
      </c>
      <c r="L39" s="96">
        <f t="shared" si="31"/>
        <v>0.18981688253684681</v>
      </c>
      <c r="M39" s="96">
        <f t="shared" si="31"/>
        <v>0.18981688253684681</v>
      </c>
      <c r="N39" s="96">
        <f t="shared" si="31"/>
        <v>0.18981688253684681</v>
      </c>
      <c r="O39" s="96">
        <f t="shared" si="31"/>
        <v>0.18981688253684681</v>
      </c>
      <c r="P39" s="96">
        <f t="shared" si="31"/>
        <v>0.18981688253684678</v>
      </c>
    </row>
    <row r="40" spans="2:30" x14ac:dyDescent="0.25">
      <c r="B40" s="96">
        <f t="shared" ref="B40:P40" si="32">B21/B17</f>
        <v>2.2778025904421618E-2</v>
      </c>
      <c r="C40" s="96">
        <f t="shared" si="32"/>
        <v>2.2778025904421618E-2</v>
      </c>
      <c r="D40" s="96">
        <f t="shared" si="32"/>
        <v>2.2778025904421618E-2</v>
      </c>
      <c r="E40" s="96">
        <f t="shared" si="32"/>
        <v>2.2778025904421618E-2</v>
      </c>
      <c r="F40" s="96">
        <f t="shared" si="32"/>
        <v>2.2778025904421618E-2</v>
      </c>
      <c r="G40" s="96">
        <f t="shared" si="32"/>
        <v>2.2778025904421621E-2</v>
      </c>
      <c r="H40" s="96">
        <f t="shared" si="32"/>
        <v>2.2778025904421621E-2</v>
      </c>
      <c r="I40" s="96">
        <f t="shared" si="32"/>
        <v>2.2778025904421621E-2</v>
      </c>
      <c r="J40" s="96">
        <f t="shared" si="32"/>
        <v>2.2778025904421618E-2</v>
      </c>
      <c r="K40" s="96">
        <f t="shared" si="32"/>
        <v>2.2778025904421618E-2</v>
      </c>
      <c r="L40" s="96">
        <f t="shared" si="32"/>
        <v>2.2778025904421618E-2</v>
      </c>
      <c r="M40" s="96">
        <f t="shared" si="32"/>
        <v>2.2778025904421618E-2</v>
      </c>
      <c r="N40" s="96">
        <f t="shared" si="32"/>
        <v>2.2778025904421618E-2</v>
      </c>
      <c r="O40" s="96">
        <f t="shared" si="32"/>
        <v>2.2778025904421618E-2</v>
      </c>
      <c r="P40" s="96">
        <f t="shared" si="32"/>
        <v>2.2778025904421614E-2</v>
      </c>
    </row>
    <row r="41" spans="2:30" x14ac:dyDescent="0.25">
      <c r="G41" s="49">
        <f>G21-B7</f>
        <v>319.03999999999996</v>
      </c>
      <c r="I41" s="49">
        <f>I21-B7</f>
        <v>319.03999999999996</v>
      </c>
    </row>
    <row r="43" spans="2:30" x14ac:dyDescent="0.25">
      <c r="D43">
        <v>46500</v>
      </c>
    </row>
    <row r="44" spans="2:30" x14ac:dyDescent="0.25">
      <c r="D44">
        <f>D43*D37</f>
        <v>26458.686913800808</v>
      </c>
    </row>
    <row r="45" spans="2:30" x14ac:dyDescent="0.25">
      <c r="D45">
        <f>D38*D43</f>
        <v>10155.649843680214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W25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26.5703125" style="238" bestFit="1" customWidth="1"/>
    <col min="2" max="2" width="5.42578125" style="238" bestFit="1" customWidth="1"/>
    <col min="3" max="3" width="4.7109375" style="238" bestFit="1" customWidth="1"/>
    <col min="4" max="4" width="4.5703125" style="238" bestFit="1" customWidth="1"/>
    <col min="5" max="5" width="3.7109375" style="238" bestFit="1" customWidth="1"/>
    <col min="6" max="6" width="7.7109375" style="238" bestFit="1" customWidth="1"/>
    <col min="7" max="9" width="4.85546875" style="238" bestFit="1" customWidth="1"/>
    <col min="10" max="11" width="6" style="238" bestFit="1" customWidth="1"/>
    <col min="12" max="13" width="4.85546875" style="238" bestFit="1" customWidth="1"/>
    <col min="14" max="15" width="6" style="238" bestFit="1" customWidth="1"/>
    <col min="16" max="16" width="7.85546875" style="238" bestFit="1" customWidth="1"/>
    <col min="17" max="17" width="5.140625" style="238" bestFit="1" customWidth="1"/>
    <col min="18" max="18" width="8.42578125" style="243" bestFit="1" customWidth="1"/>
    <col min="19" max="19" width="7.5703125" style="238" bestFit="1" customWidth="1"/>
    <col min="20" max="20" width="7.140625" style="238" bestFit="1" customWidth="1"/>
    <col min="21" max="21" width="9.140625" style="238" bestFit="1" customWidth="1"/>
    <col min="22" max="22" width="9" style="238" bestFit="1" customWidth="1"/>
    <col min="23" max="23" width="11.42578125" style="238"/>
  </cols>
  <sheetData>
    <row r="1" spans="1:23" x14ac:dyDescent="0.25">
      <c r="A1" s="240"/>
      <c r="B1" s="240"/>
      <c r="C1" s="240"/>
      <c r="D1" s="269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 t="s">
        <v>233</v>
      </c>
      <c r="S1" s="240"/>
      <c r="T1" s="240"/>
      <c r="U1" s="240"/>
      <c r="V1" s="240"/>
    </row>
    <row r="2" spans="1:23" x14ac:dyDescent="0.25">
      <c r="A2" s="270" t="s">
        <v>84</v>
      </c>
      <c r="B2" s="270" t="s">
        <v>170</v>
      </c>
      <c r="C2" s="270" t="s">
        <v>86</v>
      </c>
      <c r="D2" s="271" t="s">
        <v>169</v>
      </c>
      <c r="E2" s="271" t="s">
        <v>451</v>
      </c>
      <c r="F2" s="272" t="s">
        <v>96</v>
      </c>
      <c r="G2" s="272" t="s">
        <v>241</v>
      </c>
      <c r="H2" s="272" t="s">
        <v>453</v>
      </c>
      <c r="I2" s="273" t="s">
        <v>14</v>
      </c>
      <c r="J2" s="273" t="s">
        <v>37</v>
      </c>
      <c r="K2" s="273" t="s">
        <v>153</v>
      </c>
      <c r="L2" s="273" t="s">
        <v>30</v>
      </c>
      <c r="M2" s="273" t="s">
        <v>155</v>
      </c>
      <c r="N2" s="273" t="s">
        <v>156</v>
      </c>
      <c r="O2" s="273" t="s">
        <v>157</v>
      </c>
      <c r="P2" s="265" t="s">
        <v>246</v>
      </c>
      <c r="Q2" s="265" t="s">
        <v>28</v>
      </c>
      <c r="R2" s="274" t="s">
        <v>113</v>
      </c>
      <c r="S2" s="277" t="s">
        <v>452</v>
      </c>
      <c r="T2" s="277" t="s">
        <v>171</v>
      </c>
      <c r="U2" s="277" t="s">
        <v>687</v>
      </c>
      <c r="V2" s="265" t="s">
        <v>688</v>
      </c>
    </row>
    <row r="3" spans="1:23" x14ac:dyDescent="0.25">
      <c r="A3" s="390" t="str">
        <f>PLANTILLA!C8</f>
        <v>P. Tuderek</v>
      </c>
      <c r="B3" s="238" t="str">
        <f>PLANTILLA!D8</f>
        <v>32.57</v>
      </c>
      <c r="C3" s="238" t="e">
        <f>PLANTILLA!#REF!</f>
        <v>#REF!</v>
      </c>
      <c r="D3" s="238" t="str">
        <f>PLANTILLA!E8</f>
        <v>Cab</v>
      </c>
      <c r="E3" s="238">
        <f>PLANTILLA!F8</f>
        <v>4</v>
      </c>
      <c r="F3" s="276">
        <f ca="1">PLANTILLA!M8</f>
        <v>1</v>
      </c>
      <c r="G3" s="267">
        <f>PLANTILLA!G8</f>
        <v>11</v>
      </c>
      <c r="H3" s="267">
        <f t="shared" ref="H3" si="0">LOG(G3+1)*4/3</f>
        <v>1.4389083280634998</v>
      </c>
      <c r="I3" s="268">
        <f>PLANTILLA!U8</f>
        <v>0</v>
      </c>
      <c r="J3" s="268">
        <f>PLANTILLA!V8</f>
        <v>11</v>
      </c>
      <c r="K3" s="268">
        <f>PLANTILLA!W8</f>
        <v>15</v>
      </c>
      <c r="L3" s="268">
        <f>PLANTILLA!X8</f>
        <v>2</v>
      </c>
      <c r="M3" s="268">
        <f>PLANTILLA!Y8</f>
        <v>3</v>
      </c>
      <c r="N3" s="268">
        <f>PLANTILLA!Z8</f>
        <v>8</v>
      </c>
      <c r="O3" s="268">
        <f>PLANTILLA!AA8</f>
        <v>20</v>
      </c>
      <c r="P3" s="278">
        <f ca="1">((J3+F3+(LOG(G3)*4/3))*0.4)</f>
        <v>5.3554094320843868</v>
      </c>
      <c r="Q3" s="278">
        <f ca="1">((K3+F3+(LOG(G3)*4/3))*1)</f>
        <v>17.388523580210968</v>
      </c>
      <c r="R3" s="389">
        <f ca="1">(1.66*(F3+H3+N3)+0.55*(F3+H3+O3)-7.6)</f>
        <v>22.069987405020335</v>
      </c>
      <c r="T3" s="278"/>
      <c r="U3" s="278"/>
      <c r="V3" s="266"/>
    </row>
    <row r="4" spans="1:23" x14ac:dyDescent="0.25">
      <c r="A4" s="390" t="str">
        <f>PLANTILLA!C9</f>
        <v>T. McPhail</v>
      </c>
      <c r="B4" s="238" t="str">
        <f>PLANTILLA!D9</f>
        <v>32.88</v>
      </c>
      <c r="C4" s="238" t="e">
        <f>PLANTILLA!#REF!</f>
        <v>#REF!</v>
      </c>
      <c r="D4" s="238" t="str">
        <f>PLANTILLA!E9</f>
        <v>Imp</v>
      </c>
      <c r="E4" s="238">
        <f>PLANTILLA!F9</f>
        <v>2</v>
      </c>
      <c r="F4" s="276">
        <f ca="1">PLANTILLA!M9</f>
        <v>1</v>
      </c>
      <c r="G4" s="267">
        <f>PLANTILLA!G9</f>
        <v>12</v>
      </c>
      <c r="H4" s="267">
        <f t="shared" ref="H4:H25" si="1">LOG(G4+1)*4/3</f>
        <v>1.4852578030757824</v>
      </c>
      <c r="I4" s="268">
        <f>PLANTILLA!U9</f>
        <v>0</v>
      </c>
      <c r="J4" s="268">
        <f>PLANTILLA!V9</f>
        <v>13</v>
      </c>
      <c r="K4" s="268">
        <f>PLANTILLA!W9</f>
        <v>14</v>
      </c>
      <c r="L4" s="268">
        <f>PLANTILLA!X9</f>
        <v>4</v>
      </c>
      <c r="M4" s="268">
        <f>PLANTILLA!Y9</f>
        <v>4</v>
      </c>
      <c r="N4" s="268">
        <f>PLANTILLA!Z9</f>
        <v>9</v>
      </c>
      <c r="O4" s="268">
        <f>PLANTILLA!AA9</f>
        <v>17</v>
      </c>
      <c r="P4" s="278">
        <f t="shared" ref="P4:P18" ca="1" si="2">((J4+F4+(LOG(G4)*4/3))*0.4)</f>
        <v>6.1755633312254004</v>
      </c>
      <c r="Q4" s="278">
        <f t="shared" ref="Q4:Q18" ca="1" si="3">((K4+F4+(LOG(G4)*4/3))*1)</f>
        <v>16.438908328063501</v>
      </c>
      <c r="R4" s="389">
        <f t="shared" ref="R4:R18" ca="1" si="4">(1.66*(F4+H4+N4)+0.55*(F4+H4+O4)-7.6)</f>
        <v>22.182419744797478</v>
      </c>
      <c r="T4" s="278"/>
      <c r="U4" s="278"/>
      <c r="V4" s="266"/>
    </row>
    <row r="5" spans="1:23" x14ac:dyDescent="0.25">
      <c r="A5" s="390" t="str">
        <f>PLANTILLA!C10</f>
        <v>K. Teglborg</v>
      </c>
      <c r="B5" s="238">
        <f>PLANTILLA!D10</f>
        <v>32101</v>
      </c>
      <c r="C5" s="238" t="e">
        <f>PLANTILLA!#REF!</f>
        <v>#REF!</v>
      </c>
      <c r="D5" s="238" t="str">
        <f>PLANTILLA!E10</f>
        <v>Cab</v>
      </c>
      <c r="E5" s="238">
        <f>PLANTILLA!F10</f>
        <v>4</v>
      </c>
      <c r="F5" s="276">
        <f ca="1">PLANTILLA!M10</f>
        <v>0.92407450863301921</v>
      </c>
      <c r="G5" s="267">
        <f>PLANTILLA!G10</f>
        <v>14</v>
      </c>
      <c r="H5" s="267">
        <f t="shared" si="1"/>
        <v>1.5681216787409085</v>
      </c>
      <c r="I5" s="268">
        <f>PLANTILLA!U10</f>
        <v>0</v>
      </c>
      <c r="J5" s="268">
        <f>PLANTILLA!V10</f>
        <v>11</v>
      </c>
      <c r="K5" s="268">
        <f>PLANTILLA!W10</f>
        <v>16</v>
      </c>
      <c r="L5" s="268">
        <f>PLANTILLA!X10</f>
        <v>2</v>
      </c>
      <c r="M5" s="268">
        <f>PLANTILLA!Y10</f>
        <v>2</v>
      </c>
      <c r="N5" s="268">
        <f>PLANTILLA!Z10</f>
        <v>9</v>
      </c>
      <c r="O5" s="268">
        <f>PLANTILLA!AA10</f>
        <v>18</v>
      </c>
      <c r="P5" s="278">
        <f t="shared" ca="1" si="2"/>
        <v>5.3808980891482676</v>
      </c>
      <c r="Q5" s="278">
        <f t="shared" ca="1" si="3"/>
        <v>18.452245222870669</v>
      </c>
      <c r="R5" s="389">
        <f t="shared" ca="1" si="4"/>
        <v>22.747753574096379</v>
      </c>
      <c r="T5" s="278"/>
      <c r="U5" s="278"/>
      <c r="V5" s="266"/>
    </row>
    <row r="6" spans="1:23" x14ac:dyDescent="0.25">
      <c r="A6" s="390" t="str">
        <f>PLANTILLA!C11</f>
        <v>纪 (J.) 昌永 (Changyong)</v>
      </c>
      <c r="B6" s="238" t="str">
        <f>PLANTILLA!D11</f>
        <v>33.43</v>
      </c>
      <c r="C6" s="238" t="e">
        <f>PLANTILLA!#REF!</f>
        <v>#REF!</v>
      </c>
      <c r="D6" s="238" t="str">
        <f>PLANTILLA!E11</f>
        <v>Cab</v>
      </c>
      <c r="E6" s="238">
        <f>PLANTILLA!F11</f>
        <v>1</v>
      </c>
      <c r="F6" s="276">
        <f ca="1">PLANTILLA!M11</f>
        <v>0.94386834847769996</v>
      </c>
      <c r="G6" s="267">
        <f>PLANTILLA!G11</f>
        <v>14</v>
      </c>
      <c r="H6" s="267">
        <f t="shared" si="1"/>
        <v>1.5681216787409085</v>
      </c>
      <c r="I6" s="268">
        <f>PLANTILLA!U11</f>
        <v>0</v>
      </c>
      <c r="J6" s="268">
        <f>PLANTILLA!V11</f>
        <v>13</v>
      </c>
      <c r="K6" s="268">
        <f>PLANTILLA!W11</f>
        <v>16</v>
      </c>
      <c r="L6" s="268">
        <f>PLANTILLA!X11</f>
        <v>3</v>
      </c>
      <c r="M6" s="268">
        <f>PLANTILLA!Y11</f>
        <v>3</v>
      </c>
      <c r="N6" s="268">
        <f>PLANTILLA!Z11</f>
        <v>9</v>
      </c>
      <c r="O6" s="268">
        <f>PLANTILLA!AA11</f>
        <v>19</v>
      </c>
      <c r="P6" s="278">
        <f t="shared" ca="1" si="2"/>
        <v>6.1888156250861401</v>
      </c>
      <c r="Q6" s="278">
        <f t="shared" ca="1" si="3"/>
        <v>18.47203906271535</v>
      </c>
      <c r="R6" s="389">
        <f t="shared" ca="1" si="4"/>
        <v>23.341497960153127</v>
      </c>
      <c r="T6" s="278"/>
      <c r="U6" s="278"/>
      <c r="V6" s="266"/>
    </row>
    <row r="7" spans="1:23" x14ac:dyDescent="0.25">
      <c r="A7" s="390" t="str">
        <f>PLANTILLA!C12</f>
        <v>Y. Galitsky</v>
      </c>
      <c r="B7" s="238" t="str">
        <f>PLANTILLA!D12</f>
        <v>33.49</v>
      </c>
      <c r="C7" s="238" t="e">
        <f>PLANTILLA!#REF!</f>
        <v>#REF!</v>
      </c>
      <c r="D7" s="238" t="str">
        <f>PLANTILLA!E12</f>
        <v>Imp</v>
      </c>
      <c r="E7" s="238">
        <f>PLANTILLA!F12</f>
        <v>5</v>
      </c>
      <c r="F7" s="276">
        <f ca="1">PLANTILLA!M12</f>
        <v>0.90605394289764585</v>
      </c>
      <c r="G7" s="267">
        <f>PLANTILLA!G12</f>
        <v>12</v>
      </c>
      <c r="H7" s="267">
        <f t="shared" si="1"/>
        <v>1.4852578030757824</v>
      </c>
      <c r="I7" s="268">
        <f>PLANTILLA!U12</f>
        <v>0</v>
      </c>
      <c r="J7" s="268">
        <f>PLANTILLA!V12</f>
        <v>14</v>
      </c>
      <c r="K7" s="268">
        <f>PLANTILLA!W12</f>
        <v>15</v>
      </c>
      <c r="L7" s="268">
        <f>PLANTILLA!X12</f>
        <v>1</v>
      </c>
      <c r="M7" s="268">
        <f>PLANTILLA!Y12</f>
        <v>5</v>
      </c>
      <c r="N7" s="268">
        <f>PLANTILLA!Z12</f>
        <v>9</v>
      </c>
      <c r="O7" s="268">
        <f>PLANTILLA!AA12</f>
        <v>18</v>
      </c>
      <c r="P7" s="278">
        <f t="shared" ca="1" si="2"/>
        <v>6.537984908384459</v>
      </c>
      <c r="Q7" s="278">
        <f t="shared" ca="1" si="3"/>
        <v>17.344962270961148</v>
      </c>
      <c r="R7" s="389">
        <f t="shared" ca="1" si="4"/>
        <v>22.524798958601274</v>
      </c>
      <c r="T7" s="278"/>
      <c r="U7" s="278"/>
      <c r="V7" s="266"/>
    </row>
    <row r="8" spans="1:23" x14ac:dyDescent="0.25">
      <c r="A8" s="390" t="str">
        <f>PLANTILLA!C13</f>
        <v>S. Sawczyn</v>
      </c>
      <c r="B8" s="238" t="str">
        <f>PLANTILLA!D13</f>
        <v>31.70</v>
      </c>
      <c r="C8" s="238" t="e">
        <f>PLANTILLA!#REF!</f>
        <v>#REF!</v>
      </c>
      <c r="D8" s="238" t="str">
        <f>PLANTILLA!E13</f>
        <v>Imp</v>
      </c>
      <c r="E8" s="238">
        <f>PLANTILLA!F13</f>
        <v>4</v>
      </c>
      <c r="F8" s="276">
        <f ca="1">PLANTILLA!M13</f>
        <v>0.23082846810273991</v>
      </c>
      <c r="G8" s="267">
        <f>PLANTILLA!G13</f>
        <v>11</v>
      </c>
      <c r="H8" s="267">
        <f t="shared" si="1"/>
        <v>1.4389083280634998</v>
      </c>
      <c r="I8" s="268">
        <f>PLANTILLA!U13</f>
        <v>0</v>
      </c>
      <c r="J8" s="268">
        <f>PLANTILLA!V13</f>
        <v>12</v>
      </c>
      <c r="K8" s="268">
        <f>PLANTILLA!W13</f>
        <v>14</v>
      </c>
      <c r="L8" s="268">
        <f>PLANTILLA!X13</f>
        <v>3</v>
      </c>
      <c r="M8" s="268">
        <f>PLANTILLA!Y13</f>
        <v>6</v>
      </c>
      <c r="N8" s="268">
        <f>PLANTILLA!Z13</f>
        <v>9</v>
      </c>
      <c r="O8" s="268">
        <f>PLANTILLA!AA13</f>
        <v>19</v>
      </c>
      <c r="P8" s="278">
        <f t="shared" ca="1" si="2"/>
        <v>5.4477408193254826</v>
      </c>
      <c r="Q8" s="278">
        <f t="shared" ca="1" si="3"/>
        <v>15.619352048313706</v>
      </c>
      <c r="R8" s="389">
        <f t="shared" ca="1" si="4"/>
        <v>21.480118319527385</v>
      </c>
      <c r="T8" s="278"/>
      <c r="U8" s="278"/>
      <c r="V8" s="266"/>
    </row>
    <row r="9" spans="1:23" x14ac:dyDescent="0.25">
      <c r="A9" s="390" t="str">
        <f>PLANTILLA!C14</f>
        <v>S. Hovhannesyan</v>
      </c>
      <c r="B9" s="238" t="str">
        <f>PLANTILLA!D14</f>
        <v>31.71</v>
      </c>
      <c r="C9" s="238" t="e">
        <f>PLANTILLA!#REF!</f>
        <v>#REF!</v>
      </c>
      <c r="D9" s="238" t="str">
        <f>PLANTILLA!E14</f>
        <v>Cab</v>
      </c>
      <c r="E9" s="238">
        <f>PLANTILLA!F14</f>
        <v>4</v>
      </c>
      <c r="F9" s="276">
        <f ca="1">PLANTILLA!M14</f>
        <v>0.57883918910490562</v>
      </c>
      <c r="G9" s="267">
        <f>PLANTILLA!G14</f>
        <v>11</v>
      </c>
      <c r="H9" s="267">
        <f t="shared" si="1"/>
        <v>1.4389083280634998</v>
      </c>
      <c r="I9" s="268">
        <f>PLANTILLA!U14</f>
        <v>0</v>
      </c>
      <c r="J9" s="268">
        <f>PLANTILLA!V14</f>
        <v>13</v>
      </c>
      <c r="K9" s="268">
        <f>PLANTILLA!W14</f>
        <v>16</v>
      </c>
      <c r="L9" s="268">
        <f>PLANTILLA!X14</f>
        <v>2</v>
      </c>
      <c r="M9" s="268">
        <f>PLANTILLA!Y14</f>
        <v>2</v>
      </c>
      <c r="N9" s="268">
        <f>PLANTILLA!Z14</f>
        <v>8</v>
      </c>
      <c r="O9" s="268">
        <f>PLANTILLA!AA14</f>
        <v>19</v>
      </c>
      <c r="P9" s="278">
        <f t="shared" ca="1" si="2"/>
        <v>5.9869451077263491</v>
      </c>
      <c r="Q9" s="278">
        <f t="shared" ca="1" si="3"/>
        <v>17.967362769315873</v>
      </c>
      <c r="R9" s="389">
        <f t="shared" ca="1" si="4"/>
        <v>20.58922201294218</v>
      </c>
      <c r="T9" s="278"/>
      <c r="U9" s="278"/>
      <c r="V9" s="266"/>
    </row>
    <row r="10" spans="1:23" x14ac:dyDescent="0.25">
      <c r="A10" s="390" t="str">
        <f>PLANTILLA!C15</f>
        <v>M. Bondarewski</v>
      </c>
      <c r="B10" s="238" t="str">
        <f>PLANTILLA!D15</f>
        <v>32.71</v>
      </c>
      <c r="C10" s="238" t="e">
        <f>PLANTILLA!#REF!</f>
        <v>#REF!</v>
      </c>
      <c r="D10" s="238" t="str">
        <f>PLANTILLA!E15</f>
        <v>Ráp</v>
      </c>
      <c r="E10" s="238">
        <f>PLANTILLA!F15</f>
        <v>1</v>
      </c>
      <c r="F10" s="276">
        <f ca="1">PLANTILLA!M15</f>
        <v>1</v>
      </c>
      <c r="G10" s="267">
        <f>PLANTILLA!G15</f>
        <v>13</v>
      </c>
      <c r="H10" s="267">
        <f t="shared" si="1"/>
        <v>1.5281707142376506</v>
      </c>
      <c r="I10" s="268">
        <f>PLANTILLA!U15</f>
        <v>0</v>
      </c>
      <c r="J10" s="268">
        <f>PLANTILLA!V15</f>
        <v>8</v>
      </c>
      <c r="K10" s="268">
        <f>PLANTILLA!W15</f>
        <v>15</v>
      </c>
      <c r="L10" s="268">
        <f>PLANTILLA!X15</f>
        <v>4</v>
      </c>
      <c r="M10" s="268">
        <f>PLANTILLA!Y15</f>
        <v>4</v>
      </c>
      <c r="N10" s="268">
        <f>PLANTILLA!Z15</f>
        <v>9</v>
      </c>
      <c r="O10" s="268">
        <f>PLANTILLA!AA15</f>
        <v>20</v>
      </c>
      <c r="P10" s="278">
        <f t="shared" ca="1" si="2"/>
        <v>4.194103121230313</v>
      </c>
      <c r="Q10" s="278">
        <f t="shared" ca="1" si="3"/>
        <v>17.485257803075783</v>
      </c>
      <c r="R10" s="389">
        <f t="shared" ca="1" si="4"/>
        <v>23.927257278465206</v>
      </c>
      <c r="T10" s="278"/>
      <c r="U10" s="278"/>
      <c r="V10" s="266"/>
    </row>
    <row r="11" spans="1:23" x14ac:dyDescent="0.25">
      <c r="A11" s="390" t="str">
        <f>PLANTILLA!C16</f>
        <v>I. Stone</v>
      </c>
      <c r="B11" s="238">
        <f>PLANTILLA!D16</f>
        <v>31110</v>
      </c>
      <c r="C11" s="238" t="e">
        <f>PLANTILLA!#REF!</f>
        <v>#REF!</v>
      </c>
      <c r="D11" s="238" t="str">
        <f>PLANTILLA!E16</f>
        <v>Ráp</v>
      </c>
      <c r="E11" s="238">
        <f>PLANTILLA!F16</f>
        <v>6</v>
      </c>
      <c r="F11" s="276">
        <f ca="1">PLANTILLA!M16</f>
        <v>1</v>
      </c>
      <c r="G11" s="267">
        <f>PLANTILLA!G16</f>
        <v>12</v>
      </c>
      <c r="H11" s="267">
        <f t="shared" si="1"/>
        <v>1.4852578030757824</v>
      </c>
      <c r="I11" s="268">
        <f>PLANTILLA!U16</f>
        <v>0</v>
      </c>
      <c r="J11" s="268">
        <f>PLANTILLA!V16</f>
        <v>9</v>
      </c>
      <c r="K11" s="268">
        <f>PLANTILLA!W16</f>
        <v>14</v>
      </c>
      <c r="L11" s="268">
        <f>PLANTILLA!X16</f>
        <v>2</v>
      </c>
      <c r="M11" s="268">
        <f>PLANTILLA!Y16</f>
        <v>6</v>
      </c>
      <c r="N11" s="268">
        <f>PLANTILLA!Z16</f>
        <v>10</v>
      </c>
      <c r="O11" s="268">
        <f>PLANTILLA!AA16</f>
        <v>19</v>
      </c>
      <c r="P11" s="278">
        <f t="shared" ca="1" si="2"/>
        <v>4.5755633312253998</v>
      </c>
      <c r="Q11" s="278">
        <f t="shared" ca="1" si="3"/>
        <v>16.438908328063501</v>
      </c>
      <c r="R11" s="389">
        <f t="shared" ca="1" si="4"/>
        <v>24.942419744797476</v>
      </c>
      <c r="T11" s="278"/>
      <c r="U11" s="278"/>
      <c r="V11" s="266"/>
    </row>
    <row r="12" spans="1:23" x14ac:dyDescent="0.25">
      <c r="A12" s="390" t="str">
        <f>PLANTILLA!C17</f>
        <v>I. Vanags</v>
      </c>
      <c r="B12" s="238" t="str">
        <f>PLANTILLA!D17</f>
        <v>32.55</v>
      </c>
      <c r="C12" s="238" t="e">
        <f>PLANTILLA!#REF!</f>
        <v>#REF!</v>
      </c>
      <c r="D12" s="238" t="str">
        <f>PLANTILLA!E17</f>
        <v>Cab</v>
      </c>
      <c r="E12" s="238">
        <f>PLANTILLA!F17</f>
        <v>4</v>
      </c>
      <c r="F12" s="276">
        <f ca="1">PLANTILLA!M17</f>
        <v>1</v>
      </c>
      <c r="G12" s="267">
        <f>PLANTILLA!G17</f>
        <v>11</v>
      </c>
      <c r="H12" s="267">
        <f t="shared" si="1"/>
        <v>1.4389083280634998</v>
      </c>
      <c r="I12" s="268">
        <f>PLANTILLA!U17</f>
        <v>0</v>
      </c>
      <c r="J12" s="268">
        <f>PLANTILLA!V17</f>
        <v>10</v>
      </c>
      <c r="K12" s="268">
        <f>PLANTILLA!W17</f>
        <v>15</v>
      </c>
      <c r="L12" s="268">
        <f>PLANTILLA!X17</f>
        <v>2</v>
      </c>
      <c r="M12" s="268">
        <f>PLANTILLA!Y17</f>
        <v>3</v>
      </c>
      <c r="N12" s="268">
        <f>PLANTILLA!Z17</f>
        <v>8</v>
      </c>
      <c r="O12" s="268">
        <f>PLANTILLA!AA17</f>
        <v>19</v>
      </c>
      <c r="P12" s="278">
        <f t="shared" ca="1" si="2"/>
        <v>4.9554094320843873</v>
      </c>
      <c r="Q12" s="278">
        <f t="shared" ca="1" si="3"/>
        <v>17.388523580210968</v>
      </c>
      <c r="R12" s="389">
        <f t="shared" ca="1" si="4"/>
        <v>21.519987405020331</v>
      </c>
      <c r="T12" s="278"/>
      <c r="U12" s="278"/>
      <c r="V12" s="266"/>
    </row>
    <row r="13" spans="1:23" x14ac:dyDescent="0.25">
      <c r="A13" s="275" t="s">
        <v>681</v>
      </c>
      <c r="B13" s="238">
        <v>29</v>
      </c>
      <c r="C13" s="266">
        <v>102</v>
      </c>
      <c r="D13" s="243" t="s">
        <v>130</v>
      </c>
      <c r="E13" s="243">
        <v>2</v>
      </c>
      <c r="F13" s="276">
        <v>0.5</v>
      </c>
      <c r="G13" s="267">
        <v>10</v>
      </c>
      <c r="H13" s="267">
        <f t="shared" si="1"/>
        <v>1.3885235802109668</v>
      </c>
      <c r="I13" s="268">
        <v>0</v>
      </c>
      <c r="J13" s="268">
        <v>13</v>
      </c>
      <c r="K13" s="268">
        <v>16</v>
      </c>
      <c r="L13" s="268">
        <v>2</v>
      </c>
      <c r="M13" s="268">
        <v>3</v>
      </c>
      <c r="N13" s="268">
        <v>8</v>
      </c>
      <c r="O13" s="268">
        <v>19</v>
      </c>
      <c r="P13" s="278">
        <f t="shared" si="2"/>
        <v>5.9333333333333336</v>
      </c>
      <c r="Q13" s="278">
        <f t="shared" si="3"/>
        <v>17.833333333333332</v>
      </c>
      <c r="R13" s="389">
        <f t="shared" si="4"/>
        <v>20.303637112266237</v>
      </c>
      <c r="S13" s="238">
        <v>6250</v>
      </c>
      <c r="T13" s="433">
        <v>60.2</v>
      </c>
      <c r="U13" s="278">
        <f>T13</f>
        <v>60.2</v>
      </c>
      <c r="V13" s="266">
        <f>S13+((112-C13)/7*T13)+(36-B13+1)*T13*16</f>
        <v>14041.6</v>
      </c>
      <c r="W13" s="278">
        <f>V13/(36-B13-1)</f>
        <v>2340.2666666666669</v>
      </c>
    </row>
    <row r="14" spans="1:23" x14ac:dyDescent="0.25">
      <c r="A14" s="275" t="s">
        <v>682</v>
      </c>
      <c r="B14" s="238">
        <v>29</v>
      </c>
      <c r="C14" s="266">
        <v>103</v>
      </c>
      <c r="D14" s="243" t="s">
        <v>143</v>
      </c>
      <c r="E14" s="243">
        <v>4</v>
      </c>
      <c r="F14" s="276">
        <v>0.5</v>
      </c>
      <c r="G14" s="267">
        <v>9</v>
      </c>
      <c r="H14" s="267">
        <f t="shared" si="1"/>
        <v>1.3333333333333333</v>
      </c>
      <c r="I14" s="268">
        <v>0</v>
      </c>
      <c r="J14" s="268">
        <v>12</v>
      </c>
      <c r="K14" s="268">
        <v>15</v>
      </c>
      <c r="L14" s="268">
        <v>3</v>
      </c>
      <c r="M14" s="268">
        <v>7</v>
      </c>
      <c r="N14" s="268">
        <v>9</v>
      </c>
      <c r="O14" s="268">
        <v>18</v>
      </c>
      <c r="P14" s="278">
        <f t="shared" si="2"/>
        <v>5.5089293383676399</v>
      </c>
      <c r="Q14" s="278">
        <f t="shared" si="3"/>
        <v>16.772323345919101</v>
      </c>
      <c r="R14" s="389">
        <f t="shared" si="4"/>
        <v>21.291666666666664</v>
      </c>
      <c r="S14" s="238">
        <v>4850</v>
      </c>
      <c r="T14" s="433">
        <v>51.5</v>
      </c>
      <c r="U14" s="278">
        <f>T14</f>
        <v>51.5</v>
      </c>
      <c r="V14" s="266">
        <f t="shared" ref="V14:V18" si="5">S14+((112-C14)/7*T14)+(36-B14+1)*T14*16</f>
        <v>11508.214285714286</v>
      </c>
      <c r="W14" s="278">
        <f t="shared" ref="W14:W18" si="6">V14/(36-B14-1)</f>
        <v>1918.0357142857144</v>
      </c>
    </row>
    <row r="15" spans="1:23" x14ac:dyDescent="0.25">
      <c r="A15" s="275" t="s">
        <v>683</v>
      </c>
      <c r="B15" s="238">
        <v>30</v>
      </c>
      <c r="C15" s="266">
        <v>23</v>
      </c>
      <c r="D15" s="243" t="s">
        <v>133</v>
      </c>
      <c r="E15" s="243">
        <v>5</v>
      </c>
      <c r="F15" s="276">
        <v>0.5</v>
      </c>
      <c r="G15" s="267">
        <v>9</v>
      </c>
      <c r="H15" s="267">
        <f t="shared" si="1"/>
        <v>1.3333333333333333</v>
      </c>
      <c r="I15" s="268">
        <v>0</v>
      </c>
      <c r="J15" s="268">
        <v>12</v>
      </c>
      <c r="K15" s="268">
        <v>15</v>
      </c>
      <c r="L15" s="268">
        <v>3</v>
      </c>
      <c r="M15" s="268">
        <v>2</v>
      </c>
      <c r="N15" s="268">
        <v>8</v>
      </c>
      <c r="O15" s="268">
        <v>19</v>
      </c>
      <c r="P15" s="278">
        <f t="shared" si="2"/>
        <v>5.5089293383676399</v>
      </c>
      <c r="Q15" s="278">
        <f t="shared" si="3"/>
        <v>16.772323345919101</v>
      </c>
      <c r="R15" s="389">
        <f t="shared" si="4"/>
        <v>20.181666666666665</v>
      </c>
      <c r="S15" s="238">
        <v>3750</v>
      </c>
      <c r="T15" s="433">
        <v>52.2</v>
      </c>
      <c r="U15" s="278">
        <f>T15/0.9</f>
        <v>58</v>
      </c>
      <c r="V15" s="266">
        <f t="shared" si="5"/>
        <v>10260.085714285715</v>
      </c>
      <c r="W15" s="278">
        <f t="shared" si="6"/>
        <v>2052.017142857143</v>
      </c>
    </row>
    <row r="16" spans="1:23" x14ac:dyDescent="0.25">
      <c r="A16" s="275" t="s">
        <v>684</v>
      </c>
      <c r="B16" s="238">
        <v>29</v>
      </c>
      <c r="C16" s="266">
        <v>107</v>
      </c>
      <c r="D16" s="243" t="s">
        <v>125</v>
      </c>
      <c r="E16" s="243">
        <v>2</v>
      </c>
      <c r="F16" s="276">
        <v>0.5</v>
      </c>
      <c r="G16" s="267">
        <v>8</v>
      </c>
      <c r="H16" s="267">
        <f t="shared" si="1"/>
        <v>1.2723233459190999</v>
      </c>
      <c r="I16" s="268">
        <v>0</v>
      </c>
      <c r="J16" s="268">
        <v>12</v>
      </c>
      <c r="K16" s="268">
        <v>16</v>
      </c>
      <c r="L16" s="268">
        <v>2</v>
      </c>
      <c r="M16" s="268">
        <v>3</v>
      </c>
      <c r="N16" s="268">
        <v>9</v>
      </c>
      <c r="O16" s="268">
        <v>19</v>
      </c>
      <c r="P16" s="278">
        <f t="shared" si="2"/>
        <v>5.4816479930623707</v>
      </c>
      <c r="Q16" s="278">
        <f t="shared" si="3"/>
        <v>17.704119982655925</v>
      </c>
      <c r="R16" s="389">
        <f t="shared" si="4"/>
        <v>21.706834594481208</v>
      </c>
      <c r="S16" s="238">
        <v>5250</v>
      </c>
      <c r="T16" s="433">
        <v>57.08</v>
      </c>
      <c r="U16" s="278">
        <f>T16</f>
        <v>57.08</v>
      </c>
      <c r="V16" s="266">
        <f t="shared" si="5"/>
        <v>12597.011428571428</v>
      </c>
      <c r="W16" s="278">
        <f t="shared" si="6"/>
        <v>2099.5019047619048</v>
      </c>
    </row>
    <row r="17" spans="1:23" x14ac:dyDescent="0.25">
      <c r="A17" s="275" t="s">
        <v>685</v>
      </c>
      <c r="B17" s="238">
        <v>30</v>
      </c>
      <c r="C17" s="266">
        <v>35</v>
      </c>
      <c r="D17" s="243" t="s">
        <v>133</v>
      </c>
      <c r="E17" s="243">
        <v>1</v>
      </c>
      <c r="F17" s="276">
        <v>0.5</v>
      </c>
      <c r="G17" s="267">
        <v>8</v>
      </c>
      <c r="H17" s="267">
        <f t="shared" si="1"/>
        <v>1.2723233459190999</v>
      </c>
      <c r="I17" s="268">
        <v>0</v>
      </c>
      <c r="J17" s="268">
        <v>13</v>
      </c>
      <c r="K17" s="268">
        <v>15</v>
      </c>
      <c r="L17" s="268">
        <v>3</v>
      </c>
      <c r="M17" s="268">
        <v>2</v>
      </c>
      <c r="N17" s="268">
        <v>8</v>
      </c>
      <c r="O17" s="268">
        <v>19</v>
      </c>
      <c r="P17" s="278">
        <f t="shared" si="2"/>
        <v>5.8816479930623702</v>
      </c>
      <c r="Q17" s="278">
        <f t="shared" si="3"/>
        <v>16.704119982655925</v>
      </c>
      <c r="R17" s="389">
        <f t="shared" si="4"/>
        <v>20.046834594481211</v>
      </c>
      <c r="S17" s="238">
        <v>5705</v>
      </c>
      <c r="T17" s="433">
        <v>52.8</v>
      </c>
      <c r="U17" s="278">
        <f>T17/0.9</f>
        <v>58.666666666666664</v>
      </c>
      <c r="V17" s="266">
        <f t="shared" si="5"/>
        <v>12199.4</v>
      </c>
      <c r="W17" s="278">
        <f t="shared" si="6"/>
        <v>2439.88</v>
      </c>
    </row>
    <row r="18" spans="1:23" x14ac:dyDescent="0.25">
      <c r="A18" s="275" t="s">
        <v>686</v>
      </c>
      <c r="B18" s="238">
        <v>30</v>
      </c>
      <c r="C18" s="266">
        <v>40</v>
      </c>
      <c r="D18" s="243" t="s">
        <v>130</v>
      </c>
      <c r="E18" s="243">
        <v>4</v>
      </c>
      <c r="F18" s="276">
        <v>0.5</v>
      </c>
      <c r="G18" s="267">
        <v>10</v>
      </c>
      <c r="H18" s="267">
        <f t="shared" si="1"/>
        <v>1.3885235802109668</v>
      </c>
      <c r="I18" s="268">
        <v>0</v>
      </c>
      <c r="J18" s="268">
        <v>13</v>
      </c>
      <c r="K18" s="268">
        <v>16</v>
      </c>
      <c r="L18" s="268">
        <v>2</v>
      </c>
      <c r="M18" s="268">
        <v>2</v>
      </c>
      <c r="N18" s="268">
        <v>8</v>
      </c>
      <c r="O18" s="268">
        <v>19</v>
      </c>
      <c r="P18" s="278">
        <f t="shared" si="2"/>
        <v>5.9333333333333336</v>
      </c>
      <c r="Q18" s="278">
        <f t="shared" si="3"/>
        <v>17.833333333333332</v>
      </c>
      <c r="R18" s="389">
        <f t="shared" si="4"/>
        <v>20.303637112266237</v>
      </c>
      <c r="S18" s="238">
        <v>5250</v>
      </c>
      <c r="T18" s="433">
        <v>58.7</v>
      </c>
      <c r="U18" s="278">
        <f>T18/0.9</f>
        <v>65.222222222222229</v>
      </c>
      <c r="V18" s="266">
        <f t="shared" si="5"/>
        <v>12428.17142857143</v>
      </c>
      <c r="W18" s="278">
        <f t="shared" si="6"/>
        <v>2485.6342857142859</v>
      </c>
    </row>
    <row r="19" spans="1:23" x14ac:dyDescent="0.25">
      <c r="A19" s="275"/>
      <c r="C19" s="266"/>
      <c r="D19" s="243"/>
      <c r="E19" s="243"/>
      <c r="F19" s="276"/>
      <c r="G19" s="267"/>
      <c r="H19" s="268">
        <f t="shared" si="1"/>
        <v>0</v>
      </c>
      <c r="I19" s="268"/>
      <c r="J19" s="268"/>
      <c r="K19" s="268"/>
      <c r="L19" s="268"/>
      <c r="M19" s="268"/>
      <c r="N19" s="268"/>
      <c r="O19" s="268"/>
      <c r="P19" s="278"/>
      <c r="Q19" s="278"/>
      <c r="R19" s="389"/>
      <c r="T19" s="278"/>
      <c r="U19" s="278"/>
      <c r="V19" s="266"/>
    </row>
    <row r="20" spans="1:23" x14ac:dyDescent="0.25">
      <c r="A20" s="275"/>
      <c r="C20" s="266"/>
      <c r="D20" s="243"/>
      <c r="E20" s="243"/>
      <c r="F20" s="276"/>
      <c r="G20" s="267"/>
      <c r="H20" s="268">
        <f t="shared" si="1"/>
        <v>0</v>
      </c>
      <c r="I20" s="268"/>
      <c r="J20" s="268"/>
      <c r="K20" s="268"/>
      <c r="L20" s="268"/>
      <c r="M20" s="268"/>
      <c r="N20" s="268"/>
      <c r="O20" s="268"/>
      <c r="P20" s="278"/>
      <c r="Q20" s="278"/>
      <c r="R20" s="389"/>
      <c r="T20" s="278"/>
      <c r="U20" s="278"/>
      <c r="V20" s="266"/>
    </row>
    <row r="21" spans="1:23" x14ac:dyDescent="0.25">
      <c r="A21" s="275"/>
      <c r="C21" s="266"/>
      <c r="D21" s="243"/>
      <c r="E21" s="243"/>
      <c r="F21" s="276"/>
      <c r="G21" s="267"/>
      <c r="H21" s="268">
        <f t="shared" si="1"/>
        <v>0</v>
      </c>
      <c r="I21" s="268"/>
      <c r="J21" s="268"/>
      <c r="K21" s="268"/>
      <c r="L21" s="268"/>
      <c r="M21" s="268"/>
      <c r="N21" s="268"/>
      <c r="O21" s="268"/>
      <c r="P21" s="278"/>
      <c r="Q21" s="278"/>
      <c r="R21" s="389"/>
      <c r="T21" s="278"/>
      <c r="U21" s="278"/>
      <c r="V21" s="266"/>
    </row>
    <row r="22" spans="1:23" x14ac:dyDescent="0.25">
      <c r="A22" s="275"/>
      <c r="C22" s="266"/>
      <c r="D22" s="243"/>
      <c r="E22" s="243"/>
      <c r="F22" s="276"/>
      <c r="G22" s="267"/>
      <c r="H22" s="268">
        <f t="shared" si="1"/>
        <v>0</v>
      </c>
      <c r="I22" s="268"/>
      <c r="J22" s="268"/>
      <c r="K22" s="268"/>
      <c r="L22" s="268"/>
      <c r="M22" s="268"/>
      <c r="N22" s="268"/>
      <c r="O22" s="268"/>
      <c r="P22" s="278"/>
      <c r="Q22" s="278"/>
      <c r="R22" s="389"/>
      <c r="T22" s="278"/>
      <c r="U22" s="278"/>
      <c r="V22" s="266"/>
    </row>
    <row r="23" spans="1:23" x14ac:dyDescent="0.25">
      <c r="A23" s="275"/>
      <c r="C23" s="266"/>
      <c r="D23" s="243"/>
      <c r="E23" s="243"/>
      <c r="F23" s="276"/>
      <c r="G23" s="267"/>
      <c r="H23" s="268">
        <f t="shared" si="1"/>
        <v>0</v>
      </c>
      <c r="I23" s="268"/>
      <c r="J23" s="268"/>
      <c r="K23" s="268"/>
      <c r="L23" s="268"/>
      <c r="M23" s="268"/>
      <c r="N23" s="268"/>
      <c r="O23" s="268"/>
      <c r="P23" s="278"/>
      <c r="Q23" s="278"/>
      <c r="R23" s="389"/>
      <c r="T23" s="278"/>
      <c r="U23" s="278"/>
      <c r="V23" s="266"/>
    </row>
    <row r="24" spans="1:23" x14ac:dyDescent="0.25">
      <c r="A24" s="275"/>
      <c r="C24" s="266"/>
      <c r="D24" s="243"/>
      <c r="E24" s="243"/>
      <c r="F24" s="276"/>
      <c r="G24" s="267"/>
      <c r="H24" s="268">
        <f t="shared" si="1"/>
        <v>0</v>
      </c>
      <c r="I24" s="268"/>
      <c r="J24" s="268"/>
      <c r="K24" s="268"/>
      <c r="L24" s="268"/>
      <c r="M24" s="268"/>
      <c r="N24" s="268"/>
      <c r="O24" s="268"/>
      <c r="P24" s="278"/>
      <c r="Q24" s="278"/>
      <c r="R24" s="389"/>
      <c r="T24" s="278"/>
      <c r="U24" s="278"/>
      <c r="V24" s="266"/>
    </row>
    <row r="25" spans="1:23" x14ac:dyDescent="0.25">
      <c r="A25" s="275"/>
      <c r="C25" s="266"/>
      <c r="D25" s="243"/>
      <c r="E25" s="243"/>
      <c r="F25" s="276"/>
      <c r="G25" s="267"/>
      <c r="H25" s="268">
        <f t="shared" si="1"/>
        <v>0</v>
      </c>
      <c r="I25" s="268"/>
      <c r="J25" s="268"/>
      <c r="K25" s="268"/>
      <c r="L25" s="268"/>
      <c r="M25" s="268"/>
      <c r="N25" s="268"/>
      <c r="O25" s="268"/>
      <c r="P25" s="278"/>
      <c r="Q25" s="278"/>
      <c r="R25" s="389"/>
      <c r="T25" s="278"/>
      <c r="U25" s="278"/>
      <c r="V25" s="266"/>
    </row>
  </sheetData>
  <conditionalFormatting sqref="G3:H25">
    <cfRule type="cellIs" dxfId="1" priority="5" operator="greaterThan">
      <formula>7</formula>
    </cfRule>
  </conditionalFormatting>
  <conditionalFormatting sqref="I3:O12">
    <cfRule type="colorScale" priority="627">
      <colorScale>
        <cfvo type="min"/>
        <cfvo type="max"/>
        <color rgb="FFFCFCFF"/>
        <color rgb="FFF8696B"/>
      </colorScale>
    </cfRule>
  </conditionalFormatting>
  <conditionalFormatting sqref="I13:O14">
    <cfRule type="colorScale" priority="591">
      <colorScale>
        <cfvo type="min"/>
        <cfvo type="max"/>
        <color rgb="FFFCFCFF"/>
        <color rgb="FFF8696B"/>
      </colorScale>
    </cfRule>
  </conditionalFormatting>
  <conditionalFormatting sqref="I15:O19">
    <cfRule type="colorScale" priority="1075">
      <colorScale>
        <cfvo type="min"/>
        <cfvo type="max"/>
        <color rgb="FFFCFCFF"/>
        <color rgb="FFF8696B"/>
      </colorScale>
    </cfRule>
  </conditionalFormatting>
  <conditionalFormatting sqref="I20:O25">
    <cfRule type="colorScale" priority="8">
      <colorScale>
        <cfvo type="min"/>
        <cfvo type="max"/>
        <color rgb="FFFCFCFF"/>
        <color rgb="FFF8696B"/>
      </colorScale>
    </cfRule>
  </conditionalFormatting>
  <conditionalFormatting sqref="P3:P18">
    <cfRule type="colorScale" priority="1083">
      <colorScale>
        <cfvo type="min"/>
        <cfvo type="max"/>
        <color rgb="FFFFEF9C"/>
        <color rgb="FF63BE7B"/>
      </colorScale>
    </cfRule>
  </conditionalFormatting>
  <conditionalFormatting sqref="P19:P25">
    <cfRule type="cellIs" dxfId="0" priority="45" operator="greaterThan">
      <formula>12.5</formula>
    </cfRule>
    <cfRule type="colorScale" priority="1064">
      <colorScale>
        <cfvo type="min"/>
        <cfvo type="max"/>
        <color rgb="FFFCFCFF"/>
        <color rgb="FFF8696B"/>
      </colorScale>
    </cfRule>
  </conditionalFormatting>
  <conditionalFormatting sqref="Q3:Q25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U18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8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V10:V18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V19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{28DCB63F-9A3B-4BD3-99EE-31796C1D9F71}</x14:id>
        </ext>
      </extLst>
    </cfRule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{AFFAD30C-2C36-4343-8932-FC0E2E524153}</x14:id>
        </ext>
      </extLst>
    </cfRule>
  </conditionalFormatting>
  <conditionalFormatting sqref="V20:V2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{28206CF1-6A1F-4465-8943-418C9A55F03A}</x14:id>
        </ext>
      </extLst>
    </cfRule>
  </conditionalFormatting>
  <conditionalFormatting sqref="V21:V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{E496AA42-EB9E-4376-896E-AFA27DE6DF80}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V10:V18</xm:sqref>
        </x14:conditionalFormatting>
        <x14:conditionalFormatting xmlns:xm="http://schemas.microsoft.com/office/excel/2006/main">
          <x14:cfRule type="dataBar" id="{28DCB63F-9A3B-4BD3-99EE-31796C1D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FAD30C-2C36-4343-8932-FC0E2E524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28206CF1-6A1F-4465-8943-418C9A55F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V20:V25</xm:sqref>
        </x14:conditionalFormatting>
        <x14:conditionalFormatting xmlns:xm="http://schemas.microsoft.com/office/excel/2006/main">
          <x14:cfRule type="dataBar" id="{E496AA42-EB9E-4376-896E-AFA27DE6D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V21:V25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80E-7ADE-4F1B-91B5-8E22808AD7F2}">
  <dimension ref="A1:AW49"/>
  <sheetViews>
    <sheetView workbookViewId="0">
      <selection activeCell="C26" sqref="C26"/>
    </sheetView>
  </sheetViews>
  <sheetFormatPr baseColWidth="10" defaultRowHeight="15" x14ac:dyDescent="0.25"/>
  <cols>
    <col min="1" max="1" width="3" bestFit="1" customWidth="1"/>
    <col min="2" max="2" width="4" bestFit="1" customWidth="1"/>
    <col min="3" max="3" width="13.7109375" bestFit="1" customWidth="1"/>
    <col min="4" max="4" width="23.140625" bestFit="1" customWidth="1"/>
    <col min="5" max="5" width="42" bestFit="1" customWidth="1"/>
    <col min="6" max="6" width="6.5703125" bestFit="1" customWidth="1"/>
    <col min="8" max="8" width="7.42578125" bestFit="1" customWidth="1"/>
    <col min="9" max="9" width="2.85546875" bestFit="1" customWidth="1"/>
    <col min="10" max="10" width="3.28515625" bestFit="1" customWidth="1"/>
    <col min="11" max="11" width="3.140625" bestFit="1" customWidth="1"/>
    <col min="12" max="12" width="4.42578125" bestFit="1" customWidth="1"/>
    <col min="13" max="13" width="3" bestFit="1" customWidth="1"/>
    <col min="14" max="14" width="3.85546875" bestFit="1" customWidth="1"/>
    <col min="15" max="16" width="3.28515625" bestFit="1" customWidth="1"/>
    <col min="17" max="17" width="3.85546875" bestFit="1" customWidth="1"/>
    <col min="18" max="18" width="3.42578125" bestFit="1" customWidth="1"/>
    <col min="19" max="21" width="3.140625" bestFit="1" customWidth="1"/>
    <col min="22" max="22" width="6.85546875" bestFit="1" customWidth="1"/>
    <col min="23" max="23" width="9.140625" bestFit="1" customWidth="1"/>
    <col min="24" max="24" width="3.42578125" bestFit="1" customWidth="1"/>
    <col min="25" max="25" width="3.28515625" bestFit="1" customWidth="1"/>
    <col min="26" max="26" width="3.42578125" bestFit="1" customWidth="1"/>
    <col min="27" max="27" width="10.7109375" bestFit="1" customWidth="1"/>
    <col min="28" max="28" width="4.5703125" bestFit="1" customWidth="1"/>
    <col min="29" max="29" width="4.140625" bestFit="1" customWidth="1"/>
    <col min="30" max="30" width="6.42578125" bestFit="1" customWidth="1"/>
    <col min="31" max="31" width="8.140625" bestFit="1" customWidth="1"/>
    <col min="32" max="32" width="4.85546875" bestFit="1" customWidth="1"/>
    <col min="33" max="33" width="4" bestFit="1" customWidth="1"/>
    <col min="34" max="34" width="3.140625" bestFit="1" customWidth="1"/>
    <col min="35" max="35" width="3.42578125" bestFit="1" customWidth="1"/>
    <col min="36" max="37" width="4" bestFit="1" customWidth="1"/>
    <col min="38" max="38" width="3.28515625" bestFit="1" customWidth="1"/>
    <col min="39" max="39" width="24.28515625" bestFit="1" customWidth="1"/>
    <col min="40" max="40" width="3.140625" bestFit="1" customWidth="1"/>
    <col min="41" max="41" width="3.42578125" bestFit="1" customWidth="1"/>
    <col min="42" max="47" width="5.5703125" bestFit="1" customWidth="1"/>
    <col min="48" max="48" width="4.28515625" bestFit="1" customWidth="1"/>
    <col min="49" max="49" width="5.140625" bestFit="1" customWidth="1"/>
  </cols>
  <sheetData>
    <row r="1" spans="1:49" x14ac:dyDescent="0.25">
      <c r="A1" t="s">
        <v>377</v>
      </c>
      <c r="B1" t="s">
        <v>729</v>
      </c>
      <c r="C1" t="s">
        <v>730</v>
      </c>
      <c r="D1" t="s">
        <v>731</v>
      </c>
      <c r="E1" t="s">
        <v>732</v>
      </c>
      <c r="F1" t="s">
        <v>733</v>
      </c>
      <c r="G1" t="s">
        <v>786</v>
      </c>
      <c r="H1" t="s">
        <v>100</v>
      </c>
      <c r="I1" t="s">
        <v>787</v>
      </c>
      <c r="J1" t="s">
        <v>241</v>
      </c>
      <c r="K1" t="s">
        <v>788</v>
      </c>
      <c r="L1" t="s">
        <v>789</v>
      </c>
      <c r="M1" t="s">
        <v>790</v>
      </c>
      <c r="N1" t="s">
        <v>791</v>
      </c>
      <c r="O1" t="s">
        <v>792</v>
      </c>
      <c r="P1" t="s">
        <v>793</v>
      </c>
      <c r="Q1" t="s">
        <v>794</v>
      </c>
      <c r="R1" t="s">
        <v>795</v>
      </c>
      <c r="S1" t="s">
        <v>796</v>
      </c>
      <c r="T1" t="s">
        <v>797</v>
      </c>
      <c r="U1" t="s">
        <v>798</v>
      </c>
      <c r="V1" t="s">
        <v>110</v>
      </c>
      <c r="W1" t="s">
        <v>799</v>
      </c>
      <c r="X1" t="s">
        <v>800</v>
      </c>
      <c r="Y1" t="s">
        <v>117</v>
      </c>
      <c r="Z1" t="s">
        <v>118</v>
      </c>
      <c r="AA1" t="s">
        <v>801</v>
      </c>
      <c r="AB1" t="s">
        <v>802</v>
      </c>
      <c r="AC1" t="s">
        <v>803</v>
      </c>
      <c r="AD1" t="s">
        <v>804</v>
      </c>
      <c r="AE1" t="s">
        <v>805</v>
      </c>
      <c r="AF1" t="s">
        <v>806</v>
      </c>
      <c r="AG1" t="s">
        <v>432</v>
      </c>
      <c r="AH1" t="s">
        <v>807</v>
      </c>
      <c r="AI1" t="s">
        <v>808</v>
      </c>
      <c r="AJ1" t="s">
        <v>809</v>
      </c>
      <c r="AK1" t="s">
        <v>810</v>
      </c>
      <c r="AL1" t="s">
        <v>811</v>
      </c>
      <c r="AM1" t="s">
        <v>812</v>
      </c>
      <c r="AN1" t="s">
        <v>813</v>
      </c>
      <c r="AO1" t="s">
        <v>814</v>
      </c>
      <c r="AP1" t="s">
        <v>792</v>
      </c>
      <c r="AQ1" t="s">
        <v>747</v>
      </c>
      <c r="AR1" t="s">
        <v>815</v>
      </c>
      <c r="AS1" t="s">
        <v>816</v>
      </c>
      <c r="AT1" t="s">
        <v>742</v>
      </c>
      <c r="AU1" t="s">
        <v>734</v>
      </c>
      <c r="AV1" t="s">
        <v>817</v>
      </c>
      <c r="AW1" t="s">
        <v>818</v>
      </c>
    </row>
    <row r="2" spans="1:49" x14ac:dyDescent="0.25">
      <c r="A2">
        <v>1</v>
      </c>
      <c r="B2" t="s">
        <v>766</v>
      </c>
      <c r="C2" t="s">
        <v>767</v>
      </c>
      <c r="D2" t="s">
        <v>692</v>
      </c>
      <c r="F2" t="s">
        <v>768</v>
      </c>
      <c r="G2" t="s">
        <v>916</v>
      </c>
      <c r="H2">
        <v>71590</v>
      </c>
      <c r="I2">
        <v>5</v>
      </c>
      <c r="J2">
        <v>11</v>
      </c>
      <c r="K2">
        <v>7</v>
      </c>
      <c r="L2">
        <v>8</v>
      </c>
      <c r="M2">
        <v>13</v>
      </c>
      <c r="O2">
        <v>16</v>
      </c>
      <c r="P2">
        <v>13</v>
      </c>
      <c r="Q2">
        <v>1</v>
      </c>
      <c r="R2">
        <v>0</v>
      </c>
      <c r="S2">
        <v>3</v>
      </c>
      <c r="T2">
        <v>3</v>
      </c>
      <c r="U2">
        <v>18</v>
      </c>
      <c r="V2">
        <v>1380</v>
      </c>
      <c r="W2">
        <v>1025</v>
      </c>
      <c r="X2">
        <v>1</v>
      </c>
      <c r="Y2">
        <v>0</v>
      </c>
      <c r="Z2">
        <v>2</v>
      </c>
      <c r="AA2" s="464">
        <v>45194</v>
      </c>
      <c r="AB2">
        <v>10</v>
      </c>
      <c r="AC2" t="s">
        <v>792</v>
      </c>
      <c r="AD2">
        <v>28188</v>
      </c>
      <c r="AE2">
        <v>23490</v>
      </c>
      <c r="AF2" t="s">
        <v>821</v>
      </c>
      <c r="AG2">
        <v>30</v>
      </c>
      <c r="AH2">
        <v>0</v>
      </c>
      <c r="AI2">
        <v>0</v>
      </c>
      <c r="AJ2">
        <v>0</v>
      </c>
      <c r="AK2">
        <v>3</v>
      </c>
      <c r="AL2">
        <v>0</v>
      </c>
      <c r="AN2" t="s">
        <v>813</v>
      </c>
      <c r="AO2" t="s">
        <v>814</v>
      </c>
      <c r="AP2" t="s">
        <v>917</v>
      </c>
      <c r="AQ2" t="s">
        <v>918</v>
      </c>
      <c r="AR2" t="s">
        <v>919</v>
      </c>
      <c r="AS2" t="s">
        <v>920</v>
      </c>
      <c r="AT2" t="s">
        <v>921</v>
      </c>
      <c r="AU2" t="s">
        <v>922</v>
      </c>
      <c r="AV2">
        <v>0</v>
      </c>
      <c r="AW2" t="s">
        <v>792</v>
      </c>
    </row>
    <row r="3" spans="1:49" x14ac:dyDescent="0.25">
      <c r="A3">
        <v>6</v>
      </c>
      <c r="B3" t="s">
        <v>747</v>
      </c>
      <c r="C3" t="s">
        <v>738</v>
      </c>
      <c r="D3" t="s">
        <v>134</v>
      </c>
      <c r="F3" t="s">
        <v>748</v>
      </c>
      <c r="G3" t="s">
        <v>857</v>
      </c>
      <c r="H3">
        <v>59610</v>
      </c>
      <c r="I3">
        <v>4</v>
      </c>
      <c r="J3">
        <v>11</v>
      </c>
      <c r="K3">
        <v>7</v>
      </c>
      <c r="L3">
        <v>8</v>
      </c>
      <c r="M3">
        <v>20</v>
      </c>
      <c r="O3">
        <v>1</v>
      </c>
      <c r="P3">
        <v>16</v>
      </c>
      <c r="Q3">
        <v>9</v>
      </c>
      <c r="R3">
        <v>4</v>
      </c>
      <c r="S3">
        <v>5</v>
      </c>
      <c r="T3">
        <v>8</v>
      </c>
      <c r="U3">
        <v>20</v>
      </c>
      <c r="V3">
        <v>1775</v>
      </c>
      <c r="W3">
        <v>1205</v>
      </c>
      <c r="X3">
        <v>1</v>
      </c>
      <c r="Y3">
        <v>3</v>
      </c>
      <c r="Z3">
        <v>1</v>
      </c>
      <c r="AA3" s="464">
        <v>45194</v>
      </c>
      <c r="AB3" t="s">
        <v>858</v>
      </c>
      <c r="AC3" t="s">
        <v>747</v>
      </c>
      <c r="AD3">
        <v>18290</v>
      </c>
      <c r="AE3">
        <v>18290</v>
      </c>
      <c r="AF3" t="s">
        <v>831</v>
      </c>
      <c r="AG3">
        <v>274</v>
      </c>
      <c r="AH3">
        <v>1</v>
      </c>
      <c r="AI3">
        <v>5</v>
      </c>
      <c r="AJ3">
        <v>33</v>
      </c>
      <c r="AK3">
        <v>42</v>
      </c>
      <c r="AL3">
        <v>0</v>
      </c>
      <c r="AN3" t="s">
        <v>813</v>
      </c>
      <c r="AO3" t="s">
        <v>814</v>
      </c>
      <c r="AP3" t="s">
        <v>859</v>
      </c>
      <c r="AQ3" t="s">
        <v>860</v>
      </c>
      <c r="AR3" t="s">
        <v>861</v>
      </c>
      <c r="AS3" t="s">
        <v>862</v>
      </c>
      <c r="AT3" t="s">
        <v>863</v>
      </c>
      <c r="AU3" t="s">
        <v>506</v>
      </c>
      <c r="AV3">
        <v>0</v>
      </c>
      <c r="AW3" t="s">
        <v>815</v>
      </c>
    </row>
    <row r="4" spans="1:49" x14ac:dyDescent="0.25">
      <c r="A4">
        <v>13</v>
      </c>
      <c r="B4" t="s">
        <v>747</v>
      </c>
      <c r="C4" t="s">
        <v>735</v>
      </c>
      <c r="D4" t="s">
        <v>132</v>
      </c>
      <c r="E4" t="s">
        <v>736</v>
      </c>
      <c r="F4" t="s">
        <v>749</v>
      </c>
      <c r="G4" t="s">
        <v>864</v>
      </c>
      <c r="H4">
        <v>65990</v>
      </c>
      <c r="I4">
        <v>3</v>
      </c>
      <c r="J4">
        <v>13</v>
      </c>
      <c r="K4">
        <v>7</v>
      </c>
      <c r="L4">
        <v>8</v>
      </c>
      <c r="M4">
        <v>20</v>
      </c>
      <c r="O4">
        <v>1</v>
      </c>
      <c r="P4">
        <v>15</v>
      </c>
      <c r="Q4">
        <v>11</v>
      </c>
      <c r="R4">
        <v>3</v>
      </c>
      <c r="S4">
        <v>4</v>
      </c>
      <c r="T4">
        <v>8</v>
      </c>
      <c r="U4">
        <v>19</v>
      </c>
      <c r="V4">
        <v>1671</v>
      </c>
      <c r="W4">
        <v>1089</v>
      </c>
      <c r="X4">
        <v>2</v>
      </c>
      <c r="Y4">
        <v>2</v>
      </c>
      <c r="Z4">
        <v>2</v>
      </c>
      <c r="AA4" s="464">
        <v>45194</v>
      </c>
      <c r="AB4">
        <v>8</v>
      </c>
      <c r="AC4" t="s">
        <v>747</v>
      </c>
      <c r="AD4">
        <v>22860</v>
      </c>
      <c r="AE4">
        <v>19050</v>
      </c>
      <c r="AF4" t="s">
        <v>821</v>
      </c>
      <c r="AG4">
        <v>299</v>
      </c>
      <c r="AH4">
        <v>1</v>
      </c>
      <c r="AI4">
        <v>0</v>
      </c>
      <c r="AJ4">
        <v>32</v>
      </c>
      <c r="AK4">
        <v>40</v>
      </c>
      <c r="AL4">
        <v>0</v>
      </c>
      <c r="AN4" t="s">
        <v>813</v>
      </c>
      <c r="AO4" t="s">
        <v>814</v>
      </c>
      <c r="AP4" t="s">
        <v>865</v>
      </c>
      <c r="AQ4" t="s">
        <v>866</v>
      </c>
      <c r="AR4" t="s">
        <v>836</v>
      </c>
      <c r="AS4" t="s">
        <v>867</v>
      </c>
      <c r="AT4" t="s">
        <v>868</v>
      </c>
      <c r="AU4" t="s">
        <v>869</v>
      </c>
      <c r="AV4">
        <v>0</v>
      </c>
      <c r="AW4" t="s">
        <v>815</v>
      </c>
    </row>
    <row r="5" spans="1:49" x14ac:dyDescent="0.25">
      <c r="A5">
        <v>5</v>
      </c>
      <c r="B5" t="s">
        <v>747</v>
      </c>
      <c r="C5" t="s">
        <v>769</v>
      </c>
      <c r="D5" t="s">
        <v>770</v>
      </c>
      <c r="E5" t="s">
        <v>740</v>
      </c>
      <c r="F5" t="s">
        <v>771</v>
      </c>
      <c r="G5" t="s">
        <v>923</v>
      </c>
      <c r="H5">
        <v>97280</v>
      </c>
      <c r="I5">
        <v>4</v>
      </c>
      <c r="J5">
        <v>11</v>
      </c>
      <c r="K5">
        <v>5</v>
      </c>
      <c r="L5">
        <v>7</v>
      </c>
      <c r="M5">
        <v>6</v>
      </c>
      <c r="O5">
        <v>2</v>
      </c>
      <c r="P5">
        <v>16</v>
      </c>
      <c r="Q5">
        <v>4</v>
      </c>
      <c r="R5">
        <v>7</v>
      </c>
      <c r="S5">
        <v>3</v>
      </c>
      <c r="T5">
        <v>12</v>
      </c>
      <c r="U5">
        <v>20</v>
      </c>
      <c r="V5">
        <v>1861</v>
      </c>
      <c r="W5">
        <v>1498</v>
      </c>
      <c r="X5">
        <v>1</v>
      </c>
      <c r="Y5">
        <v>1</v>
      </c>
      <c r="Z5">
        <v>3</v>
      </c>
      <c r="AA5" s="464">
        <v>45190</v>
      </c>
      <c r="AB5">
        <v>5</v>
      </c>
      <c r="AC5" t="s">
        <v>816</v>
      </c>
      <c r="AD5">
        <v>33996</v>
      </c>
      <c r="AE5">
        <v>28330</v>
      </c>
      <c r="AF5" t="s">
        <v>821</v>
      </c>
      <c r="AG5">
        <v>3</v>
      </c>
      <c r="AH5">
        <v>1</v>
      </c>
      <c r="AI5">
        <v>0</v>
      </c>
      <c r="AJ5">
        <v>0</v>
      </c>
      <c r="AK5">
        <v>32</v>
      </c>
      <c r="AL5">
        <v>0</v>
      </c>
      <c r="AN5" t="s">
        <v>813</v>
      </c>
      <c r="AO5" t="s">
        <v>814</v>
      </c>
      <c r="AP5" t="s">
        <v>839</v>
      </c>
      <c r="AQ5" t="s">
        <v>924</v>
      </c>
      <c r="AR5" t="s">
        <v>925</v>
      </c>
      <c r="AS5" t="s">
        <v>926</v>
      </c>
      <c r="AT5" t="s">
        <v>927</v>
      </c>
      <c r="AU5" t="s">
        <v>865</v>
      </c>
      <c r="AV5">
        <v>0</v>
      </c>
      <c r="AW5" t="s">
        <v>928</v>
      </c>
    </row>
    <row r="6" spans="1:49" x14ac:dyDescent="0.25">
      <c r="A6">
        <v>12</v>
      </c>
      <c r="B6" t="s">
        <v>742</v>
      </c>
      <c r="C6" t="s">
        <v>743</v>
      </c>
      <c r="D6" t="s">
        <v>141</v>
      </c>
      <c r="E6" t="s">
        <v>740</v>
      </c>
      <c r="F6" t="s">
        <v>744</v>
      </c>
      <c r="G6" t="s">
        <v>838</v>
      </c>
      <c r="H6">
        <v>86650</v>
      </c>
      <c r="I6">
        <v>5</v>
      </c>
      <c r="J6">
        <v>12</v>
      </c>
      <c r="K6">
        <v>7</v>
      </c>
      <c r="L6">
        <v>8</v>
      </c>
      <c r="M6">
        <v>20</v>
      </c>
      <c r="O6">
        <v>1</v>
      </c>
      <c r="P6">
        <v>12</v>
      </c>
      <c r="Q6">
        <v>16</v>
      </c>
      <c r="R6">
        <v>3</v>
      </c>
      <c r="S6">
        <v>4</v>
      </c>
      <c r="T6">
        <v>9</v>
      </c>
      <c r="U6">
        <v>21</v>
      </c>
      <c r="V6">
        <v>1934</v>
      </c>
      <c r="W6">
        <v>1376</v>
      </c>
      <c r="X6">
        <v>1</v>
      </c>
      <c r="Y6">
        <v>2</v>
      </c>
      <c r="Z6">
        <v>3</v>
      </c>
      <c r="AA6" s="464">
        <v>45194</v>
      </c>
      <c r="AB6" t="s">
        <v>820</v>
      </c>
      <c r="AC6" t="s">
        <v>815</v>
      </c>
      <c r="AD6">
        <v>28524</v>
      </c>
      <c r="AE6">
        <v>23770</v>
      </c>
      <c r="AF6" t="s">
        <v>821</v>
      </c>
      <c r="AG6">
        <v>310</v>
      </c>
      <c r="AH6">
        <v>1</v>
      </c>
      <c r="AI6">
        <v>2</v>
      </c>
      <c r="AJ6">
        <v>66</v>
      </c>
      <c r="AK6">
        <v>72</v>
      </c>
      <c r="AL6">
        <v>1</v>
      </c>
      <c r="AM6" t="s">
        <v>845</v>
      </c>
      <c r="AN6" t="s">
        <v>813</v>
      </c>
      <c r="AO6" t="s">
        <v>814</v>
      </c>
      <c r="AP6" t="s">
        <v>846</v>
      </c>
      <c r="AQ6" t="s">
        <v>847</v>
      </c>
      <c r="AR6" t="s">
        <v>848</v>
      </c>
      <c r="AS6" t="s">
        <v>849</v>
      </c>
      <c r="AT6" t="s">
        <v>850</v>
      </c>
      <c r="AU6" t="s">
        <v>844</v>
      </c>
      <c r="AV6">
        <v>0</v>
      </c>
      <c r="AW6" t="s">
        <v>828</v>
      </c>
    </row>
    <row r="7" spans="1:49" x14ac:dyDescent="0.25">
      <c r="A7">
        <v>2</v>
      </c>
      <c r="B7" t="s">
        <v>742</v>
      </c>
      <c r="C7" t="s">
        <v>750</v>
      </c>
      <c r="D7" t="s">
        <v>592</v>
      </c>
      <c r="E7" t="s">
        <v>746</v>
      </c>
      <c r="F7" t="s">
        <v>751</v>
      </c>
      <c r="G7" t="s">
        <v>870</v>
      </c>
      <c r="H7">
        <v>132390</v>
      </c>
      <c r="I7">
        <v>3</v>
      </c>
      <c r="J7">
        <v>13</v>
      </c>
      <c r="K7">
        <v>8</v>
      </c>
      <c r="L7">
        <v>8</v>
      </c>
      <c r="M7">
        <v>20</v>
      </c>
      <c r="O7">
        <v>1</v>
      </c>
      <c r="P7">
        <v>14</v>
      </c>
      <c r="Q7">
        <v>15</v>
      </c>
      <c r="R7">
        <v>5</v>
      </c>
      <c r="S7">
        <v>5</v>
      </c>
      <c r="T7">
        <v>10</v>
      </c>
      <c r="U7">
        <v>18</v>
      </c>
      <c r="V7">
        <v>2012</v>
      </c>
      <c r="W7">
        <v>1421</v>
      </c>
      <c r="X7">
        <v>4</v>
      </c>
      <c r="Y7">
        <v>2</v>
      </c>
      <c r="Z7">
        <v>3</v>
      </c>
      <c r="AA7" s="464">
        <v>45194</v>
      </c>
      <c r="AB7" t="s">
        <v>827</v>
      </c>
      <c r="AC7" t="s">
        <v>742</v>
      </c>
      <c r="AD7">
        <v>30588</v>
      </c>
      <c r="AE7">
        <v>25490</v>
      </c>
      <c r="AF7" t="s">
        <v>821</v>
      </c>
      <c r="AG7">
        <v>104</v>
      </c>
      <c r="AH7">
        <v>0</v>
      </c>
      <c r="AI7">
        <v>5</v>
      </c>
      <c r="AJ7">
        <v>19</v>
      </c>
      <c r="AK7">
        <v>70</v>
      </c>
      <c r="AL7">
        <v>3</v>
      </c>
      <c r="AN7" t="s">
        <v>813</v>
      </c>
      <c r="AO7" t="s">
        <v>814</v>
      </c>
      <c r="AP7" t="s">
        <v>871</v>
      </c>
      <c r="AQ7" t="s">
        <v>872</v>
      </c>
      <c r="AR7" t="s">
        <v>873</v>
      </c>
      <c r="AS7" t="s">
        <v>874</v>
      </c>
      <c r="AT7" t="s">
        <v>875</v>
      </c>
      <c r="AU7" t="s">
        <v>876</v>
      </c>
      <c r="AV7">
        <v>0</v>
      </c>
      <c r="AW7" t="s">
        <v>877</v>
      </c>
    </row>
    <row r="8" spans="1:49" x14ac:dyDescent="0.25">
      <c r="A8">
        <v>11</v>
      </c>
      <c r="B8" t="s">
        <v>742</v>
      </c>
      <c r="C8" t="s">
        <v>752</v>
      </c>
      <c r="D8" t="s">
        <v>753</v>
      </c>
      <c r="E8" t="s">
        <v>740</v>
      </c>
      <c r="F8" s="356">
        <v>32101</v>
      </c>
      <c r="G8" t="s">
        <v>878</v>
      </c>
      <c r="H8">
        <v>147670</v>
      </c>
      <c r="I8">
        <v>5</v>
      </c>
      <c r="J8">
        <v>15</v>
      </c>
      <c r="K8">
        <v>7</v>
      </c>
      <c r="L8">
        <v>8</v>
      </c>
      <c r="M8">
        <v>18</v>
      </c>
      <c r="O8">
        <v>1</v>
      </c>
      <c r="P8">
        <v>12</v>
      </c>
      <c r="Q8">
        <v>17</v>
      </c>
      <c r="R8">
        <v>3</v>
      </c>
      <c r="S8">
        <v>3</v>
      </c>
      <c r="T8">
        <v>10</v>
      </c>
      <c r="U8">
        <v>19</v>
      </c>
      <c r="V8">
        <v>2003</v>
      </c>
      <c r="W8">
        <v>1398</v>
      </c>
      <c r="X8">
        <v>2</v>
      </c>
      <c r="Y8">
        <v>1</v>
      </c>
      <c r="Z8">
        <v>2</v>
      </c>
      <c r="AA8" s="464">
        <v>45194</v>
      </c>
      <c r="AB8">
        <v>8</v>
      </c>
      <c r="AC8" t="s">
        <v>815</v>
      </c>
      <c r="AD8">
        <v>50700</v>
      </c>
      <c r="AE8">
        <v>42250</v>
      </c>
      <c r="AF8" t="s">
        <v>821</v>
      </c>
      <c r="AG8">
        <v>63</v>
      </c>
      <c r="AH8">
        <v>3</v>
      </c>
      <c r="AI8">
        <v>6</v>
      </c>
      <c r="AJ8">
        <v>18</v>
      </c>
      <c r="AK8">
        <v>92</v>
      </c>
      <c r="AL8">
        <v>2</v>
      </c>
      <c r="AN8" t="s">
        <v>813</v>
      </c>
      <c r="AO8" t="s">
        <v>814</v>
      </c>
      <c r="AP8" t="s">
        <v>879</v>
      </c>
      <c r="AQ8" t="s">
        <v>849</v>
      </c>
      <c r="AR8" t="s">
        <v>880</v>
      </c>
      <c r="AS8" t="s">
        <v>881</v>
      </c>
      <c r="AT8" t="s">
        <v>882</v>
      </c>
      <c r="AU8" t="s">
        <v>883</v>
      </c>
      <c r="AV8">
        <v>0</v>
      </c>
      <c r="AW8" t="s">
        <v>828</v>
      </c>
    </row>
    <row r="9" spans="1:49" x14ac:dyDescent="0.25">
      <c r="A9">
        <v>3</v>
      </c>
      <c r="B9" t="s">
        <v>742</v>
      </c>
      <c r="C9" t="s">
        <v>754</v>
      </c>
      <c r="D9" t="s">
        <v>755</v>
      </c>
      <c r="E9" t="s">
        <v>740</v>
      </c>
      <c r="F9" t="s">
        <v>756</v>
      </c>
      <c r="G9" t="s">
        <v>884</v>
      </c>
      <c r="H9">
        <v>113800</v>
      </c>
      <c r="I9">
        <v>2</v>
      </c>
      <c r="J9">
        <v>15</v>
      </c>
      <c r="K9">
        <v>7</v>
      </c>
      <c r="L9">
        <v>8</v>
      </c>
      <c r="M9">
        <v>19</v>
      </c>
      <c r="O9">
        <v>1</v>
      </c>
      <c r="P9">
        <v>14</v>
      </c>
      <c r="Q9">
        <v>17</v>
      </c>
      <c r="R9">
        <v>4</v>
      </c>
      <c r="S9">
        <v>4</v>
      </c>
      <c r="T9">
        <v>10</v>
      </c>
      <c r="U9">
        <v>20</v>
      </c>
      <c r="V9">
        <v>2285</v>
      </c>
      <c r="W9">
        <v>1627</v>
      </c>
      <c r="X9">
        <v>3</v>
      </c>
      <c r="Y9">
        <v>2</v>
      </c>
      <c r="Z9">
        <v>2</v>
      </c>
      <c r="AA9" s="464">
        <v>45194</v>
      </c>
      <c r="AB9" t="s">
        <v>885</v>
      </c>
      <c r="AC9" t="s">
        <v>815</v>
      </c>
      <c r="AD9">
        <v>44112</v>
      </c>
      <c r="AE9">
        <v>36760</v>
      </c>
      <c r="AF9" t="s">
        <v>821</v>
      </c>
      <c r="AG9">
        <v>68</v>
      </c>
      <c r="AH9">
        <v>1</v>
      </c>
      <c r="AI9">
        <v>4</v>
      </c>
      <c r="AJ9">
        <v>17</v>
      </c>
      <c r="AK9">
        <v>97</v>
      </c>
      <c r="AL9">
        <v>2</v>
      </c>
      <c r="AN9" t="s">
        <v>813</v>
      </c>
      <c r="AO9" t="s">
        <v>814</v>
      </c>
      <c r="AP9" t="s">
        <v>886</v>
      </c>
      <c r="AQ9" t="s">
        <v>887</v>
      </c>
      <c r="AR9" t="s">
        <v>888</v>
      </c>
      <c r="AS9" t="s">
        <v>889</v>
      </c>
      <c r="AT9" t="s">
        <v>890</v>
      </c>
      <c r="AU9" t="s">
        <v>891</v>
      </c>
      <c r="AV9">
        <v>0</v>
      </c>
      <c r="AW9" t="s">
        <v>877</v>
      </c>
    </row>
    <row r="10" spans="1:49" x14ac:dyDescent="0.25">
      <c r="A10">
        <v>4</v>
      </c>
      <c r="B10" t="s">
        <v>742</v>
      </c>
      <c r="C10" t="s">
        <v>757</v>
      </c>
      <c r="D10" t="s">
        <v>758</v>
      </c>
      <c r="E10" t="s">
        <v>746</v>
      </c>
      <c r="F10" t="s">
        <v>759</v>
      </c>
      <c r="G10" t="s">
        <v>892</v>
      </c>
      <c r="H10">
        <v>103300</v>
      </c>
      <c r="I10">
        <v>6</v>
      </c>
      <c r="J10">
        <v>13</v>
      </c>
      <c r="K10">
        <v>6</v>
      </c>
      <c r="L10">
        <v>8</v>
      </c>
      <c r="M10">
        <v>19</v>
      </c>
      <c r="O10">
        <v>1</v>
      </c>
      <c r="P10">
        <v>15</v>
      </c>
      <c r="Q10">
        <v>16</v>
      </c>
      <c r="R10">
        <v>2</v>
      </c>
      <c r="S10">
        <v>6</v>
      </c>
      <c r="T10">
        <v>10</v>
      </c>
      <c r="U10">
        <v>19</v>
      </c>
      <c r="V10">
        <v>2262</v>
      </c>
      <c r="W10">
        <v>1598</v>
      </c>
      <c r="X10">
        <v>1</v>
      </c>
      <c r="Y10">
        <v>2</v>
      </c>
      <c r="Z10">
        <v>1</v>
      </c>
      <c r="AA10" s="464">
        <v>45194</v>
      </c>
      <c r="AB10" t="s">
        <v>830</v>
      </c>
      <c r="AC10" t="s">
        <v>742</v>
      </c>
      <c r="AD10">
        <v>37008</v>
      </c>
      <c r="AE10">
        <v>30840</v>
      </c>
      <c r="AF10" t="s">
        <v>821</v>
      </c>
      <c r="AG10">
        <v>70</v>
      </c>
      <c r="AH10">
        <v>0</v>
      </c>
      <c r="AI10">
        <v>6</v>
      </c>
      <c r="AJ10">
        <v>13</v>
      </c>
      <c r="AK10">
        <v>62</v>
      </c>
      <c r="AL10">
        <v>1</v>
      </c>
      <c r="AM10" t="s">
        <v>893</v>
      </c>
      <c r="AN10" t="s">
        <v>813</v>
      </c>
      <c r="AO10" t="s">
        <v>814</v>
      </c>
      <c r="AP10" t="s">
        <v>894</v>
      </c>
      <c r="AQ10" t="s">
        <v>895</v>
      </c>
      <c r="AR10" t="s">
        <v>896</v>
      </c>
      <c r="AS10" t="s">
        <v>897</v>
      </c>
      <c r="AT10" t="s">
        <v>898</v>
      </c>
      <c r="AU10" t="s">
        <v>899</v>
      </c>
      <c r="AV10">
        <v>0</v>
      </c>
      <c r="AW10" t="s">
        <v>877</v>
      </c>
    </row>
    <row r="11" spans="1:49" x14ac:dyDescent="0.25">
      <c r="A11">
        <v>17</v>
      </c>
      <c r="B11" t="s">
        <v>742</v>
      </c>
      <c r="C11" t="s">
        <v>743</v>
      </c>
      <c r="D11" t="s">
        <v>728</v>
      </c>
      <c r="E11" t="s">
        <v>746</v>
      </c>
      <c r="F11" t="s">
        <v>760</v>
      </c>
      <c r="G11" t="s">
        <v>900</v>
      </c>
      <c r="H11">
        <v>135770</v>
      </c>
      <c r="I11">
        <v>5</v>
      </c>
      <c r="J11">
        <v>12</v>
      </c>
      <c r="K11">
        <v>7</v>
      </c>
      <c r="L11">
        <v>7</v>
      </c>
      <c r="M11">
        <v>7</v>
      </c>
      <c r="O11">
        <v>1</v>
      </c>
      <c r="P11">
        <v>13</v>
      </c>
      <c r="Q11">
        <v>15</v>
      </c>
      <c r="R11">
        <v>4</v>
      </c>
      <c r="S11">
        <v>7</v>
      </c>
      <c r="T11">
        <v>10</v>
      </c>
      <c r="U11">
        <v>20</v>
      </c>
      <c r="V11">
        <v>2023</v>
      </c>
      <c r="W11">
        <v>1569</v>
      </c>
      <c r="X11">
        <v>4</v>
      </c>
      <c r="Y11">
        <v>1</v>
      </c>
      <c r="Z11">
        <v>2</v>
      </c>
      <c r="AA11" s="464">
        <v>45194</v>
      </c>
      <c r="AB11" t="s">
        <v>820</v>
      </c>
      <c r="AC11" t="s">
        <v>816</v>
      </c>
      <c r="AD11">
        <v>23424</v>
      </c>
      <c r="AE11">
        <v>19520</v>
      </c>
      <c r="AF11" t="s">
        <v>821</v>
      </c>
      <c r="AG11">
        <v>9</v>
      </c>
      <c r="AH11">
        <v>6</v>
      </c>
      <c r="AI11">
        <v>1</v>
      </c>
      <c r="AJ11">
        <v>3</v>
      </c>
      <c r="AK11">
        <v>65</v>
      </c>
      <c r="AL11">
        <v>0</v>
      </c>
      <c r="AN11" t="s">
        <v>813</v>
      </c>
      <c r="AO11" t="s">
        <v>814</v>
      </c>
      <c r="AP11" t="s">
        <v>508</v>
      </c>
      <c r="AQ11" t="s">
        <v>901</v>
      </c>
      <c r="AR11" t="s">
        <v>902</v>
      </c>
      <c r="AS11" t="s">
        <v>903</v>
      </c>
      <c r="AT11" t="s">
        <v>904</v>
      </c>
      <c r="AU11" t="s">
        <v>905</v>
      </c>
      <c r="AV11">
        <v>0</v>
      </c>
      <c r="AW11" t="s">
        <v>877</v>
      </c>
    </row>
    <row r="12" spans="1:49" x14ac:dyDescent="0.25">
      <c r="A12">
        <v>7</v>
      </c>
      <c r="B12" t="s">
        <v>742</v>
      </c>
      <c r="C12" t="s">
        <v>761</v>
      </c>
      <c r="D12" t="s">
        <v>691</v>
      </c>
      <c r="E12" t="s">
        <v>740</v>
      </c>
      <c r="F12" t="s">
        <v>762</v>
      </c>
      <c r="G12" t="s">
        <v>906</v>
      </c>
      <c r="H12">
        <v>200200</v>
      </c>
      <c r="I12">
        <v>5</v>
      </c>
      <c r="J12">
        <v>12</v>
      </c>
      <c r="K12">
        <v>6</v>
      </c>
      <c r="L12">
        <v>8</v>
      </c>
      <c r="M12">
        <v>13</v>
      </c>
      <c r="O12">
        <v>1</v>
      </c>
      <c r="P12">
        <v>14</v>
      </c>
      <c r="Q12">
        <v>17</v>
      </c>
      <c r="R12">
        <v>3</v>
      </c>
      <c r="S12">
        <v>3</v>
      </c>
      <c r="T12">
        <v>9</v>
      </c>
      <c r="U12">
        <v>20</v>
      </c>
      <c r="V12">
        <v>2198</v>
      </c>
      <c r="W12">
        <v>1742</v>
      </c>
      <c r="X12">
        <v>1</v>
      </c>
      <c r="Y12">
        <v>1</v>
      </c>
      <c r="Z12">
        <v>2</v>
      </c>
      <c r="AA12" s="464">
        <v>45194</v>
      </c>
      <c r="AB12" t="s">
        <v>820</v>
      </c>
      <c r="AC12" t="s">
        <v>816</v>
      </c>
      <c r="AD12">
        <v>55080</v>
      </c>
      <c r="AE12">
        <v>45900</v>
      </c>
      <c r="AF12" t="s">
        <v>821</v>
      </c>
      <c r="AG12">
        <v>33</v>
      </c>
      <c r="AH12">
        <v>0</v>
      </c>
      <c r="AI12">
        <v>1</v>
      </c>
      <c r="AJ12">
        <v>2</v>
      </c>
      <c r="AK12">
        <v>59</v>
      </c>
      <c r="AL12">
        <v>0</v>
      </c>
      <c r="AN12" t="s">
        <v>813</v>
      </c>
      <c r="AO12" t="s">
        <v>814</v>
      </c>
      <c r="AP12" t="s">
        <v>907</v>
      </c>
      <c r="AQ12" t="s">
        <v>908</v>
      </c>
      <c r="AR12" t="s">
        <v>848</v>
      </c>
      <c r="AS12" t="s">
        <v>909</v>
      </c>
      <c r="AT12" t="s">
        <v>910</v>
      </c>
      <c r="AU12" t="s">
        <v>911</v>
      </c>
      <c r="AV12">
        <v>0</v>
      </c>
      <c r="AW12" t="s">
        <v>877</v>
      </c>
    </row>
    <row r="13" spans="1:49" x14ac:dyDescent="0.25">
      <c r="A13">
        <v>9</v>
      </c>
      <c r="B13" t="s">
        <v>734</v>
      </c>
      <c r="C13" t="s">
        <v>735</v>
      </c>
      <c r="D13" t="s">
        <v>140</v>
      </c>
      <c r="E13" t="s">
        <v>736</v>
      </c>
      <c r="F13" t="s">
        <v>737</v>
      </c>
      <c r="G13" t="s">
        <v>819</v>
      </c>
      <c r="H13">
        <v>62660</v>
      </c>
      <c r="I13">
        <v>2</v>
      </c>
      <c r="J13">
        <v>14</v>
      </c>
      <c r="K13">
        <v>6</v>
      </c>
      <c r="L13">
        <v>7</v>
      </c>
      <c r="M13">
        <v>20</v>
      </c>
      <c r="O13">
        <v>1</v>
      </c>
      <c r="P13">
        <v>9</v>
      </c>
      <c r="Q13">
        <v>16</v>
      </c>
      <c r="R13">
        <v>5</v>
      </c>
      <c r="S13">
        <v>5</v>
      </c>
      <c r="T13">
        <v>10</v>
      </c>
      <c r="U13">
        <v>21</v>
      </c>
      <c r="V13">
        <v>1831</v>
      </c>
      <c r="W13">
        <v>1258</v>
      </c>
      <c r="X13">
        <v>3</v>
      </c>
      <c r="Y13">
        <v>4</v>
      </c>
      <c r="Z13">
        <v>2</v>
      </c>
      <c r="AA13" s="464">
        <v>45183</v>
      </c>
      <c r="AB13" t="s">
        <v>820</v>
      </c>
      <c r="AC13" t="s">
        <v>816</v>
      </c>
      <c r="AD13">
        <v>32196</v>
      </c>
      <c r="AE13">
        <v>26830</v>
      </c>
      <c r="AF13" t="s">
        <v>821</v>
      </c>
      <c r="AG13">
        <v>329</v>
      </c>
      <c r="AH13">
        <v>4</v>
      </c>
      <c r="AI13">
        <v>3</v>
      </c>
      <c r="AJ13">
        <v>136</v>
      </c>
      <c r="AK13">
        <v>144</v>
      </c>
      <c r="AL13">
        <v>7</v>
      </c>
      <c r="AN13" t="s">
        <v>813</v>
      </c>
      <c r="AO13" t="s">
        <v>814</v>
      </c>
      <c r="AP13" t="s">
        <v>822</v>
      </c>
      <c r="AQ13" t="s">
        <v>823</v>
      </c>
      <c r="AR13" t="s">
        <v>824</v>
      </c>
      <c r="AS13" t="s">
        <v>825</v>
      </c>
      <c r="AT13" t="s">
        <v>826</v>
      </c>
      <c r="AU13" t="s">
        <v>827</v>
      </c>
      <c r="AV13">
        <v>0</v>
      </c>
      <c r="AW13" t="s">
        <v>828</v>
      </c>
    </row>
    <row r="14" spans="1:49" x14ac:dyDescent="0.25">
      <c r="A14">
        <v>8</v>
      </c>
      <c r="B14" t="s">
        <v>734</v>
      </c>
      <c r="C14" t="s">
        <v>738</v>
      </c>
      <c r="D14" t="s">
        <v>138</v>
      </c>
      <c r="E14" t="s">
        <v>736</v>
      </c>
      <c r="F14" s="356">
        <v>31110</v>
      </c>
      <c r="G14" t="s">
        <v>829</v>
      </c>
      <c r="H14">
        <v>116620</v>
      </c>
      <c r="I14">
        <v>7</v>
      </c>
      <c r="J14">
        <v>13</v>
      </c>
      <c r="K14">
        <v>7</v>
      </c>
      <c r="L14">
        <v>8</v>
      </c>
      <c r="M14">
        <v>20</v>
      </c>
      <c r="O14">
        <v>1</v>
      </c>
      <c r="P14">
        <v>10</v>
      </c>
      <c r="Q14">
        <v>15</v>
      </c>
      <c r="R14">
        <v>3</v>
      </c>
      <c r="S14">
        <v>7</v>
      </c>
      <c r="T14">
        <v>11</v>
      </c>
      <c r="U14">
        <v>20</v>
      </c>
      <c r="V14">
        <v>1820</v>
      </c>
      <c r="W14">
        <v>1322</v>
      </c>
      <c r="X14">
        <v>1</v>
      </c>
      <c r="Y14">
        <v>4</v>
      </c>
      <c r="Z14">
        <v>2</v>
      </c>
      <c r="AA14" s="464">
        <v>45190</v>
      </c>
      <c r="AB14" t="s">
        <v>830</v>
      </c>
      <c r="AC14" t="s">
        <v>742</v>
      </c>
      <c r="AD14">
        <v>23970</v>
      </c>
      <c r="AE14">
        <v>23970</v>
      </c>
      <c r="AF14" t="s">
        <v>831</v>
      </c>
      <c r="AG14">
        <v>336</v>
      </c>
      <c r="AH14">
        <v>1</v>
      </c>
      <c r="AI14">
        <v>1</v>
      </c>
      <c r="AJ14">
        <v>97</v>
      </c>
      <c r="AK14">
        <v>101</v>
      </c>
      <c r="AL14">
        <v>2</v>
      </c>
      <c r="AN14" t="s">
        <v>813</v>
      </c>
      <c r="AO14" t="s">
        <v>814</v>
      </c>
      <c r="AP14" t="s">
        <v>832</v>
      </c>
      <c r="AQ14" t="s">
        <v>833</v>
      </c>
      <c r="AR14" t="s">
        <v>834</v>
      </c>
      <c r="AS14" t="s">
        <v>835</v>
      </c>
      <c r="AT14" t="s">
        <v>836</v>
      </c>
      <c r="AU14" t="s">
        <v>837</v>
      </c>
      <c r="AV14">
        <v>0</v>
      </c>
      <c r="AW14" t="s">
        <v>828</v>
      </c>
    </row>
    <row r="15" spans="1:49" x14ac:dyDescent="0.25">
      <c r="A15">
        <v>16</v>
      </c>
      <c r="B15" t="s">
        <v>734</v>
      </c>
      <c r="C15" t="s">
        <v>739</v>
      </c>
      <c r="D15" t="s">
        <v>137</v>
      </c>
      <c r="E15" t="s">
        <v>740</v>
      </c>
      <c r="F15" t="s">
        <v>741</v>
      </c>
      <c r="G15" t="s">
        <v>838</v>
      </c>
      <c r="H15">
        <v>90300</v>
      </c>
      <c r="I15">
        <v>5</v>
      </c>
      <c r="J15">
        <v>12</v>
      </c>
      <c r="K15">
        <v>7</v>
      </c>
      <c r="L15">
        <v>8</v>
      </c>
      <c r="M15">
        <v>20</v>
      </c>
      <c r="O15">
        <v>1</v>
      </c>
      <c r="P15">
        <v>11</v>
      </c>
      <c r="Q15">
        <v>16</v>
      </c>
      <c r="R15">
        <v>3</v>
      </c>
      <c r="S15">
        <v>4</v>
      </c>
      <c r="T15">
        <v>9</v>
      </c>
      <c r="U15">
        <v>20</v>
      </c>
      <c r="V15">
        <v>1804</v>
      </c>
      <c r="W15">
        <v>1248</v>
      </c>
      <c r="X15">
        <v>2</v>
      </c>
      <c r="Y15">
        <v>4</v>
      </c>
      <c r="Z15">
        <v>3</v>
      </c>
      <c r="AA15" s="464">
        <v>45194</v>
      </c>
      <c r="AB15">
        <v>8</v>
      </c>
      <c r="AC15" t="s">
        <v>816</v>
      </c>
      <c r="AD15">
        <v>33060</v>
      </c>
      <c r="AE15">
        <v>27550</v>
      </c>
      <c r="AF15" t="s">
        <v>821</v>
      </c>
      <c r="AG15">
        <v>311</v>
      </c>
      <c r="AH15">
        <v>1</v>
      </c>
      <c r="AI15">
        <v>3</v>
      </c>
      <c r="AJ15">
        <v>68</v>
      </c>
      <c r="AK15">
        <v>70</v>
      </c>
      <c r="AL15">
        <v>2</v>
      </c>
      <c r="AN15" t="s">
        <v>813</v>
      </c>
      <c r="AO15" t="s">
        <v>814</v>
      </c>
      <c r="AP15" t="s">
        <v>839</v>
      </c>
      <c r="AQ15" t="s">
        <v>840</v>
      </c>
      <c r="AR15" t="s">
        <v>841</v>
      </c>
      <c r="AS15" t="s">
        <v>842</v>
      </c>
      <c r="AT15" t="s">
        <v>843</v>
      </c>
      <c r="AU15" t="s">
        <v>844</v>
      </c>
      <c r="AV15">
        <v>0</v>
      </c>
      <c r="AW15" t="s">
        <v>828</v>
      </c>
    </row>
    <row r="16" spans="1:49" x14ac:dyDescent="0.25">
      <c r="A16">
        <v>14</v>
      </c>
      <c r="B16" t="s">
        <v>734</v>
      </c>
      <c r="C16" t="s">
        <v>745</v>
      </c>
      <c r="D16" t="s">
        <v>139</v>
      </c>
      <c r="E16" t="s">
        <v>746</v>
      </c>
      <c r="F16" t="s">
        <v>737</v>
      </c>
      <c r="G16" t="s">
        <v>851</v>
      </c>
      <c r="H16">
        <v>94650</v>
      </c>
      <c r="I16">
        <v>2</v>
      </c>
      <c r="J16">
        <v>13</v>
      </c>
      <c r="K16">
        <v>8</v>
      </c>
      <c r="L16">
        <v>8</v>
      </c>
      <c r="M16">
        <v>20</v>
      </c>
      <c r="O16">
        <v>1</v>
      </c>
      <c r="P16">
        <v>10</v>
      </c>
      <c r="Q16">
        <v>16</v>
      </c>
      <c r="R16">
        <v>4</v>
      </c>
      <c r="S16">
        <v>2</v>
      </c>
      <c r="T16">
        <v>10</v>
      </c>
      <c r="U16">
        <v>20</v>
      </c>
      <c r="V16">
        <v>1763</v>
      </c>
      <c r="W16">
        <v>1190</v>
      </c>
      <c r="X16">
        <v>2</v>
      </c>
      <c r="Y16">
        <v>3</v>
      </c>
      <c r="Z16">
        <v>0</v>
      </c>
      <c r="AA16" s="464">
        <v>45194</v>
      </c>
      <c r="AB16" t="s">
        <v>830</v>
      </c>
      <c r="AC16" t="s">
        <v>742</v>
      </c>
      <c r="AD16">
        <v>36528</v>
      </c>
      <c r="AE16">
        <v>30440</v>
      </c>
      <c r="AF16" t="s">
        <v>821</v>
      </c>
      <c r="AG16">
        <v>321</v>
      </c>
      <c r="AH16">
        <v>1</v>
      </c>
      <c r="AI16">
        <v>1</v>
      </c>
      <c r="AJ16">
        <v>57</v>
      </c>
      <c r="AK16">
        <v>67</v>
      </c>
      <c r="AL16">
        <v>0</v>
      </c>
      <c r="AN16" t="s">
        <v>813</v>
      </c>
      <c r="AO16" t="s">
        <v>814</v>
      </c>
      <c r="AP16">
        <v>6</v>
      </c>
      <c r="AQ16" t="s">
        <v>852</v>
      </c>
      <c r="AR16" t="s">
        <v>853</v>
      </c>
      <c r="AS16" t="s">
        <v>854</v>
      </c>
      <c r="AT16" t="s">
        <v>855</v>
      </c>
      <c r="AU16" t="s">
        <v>856</v>
      </c>
      <c r="AV16">
        <v>0</v>
      </c>
      <c r="AW16" t="s">
        <v>828</v>
      </c>
    </row>
    <row r="17" spans="1:49" x14ac:dyDescent="0.25">
      <c r="A17">
        <v>15</v>
      </c>
      <c r="B17" t="s">
        <v>734</v>
      </c>
      <c r="C17" t="s">
        <v>735</v>
      </c>
      <c r="D17" t="s">
        <v>772</v>
      </c>
      <c r="E17" t="s">
        <v>773</v>
      </c>
      <c r="F17" t="s">
        <v>774</v>
      </c>
      <c r="G17" t="s">
        <v>900</v>
      </c>
      <c r="H17">
        <v>67500</v>
      </c>
      <c r="I17">
        <v>3</v>
      </c>
      <c r="J17">
        <v>9</v>
      </c>
      <c r="K17">
        <v>7</v>
      </c>
      <c r="L17">
        <v>7</v>
      </c>
      <c r="M17">
        <v>7</v>
      </c>
      <c r="O17">
        <v>1</v>
      </c>
      <c r="P17">
        <v>10</v>
      </c>
      <c r="Q17">
        <v>15</v>
      </c>
      <c r="R17">
        <v>3</v>
      </c>
      <c r="S17">
        <v>4</v>
      </c>
      <c r="T17">
        <v>11</v>
      </c>
      <c r="U17">
        <v>22</v>
      </c>
      <c r="V17">
        <v>1835</v>
      </c>
      <c r="W17">
        <v>1333</v>
      </c>
      <c r="X17">
        <v>2</v>
      </c>
      <c r="Y17">
        <v>1</v>
      </c>
      <c r="Z17">
        <v>4</v>
      </c>
      <c r="AA17" s="464">
        <v>45194</v>
      </c>
      <c r="AB17" t="s">
        <v>820</v>
      </c>
      <c r="AC17" t="s">
        <v>734</v>
      </c>
      <c r="AD17">
        <v>20856</v>
      </c>
      <c r="AE17">
        <v>17380</v>
      </c>
      <c r="AF17" t="s">
        <v>821</v>
      </c>
      <c r="AG17">
        <v>7</v>
      </c>
      <c r="AH17">
        <v>1</v>
      </c>
      <c r="AI17">
        <v>5</v>
      </c>
      <c r="AJ17">
        <v>0</v>
      </c>
      <c r="AK17">
        <v>87</v>
      </c>
      <c r="AL17">
        <v>8</v>
      </c>
      <c r="AN17" t="s">
        <v>813</v>
      </c>
      <c r="AO17" t="s">
        <v>814</v>
      </c>
      <c r="AP17" t="s">
        <v>929</v>
      </c>
      <c r="AQ17" t="s">
        <v>930</v>
      </c>
      <c r="AR17" t="s">
        <v>901</v>
      </c>
      <c r="AS17" t="s">
        <v>863</v>
      </c>
      <c r="AT17" t="s">
        <v>881</v>
      </c>
      <c r="AU17" t="s">
        <v>931</v>
      </c>
      <c r="AV17">
        <v>0</v>
      </c>
      <c r="AW17" t="s">
        <v>828</v>
      </c>
    </row>
    <row r="18" spans="1:49" x14ac:dyDescent="0.25">
      <c r="B18" t="s">
        <v>763</v>
      </c>
      <c r="C18" t="s">
        <v>764</v>
      </c>
      <c r="D18" t="s">
        <v>765</v>
      </c>
      <c r="F18" s="356">
        <v>48100</v>
      </c>
      <c r="G18" t="s">
        <v>912</v>
      </c>
      <c r="H18">
        <v>0</v>
      </c>
      <c r="I18">
        <v>6</v>
      </c>
      <c r="J18">
        <v>27</v>
      </c>
      <c r="K18">
        <v>4</v>
      </c>
      <c r="L18">
        <v>3</v>
      </c>
      <c r="M18"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X18">
        <v>1</v>
      </c>
      <c r="Y18">
        <v>2</v>
      </c>
      <c r="Z18">
        <v>2</v>
      </c>
      <c r="AA18" s="464">
        <v>45190</v>
      </c>
      <c r="AB18" t="s">
        <v>913</v>
      </c>
      <c r="AC18" t="s">
        <v>792</v>
      </c>
      <c r="AD18">
        <v>300</v>
      </c>
      <c r="AE18">
        <v>250</v>
      </c>
      <c r="AF18" t="s">
        <v>821</v>
      </c>
      <c r="AG18">
        <v>420</v>
      </c>
      <c r="AH18">
        <v>0</v>
      </c>
      <c r="AI18">
        <v>0</v>
      </c>
      <c r="AJ18">
        <v>2</v>
      </c>
      <c r="AK18">
        <v>3</v>
      </c>
      <c r="AL18">
        <v>0</v>
      </c>
      <c r="AM18" t="s">
        <v>914</v>
      </c>
      <c r="AN18" t="s">
        <v>813</v>
      </c>
      <c r="AO18" t="s">
        <v>814</v>
      </c>
      <c r="AP18" t="s">
        <v>915</v>
      </c>
      <c r="AQ18" t="s">
        <v>915</v>
      </c>
      <c r="AR18" t="s">
        <v>915</v>
      </c>
      <c r="AS18" t="s">
        <v>915</v>
      </c>
      <c r="AT18" t="s">
        <v>915</v>
      </c>
      <c r="AU18" t="s">
        <v>915</v>
      </c>
      <c r="AV18">
        <v>0</v>
      </c>
      <c r="AW18" t="s">
        <v>792</v>
      </c>
    </row>
    <row r="19" spans="1:49" x14ac:dyDescent="0.25">
      <c r="B19" t="s">
        <v>763</v>
      </c>
      <c r="C19" t="s">
        <v>775</v>
      </c>
      <c r="D19" t="s">
        <v>776</v>
      </c>
      <c r="E19" t="s">
        <v>773</v>
      </c>
      <c r="F19" t="s">
        <v>777</v>
      </c>
      <c r="G19" t="s">
        <v>932</v>
      </c>
      <c r="H19">
        <v>0</v>
      </c>
      <c r="I19">
        <v>7</v>
      </c>
      <c r="J19">
        <v>13</v>
      </c>
      <c r="K19">
        <v>6</v>
      </c>
      <c r="L19">
        <v>1</v>
      </c>
      <c r="M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3</v>
      </c>
      <c r="Y19">
        <v>2</v>
      </c>
      <c r="Z19">
        <v>3</v>
      </c>
      <c r="AA19" s="464">
        <v>44763</v>
      </c>
      <c r="AB19" t="s">
        <v>913</v>
      </c>
      <c r="AC19" t="s">
        <v>816</v>
      </c>
      <c r="AD19">
        <v>300</v>
      </c>
      <c r="AE19">
        <v>250</v>
      </c>
      <c r="AF19" t="s">
        <v>821</v>
      </c>
      <c r="AG19">
        <v>23</v>
      </c>
      <c r="AH19">
        <v>0</v>
      </c>
      <c r="AI19">
        <v>0</v>
      </c>
      <c r="AJ19">
        <v>0</v>
      </c>
      <c r="AK19">
        <v>86</v>
      </c>
      <c r="AL19">
        <v>1</v>
      </c>
      <c r="AN19" t="s">
        <v>813</v>
      </c>
      <c r="AO19" t="s">
        <v>814</v>
      </c>
      <c r="AP19" t="s">
        <v>933</v>
      </c>
      <c r="AQ19" t="s">
        <v>933</v>
      </c>
      <c r="AR19" t="s">
        <v>933</v>
      </c>
      <c r="AS19" t="s">
        <v>933</v>
      </c>
      <c r="AT19" t="s">
        <v>933</v>
      </c>
      <c r="AU19" t="s">
        <v>933</v>
      </c>
      <c r="AV19">
        <v>0</v>
      </c>
      <c r="AW19" t="s">
        <v>792</v>
      </c>
    </row>
    <row r="20" spans="1:49" x14ac:dyDescent="0.25">
      <c r="C20" t="s">
        <v>738</v>
      </c>
      <c r="D20" t="s">
        <v>778</v>
      </c>
      <c r="F20" s="356">
        <v>18104</v>
      </c>
      <c r="G20" t="s">
        <v>934</v>
      </c>
      <c r="H20">
        <v>440</v>
      </c>
      <c r="I20">
        <v>4</v>
      </c>
      <c r="J20">
        <v>2</v>
      </c>
      <c r="K20">
        <v>6</v>
      </c>
      <c r="L20">
        <v>4</v>
      </c>
      <c r="M20">
        <v>20</v>
      </c>
      <c r="N20" t="s">
        <v>821</v>
      </c>
      <c r="O20">
        <v>1</v>
      </c>
      <c r="P20">
        <v>5</v>
      </c>
      <c r="Q20">
        <v>3</v>
      </c>
      <c r="R20">
        <v>4</v>
      </c>
      <c r="S20">
        <v>5</v>
      </c>
      <c r="T20">
        <v>5</v>
      </c>
      <c r="U20">
        <v>2</v>
      </c>
      <c r="V20">
        <v>340</v>
      </c>
      <c r="W20">
        <v>1674</v>
      </c>
      <c r="X20">
        <v>3</v>
      </c>
      <c r="Y20">
        <v>3</v>
      </c>
      <c r="Z20">
        <v>3</v>
      </c>
      <c r="AD20">
        <v>270</v>
      </c>
      <c r="AE20">
        <v>270</v>
      </c>
      <c r="AF20" t="s">
        <v>831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N20" t="s">
        <v>813</v>
      </c>
      <c r="AO20" t="s">
        <v>814</v>
      </c>
      <c r="AP20" t="s">
        <v>935</v>
      </c>
      <c r="AQ20" t="s">
        <v>936</v>
      </c>
      <c r="AR20" t="s">
        <v>937</v>
      </c>
      <c r="AS20" t="s">
        <v>938</v>
      </c>
      <c r="AT20" t="s">
        <v>939</v>
      </c>
      <c r="AU20" t="s">
        <v>940</v>
      </c>
      <c r="AV20">
        <v>0</v>
      </c>
      <c r="AW20" t="s">
        <v>928</v>
      </c>
    </row>
    <row r="21" spans="1:49" x14ac:dyDescent="0.25">
      <c r="C21" t="s">
        <v>738</v>
      </c>
      <c r="D21" t="s">
        <v>779</v>
      </c>
      <c r="E21" t="s">
        <v>780</v>
      </c>
      <c r="F21" t="s">
        <v>781</v>
      </c>
      <c r="G21" t="s">
        <v>941</v>
      </c>
      <c r="H21">
        <v>400</v>
      </c>
      <c r="I21">
        <v>5</v>
      </c>
      <c r="J21">
        <v>2</v>
      </c>
      <c r="K21">
        <v>6</v>
      </c>
      <c r="L21">
        <v>6</v>
      </c>
      <c r="M21">
        <v>20</v>
      </c>
      <c r="N21" t="s">
        <v>821</v>
      </c>
      <c r="O21">
        <v>1</v>
      </c>
      <c r="P21">
        <v>4</v>
      </c>
      <c r="Q21">
        <v>2</v>
      </c>
      <c r="R21">
        <v>7</v>
      </c>
      <c r="S21">
        <v>2</v>
      </c>
      <c r="T21">
        <v>3</v>
      </c>
      <c r="U21">
        <v>1</v>
      </c>
      <c r="V21">
        <v>240</v>
      </c>
      <c r="W21">
        <v>1526</v>
      </c>
      <c r="X21">
        <v>2</v>
      </c>
      <c r="Y21">
        <v>0</v>
      </c>
      <c r="Z21">
        <v>1</v>
      </c>
      <c r="AA21" s="464">
        <v>45190</v>
      </c>
      <c r="AB21" t="s">
        <v>942</v>
      </c>
      <c r="AC21" t="s">
        <v>815</v>
      </c>
      <c r="AD21">
        <v>310</v>
      </c>
      <c r="AE21">
        <v>310</v>
      </c>
      <c r="AF21" t="s">
        <v>831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N21" t="s">
        <v>813</v>
      </c>
      <c r="AO21" t="s">
        <v>814</v>
      </c>
      <c r="AP21" t="s">
        <v>943</v>
      </c>
      <c r="AQ21" t="s">
        <v>944</v>
      </c>
      <c r="AR21" t="s">
        <v>945</v>
      </c>
      <c r="AS21" t="s">
        <v>946</v>
      </c>
      <c r="AT21" t="s">
        <v>947</v>
      </c>
      <c r="AU21" t="s">
        <v>948</v>
      </c>
      <c r="AV21" t="s">
        <v>949</v>
      </c>
      <c r="AW21" t="s">
        <v>928</v>
      </c>
    </row>
    <row r="22" spans="1:49" x14ac:dyDescent="0.25">
      <c r="C22" t="s">
        <v>738</v>
      </c>
      <c r="D22" t="s">
        <v>782</v>
      </c>
      <c r="F22" t="s">
        <v>783</v>
      </c>
      <c r="G22" t="s">
        <v>950</v>
      </c>
      <c r="H22">
        <v>680</v>
      </c>
      <c r="I22">
        <v>4</v>
      </c>
      <c r="J22">
        <v>1</v>
      </c>
      <c r="K22">
        <v>4</v>
      </c>
      <c r="L22">
        <v>7</v>
      </c>
      <c r="M22">
        <v>20</v>
      </c>
      <c r="N22" t="s">
        <v>821</v>
      </c>
      <c r="O22">
        <v>1</v>
      </c>
      <c r="P22">
        <v>6</v>
      </c>
      <c r="Q22">
        <v>4</v>
      </c>
      <c r="R22">
        <v>6</v>
      </c>
      <c r="S22">
        <v>3</v>
      </c>
      <c r="T22">
        <v>5</v>
      </c>
      <c r="U22">
        <v>4</v>
      </c>
      <c r="V22">
        <v>402</v>
      </c>
      <c r="W22">
        <v>1973</v>
      </c>
      <c r="X22">
        <v>2</v>
      </c>
      <c r="Y22">
        <v>3</v>
      </c>
      <c r="Z22">
        <v>2</v>
      </c>
      <c r="AA22" s="464">
        <v>45190</v>
      </c>
      <c r="AB22">
        <v>2</v>
      </c>
      <c r="AC22" t="s">
        <v>815</v>
      </c>
      <c r="AD22">
        <v>290</v>
      </c>
      <c r="AE22">
        <v>290</v>
      </c>
      <c r="AF22" t="s">
        <v>831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N22" t="s">
        <v>813</v>
      </c>
      <c r="AO22" t="s">
        <v>814</v>
      </c>
      <c r="AP22" t="s">
        <v>951</v>
      </c>
      <c r="AQ22" t="s">
        <v>920</v>
      </c>
      <c r="AR22" t="s">
        <v>952</v>
      </c>
      <c r="AS22" t="s">
        <v>946</v>
      </c>
      <c r="AT22" t="s">
        <v>953</v>
      </c>
      <c r="AU22" t="s">
        <v>945</v>
      </c>
      <c r="AV22">
        <v>0</v>
      </c>
      <c r="AW22" t="s">
        <v>928</v>
      </c>
    </row>
    <row r="23" spans="1:49" x14ac:dyDescent="0.25">
      <c r="C23" t="s">
        <v>738</v>
      </c>
      <c r="D23" t="s">
        <v>784</v>
      </c>
      <c r="F23" t="s">
        <v>785</v>
      </c>
      <c r="G23" t="s">
        <v>954</v>
      </c>
      <c r="H23">
        <v>710</v>
      </c>
      <c r="I23">
        <v>3</v>
      </c>
      <c r="J23">
        <v>2</v>
      </c>
      <c r="K23">
        <v>5</v>
      </c>
      <c r="L23">
        <v>7</v>
      </c>
      <c r="M23">
        <v>20</v>
      </c>
      <c r="N23" t="s">
        <v>821</v>
      </c>
      <c r="O23">
        <v>1</v>
      </c>
      <c r="P23">
        <v>3</v>
      </c>
      <c r="Q23">
        <v>5</v>
      </c>
      <c r="R23">
        <v>6</v>
      </c>
      <c r="S23">
        <v>3</v>
      </c>
      <c r="T23">
        <v>4</v>
      </c>
      <c r="U23">
        <v>4</v>
      </c>
      <c r="V23">
        <v>305</v>
      </c>
      <c r="W23">
        <v>1878</v>
      </c>
      <c r="X23">
        <v>2</v>
      </c>
      <c r="Y23">
        <v>0</v>
      </c>
      <c r="Z23">
        <v>2</v>
      </c>
      <c r="AA23" s="464">
        <v>45190</v>
      </c>
      <c r="AB23">
        <v>2</v>
      </c>
      <c r="AC23" t="s">
        <v>747</v>
      </c>
      <c r="AD23">
        <v>290</v>
      </c>
      <c r="AE23">
        <v>290</v>
      </c>
      <c r="AF23" t="s">
        <v>831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N23" t="s">
        <v>813</v>
      </c>
      <c r="AO23" t="s">
        <v>814</v>
      </c>
      <c r="AP23" t="s">
        <v>955</v>
      </c>
      <c r="AQ23" t="s">
        <v>956</v>
      </c>
      <c r="AR23" t="s">
        <v>957</v>
      </c>
      <c r="AS23" t="s">
        <v>958</v>
      </c>
      <c r="AT23" t="s">
        <v>959</v>
      </c>
      <c r="AU23" t="s">
        <v>920</v>
      </c>
      <c r="AV23">
        <v>0</v>
      </c>
      <c r="AW23" t="s">
        <v>960</v>
      </c>
    </row>
    <row r="27" spans="1:49" x14ac:dyDescent="0.25">
      <c r="A27" t="s">
        <v>377</v>
      </c>
      <c r="B27" t="s">
        <v>729</v>
      </c>
      <c r="C27" t="s">
        <v>730</v>
      </c>
      <c r="D27" t="s">
        <v>731</v>
      </c>
      <c r="E27" t="s">
        <v>732</v>
      </c>
      <c r="F27" t="s">
        <v>733</v>
      </c>
      <c r="G27" t="s">
        <v>786</v>
      </c>
      <c r="H27" t="s">
        <v>100</v>
      </c>
      <c r="I27" t="s">
        <v>787</v>
      </c>
      <c r="J27" t="s">
        <v>241</v>
      </c>
      <c r="K27" t="s">
        <v>788</v>
      </c>
      <c r="L27" t="s">
        <v>789</v>
      </c>
      <c r="M27" t="s">
        <v>790</v>
      </c>
      <c r="N27" t="s">
        <v>791</v>
      </c>
      <c r="O27" t="s">
        <v>792</v>
      </c>
      <c r="P27" t="s">
        <v>793</v>
      </c>
      <c r="Q27" t="s">
        <v>794</v>
      </c>
      <c r="R27" t="s">
        <v>795</v>
      </c>
      <c r="S27" t="s">
        <v>796</v>
      </c>
      <c r="T27" t="s">
        <v>797</v>
      </c>
      <c r="U27" t="s">
        <v>798</v>
      </c>
      <c r="V27" t="s">
        <v>110</v>
      </c>
      <c r="W27" t="s">
        <v>799</v>
      </c>
      <c r="X27" t="s">
        <v>800</v>
      </c>
      <c r="Y27" t="s">
        <v>117</v>
      </c>
      <c r="Z27" t="s">
        <v>118</v>
      </c>
      <c r="AA27" t="s">
        <v>801</v>
      </c>
      <c r="AB27" t="s">
        <v>802</v>
      </c>
      <c r="AC27" t="s">
        <v>803</v>
      </c>
      <c r="AD27" t="s">
        <v>804</v>
      </c>
      <c r="AE27" t="s">
        <v>805</v>
      </c>
      <c r="AF27" t="s">
        <v>806</v>
      </c>
      <c r="AG27" t="s">
        <v>432</v>
      </c>
      <c r="AH27" t="s">
        <v>807</v>
      </c>
      <c r="AI27" t="s">
        <v>808</v>
      </c>
      <c r="AJ27" t="s">
        <v>809</v>
      </c>
      <c r="AK27" t="s">
        <v>810</v>
      </c>
      <c r="AL27" t="s">
        <v>811</v>
      </c>
      <c r="AM27" t="s">
        <v>812</v>
      </c>
      <c r="AN27" t="s">
        <v>813</v>
      </c>
      <c r="AO27" t="s">
        <v>814</v>
      </c>
      <c r="AP27" t="s">
        <v>792</v>
      </c>
      <c r="AQ27" t="s">
        <v>747</v>
      </c>
      <c r="AR27" t="s">
        <v>815</v>
      </c>
      <c r="AS27" t="s">
        <v>816</v>
      </c>
      <c r="AT27" t="s">
        <v>742</v>
      </c>
      <c r="AU27" t="s">
        <v>734</v>
      </c>
      <c r="AV27" t="s">
        <v>817</v>
      </c>
      <c r="AW27" t="s">
        <v>818</v>
      </c>
    </row>
    <row r="28" spans="1:49" x14ac:dyDescent="0.25">
      <c r="A28">
        <v>1</v>
      </c>
      <c r="B28" t="s">
        <v>766</v>
      </c>
      <c r="C28" t="s">
        <v>767</v>
      </c>
      <c r="D28" t="s">
        <v>692</v>
      </c>
      <c r="F28" t="s">
        <v>768</v>
      </c>
      <c r="G28" t="s">
        <v>916</v>
      </c>
      <c r="H28">
        <v>71590</v>
      </c>
      <c r="I28">
        <v>5</v>
      </c>
      <c r="J28">
        <v>11</v>
      </c>
      <c r="K28">
        <v>7</v>
      </c>
      <c r="L28">
        <v>8</v>
      </c>
      <c r="M28">
        <v>13</v>
      </c>
      <c r="O28">
        <v>16</v>
      </c>
      <c r="P28">
        <v>13</v>
      </c>
      <c r="Q28">
        <v>1</v>
      </c>
      <c r="R28">
        <v>0</v>
      </c>
      <c r="S28">
        <v>3</v>
      </c>
      <c r="T28">
        <v>3</v>
      </c>
      <c r="U28">
        <v>18</v>
      </c>
      <c r="V28">
        <v>1380</v>
      </c>
      <c r="W28">
        <v>1025</v>
      </c>
      <c r="X28">
        <v>1</v>
      </c>
      <c r="Y28">
        <v>0</v>
      </c>
      <c r="Z28">
        <v>2</v>
      </c>
      <c r="AA28" s="464">
        <v>45194</v>
      </c>
      <c r="AB28">
        <v>10</v>
      </c>
      <c r="AC28" t="s">
        <v>792</v>
      </c>
      <c r="AD28">
        <v>28188</v>
      </c>
      <c r="AE28">
        <v>23490</v>
      </c>
      <c r="AF28" t="s">
        <v>821</v>
      </c>
      <c r="AG28">
        <v>30</v>
      </c>
      <c r="AH28">
        <v>0</v>
      </c>
      <c r="AI28">
        <v>0</v>
      </c>
      <c r="AJ28">
        <v>0</v>
      </c>
      <c r="AK28">
        <v>3</v>
      </c>
      <c r="AL28">
        <v>0</v>
      </c>
      <c r="AN28" t="s">
        <v>813</v>
      </c>
      <c r="AO28" t="s">
        <v>814</v>
      </c>
      <c r="AP28" t="s">
        <v>917</v>
      </c>
      <c r="AQ28" t="s">
        <v>918</v>
      </c>
      <c r="AR28" t="s">
        <v>919</v>
      </c>
      <c r="AS28" t="s">
        <v>920</v>
      </c>
      <c r="AT28" t="s">
        <v>921</v>
      </c>
      <c r="AU28" t="s">
        <v>922</v>
      </c>
      <c r="AV28">
        <v>0</v>
      </c>
      <c r="AW28" t="s">
        <v>792</v>
      </c>
    </row>
    <row r="29" spans="1:49" x14ac:dyDescent="0.25">
      <c r="A29">
        <v>6</v>
      </c>
      <c r="B29" t="s">
        <v>747</v>
      </c>
      <c r="C29" t="s">
        <v>738</v>
      </c>
      <c r="D29" t="s">
        <v>134</v>
      </c>
      <c r="F29" t="s">
        <v>748</v>
      </c>
      <c r="G29" t="s">
        <v>857</v>
      </c>
      <c r="H29">
        <v>59610</v>
      </c>
      <c r="I29">
        <v>4</v>
      </c>
      <c r="J29">
        <v>11</v>
      </c>
      <c r="K29">
        <v>7</v>
      </c>
      <c r="L29">
        <v>8</v>
      </c>
      <c r="M29">
        <v>20</v>
      </c>
      <c r="O29">
        <v>1</v>
      </c>
      <c r="P29">
        <v>16</v>
      </c>
      <c r="Q29">
        <v>9</v>
      </c>
      <c r="R29">
        <v>4</v>
      </c>
      <c r="S29">
        <v>5</v>
      </c>
      <c r="T29">
        <v>8</v>
      </c>
      <c r="U29">
        <v>20</v>
      </c>
      <c r="V29">
        <v>1775</v>
      </c>
      <c r="W29">
        <v>1205</v>
      </c>
      <c r="X29">
        <v>1</v>
      </c>
      <c r="Y29">
        <v>3</v>
      </c>
      <c r="Z29">
        <v>1</v>
      </c>
      <c r="AA29" s="464">
        <v>45194</v>
      </c>
      <c r="AB29" t="s">
        <v>858</v>
      </c>
      <c r="AC29" t="s">
        <v>747</v>
      </c>
      <c r="AD29">
        <v>18290</v>
      </c>
      <c r="AE29">
        <v>18290</v>
      </c>
      <c r="AF29" t="s">
        <v>831</v>
      </c>
      <c r="AG29">
        <v>274</v>
      </c>
      <c r="AH29">
        <v>1</v>
      </c>
      <c r="AI29">
        <v>5</v>
      </c>
      <c r="AJ29">
        <v>33</v>
      </c>
      <c r="AK29">
        <v>42</v>
      </c>
      <c r="AL29">
        <v>0</v>
      </c>
      <c r="AN29" t="s">
        <v>813</v>
      </c>
      <c r="AO29" t="s">
        <v>814</v>
      </c>
      <c r="AP29" t="s">
        <v>859</v>
      </c>
      <c r="AQ29" t="s">
        <v>860</v>
      </c>
      <c r="AR29" t="s">
        <v>861</v>
      </c>
      <c r="AS29" t="s">
        <v>862</v>
      </c>
      <c r="AT29" t="s">
        <v>863</v>
      </c>
      <c r="AU29" t="s">
        <v>506</v>
      </c>
      <c r="AV29">
        <v>0</v>
      </c>
      <c r="AW29" t="s">
        <v>815</v>
      </c>
    </row>
    <row r="30" spans="1:49" x14ac:dyDescent="0.25">
      <c r="A30">
        <v>13</v>
      </c>
      <c r="B30" t="s">
        <v>747</v>
      </c>
      <c r="C30" t="s">
        <v>735</v>
      </c>
      <c r="D30" t="s">
        <v>132</v>
      </c>
      <c r="E30" t="s">
        <v>736</v>
      </c>
      <c r="F30" t="s">
        <v>749</v>
      </c>
      <c r="G30" t="s">
        <v>864</v>
      </c>
      <c r="H30">
        <v>65990</v>
      </c>
      <c r="I30">
        <v>3</v>
      </c>
      <c r="J30">
        <v>13</v>
      </c>
      <c r="K30">
        <v>7</v>
      </c>
      <c r="L30">
        <v>8</v>
      </c>
      <c r="M30">
        <v>20</v>
      </c>
      <c r="O30">
        <v>1</v>
      </c>
      <c r="P30">
        <v>15</v>
      </c>
      <c r="Q30">
        <v>11</v>
      </c>
      <c r="R30">
        <v>3</v>
      </c>
      <c r="S30">
        <v>4</v>
      </c>
      <c r="T30">
        <v>8</v>
      </c>
      <c r="U30">
        <v>19</v>
      </c>
      <c r="V30">
        <v>1671</v>
      </c>
      <c r="W30">
        <v>1089</v>
      </c>
      <c r="X30">
        <v>2</v>
      </c>
      <c r="Y30">
        <v>2</v>
      </c>
      <c r="Z30">
        <v>2</v>
      </c>
      <c r="AA30" s="464">
        <v>45194</v>
      </c>
      <c r="AB30">
        <v>8</v>
      </c>
      <c r="AC30" t="s">
        <v>747</v>
      </c>
      <c r="AD30">
        <v>22860</v>
      </c>
      <c r="AE30">
        <v>19050</v>
      </c>
      <c r="AF30" t="s">
        <v>821</v>
      </c>
      <c r="AG30">
        <v>299</v>
      </c>
      <c r="AH30">
        <v>1</v>
      </c>
      <c r="AI30">
        <v>0</v>
      </c>
      <c r="AJ30">
        <v>32</v>
      </c>
      <c r="AK30">
        <v>40</v>
      </c>
      <c r="AL30">
        <v>0</v>
      </c>
      <c r="AN30" t="s">
        <v>813</v>
      </c>
      <c r="AO30" t="s">
        <v>814</v>
      </c>
      <c r="AP30" t="s">
        <v>865</v>
      </c>
      <c r="AQ30" t="s">
        <v>866</v>
      </c>
      <c r="AR30" t="s">
        <v>836</v>
      </c>
      <c r="AS30" t="s">
        <v>867</v>
      </c>
      <c r="AT30" t="s">
        <v>868</v>
      </c>
      <c r="AU30" t="s">
        <v>869</v>
      </c>
      <c r="AV30">
        <v>0</v>
      </c>
      <c r="AW30" t="s">
        <v>815</v>
      </c>
    </row>
    <row r="31" spans="1:49" x14ac:dyDescent="0.25">
      <c r="A31">
        <v>5</v>
      </c>
      <c r="B31" t="s">
        <v>747</v>
      </c>
      <c r="C31" t="s">
        <v>769</v>
      </c>
      <c r="D31" t="s">
        <v>770</v>
      </c>
      <c r="E31" t="s">
        <v>740</v>
      </c>
      <c r="F31" t="s">
        <v>771</v>
      </c>
      <c r="G31" t="s">
        <v>923</v>
      </c>
      <c r="H31">
        <v>97280</v>
      </c>
      <c r="I31">
        <v>4</v>
      </c>
      <c r="J31">
        <v>11</v>
      </c>
      <c r="K31">
        <v>5</v>
      </c>
      <c r="L31">
        <v>7</v>
      </c>
      <c r="M31">
        <v>6</v>
      </c>
      <c r="O31">
        <v>2</v>
      </c>
      <c r="P31">
        <v>16</v>
      </c>
      <c r="Q31">
        <v>4</v>
      </c>
      <c r="R31">
        <v>7</v>
      </c>
      <c r="S31">
        <v>3</v>
      </c>
      <c r="T31">
        <v>12</v>
      </c>
      <c r="U31">
        <v>20</v>
      </c>
      <c r="V31">
        <v>1861</v>
      </c>
      <c r="W31">
        <v>1498</v>
      </c>
      <c r="X31">
        <v>1</v>
      </c>
      <c r="Y31">
        <v>1</v>
      </c>
      <c r="Z31">
        <v>3</v>
      </c>
      <c r="AA31" s="464">
        <v>45190</v>
      </c>
      <c r="AB31">
        <v>5</v>
      </c>
      <c r="AC31" t="s">
        <v>816</v>
      </c>
      <c r="AD31">
        <v>33996</v>
      </c>
      <c r="AE31">
        <v>28330</v>
      </c>
      <c r="AF31" t="s">
        <v>821</v>
      </c>
      <c r="AG31">
        <v>3</v>
      </c>
      <c r="AH31">
        <v>1</v>
      </c>
      <c r="AI31">
        <v>0</v>
      </c>
      <c r="AJ31">
        <v>0</v>
      </c>
      <c r="AK31">
        <v>32</v>
      </c>
      <c r="AL31">
        <v>0</v>
      </c>
      <c r="AN31" t="s">
        <v>813</v>
      </c>
      <c r="AO31" t="s">
        <v>814</v>
      </c>
      <c r="AP31" t="s">
        <v>839</v>
      </c>
      <c r="AQ31" t="s">
        <v>924</v>
      </c>
      <c r="AR31" t="s">
        <v>925</v>
      </c>
      <c r="AS31" t="s">
        <v>926</v>
      </c>
      <c r="AT31" t="s">
        <v>927</v>
      </c>
      <c r="AU31" t="s">
        <v>865</v>
      </c>
      <c r="AV31">
        <v>0</v>
      </c>
      <c r="AW31" t="s">
        <v>928</v>
      </c>
    </row>
    <row r="32" spans="1:49" x14ac:dyDescent="0.25">
      <c r="A32">
        <v>12</v>
      </c>
      <c r="B32" t="s">
        <v>742</v>
      </c>
      <c r="C32" t="s">
        <v>743</v>
      </c>
      <c r="D32" t="s">
        <v>141</v>
      </c>
      <c r="E32" t="s">
        <v>740</v>
      </c>
      <c r="F32" t="s">
        <v>744</v>
      </c>
      <c r="G32" t="s">
        <v>838</v>
      </c>
      <c r="H32">
        <v>86650</v>
      </c>
      <c r="I32">
        <v>5</v>
      </c>
      <c r="J32">
        <v>12</v>
      </c>
      <c r="K32">
        <v>7</v>
      </c>
      <c r="L32">
        <v>8</v>
      </c>
      <c r="M32">
        <v>20</v>
      </c>
      <c r="O32">
        <v>1</v>
      </c>
      <c r="P32">
        <v>12</v>
      </c>
      <c r="Q32">
        <v>16</v>
      </c>
      <c r="R32">
        <v>3</v>
      </c>
      <c r="S32">
        <v>4</v>
      </c>
      <c r="T32">
        <v>9</v>
      </c>
      <c r="U32">
        <v>21</v>
      </c>
      <c r="V32">
        <v>1934</v>
      </c>
      <c r="W32">
        <v>1376</v>
      </c>
      <c r="X32">
        <v>1</v>
      </c>
      <c r="Y32">
        <v>2</v>
      </c>
      <c r="Z32">
        <v>3</v>
      </c>
      <c r="AA32" s="464">
        <v>45194</v>
      </c>
      <c r="AB32" t="s">
        <v>820</v>
      </c>
      <c r="AC32" t="s">
        <v>815</v>
      </c>
      <c r="AD32">
        <v>28524</v>
      </c>
      <c r="AE32">
        <v>23770</v>
      </c>
      <c r="AF32" t="s">
        <v>821</v>
      </c>
      <c r="AG32">
        <v>310</v>
      </c>
      <c r="AH32">
        <v>1</v>
      </c>
      <c r="AI32">
        <v>2</v>
      </c>
      <c r="AJ32">
        <v>66</v>
      </c>
      <c r="AK32">
        <v>72</v>
      </c>
      <c r="AL32">
        <v>1</v>
      </c>
      <c r="AM32" t="s">
        <v>845</v>
      </c>
      <c r="AN32" t="s">
        <v>813</v>
      </c>
      <c r="AO32" t="s">
        <v>814</v>
      </c>
      <c r="AP32" t="s">
        <v>846</v>
      </c>
      <c r="AQ32" t="s">
        <v>847</v>
      </c>
      <c r="AR32" t="s">
        <v>848</v>
      </c>
      <c r="AS32" t="s">
        <v>849</v>
      </c>
      <c r="AT32" t="s">
        <v>850</v>
      </c>
      <c r="AU32" t="s">
        <v>844</v>
      </c>
      <c r="AV32">
        <v>0</v>
      </c>
      <c r="AW32" t="s">
        <v>828</v>
      </c>
    </row>
    <row r="33" spans="1:49" x14ac:dyDescent="0.25">
      <c r="A33">
        <v>2</v>
      </c>
      <c r="B33" t="s">
        <v>742</v>
      </c>
      <c r="C33" t="s">
        <v>750</v>
      </c>
      <c r="D33" t="s">
        <v>592</v>
      </c>
      <c r="E33" t="s">
        <v>746</v>
      </c>
      <c r="F33" t="s">
        <v>751</v>
      </c>
      <c r="G33" t="s">
        <v>870</v>
      </c>
      <c r="H33">
        <v>132390</v>
      </c>
      <c r="I33">
        <v>3</v>
      </c>
      <c r="J33">
        <v>13</v>
      </c>
      <c r="K33">
        <v>8</v>
      </c>
      <c r="L33">
        <v>8</v>
      </c>
      <c r="M33">
        <v>20</v>
      </c>
      <c r="O33">
        <v>1</v>
      </c>
      <c r="P33">
        <v>14</v>
      </c>
      <c r="Q33">
        <v>15</v>
      </c>
      <c r="R33">
        <v>5</v>
      </c>
      <c r="S33">
        <v>5</v>
      </c>
      <c r="T33">
        <v>10</v>
      </c>
      <c r="U33">
        <v>18</v>
      </c>
      <c r="V33">
        <v>2012</v>
      </c>
      <c r="W33">
        <v>1421</v>
      </c>
      <c r="X33">
        <v>4</v>
      </c>
      <c r="Y33">
        <v>2</v>
      </c>
      <c r="Z33">
        <v>3</v>
      </c>
      <c r="AA33" s="464">
        <v>45194</v>
      </c>
      <c r="AB33" t="s">
        <v>827</v>
      </c>
      <c r="AC33" t="s">
        <v>742</v>
      </c>
      <c r="AD33">
        <v>30588</v>
      </c>
      <c r="AE33">
        <v>25490</v>
      </c>
      <c r="AF33" t="s">
        <v>821</v>
      </c>
      <c r="AG33">
        <v>104</v>
      </c>
      <c r="AH33">
        <v>0</v>
      </c>
      <c r="AI33">
        <v>5</v>
      </c>
      <c r="AJ33">
        <v>19</v>
      </c>
      <c r="AK33">
        <v>70</v>
      </c>
      <c r="AL33">
        <v>3</v>
      </c>
      <c r="AN33" t="s">
        <v>813</v>
      </c>
      <c r="AO33" t="s">
        <v>814</v>
      </c>
      <c r="AP33" t="s">
        <v>871</v>
      </c>
      <c r="AQ33" t="s">
        <v>872</v>
      </c>
      <c r="AR33" t="s">
        <v>873</v>
      </c>
      <c r="AS33" t="s">
        <v>874</v>
      </c>
      <c r="AT33" t="s">
        <v>875</v>
      </c>
      <c r="AU33" t="s">
        <v>876</v>
      </c>
      <c r="AV33">
        <v>0</v>
      </c>
      <c r="AW33" t="s">
        <v>877</v>
      </c>
    </row>
    <row r="34" spans="1:49" x14ac:dyDescent="0.25">
      <c r="A34">
        <v>11</v>
      </c>
      <c r="B34" t="s">
        <v>742</v>
      </c>
      <c r="C34" t="s">
        <v>752</v>
      </c>
      <c r="D34" t="s">
        <v>753</v>
      </c>
      <c r="E34" t="s">
        <v>740</v>
      </c>
      <c r="F34" s="356">
        <v>32101</v>
      </c>
      <c r="G34" t="s">
        <v>878</v>
      </c>
      <c r="H34">
        <v>147670</v>
      </c>
      <c r="I34">
        <v>5</v>
      </c>
      <c r="J34">
        <v>15</v>
      </c>
      <c r="K34">
        <v>7</v>
      </c>
      <c r="L34">
        <v>8</v>
      </c>
      <c r="M34">
        <v>18</v>
      </c>
      <c r="O34">
        <v>1</v>
      </c>
      <c r="P34">
        <v>12</v>
      </c>
      <c r="Q34">
        <v>17</v>
      </c>
      <c r="R34">
        <v>3</v>
      </c>
      <c r="S34">
        <v>3</v>
      </c>
      <c r="T34">
        <v>10</v>
      </c>
      <c r="U34">
        <v>19</v>
      </c>
      <c r="V34">
        <v>2003</v>
      </c>
      <c r="W34">
        <v>1398</v>
      </c>
      <c r="X34">
        <v>2</v>
      </c>
      <c r="Y34">
        <v>1</v>
      </c>
      <c r="Z34">
        <v>2</v>
      </c>
      <c r="AA34" s="464">
        <v>45194</v>
      </c>
      <c r="AB34">
        <v>8</v>
      </c>
      <c r="AC34" t="s">
        <v>815</v>
      </c>
      <c r="AD34">
        <v>50700</v>
      </c>
      <c r="AE34">
        <v>42250</v>
      </c>
      <c r="AF34" t="s">
        <v>821</v>
      </c>
      <c r="AG34">
        <v>63</v>
      </c>
      <c r="AH34">
        <v>3</v>
      </c>
      <c r="AI34">
        <v>6</v>
      </c>
      <c r="AJ34">
        <v>18</v>
      </c>
      <c r="AK34">
        <v>92</v>
      </c>
      <c r="AL34">
        <v>2</v>
      </c>
      <c r="AN34" t="s">
        <v>813</v>
      </c>
      <c r="AO34" t="s">
        <v>814</v>
      </c>
      <c r="AP34" t="s">
        <v>879</v>
      </c>
      <c r="AQ34" t="s">
        <v>849</v>
      </c>
      <c r="AR34" t="s">
        <v>880</v>
      </c>
      <c r="AS34" t="s">
        <v>881</v>
      </c>
      <c r="AT34" t="s">
        <v>882</v>
      </c>
      <c r="AU34" t="s">
        <v>883</v>
      </c>
      <c r="AV34">
        <v>0</v>
      </c>
      <c r="AW34" t="s">
        <v>828</v>
      </c>
    </row>
    <row r="35" spans="1:49" x14ac:dyDescent="0.25">
      <c r="A35">
        <v>3</v>
      </c>
      <c r="B35" t="s">
        <v>742</v>
      </c>
      <c r="C35" t="s">
        <v>754</v>
      </c>
      <c r="D35" t="s">
        <v>755</v>
      </c>
      <c r="E35" t="s">
        <v>740</v>
      </c>
      <c r="F35" t="s">
        <v>756</v>
      </c>
      <c r="G35" t="s">
        <v>884</v>
      </c>
      <c r="H35">
        <v>113800</v>
      </c>
      <c r="I35">
        <v>2</v>
      </c>
      <c r="J35">
        <v>15</v>
      </c>
      <c r="K35">
        <v>7</v>
      </c>
      <c r="L35">
        <v>8</v>
      </c>
      <c r="M35">
        <v>19</v>
      </c>
      <c r="O35">
        <v>1</v>
      </c>
      <c r="P35">
        <v>14</v>
      </c>
      <c r="Q35">
        <v>17</v>
      </c>
      <c r="R35">
        <v>4</v>
      </c>
      <c r="S35">
        <v>4</v>
      </c>
      <c r="T35">
        <v>10</v>
      </c>
      <c r="U35">
        <v>20</v>
      </c>
      <c r="V35">
        <v>2285</v>
      </c>
      <c r="W35">
        <v>1627</v>
      </c>
      <c r="X35">
        <v>3</v>
      </c>
      <c r="Y35">
        <v>2</v>
      </c>
      <c r="Z35">
        <v>2</v>
      </c>
      <c r="AA35" s="464">
        <v>45194</v>
      </c>
      <c r="AB35" t="s">
        <v>885</v>
      </c>
      <c r="AC35" t="s">
        <v>815</v>
      </c>
      <c r="AD35">
        <v>44112</v>
      </c>
      <c r="AE35">
        <v>36760</v>
      </c>
      <c r="AF35" t="s">
        <v>821</v>
      </c>
      <c r="AG35">
        <v>68</v>
      </c>
      <c r="AH35">
        <v>1</v>
      </c>
      <c r="AI35">
        <v>4</v>
      </c>
      <c r="AJ35">
        <v>17</v>
      </c>
      <c r="AK35">
        <v>97</v>
      </c>
      <c r="AL35">
        <v>2</v>
      </c>
      <c r="AN35" t="s">
        <v>813</v>
      </c>
      <c r="AO35" t="s">
        <v>814</v>
      </c>
      <c r="AP35" t="s">
        <v>886</v>
      </c>
      <c r="AQ35" t="s">
        <v>887</v>
      </c>
      <c r="AR35" t="s">
        <v>888</v>
      </c>
      <c r="AS35" t="s">
        <v>889</v>
      </c>
      <c r="AT35" t="s">
        <v>890</v>
      </c>
      <c r="AU35" t="s">
        <v>891</v>
      </c>
      <c r="AV35">
        <v>0</v>
      </c>
      <c r="AW35" t="s">
        <v>877</v>
      </c>
    </row>
    <row r="36" spans="1:49" x14ac:dyDescent="0.25">
      <c r="A36">
        <v>4</v>
      </c>
      <c r="B36" t="s">
        <v>742</v>
      </c>
      <c r="C36" t="s">
        <v>757</v>
      </c>
      <c r="D36" t="s">
        <v>758</v>
      </c>
      <c r="E36" t="s">
        <v>746</v>
      </c>
      <c r="F36" t="s">
        <v>759</v>
      </c>
      <c r="G36" t="s">
        <v>892</v>
      </c>
      <c r="H36">
        <v>103300</v>
      </c>
      <c r="I36">
        <v>6</v>
      </c>
      <c r="J36">
        <v>13</v>
      </c>
      <c r="K36">
        <v>6</v>
      </c>
      <c r="L36">
        <v>8</v>
      </c>
      <c r="M36">
        <v>19</v>
      </c>
      <c r="O36">
        <v>1</v>
      </c>
      <c r="P36">
        <v>15</v>
      </c>
      <c r="Q36">
        <v>16</v>
      </c>
      <c r="R36">
        <v>2</v>
      </c>
      <c r="S36">
        <v>6</v>
      </c>
      <c r="T36">
        <v>10</v>
      </c>
      <c r="U36">
        <v>19</v>
      </c>
      <c r="V36">
        <v>2262</v>
      </c>
      <c r="W36">
        <v>1598</v>
      </c>
      <c r="X36">
        <v>1</v>
      </c>
      <c r="Y36">
        <v>2</v>
      </c>
      <c r="Z36">
        <v>1</v>
      </c>
      <c r="AA36" s="464">
        <v>45194</v>
      </c>
      <c r="AB36" t="s">
        <v>830</v>
      </c>
      <c r="AC36" t="s">
        <v>742</v>
      </c>
      <c r="AD36">
        <v>37008</v>
      </c>
      <c r="AE36">
        <v>30840</v>
      </c>
      <c r="AF36" t="s">
        <v>821</v>
      </c>
      <c r="AG36">
        <v>70</v>
      </c>
      <c r="AH36">
        <v>0</v>
      </c>
      <c r="AI36">
        <v>6</v>
      </c>
      <c r="AJ36">
        <v>13</v>
      </c>
      <c r="AK36">
        <v>62</v>
      </c>
      <c r="AL36">
        <v>1</v>
      </c>
      <c r="AM36" t="s">
        <v>893</v>
      </c>
      <c r="AN36" t="s">
        <v>813</v>
      </c>
      <c r="AO36" t="s">
        <v>814</v>
      </c>
      <c r="AP36" t="s">
        <v>894</v>
      </c>
      <c r="AQ36" t="s">
        <v>895</v>
      </c>
      <c r="AR36" t="s">
        <v>896</v>
      </c>
      <c r="AS36" t="s">
        <v>897</v>
      </c>
      <c r="AT36" t="s">
        <v>898</v>
      </c>
      <c r="AU36" t="s">
        <v>899</v>
      </c>
      <c r="AV36">
        <v>0</v>
      </c>
      <c r="AW36" t="s">
        <v>877</v>
      </c>
    </row>
    <row r="37" spans="1:49" x14ac:dyDescent="0.25">
      <c r="A37">
        <v>17</v>
      </c>
      <c r="B37" t="s">
        <v>742</v>
      </c>
      <c r="C37" t="s">
        <v>743</v>
      </c>
      <c r="D37" t="s">
        <v>728</v>
      </c>
      <c r="E37" t="s">
        <v>746</v>
      </c>
      <c r="F37" t="s">
        <v>760</v>
      </c>
      <c r="G37" t="s">
        <v>900</v>
      </c>
      <c r="H37">
        <v>135770</v>
      </c>
      <c r="I37">
        <v>5</v>
      </c>
      <c r="J37">
        <v>12</v>
      </c>
      <c r="K37">
        <v>7</v>
      </c>
      <c r="L37">
        <v>7</v>
      </c>
      <c r="M37">
        <v>7</v>
      </c>
      <c r="O37">
        <v>1</v>
      </c>
      <c r="P37">
        <v>13</v>
      </c>
      <c r="Q37">
        <v>15</v>
      </c>
      <c r="R37">
        <v>4</v>
      </c>
      <c r="S37">
        <v>7</v>
      </c>
      <c r="T37">
        <v>10</v>
      </c>
      <c r="U37">
        <v>20</v>
      </c>
      <c r="V37">
        <v>2023</v>
      </c>
      <c r="W37">
        <v>1569</v>
      </c>
      <c r="X37">
        <v>4</v>
      </c>
      <c r="Y37">
        <v>1</v>
      </c>
      <c r="Z37">
        <v>2</v>
      </c>
      <c r="AA37" s="464">
        <v>45194</v>
      </c>
      <c r="AB37" t="s">
        <v>820</v>
      </c>
      <c r="AC37" t="s">
        <v>816</v>
      </c>
      <c r="AD37">
        <v>23424</v>
      </c>
      <c r="AE37">
        <v>19520</v>
      </c>
      <c r="AF37" t="s">
        <v>821</v>
      </c>
      <c r="AG37">
        <v>9</v>
      </c>
      <c r="AH37">
        <v>6</v>
      </c>
      <c r="AI37">
        <v>1</v>
      </c>
      <c r="AJ37">
        <v>3</v>
      </c>
      <c r="AK37">
        <v>65</v>
      </c>
      <c r="AL37">
        <v>0</v>
      </c>
      <c r="AN37" t="s">
        <v>813</v>
      </c>
      <c r="AO37" t="s">
        <v>814</v>
      </c>
      <c r="AP37" t="s">
        <v>508</v>
      </c>
      <c r="AQ37" t="s">
        <v>901</v>
      </c>
      <c r="AR37" t="s">
        <v>902</v>
      </c>
      <c r="AS37" t="s">
        <v>903</v>
      </c>
      <c r="AT37" t="s">
        <v>904</v>
      </c>
      <c r="AU37" t="s">
        <v>905</v>
      </c>
      <c r="AV37">
        <v>0</v>
      </c>
      <c r="AW37" t="s">
        <v>877</v>
      </c>
    </row>
    <row r="38" spans="1:49" x14ac:dyDescent="0.25">
      <c r="A38">
        <v>7</v>
      </c>
      <c r="B38" t="s">
        <v>742</v>
      </c>
      <c r="C38" t="s">
        <v>761</v>
      </c>
      <c r="D38" t="s">
        <v>691</v>
      </c>
      <c r="E38" t="s">
        <v>740</v>
      </c>
      <c r="F38" t="s">
        <v>762</v>
      </c>
      <c r="G38" t="s">
        <v>906</v>
      </c>
      <c r="H38">
        <v>200200</v>
      </c>
      <c r="I38">
        <v>5</v>
      </c>
      <c r="J38">
        <v>12</v>
      </c>
      <c r="K38">
        <v>6</v>
      </c>
      <c r="L38">
        <v>8</v>
      </c>
      <c r="M38">
        <v>13</v>
      </c>
      <c r="O38">
        <v>1</v>
      </c>
      <c r="P38">
        <v>14</v>
      </c>
      <c r="Q38">
        <v>17</v>
      </c>
      <c r="R38">
        <v>3</v>
      </c>
      <c r="S38">
        <v>3</v>
      </c>
      <c r="T38">
        <v>9</v>
      </c>
      <c r="U38">
        <v>20</v>
      </c>
      <c r="V38">
        <v>2198</v>
      </c>
      <c r="W38">
        <v>1742</v>
      </c>
      <c r="X38">
        <v>1</v>
      </c>
      <c r="Y38">
        <v>1</v>
      </c>
      <c r="Z38">
        <v>2</v>
      </c>
      <c r="AA38" s="464">
        <v>45194</v>
      </c>
      <c r="AB38" t="s">
        <v>820</v>
      </c>
      <c r="AC38" t="s">
        <v>816</v>
      </c>
      <c r="AD38">
        <v>55080</v>
      </c>
      <c r="AE38">
        <v>45900</v>
      </c>
      <c r="AF38" t="s">
        <v>821</v>
      </c>
      <c r="AG38">
        <v>33</v>
      </c>
      <c r="AH38">
        <v>0</v>
      </c>
      <c r="AI38">
        <v>1</v>
      </c>
      <c r="AJ38">
        <v>2</v>
      </c>
      <c r="AK38">
        <v>59</v>
      </c>
      <c r="AL38">
        <v>0</v>
      </c>
      <c r="AN38" t="s">
        <v>813</v>
      </c>
      <c r="AO38" t="s">
        <v>814</v>
      </c>
      <c r="AP38" t="s">
        <v>907</v>
      </c>
      <c r="AQ38" t="s">
        <v>908</v>
      </c>
      <c r="AR38" t="s">
        <v>848</v>
      </c>
      <c r="AS38" t="s">
        <v>909</v>
      </c>
      <c r="AT38" t="s">
        <v>910</v>
      </c>
      <c r="AU38" t="s">
        <v>911</v>
      </c>
      <c r="AV38">
        <v>0</v>
      </c>
      <c r="AW38" t="s">
        <v>877</v>
      </c>
    </row>
    <row r="39" spans="1:49" x14ac:dyDescent="0.25">
      <c r="A39">
        <v>9</v>
      </c>
      <c r="B39" t="s">
        <v>734</v>
      </c>
      <c r="C39" t="s">
        <v>735</v>
      </c>
      <c r="D39" t="s">
        <v>140</v>
      </c>
      <c r="E39" t="s">
        <v>736</v>
      </c>
      <c r="F39" t="s">
        <v>737</v>
      </c>
      <c r="G39" t="s">
        <v>819</v>
      </c>
      <c r="H39">
        <v>62660</v>
      </c>
      <c r="I39">
        <v>2</v>
      </c>
      <c r="J39">
        <v>14</v>
      </c>
      <c r="K39">
        <v>6</v>
      </c>
      <c r="L39">
        <v>7</v>
      </c>
      <c r="M39">
        <v>20</v>
      </c>
      <c r="O39">
        <v>1</v>
      </c>
      <c r="P39">
        <v>9</v>
      </c>
      <c r="Q39">
        <v>16</v>
      </c>
      <c r="R39">
        <v>5</v>
      </c>
      <c r="S39">
        <v>5</v>
      </c>
      <c r="T39">
        <v>10</v>
      </c>
      <c r="U39">
        <v>21</v>
      </c>
      <c r="V39">
        <v>1831</v>
      </c>
      <c r="W39">
        <v>1258</v>
      </c>
      <c r="X39">
        <v>3</v>
      </c>
      <c r="Y39">
        <v>4</v>
      </c>
      <c r="Z39">
        <v>2</v>
      </c>
      <c r="AA39" s="464">
        <v>45183</v>
      </c>
      <c r="AB39" t="s">
        <v>820</v>
      </c>
      <c r="AC39" t="s">
        <v>816</v>
      </c>
      <c r="AD39">
        <v>32196</v>
      </c>
      <c r="AE39">
        <v>26830</v>
      </c>
      <c r="AF39" t="s">
        <v>821</v>
      </c>
      <c r="AG39">
        <v>329</v>
      </c>
      <c r="AH39">
        <v>4</v>
      </c>
      <c r="AI39">
        <v>3</v>
      </c>
      <c r="AJ39">
        <v>136</v>
      </c>
      <c r="AK39">
        <v>144</v>
      </c>
      <c r="AL39">
        <v>7</v>
      </c>
      <c r="AN39" t="s">
        <v>813</v>
      </c>
      <c r="AO39" t="s">
        <v>814</v>
      </c>
      <c r="AP39" t="s">
        <v>822</v>
      </c>
      <c r="AQ39" t="s">
        <v>823</v>
      </c>
      <c r="AR39" t="s">
        <v>824</v>
      </c>
      <c r="AS39" t="s">
        <v>825</v>
      </c>
      <c r="AT39" t="s">
        <v>826</v>
      </c>
      <c r="AU39" t="s">
        <v>827</v>
      </c>
      <c r="AV39">
        <v>0</v>
      </c>
      <c r="AW39" t="s">
        <v>828</v>
      </c>
    </row>
    <row r="40" spans="1:49" x14ac:dyDescent="0.25">
      <c r="A40">
        <v>8</v>
      </c>
      <c r="B40" t="s">
        <v>734</v>
      </c>
      <c r="C40" t="s">
        <v>738</v>
      </c>
      <c r="D40" t="s">
        <v>138</v>
      </c>
      <c r="E40" t="s">
        <v>736</v>
      </c>
      <c r="F40" s="356">
        <v>31110</v>
      </c>
      <c r="G40" t="s">
        <v>829</v>
      </c>
      <c r="H40">
        <v>116620</v>
      </c>
      <c r="I40">
        <v>7</v>
      </c>
      <c r="J40">
        <v>13</v>
      </c>
      <c r="K40">
        <v>7</v>
      </c>
      <c r="L40">
        <v>8</v>
      </c>
      <c r="M40">
        <v>20</v>
      </c>
      <c r="O40">
        <v>1</v>
      </c>
      <c r="P40">
        <v>10</v>
      </c>
      <c r="Q40">
        <v>15</v>
      </c>
      <c r="R40">
        <v>3</v>
      </c>
      <c r="S40">
        <v>7</v>
      </c>
      <c r="T40">
        <v>11</v>
      </c>
      <c r="U40">
        <v>20</v>
      </c>
      <c r="V40">
        <v>1820</v>
      </c>
      <c r="W40">
        <v>1322</v>
      </c>
      <c r="X40">
        <v>1</v>
      </c>
      <c r="Y40">
        <v>4</v>
      </c>
      <c r="Z40">
        <v>2</v>
      </c>
      <c r="AA40" s="464">
        <v>45190</v>
      </c>
      <c r="AB40" t="s">
        <v>830</v>
      </c>
      <c r="AC40" t="s">
        <v>742</v>
      </c>
      <c r="AD40">
        <v>23970</v>
      </c>
      <c r="AE40">
        <v>23970</v>
      </c>
      <c r="AF40" t="s">
        <v>831</v>
      </c>
      <c r="AG40">
        <v>336</v>
      </c>
      <c r="AH40">
        <v>1</v>
      </c>
      <c r="AI40">
        <v>1</v>
      </c>
      <c r="AJ40">
        <v>97</v>
      </c>
      <c r="AK40">
        <v>101</v>
      </c>
      <c r="AL40">
        <v>2</v>
      </c>
      <c r="AN40" t="s">
        <v>813</v>
      </c>
      <c r="AO40" t="s">
        <v>814</v>
      </c>
      <c r="AP40" t="s">
        <v>832</v>
      </c>
      <c r="AQ40" t="s">
        <v>833</v>
      </c>
      <c r="AR40" t="s">
        <v>834</v>
      </c>
      <c r="AS40" t="s">
        <v>835</v>
      </c>
      <c r="AT40" t="s">
        <v>836</v>
      </c>
      <c r="AU40" t="s">
        <v>837</v>
      </c>
      <c r="AV40">
        <v>0</v>
      </c>
      <c r="AW40" t="s">
        <v>828</v>
      </c>
    </row>
    <row r="41" spans="1:49" x14ac:dyDescent="0.25">
      <c r="A41">
        <v>16</v>
      </c>
      <c r="B41" t="s">
        <v>734</v>
      </c>
      <c r="C41" t="s">
        <v>739</v>
      </c>
      <c r="D41" t="s">
        <v>137</v>
      </c>
      <c r="E41" t="s">
        <v>740</v>
      </c>
      <c r="F41" t="s">
        <v>741</v>
      </c>
      <c r="G41" t="s">
        <v>838</v>
      </c>
      <c r="H41">
        <v>90300</v>
      </c>
      <c r="I41">
        <v>5</v>
      </c>
      <c r="J41">
        <v>12</v>
      </c>
      <c r="K41">
        <v>7</v>
      </c>
      <c r="L41">
        <v>8</v>
      </c>
      <c r="M41">
        <v>20</v>
      </c>
      <c r="O41">
        <v>1</v>
      </c>
      <c r="P41">
        <v>11</v>
      </c>
      <c r="Q41">
        <v>16</v>
      </c>
      <c r="R41">
        <v>3</v>
      </c>
      <c r="S41">
        <v>4</v>
      </c>
      <c r="T41">
        <v>9</v>
      </c>
      <c r="U41">
        <v>20</v>
      </c>
      <c r="V41">
        <v>1804</v>
      </c>
      <c r="W41">
        <v>1248</v>
      </c>
      <c r="X41">
        <v>2</v>
      </c>
      <c r="Y41">
        <v>4</v>
      </c>
      <c r="Z41">
        <v>3</v>
      </c>
      <c r="AA41" s="464">
        <v>45194</v>
      </c>
      <c r="AB41">
        <v>8</v>
      </c>
      <c r="AC41" t="s">
        <v>816</v>
      </c>
      <c r="AD41">
        <v>33060</v>
      </c>
      <c r="AE41">
        <v>27550</v>
      </c>
      <c r="AF41" t="s">
        <v>821</v>
      </c>
      <c r="AG41">
        <v>311</v>
      </c>
      <c r="AH41">
        <v>1</v>
      </c>
      <c r="AI41">
        <v>3</v>
      </c>
      <c r="AJ41">
        <v>68</v>
      </c>
      <c r="AK41">
        <v>70</v>
      </c>
      <c r="AL41">
        <v>2</v>
      </c>
      <c r="AN41" t="s">
        <v>813</v>
      </c>
      <c r="AO41" t="s">
        <v>814</v>
      </c>
      <c r="AP41" t="s">
        <v>839</v>
      </c>
      <c r="AQ41" t="s">
        <v>840</v>
      </c>
      <c r="AR41" t="s">
        <v>841</v>
      </c>
      <c r="AS41" t="s">
        <v>842</v>
      </c>
      <c r="AT41" t="s">
        <v>843</v>
      </c>
      <c r="AU41" t="s">
        <v>844</v>
      </c>
      <c r="AV41">
        <v>0</v>
      </c>
      <c r="AW41" t="s">
        <v>828</v>
      </c>
    </row>
    <row r="42" spans="1:49" x14ac:dyDescent="0.25">
      <c r="A42">
        <v>14</v>
      </c>
      <c r="B42" t="s">
        <v>734</v>
      </c>
      <c r="C42" t="s">
        <v>745</v>
      </c>
      <c r="D42" t="s">
        <v>139</v>
      </c>
      <c r="E42" t="s">
        <v>746</v>
      </c>
      <c r="F42" t="s">
        <v>737</v>
      </c>
      <c r="G42" t="s">
        <v>851</v>
      </c>
      <c r="H42">
        <v>94650</v>
      </c>
      <c r="I42">
        <v>2</v>
      </c>
      <c r="J42">
        <v>13</v>
      </c>
      <c r="K42">
        <v>8</v>
      </c>
      <c r="L42">
        <v>8</v>
      </c>
      <c r="M42">
        <v>20</v>
      </c>
      <c r="O42">
        <v>1</v>
      </c>
      <c r="P42">
        <v>10</v>
      </c>
      <c r="Q42">
        <v>16</v>
      </c>
      <c r="R42">
        <v>4</v>
      </c>
      <c r="S42">
        <v>2</v>
      </c>
      <c r="T42">
        <v>10</v>
      </c>
      <c r="U42">
        <v>20</v>
      </c>
      <c r="V42">
        <v>1763</v>
      </c>
      <c r="W42">
        <v>1190</v>
      </c>
      <c r="X42">
        <v>2</v>
      </c>
      <c r="Y42">
        <v>3</v>
      </c>
      <c r="Z42">
        <v>0</v>
      </c>
      <c r="AA42" s="464">
        <v>45194</v>
      </c>
      <c r="AB42" t="s">
        <v>830</v>
      </c>
      <c r="AC42" t="s">
        <v>742</v>
      </c>
      <c r="AD42">
        <v>36528</v>
      </c>
      <c r="AE42">
        <v>30440</v>
      </c>
      <c r="AF42" t="s">
        <v>821</v>
      </c>
      <c r="AG42">
        <v>321</v>
      </c>
      <c r="AH42">
        <v>1</v>
      </c>
      <c r="AI42">
        <v>1</v>
      </c>
      <c r="AJ42">
        <v>57</v>
      </c>
      <c r="AK42">
        <v>67</v>
      </c>
      <c r="AL42">
        <v>0</v>
      </c>
      <c r="AN42" t="s">
        <v>813</v>
      </c>
      <c r="AO42" t="s">
        <v>814</v>
      </c>
      <c r="AP42">
        <v>6</v>
      </c>
      <c r="AQ42" t="s">
        <v>852</v>
      </c>
      <c r="AR42" t="s">
        <v>853</v>
      </c>
      <c r="AS42" t="s">
        <v>854</v>
      </c>
      <c r="AT42" t="s">
        <v>855</v>
      </c>
      <c r="AU42" t="s">
        <v>856</v>
      </c>
      <c r="AV42">
        <v>0</v>
      </c>
      <c r="AW42" t="s">
        <v>828</v>
      </c>
    </row>
    <row r="43" spans="1:49" x14ac:dyDescent="0.25">
      <c r="A43">
        <v>15</v>
      </c>
      <c r="B43" t="s">
        <v>734</v>
      </c>
      <c r="C43" t="s">
        <v>735</v>
      </c>
      <c r="D43" t="s">
        <v>772</v>
      </c>
      <c r="E43" t="s">
        <v>773</v>
      </c>
      <c r="F43" t="s">
        <v>774</v>
      </c>
      <c r="G43" t="s">
        <v>900</v>
      </c>
      <c r="H43">
        <v>67500</v>
      </c>
      <c r="I43">
        <v>3</v>
      </c>
      <c r="J43">
        <v>9</v>
      </c>
      <c r="K43">
        <v>7</v>
      </c>
      <c r="L43">
        <v>7</v>
      </c>
      <c r="M43">
        <v>7</v>
      </c>
      <c r="O43">
        <v>1</v>
      </c>
      <c r="P43">
        <v>10</v>
      </c>
      <c r="Q43">
        <v>15</v>
      </c>
      <c r="R43">
        <v>3</v>
      </c>
      <c r="S43">
        <v>4</v>
      </c>
      <c r="T43">
        <v>11</v>
      </c>
      <c r="U43">
        <v>22</v>
      </c>
      <c r="V43">
        <v>1835</v>
      </c>
      <c r="W43">
        <v>1333</v>
      </c>
      <c r="X43">
        <v>2</v>
      </c>
      <c r="Y43">
        <v>1</v>
      </c>
      <c r="Z43">
        <v>4</v>
      </c>
      <c r="AA43" s="464">
        <v>45194</v>
      </c>
      <c r="AB43" t="s">
        <v>820</v>
      </c>
      <c r="AC43" t="s">
        <v>734</v>
      </c>
      <c r="AD43">
        <v>20856</v>
      </c>
      <c r="AE43">
        <v>17380</v>
      </c>
      <c r="AF43" t="s">
        <v>821</v>
      </c>
      <c r="AG43">
        <v>7</v>
      </c>
      <c r="AH43">
        <v>1</v>
      </c>
      <c r="AI43">
        <v>5</v>
      </c>
      <c r="AJ43">
        <v>0</v>
      </c>
      <c r="AK43">
        <v>87</v>
      </c>
      <c r="AL43">
        <v>8</v>
      </c>
      <c r="AN43" t="s">
        <v>813</v>
      </c>
      <c r="AO43" t="s">
        <v>814</v>
      </c>
      <c r="AP43" t="s">
        <v>929</v>
      </c>
      <c r="AQ43" t="s">
        <v>930</v>
      </c>
      <c r="AR43" t="s">
        <v>901</v>
      </c>
      <c r="AS43" t="s">
        <v>863</v>
      </c>
      <c r="AT43" t="s">
        <v>881</v>
      </c>
      <c r="AU43" t="s">
        <v>931</v>
      </c>
      <c r="AV43">
        <v>0</v>
      </c>
      <c r="AW43" t="s">
        <v>828</v>
      </c>
    </row>
    <row r="44" spans="1:49" x14ac:dyDescent="0.25">
      <c r="B44" t="s">
        <v>763</v>
      </c>
      <c r="C44" t="s">
        <v>764</v>
      </c>
      <c r="D44" t="s">
        <v>765</v>
      </c>
      <c r="F44" s="356">
        <v>48100</v>
      </c>
      <c r="G44" t="s">
        <v>912</v>
      </c>
      <c r="H44">
        <v>0</v>
      </c>
      <c r="I44">
        <v>6</v>
      </c>
      <c r="J44">
        <v>27</v>
      </c>
      <c r="K44">
        <v>4</v>
      </c>
      <c r="L44">
        <v>3</v>
      </c>
      <c r="M44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X44">
        <v>1</v>
      </c>
      <c r="Y44">
        <v>2</v>
      </c>
      <c r="Z44">
        <v>2</v>
      </c>
      <c r="AA44" s="464">
        <v>45190</v>
      </c>
      <c r="AB44" t="s">
        <v>913</v>
      </c>
      <c r="AC44" t="s">
        <v>792</v>
      </c>
      <c r="AD44">
        <v>300</v>
      </c>
      <c r="AE44">
        <v>250</v>
      </c>
      <c r="AF44" t="s">
        <v>821</v>
      </c>
      <c r="AG44">
        <v>420</v>
      </c>
      <c r="AH44">
        <v>0</v>
      </c>
      <c r="AI44">
        <v>0</v>
      </c>
      <c r="AJ44">
        <v>2</v>
      </c>
      <c r="AK44">
        <v>3</v>
      </c>
      <c r="AL44">
        <v>0</v>
      </c>
      <c r="AM44" t="s">
        <v>914</v>
      </c>
      <c r="AN44" t="s">
        <v>813</v>
      </c>
      <c r="AO44" t="s">
        <v>814</v>
      </c>
      <c r="AP44" t="s">
        <v>915</v>
      </c>
      <c r="AQ44" t="s">
        <v>915</v>
      </c>
      <c r="AR44" t="s">
        <v>915</v>
      </c>
      <c r="AS44" t="s">
        <v>915</v>
      </c>
      <c r="AT44" t="s">
        <v>915</v>
      </c>
      <c r="AU44" t="s">
        <v>915</v>
      </c>
      <c r="AV44">
        <v>0</v>
      </c>
      <c r="AW44" t="s">
        <v>792</v>
      </c>
    </row>
    <row r="45" spans="1:49" x14ac:dyDescent="0.25">
      <c r="B45" t="s">
        <v>763</v>
      </c>
      <c r="C45" t="s">
        <v>775</v>
      </c>
      <c r="D45" t="s">
        <v>776</v>
      </c>
      <c r="E45" t="s">
        <v>773</v>
      </c>
      <c r="F45" t="s">
        <v>777</v>
      </c>
      <c r="G45" t="s">
        <v>932</v>
      </c>
      <c r="H45">
        <v>0</v>
      </c>
      <c r="I45">
        <v>7</v>
      </c>
      <c r="J45">
        <v>13</v>
      </c>
      <c r="K45">
        <v>6</v>
      </c>
      <c r="L45">
        <v>1</v>
      </c>
      <c r="M45">
        <v>20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X45">
        <v>3</v>
      </c>
      <c r="Y45">
        <v>2</v>
      </c>
      <c r="Z45">
        <v>3</v>
      </c>
      <c r="AA45" s="464">
        <v>44763</v>
      </c>
      <c r="AB45" t="s">
        <v>913</v>
      </c>
      <c r="AC45" t="s">
        <v>816</v>
      </c>
      <c r="AD45">
        <v>300</v>
      </c>
      <c r="AE45">
        <v>250</v>
      </c>
      <c r="AF45" t="s">
        <v>821</v>
      </c>
      <c r="AG45">
        <v>23</v>
      </c>
      <c r="AH45">
        <v>0</v>
      </c>
      <c r="AI45">
        <v>0</v>
      </c>
      <c r="AJ45">
        <v>0</v>
      </c>
      <c r="AK45">
        <v>86</v>
      </c>
      <c r="AL45">
        <v>1</v>
      </c>
      <c r="AN45" t="s">
        <v>813</v>
      </c>
      <c r="AO45" t="s">
        <v>814</v>
      </c>
      <c r="AP45" t="s">
        <v>933</v>
      </c>
      <c r="AQ45" t="s">
        <v>933</v>
      </c>
      <c r="AR45" t="s">
        <v>933</v>
      </c>
      <c r="AS45" t="s">
        <v>933</v>
      </c>
      <c r="AT45" t="s">
        <v>933</v>
      </c>
      <c r="AU45" t="s">
        <v>933</v>
      </c>
      <c r="AV45">
        <v>0</v>
      </c>
      <c r="AW45" t="s">
        <v>792</v>
      </c>
    </row>
    <row r="46" spans="1:49" x14ac:dyDescent="0.25">
      <c r="C46" t="s">
        <v>738</v>
      </c>
      <c r="D46" t="s">
        <v>778</v>
      </c>
      <c r="F46" s="356">
        <v>18104</v>
      </c>
      <c r="G46" t="s">
        <v>934</v>
      </c>
      <c r="H46">
        <v>440</v>
      </c>
      <c r="I46">
        <v>4</v>
      </c>
      <c r="J46">
        <v>2</v>
      </c>
      <c r="K46">
        <v>6</v>
      </c>
      <c r="L46">
        <v>4</v>
      </c>
      <c r="M46">
        <v>20</v>
      </c>
      <c r="N46" t="s">
        <v>821</v>
      </c>
      <c r="O46">
        <v>1</v>
      </c>
      <c r="P46">
        <v>5</v>
      </c>
      <c r="Q46">
        <v>3</v>
      </c>
      <c r="R46">
        <v>4</v>
      </c>
      <c r="S46">
        <v>5</v>
      </c>
      <c r="T46">
        <v>5</v>
      </c>
      <c r="U46">
        <v>2</v>
      </c>
      <c r="V46">
        <v>340</v>
      </c>
      <c r="W46">
        <v>1674</v>
      </c>
      <c r="X46">
        <v>3</v>
      </c>
      <c r="Y46">
        <v>3</v>
      </c>
      <c r="Z46">
        <v>3</v>
      </c>
      <c r="AD46">
        <v>270</v>
      </c>
      <c r="AE46">
        <v>270</v>
      </c>
      <c r="AF46" t="s">
        <v>831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N46" t="s">
        <v>813</v>
      </c>
      <c r="AO46" t="s">
        <v>814</v>
      </c>
      <c r="AP46" t="s">
        <v>935</v>
      </c>
      <c r="AQ46" t="s">
        <v>936</v>
      </c>
      <c r="AR46" t="s">
        <v>937</v>
      </c>
      <c r="AS46" t="s">
        <v>938</v>
      </c>
      <c r="AT46" t="s">
        <v>939</v>
      </c>
      <c r="AU46" t="s">
        <v>940</v>
      </c>
      <c r="AV46">
        <v>0</v>
      </c>
      <c r="AW46" t="s">
        <v>928</v>
      </c>
    </row>
    <row r="47" spans="1:49" x14ac:dyDescent="0.25">
      <c r="C47" t="s">
        <v>738</v>
      </c>
      <c r="D47" t="s">
        <v>779</v>
      </c>
      <c r="E47" t="s">
        <v>780</v>
      </c>
      <c r="F47" t="s">
        <v>781</v>
      </c>
      <c r="G47" t="s">
        <v>941</v>
      </c>
      <c r="H47">
        <v>400</v>
      </c>
      <c r="I47">
        <v>5</v>
      </c>
      <c r="J47">
        <v>2</v>
      </c>
      <c r="K47">
        <v>6</v>
      </c>
      <c r="L47">
        <v>6</v>
      </c>
      <c r="M47">
        <v>20</v>
      </c>
      <c r="N47" t="s">
        <v>821</v>
      </c>
      <c r="O47">
        <v>1</v>
      </c>
      <c r="P47">
        <v>4</v>
      </c>
      <c r="Q47">
        <v>2</v>
      </c>
      <c r="R47">
        <v>7</v>
      </c>
      <c r="S47">
        <v>2</v>
      </c>
      <c r="T47">
        <v>3</v>
      </c>
      <c r="U47">
        <v>1</v>
      </c>
      <c r="V47">
        <v>240</v>
      </c>
      <c r="W47">
        <v>1526</v>
      </c>
      <c r="X47">
        <v>2</v>
      </c>
      <c r="Y47">
        <v>0</v>
      </c>
      <c r="Z47">
        <v>1</v>
      </c>
      <c r="AA47" s="464">
        <v>45190</v>
      </c>
      <c r="AB47" t="s">
        <v>942</v>
      </c>
      <c r="AC47" t="s">
        <v>815</v>
      </c>
      <c r="AD47">
        <v>310</v>
      </c>
      <c r="AE47">
        <v>310</v>
      </c>
      <c r="AF47" t="s">
        <v>831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N47" t="s">
        <v>813</v>
      </c>
      <c r="AO47" t="s">
        <v>814</v>
      </c>
      <c r="AP47" t="s">
        <v>943</v>
      </c>
      <c r="AQ47" t="s">
        <v>944</v>
      </c>
      <c r="AR47" t="s">
        <v>945</v>
      </c>
      <c r="AS47" t="s">
        <v>946</v>
      </c>
      <c r="AT47" t="s">
        <v>947</v>
      </c>
      <c r="AU47" t="s">
        <v>948</v>
      </c>
      <c r="AV47" t="s">
        <v>949</v>
      </c>
      <c r="AW47" t="s">
        <v>928</v>
      </c>
    </row>
    <row r="48" spans="1:49" x14ac:dyDescent="0.25">
      <c r="C48" t="s">
        <v>738</v>
      </c>
      <c r="D48" t="s">
        <v>782</v>
      </c>
      <c r="F48" t="s">
        <v>783</v>
      </c>
      <c r="G48" t="s">
        <v>950</v>
      </c>
      <c r="H48">
        <v>680</v>
      </c>
      <c r="I48">
        <v>4</v>
      </c>
      <c r="J48">
        <v>1</v>
      </c>
      <c r="K48">
        <v>4</v>
      </c>
      <c r="L48">
        <v>7</v>
      </c>
      <c r="M48">
        <v>20</v>
      </c>
      <c r="N48" t="s">
        <v>821</v>
      </c>
      <c r="O48">
        <v>1</v>
      </c>
      <c r="P48">
        <v>6</v>
      </c>
      <c r="Q48">
        <v>4</v>
      </c>
      <c r="R48">
        <v>6</v>
      </c>
      <c r="S48">
        <v>3</v>
      </c>
      <c r="T48">
        <v>5</v>
      </c>
      <c r="U48">
        <v>4</v>
      </c>
      <c r="V48">
        <v>402</v>
      </c>
      <c r="W48">
        <v>1973</v>
      </c>
      <c r="X48">
        <v>2</v>
      </c>
      <c r="Y48">
        <v>3</v>
      </c>
      <c r="Z48">
        <v>2</v>
      </c>
      <c r="AA48" s="464">
        <v>45190</v>
      </c>
      <c r="AB48">
        <v>2</v>
      </c>
      <c r="AC48" t="s">
        <v>815</v>
      </c>
      <c r="AD48">
        <v>290</v>
      </c>
      <c r="AE48">
        <v>290</v>
      </c>
      <c r="AF48" t="s">
        <v>831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N48" t="s">
        <v>813</v>
      </c>
      <c r="AO48" t="s">
        <v>814</v>
      </c>
      <c r="AP48" t="s">
        <v>951</v>
      </c>
      <c r="AQ48" t="s">
        <v>920</v>
      </c>
      <c r="AR48" t="s">
        <v>952</v>
      </c>
      <c r="AS48" t="s">
        <v>946</v>
      </c>
      <c r="AT48" t="s">
        <v>953</v>
      </c>
      <c r="AU48" t="s">
        <v>945</v>
      </c>
      <c r="AV48">
        <v>0</v>
      </c>
      <c r="AW48" t="s">
        <v>928</v>
      </c>
    </row>
    <row r="49" spans="3:49" x14ac:dyDescent="0.25">
      <c r="C49" t="s">
        <v>738</v>
      </c>
      <c r="D49" t="s">
        <v>784</v>
      </c>
      <c r="F49" t="s">
        <v>785</v>
      </c>
      <c r="G49" t="s">
        <v>954</v>
      </c>
      <c r="H49">
        <v>710</v>
      </c>
      <c r="I49">
        <v>3</v>
      </c>
      <c r="J49">
        <v>2</v>
      </c>
      <c r="K49">
        <v>5</v>
      </c>
      <c r="L49">
        <v>7</v>
      </c>
      <c r="M49">
        <v>20</v>
      </c>
      <c r="N49" t="s">
        <v>821</v>
      </c>
      <c r="O49">
        <v>1</v>
      </c>
      <c r="P49">
        <v>3</v>
      </c>
      <c r="Q49">
        <v>5</v>
      </c>
      <c r="R49">
        <v>6</v>
      </c>
      <c r="S49">
        <v>3</v>
      </c>
      <c r="T49">
        <v>4</v>
      </c>
      <c r="U49">
        <v>4</v>
      </c>
      <c r="V49">
        <v>305</v>
      </c>
      <c r="W49">
        <v>1878</v>
      </c>
      <c r="X49">
        <v>2</v>
      </c>
      <c r="Y49">
        <v>0</v>
      </c>
      <c r="Z49">
        <v>2</v>
      </c>
      <c r="AA49" s="464">
        <v>45190</v>
      </c>
      <c r="AB49">
        <v>2</v>
      </c>
      <c r="AC49" t="s">
        <v>747</v>
      </c>
      <c r="AD49">
        <v>290</v>
      </c>
      <c r="AE49">
        <v>290</v>
      </c>
      <c r="AF49" t="s">
        <v>831</v>
      </c>
      <c r="AG49">
        <v>3</v>
      </c>
      <c r="AH49">
        <v>0</v>
      </c>
      <c r="AI49">
        <v>0</v>
      </c>
      <c r="AJ49">
        <v>0</v>
      </c>
      <c r="AK49">
        <v>0</v>
      </c>
      <c r="AL49">
        <v>0</v>
      </c>
      <c r="AN49" t="s">
        <v>813</v>
      </c>
      <c r="AO49" t="s">
        <v>814</v>
      </c>
      <c r="AP49" t="s">
        <v>955</v>
      </c>
      <c r="AQ49" t="s">
        <v>956</v>
      </c>
      <c r="AR49" t="s">
        <v>957</v>
      </c>
      <c r="AS49" t="s">
        <v>958</v>
      </c>
      <c r="AT49" t="s">
        <v>959</v>
      </c>
      <c r="AU49" t="s">
        <v>920</v>
      </c>
      <c r="AV49">
        <v>0</v>
      </c>
      <c r="AW49" t="s">
        <v>960</v>
      </c>
    </row>
  </sheetData>
  <sortState xmlns:xlrd2="http://schemas.microsoft.com/office/spreadsheetml/2017/richdata2" ref="A2:AW23">
    <sortCondition descending="1" ref="B3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24"/>
  <sheetViews>
    <sheetView tabSelected="1" zoomScale="120" zoomScaleNormal="120" workbookViewId="0">
      <pane xSplit="7" ySplit="3" topLeftCell="Q4" activePane="bottomRight" state="frozen"/>
      <selection pane="topRight"/>
      <selection pane="bottomLeft"/>
      <selection pane="bottomRight" activeCell="C15" sqref="C15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18.42578125" style="52" customWidth="1"/>
    <col min="4" max="4" width="5.5703125" customWidth="1"/>
    <col min="5" max="5" width="4.5703125" style="56" customWidth="1"/>
    <col min="6" max="6" width="3.7109375" style="3" customWidth="1"/>
    <col min="7" max="7" width="4.85546875" customWidth="1"/>
    <col min="8" max="8" width="4.5703125" customWidth="1"/>
    <col min="9" max="9" width="4.7109375" style="56" customWidth="1"/>
    <col min="10" max="10" width="5.140625" customWidth="1"/>
    <col min="11" max="11" width="4.28515625" style="56" customWidth="1"/>
    <col min="12" max="12" width="5" style="56" customWidth="1"/>
    <col min="13" max="13" width="5.5703125" style="56" customWidth="1"/>
    <col min="14" max="14" width="4.140625" style="56" customWidth="1"/>
    <col min="15" max="16" width="5.7109375" style="56" customWidth="1"/>
    <col min="17" max="17" width="12.7109375" bestFit="1" customWidth="1"/>
    <col min="18" max="18" width="7" bestFit="1" customWidth="1"/>
    <col min="19" max="19" width="11.140625" style="46" customWidth="1"/>
    <col min="20" max="20" width="7.5703125" style="46" customWidth="1"/>
    <col min="21" max="21" width="6.85546875" style="46" bestFit="1" customWidth="1"/>
    <col min="22" max="25" width="6.140625" customWidth="1"/>
    <col min="26" max="26" width="5.5703125" customWidth="1"/>
    <col min="27" max="27" width="6.140625" customWidth="1"/>
    <col min="28" max="28" width="9.5703125" style="46" customWidth="1"/>
    <col min="29" max="30" width="4.5703125" style="199" customWidth="1"/>
    <col min="31" max="31" width="7" style="286" bestFit="1" customWidth="1"/>
    <col min="32" max="32" width="7.5703125" style="199" bestFit="1" customWidth="1"/>
    <col min="33" max="33" width="6" style="199" bestFit="1" customWidth="1"/>
    <col min="34" max="34" width="6.5703125" style="199" customWidth="1"/>
    <col min="35" max="35" width="7" style="199" customWidth="1"/>
    <col min="36" max="36" width="4.140625" customWidth="1"/>
    <col min="37" max="37" width="4.28515625" customWidth="1"/>
    <col min="38" max="38" width="5.28515625" customWidth="1"/>
    <col min="39" max="39" width="10.5703125" bestFit="1" customWidth="1"/>
    <col min="40" max="40" width="10.42578125" style="56" customWidth="1"/>
  </cols>
  <sheetData>
    <row r="1" spans="1:45" s="62" customFormat="1" x14ac:dyDescent="0.25">
      <c r="C1" s="92">
        <f ca="1">TODAY()</f>
        <v>45194</v>
      </c>
      <c r="D1" s="442">
        <v>41471</v>
      </c>
      <c r="E1" s="442"/>
      <c r="F1" s="63"/>
      <c r="G1" s="63"/>
      <c r="H1" s="63"/>
      <c r="I1" s="64"/>
      <c r="J1" s="63"/>
      <c r="K1" s="64"/>
      <c r="L1" s="64"/>
      <c r="M1" s="64"/>
      <c r="N1" s="171"/>
      <c r="O1" s="64"/>
      <c r="P1" s="64"/>
      <c r="Q1" s="63"/>
      <c r="R1" s="63"/>
      <c r="S1" s="63"/>
      <c r="T1" s="63"/>
      <c r="U1" s="83"/>
      <c r="V1" s="63"/>
      <c r="W1" s="63"/>
      <c r="X1" s="63"/>
      <c r="Y1" s="63"/>
      <c r="Z1" s="63"/>
      <c r="AA1" s="63"/>
      <c r="AB1" s="83"/>
      <c r="AC1" s="192"/>
      <c r="AD1" s="192"/>
      <c r="AE1" s="283"/>
      <c r="AF1" s="193"/>
      <c r="AG1" s="194"/>
      <c r="AH1" s="193"/>
      <c r="AI1" s="193"/>
      <c r="AJ1" s="63"/>
      <c r="AK1" s="63"/>
      <c r="AL1" s="63"/>
      <c r="AN1" s="64"/>
    </row>
    <row r="2" spans="1:45" s="2" customFormat="1" x14ac:dyDescent="0.25">
      <c r="A2" s="2">
        <v>16</v>
      </c>
      <c r="B2" s="69"/>
      <c r="C2" s="180"/>
      <c r="D2" s="171"/>
      <c r="G2" s="181">
        <f>AVERAGE(G4:G19)</f>
        <v>11.4375</v>
      </c>
      <c r="H2" s="171"/>
      <c r="I2" s="171"/>
      <c r="K2" s="181">
        <f>AVERAGE(K4:K19)</f>
        <v>6.75</v>
      </c>
      <c r="L2" s="171"/>
      <c r="M2" s="171"/>
      <c r="N2" s="181">
        <f>AVERAGE(N4:N19)</f>
        <v>5.8125</v>
      </c>
      <c r="O2" s="181">
        <f>AVERAGE(O4:O19)</f>
        <v>0.90934954424559467</v>
      </c>
      <c r="P2" s="181">
        <f>AVERAGE(P4:P19)</f>
        <v>0.97576925320964281</v>
      </c>
      <c r="Q2" s="465">
        <f>SUM(Q4:Q19)</f>
        <v>1645980</v>
      </c>
      <c r="R2" s="465">
        <f>SUM(R4:R19)</f>
        <v>0</v>
      </c>
      <c r="S2" s="465">
        <f>SUM(S4:S19)</f>
        <v>519380</v>
      </c>
      <c r="T2" s="181">
        <f>AVERAGE(T4:T19)</f>
        <v>3.2498857564753054</v>
      </c>
      <c r="U2" s="182"/>
      <c r="V2" s="182"/>
      <c r="W2" s="182"/>
      <c r="X2" s="182"/>
      <c r="Y2" s="182"/>
      <c r="Z2" s="182"/>
      <c r="AA2" s="182">
        <f>AVERAGE(AA4:AA17)</f>
        <v>18.642857142857142</v>
      </c>
      <c r="AB2" s="71"/>
      <c r="AC2" s="195"/>
      <c r="AD2" s="195"/>
      <c r="AE2" s="284"/>
      <c r="AF2" s="196"/>
      <c r="AG2" s="196"/>
      <c r="AH2" s="196"/>
      <c r="AI2" s="196"/>
      <c r="AN2" s="171"/>
    </row>
    <row r="3" spans="1:45" x14ac:dyDescent="0.25">
      <c r="A3" s="76" t="s">
        <v>961</v>
      </c>
      <c r="B3" s="76" t="s">
        <v>83</v>
      </c>
      <c r="C3" s="78" t="s">
        <v>84</v>
      </c>
      <c r="D3" s="76" t="s">
        <v>148</v>
      </c>
      <c r="E3" s="76" t="s">
        <v>87</v>
      </c>
      <c r="F3" s="76" t="s">
        <v>88</v>
      </c>
      <c r="G3" s="76" t="s">
        <v>89</v>
      </c>
      <c r="H3" s="76" t="s">
        <v>90</v>
      </c>
      <c r="I3" s="79" t="s">
        <v>91</v>
      </c>
      <c r="J3" s="79" t="s">
        <v>92</v>
      </c>
      <c r="K3" s="76" t="s">
        <v>93</v>
      </c>
      <c r="L3" s="76" t="s">
        <v>94</v>
      </c>
      <c r="M3" s="76" t="s">
        <v>96</v>
      </c>
      <c r="N3" s="76" t="s">
        <v>97</v>
      </c>
      <c r="O3" s="126" t="s">
        <v>98</v>
      </c>
      <c r="P3" s="126" t="s">
        <v>99</v>
      </c>
      <c r="Q3" s="76" t="s">
        <v>100</v>
      </c>
      <c r="R3" s="76" t="s">
        <v>101</v>
      </c>
      <c r="S3" s="76" t="s">
        <v>102</v>
      </c>
      <c r="T3" s="76" t="s">
        <v>103</v>
      </c>
      <c r="U3" s="76" t="s">
        <v>104</v>
      </c>
      <c r="V3" s="76" t="s">
        <v>105</v>
      </c>
      <c r="W3" s="76" t="s">
        <v>106</v>
      </c>
      <c r="X3" s="76" t="s">
        <v>107</v>
      </c>
      <c r="Y3" s="76" t="s">
        <v>108</v>
      </c>
      <c r="Z3" s="76" t="s">
        <v>109</v>
      </c>
      <c r="AA3" s="76" t="s">
        <v>87</v>
      </c>
      <c r="AB3" s="76" t="s">
        <v>110</v>
      </c>
      <c r="AC3" s="91" t="s">
        <v>111</v>
      </c>
      <c r="AD3" s="91" t="s">
        <v>112</v>
      </c>
      <c r="AE3" s="285" t="s">
        <v>113</v>
      </c>
      <c r="AF3" s="91" t="s">
        <v>610</v>
      </c>
      <c r="AG3" s="91" t="s">
        <v>114</v>
      </c>
      <c r="AH3" s="91" t="s">
        <v>115</v>
      </c>
      <c r="AI3" s="91" t="s">
        <v>116</v>
      </c>
      <c r="AJ3" s="76" t="s">
        <v>117</v>
      </c>
      <c r="AK3" s="76" t="s">
        <v>118</v>
      </c>
      <c r="AL3" s="76" t="s">
        <v>119</v>
      </c>
      <c r="AM3" s="105" t="s">
        <v>123</v>
      </c>
      <c r="AN3" s="76" t="s">
        <v>95</v>
      </c>
      <c r="AP3" s="95"/>
      <c r="AR3" s="423"/>
      <c r="AS3" s="95"/>
    </row>
    <row r="4" spans="1:45" x14ac:dyDescent="0.25">
      <c r="A4" s="203">
        <f>'HT-ListaJugadores'!A2</f>
        <v>1</v>
      </c>
      <c r="B4" s="203" t="str">
        <f>'HT-ListaJugadores'!B2</f>
        <v>GK</v>
      </c>
      <c r="C4" s="437" t="str">
        <f>'HT-ListaJugadores'!D2</f>
        <v>A. Shafeeu</v>
      </c>
      <c r="D4" s="204" t="str">
        <f>'HT-ListaJugadores'!F2</f>
        <v>30.89</v>
      </c>
      <c r="E4" s="205" t="str">
        <f>LEFT('HT-ListaJugadores'!E2,3)</f>
        <v/>
      </c>
      <c r="F4" s="206">
        <f>'HT-ListaJugadores'!I2-1</f>
        <v>4</v>
      </c>
      <c r="G4" s="207">
        <f>'HT-ListaJugadores'!J2-1</f>
        <v>10</v>
      </c>
      <c r="H4" s="123">
        <f t="shared" ref="H4:H19" si="0">LOG(G4+1)*4/3</f>
        <v>1.3885235802109668</v>
      </c>
      <c r="I4" s="80">
        <f t="shared" ref="I4" si="1">(F4)*(F4)*(G4)</f>
        <v>160</v>
      </c>
      <c r="J4" s="80">
        <f t="shared" ref="J4" si="2">(F4+1)*(F4+1)*G4</f>
        <v>250</v>
      </c>
      <c r="K4" s="208">
        <f>'HT-ListaJugadores'!L2-1</f>
        <v>7</v>
      </c>
      <c r="L4" s="121">
        <f t="shared" ref="L4" si="3">K4*10+19</f>
        <v>89</v>
      </c>
      <c r="M4" s="176">
        <f ca="1">IF((TODAY()-AN4)&gt;335,1,((TODAY()-AN4)^0.64)/(336^0.64))</f>
        <v>0.55790014502880092</v>
      </c>
      <c r="N4" s="209">
        <f>'HT-ListaJugadores'!K2-1</f>
        <v>6</v>
      </c>
      <c r="O4" s="136">
        <f t="shared" ref="O4" si="4">(N4/7)^0.5</f>
        <v>0.92582009977255142</v>
      </c>
      <c r="P4" s="136">
        <f t="shared" ref="P4" si="5">IF(N4=7,1,((N4+0.99)/7)^0.5)</f>
        <v>0.99928545900129484</v>
      </c>
      <c r="Q4" s="210">
        <f>'HT-ListaJugadores'!H2</f>
        <v>71590</v>
      </c>
      <c r="R4" s="170">
        <f t="shared" ref="R4" si="6">Q4-AM4</f>
        <v>0</v>
      </c>
      <c r="S4" s="210">
        <f>'HT-ListaJugadores'!AD2</f>
        <v>28188</v>
      </c>
      <c r="T4" s="85">
        <f t="shared" ref="T4:T19" si="7">Q4/S4</f>
        <v>2.5397332198098481</v>
      </c>
      <c r="U4" s="211">
        <f>'HT-ListaJugadores'!O2-1</f>
        <v>15</v>
      </c>
      <c r="V4" s="211">
        <f>'HT-ListaJugadores'!P2-1</f>
        <v>12</v>
      </c>
      <c r="W4" s="211">
        <f>'HT-ListaJugadores'!Q2-1</f>
        <v>0</v>
      </c>
      <c r="X4" s="211">
        <f>'HT-ListaJugadores'!R2-1</f>
        <v>-1</v>
      </c>
      <c r="Y4" s="211">
        <f>'HT-ListaJugadores'!S2-1</f>
        <v>2</v>
      </c>
      <c r="Z4" s="211">
        <f>'HT-ListaJugadores'!T2-1</f>
        <v>2</v>
      </c>
      <c r="AA4" s="211">
        <f>'HT-ListaJugadores'!U2-1</f>
        <v>17</v>
      </c>
      <c r="AB4" s="212">
        <f>'HT-ListaJugadores'!V2</f>
        <v>1380</v>
      </c>
      <c r="AC4" s="197">
        <f ca="1">(W4+M4+H4)*(N4/7)^0.5</f>
        <v>1.8020382075011427</v>
      </c>
      <c r="AD4" s="197">
        <f ca="1">(W4+M4+H4)*(IF(N4=7,(N4/7)^0.5,((N4+1)/7)^0.5))</f>
        <v>1.9464237252397676</v>
      </c>
      <c r="AE4" s="355">
        <f ca="1">(1.66*(Z4+H4+M4)+0.55*(AA4+H4+M4)-7.6)*(N4/7)^0.5</f>
        <v>8.6764123444243619</v>
      </c>
      <c r="AF4" s="85">
        <f ca="1">(1.66*(Z4+H4+M4)+0.55*(AA4+H4+M4)-7.6)</f>
        <v>9.3715964327798869</v>
      </c>
      <c r="AG4" s="354">
        <f ca="1">((AA4+H4+M4)*0.7+(Z4+H4+M4)*0.3)*(N4/7)^0.5</f>
        <v>13.374789454658034</v>
      </c>
      <c r="AH4" s="198">
        <f ca="1">(AA4+M4+(LOG(G4)*4/3))*(N4/7)^0.5</f>
        <v>17.489883663763791</v>
      </c>
      <c r="AI4" s="198">
        <f ca="1">(AA4+M4+(LOG(G4)*4/3))*(IF(N4=7,(N4/7)^0.5,((N4+1)/7)^0.5))</f>
        <v>18.891233478362132</v>
      </c>
      <c r="AJ4" s="209">
        <f>'HT-ListaJugadores'!Y2</f>
        <v>0</v>
      </c>
      <c r="AK4" s="209">
        <f>'HT-ListaJugadores'!Z2</f>
        <v>2</v>
      </c>
      <c r="AL4" s="136">
        <f t="shared" ref="AL4:AL19" si="8">IF(AJ4=4,IF(AK4=0,0.137+0.0697,0.137+0.02),IF(AJ4=3,IF(AK4=0,0.0958+0.0697,0.0958+0.02),IF(AJ4=2,IF(AK4=0,0.0415+0.0697,0.0415+0.02),IF(AJ4=1,IF(AK4=0,0.0294+0.0697,0.0294+0.02),IF(AJ4=0,IF(AK4=0,0.0063+0.0697,0.0063+0.02))))))</f>
        <v>2.63E-2</v>
      </c>
      <c r="AM4" s="210">
        <v>71590</v>
      </c>
      <c r="AN4" s="282">
        <v>45059</v>
      </c>
      <c r="AO4" s="95"/>
      <c r="AP4" s="422"/>
      <c r="AQ4" s="95"/>
    </row>
    <row r="5" spans="1:45" s="62" customFormat="1" x14ac:dyDescent="0.25">
      <c r="A5" s="203">
        <f>'HT-ListaJugadores'!A3</f>
        <v>6</v>
      </c>
      <c r="B5" s="203" t="str">
        <f>'HT-ListaJugadores'!B3</f>
        <v>WB</v>
      </c>
      <c r="C5" s="437" t="str">
        <f>'HT-ListaJugadores'!D3</f>
        <v>V. Gardner</v>
      </c>
      <c r="D5" s="204" t="str">
        <f>'HT-ListaJugadores'!F3</f>
        <v>32.68</v>
      </c>
      <c r="E5" s="205" t="str">
        <f>LEFT('HT-ListaJugadores'!E3,3)</f>
        <v/>
      </c>
      <c r="F5" s="206">
        <f>'HT-ListaJugadores'!I3-1</f>
        <v>3</v>
      </c>
      <c r="G5" s="207">
        <f>'HT-ListaJugadores'!J3-1</f>
        <v>10</v>
      </c>
      <c r="H5" s="123">
        <f t="shared" si="0"/>
        <v>1.3885235802109668</v>
      </c>
      <c r="I5" s="80">
        <f t="shared" ref="I5:I19" si="9">(F5)*(F5)*(G5)</f>
        <v>90</v>
      </c>
      <c r="J5" s="80">
        <f t="shared" ref="J5:J19" si="10">(F5+1)*(F5+1)*G5</f>
        <v>160</v>
      </c>
      <c r="K5" s="208">
        <f>'HT-ListaJugadores'!L3-1</f>
        <v>7</v>
      </c>
      <c r="L5" s="121">
        <f t="shared" ref="L5:L19" si="11">K5*10+19</f>
        <v>89</v>
      </c>
      <c r="M5" s="176">
        <f t="shared" ref="M5:M19" ca="1" si="12">IF((TODAY()-AN5)&gt;335,1,((TODAY()-AN5)^0.64)/(336^0.64))</f>
        <v>1</v>
      </c>
      <c r="N5" s="209">
        <f>'HT-ListaJugadores'!K3-1</f>
        <v>6</v>
      </c>
      <c r="O5" s="136">
        <f t="shared" ref="O5:O19" si="13">(N5/7)^0.5</f>
        <v>0.92582009977255142</v>
      </c>
      <c r="P5" s="136">
        <f t="shared" ref="P5:P19" si="14">IF(N5=7,1,((N5+0.99)/7)^0.5)</f>
        <v>0.99928545900129484</v>
      </c>
      <c r="Q5" s="210">
        <f>'HT-ListaJugadores'!H3</f>
        <v>59610</v>
      </c>
      <c r="R5" s="170">
        <f t="shared" ref="R5:R19" si="15">Q5-AM5</f>
        <v>0</v>
      </c>
      <c r="S5" s="210">
        <f>'HT-ListaJugadores'!AD3</f>
        <v>18290</v>
      </c>
      <c r="T5" s="85">
        <f t="shared" si="7"/>
        <v>3.2591580098414434</v>
      </c>
      <c r="U5" s="211">
        <f>'HT-ListaJugadores'!O3-1</f>
        <v>0</v>
      </c>
      <c r="V5" s="211">
        <f>'HT-ListaJugadores'!P3-1</f>
        <v>15</v>
      </c>
      <c r="W5" s="211">
        <f>'HT-ListaJugadores'!Q3-1</f>
        <v>8</v>
      </c>
      <c r="X5" s="211">
        <f>'HT-ListaJugadores'!R3-1</f>
        <v>3</v>
      </c>
      <c r="Y5" s="211">
        <f>'HT-ListaJugadores'!S3-1</f>
        <v>4</v>
      </c>
      <c r="Z5" s="211">
        <f>'HT-ListaJugadores'!T3-1</f>
        <v>7</v>
      </c>
      <c r="AA5" s="211">
        <f>'HT-ListaJugadores'!U3-1</f>
        <v>19</v>
      </c>
      <c r="AB5" s="212">
        <f>'HT-ListaJugadores'!V3</f>
        <v>1775</v>
      </c>
      <c r="AC5" s="197">
        <f t="shared" ref="AC5:AC19" ca="1" si="16">(W5+M5+H5)*(N5/7)^0.5</f>
        <v>9.6179039375204205</v>
      </c>
      <c r="AD5" s="197">
        <f t="shared" ref="AD5:AD19" ca="1" si="17">(W5+M5+H5)*(IF(N5=7,(N5/7)^0.5,((N5+1)/7)^0.5))</f>
        <v>10.388523580210967</v>
      </c>
      <c r="AE5" s="355">
        <f t="shared" ref="AE5:AE19" ca="1" si="18">(1.66*(Z5+H5+M5)+0.55*(AA5+H5+M5)-7.6)*(N5/7)^0.5</f>
        <v>18.283685181650238</v>
      </c>
      <c r="AF5" s="85">
        <f t="shared" ref="AF5:AF19" ca="1" si="19">(1.66*(Z5+H5+M5)+0.55*(AA5+H5+M5)-7.6)</f>
        <v>19.748637112266238</v>
      </c>
      <c r="AG5" s="354">
        <f t="shared" ref="AG5:AG19" ca="1" si="20">((AA5+H5+M5)*0.7+(Z5+H5+M5)*0.3)*(N5/7)^0.5</f>
        <v>16.4689726758373</v>
      </c>
      <c r="AH5" s="198">
        <f t="shared" ref="AH5:AH19" ca="1" si="21">(AA5+M5+(LOG(G5)*4/3))*(N5/7)^0.5</f>
        <v>19.750828795147761</v>
      </c>
      <c r="AI5" s="198">
        <f t="shared" ref="AI5:AI19" ca="1" si="22">(AA5+M5+(LOG(G5)*4/3))*(IF(N5=7,(N5/7)^0.5,((N5+1)/7)^0.5))</f>
        <v>21.333333333333332</v>
      </c>
      <c r="AJ5" s="209">
        <f>'HT-ListaJugadores'!Y3</f>
        <v>3</v>
      </c>
      <c r="AK5" s="209">
        <f>'HT-ListaJugadores'!Z3</f>
        <v>1</v>
      </c>
      <c r="AL5" s="136">
        <f t="shared" si="8"/>
        <v>0.1158</v>
      </c>
      <c r="AM5" s="210">
        <v>59610</v>
      </c>
      <c r="AN5" s="201">
        <v>43756</v>
      </c>
      <c r="AO5" s="95"/>
      <c r="AP5" s="422"/>
      <c r="AQ5" s="95"/>
    </row>
    <row r="6" spans="1:45" x14ac:dyDescent="0.25">
      <c r="A6" s="203">
        <f>'HT-ListaJugadores'!A4</f>
        <v>13</v>
      </c>
      <c r="B6" s="203" t="str">
        <f>'HT-ListaJugadores'!B4</f>
        <v>WB</v>
      </c>
      <c r="C6" s="437" t="str">
        <f>'HT-ListaJugadores'!D4</f>
        <v>A. Grimaud</v>
      </c>
      <c r="D6" s="204" t="str">
        <f>'HT-ListaJugadores'!F4</f>
        <v>32.79</v>
      </c>
      <c r="E6" s="205" t="str">
        <f>LEFT('HT-ListaJugadores'!E4,3)</f>
        <v>Ráp</v>
      </c>
      <c r="F6" s="206">
        <f>'HT-ListaJugadores'!I4-1</f>
        <v>2</v>
      </c>
      <c r="G6" s="207">
        <f>'HT-ListaJugadores'!J4-1</f>
        <v>12</v>
      </c>
      <c r="H6" s="123">
        <f t="shared" si="0"/>
        <v>1.4852578030757824</v>
      </c>
      <c r="I6" s="80">
        <f t="shared" si="9"/>
        <v>48</v>
      </c>
      <c r="J6" s="80">
        <f t="shared" si="10"/>
        <v>108</v>
      </c>
      <c r="K6" s="208">
        <f>'HT-ListaJugadores'!L4-1</f>
        <v>7</v>
      </c>
      <c r="L6" s="121">
        <f t="shared" si="11"/>
        <v>89</v>
      </c>
      <c r="M6" s="176">
        <f t="shared" ca="1" si="12"/>
        <v>1</v>
      </c>
      <c r="N6" s="209">
        <f>'HT-ListaJugadores'!K4-1</f>
        <v>6</v>
      </c>
      <c r="O6" s="136">
        <f t="shared" si="13"/>
        <v>0.92582009977255142</v>
      </c>
      <c r="P6" s="136">
        <f t="shared" si="14"/>
        <v>0.99928545900129484</v>
      </c>
      <c r="Q6" s="210">
        <f>'HT-ListaJugadores'!H4</f>
        <v>65990</v>
      </c>
      <c r="R6" s="170">
        <f t="shared" si="15"/>
        <v>0</v>
      </c>
      <c r="S6" s="210">
        <f>'HT-ListaJugadores'!AD4</f>
        <v>22860</v>
      </c>
      <c r="T6" s="85">
        <f t="shared" si="7"/>
        <v>2.8867016622922135</v>
      </c>
      <c r="U6" s="211">
        <f>'HT-ListaJugadores'!O4-1</f>
        <v>0</v>
      </c>
      <c r="V6" s="211">
        <f>'HT-ListaJugadores'!P4-1</f>
        <v>14</v>
      </c>
      <c r="W6" s="211">
        <f>'HT-ListaJugadores'!Q4-1</f>
        <v>10</v>
      </c>
      <c r="X6" s="211">
        <f>'HT-ListaJugadores'!R4-1</f>
        <v>2</v>
      </c>
      <c r="Y6" s="211">
        <f>'HT-ListaJugadores'!S4-1</f>
        <v>3</v>
      </c>
      <c r="Z6" s="211">
        <f>'HT-ListaJugadores'!T4-1</f>
        <v>7</v>
      </c>
      <c r="AA6" s="211">
        <f>'HT-ListaJugadores'!U4-1</f>
        <v>18</v>
      </c>
      <c r="AB6" s="212">
        <f>'HT-ListaJugadores'!V4</f>
        <v>1671</v>
      </c>
      <c r="AC6" s="197">
        <f t="shared" ca="1" si="16"/>
        <v>11.559102624929647</v>
      </c>
      <c r="AD6" s="197">
        <f t="shared" ca="1" si="17"/>
        <v>12.485257803075783</v>
      </c>
      <c r="AE6" s="355">
        <f t="shared" ca="1" si="18"/>
        <v>17.972408384955052</v>
      </c>
      <c r="AF6" s="85">
        <f t="shared" ca="1" si="19"/>
        <v>19.412419744797482</v>
      </c>
      <c r="AG6" s="354">
        <f t="shared" ca="1" si="20"/>
        <v>15.910457093860638</v>
      </c>
      <c r="AH6" s="198">
        <f t="shared" ca="1" si="21"/>
        <v>18.922752147529781</v>
      </c>
      <c r="AI6" s="198">
        <f t="shared" ca="1" si="22"/>
        <v>20.438908328063501</v>
      </c>
      <c r="AJ6" s="209">
        <f>'HT-ListaJugadores'!Y4</f>
        <v>2</v>
      </c>
      <c r="AK6" s="209">
        <f>'HT-ListaJugadores'!Z4</f>
        <v>2</v>
      </c>
      <c r="AL6" s="136">
        <f t="shared" si="8"/>
        <v>6.1499999999999999E-2</v>
      </c>
      <c r="AM6" s="210">
        <v>65990</v>
      </c>
      <c r="AN6" s="201">
        <v>43739</v>
      </c>
      <c r="AO6" s="95"/>
      <c r="AP6" s="422"/>
      <c r="AQ6" s="95"/>
    </row>
    <row r="7" spans="1:45" s="62" customFormat="1" x14ac:dyDescent="0.25">
      <c r="A7" s="203">
        <f>'HT-ListaJugadores'!A5</f>
        <v>5</v>
      </c>
      <c r="B7" s="203" t="str">
        <f>'HT-ListaJugadores'!B5</f>
        <v>WB</v>
      </c>
      <c r="C7" s="437" t="str">
        <f>'HT-ListaJugadores'!D5</f>
        <v>C. Mosser</v>
      </c>
      <c r="D7" s="204" t="str">
        <f>'HT-ListaJugadores'!F5</f>
        <v>30.96</v>
      </c>
      <c r="E7" s="205" t="str">
        <f>LEFT('HT-ListaJugadores'!E5,3)</f>
        <v>Cab</v>
      </c>
      <c r="F7" s="206">
        <f>'HT-ListaJugadores'!I5-1</f>
        <v>3</v>
      </c>
      <c r="G7" s="207">
        <f>'HT-ListaJugadores'!J5-1</f>
        <v>10</v>
      </c>
      <c r="H7" s="123">
        <f t="shared" si="0"/>
        <v>1.3885235802109668</v>
      </c>
      <c r="I7" s="80">
        <f t="shared" si="9"/>
        <v>90</v>
      </c>
      <c r="J7" s="80">
        <f t="shared" si="10"/>
        <v>160</v>
      </c>
      <c r="K7" s="208">
        <f>'HT-ListaJugadores'!L5-1</f>
        <v>6</v>
      </c>
      <c r="L7" s="121">
        <f t="shared" si="11"/>
        <v>79</v>
      </c>
      <c r="M7" s="176">
        <f t="shared" ca="1" si="12"/>
        <v>0.1895939470598198</v>
      </c>
      <c r="N7" s="209">
        <f>'HT-ListaJugadores'!K5-1</f>
        <v>4</v>
      </c>
      <c r="O7" s="136">
        <f t="shared" si="13"/>
        <v>0.7559289460184544</v>
      </c>
      <c r="P7" s="136">
        <f t="shared" si="14"/>
        <v>0.84430867747355465</v>
      </c>
      <c r="Q7" s="210">
        <f>'HT-ListaJugadores'!H5</f>
        <v>97280</v>
      </c>
      <c r="R7" s="170">
        <f t="shared" si="15"/>
        <v>0</v>
      </c>
      <c r="S7" s="210">
        <f>'HT-ListaJugadores'!AD5</f>
        <v>33996</v>
      </c>
      <c r="T7" s="85">
        <f t="shared" si="7"/>
        <v>2.861513119190493</v>
      </c>
      <c r="U7" s="211">
        <f>'HT-ListaJugadores'!O5-1</f>
        <v>1</v>
      </c>
      <c r="V7" s="211">
        <f>'HT-ListaJugadores'!P5-1</f>
        <v>15</v>
      </c>
      <c r="W7" s="211">
        <f>'HT-ListaJugadores'!Q5-1</f>
        <v>3</v>
      </c>
      <c r="X7" s="211">
        <f>'HT-ListaJugadores'!R5-1</f>
        <v>6</v>
      </c>
      <c r="Y7" s="211">
        <f>'HT-ListaJugadores'!S5-1</f>
        <v>2</v>
      </c>
      <c r="Z7" s="211">
        <f>'HT-ListaJugadores'!T5-1</f>
        <v>11</v>
      </c>
      <c r="AA7" s="211">
        <f>'HT-ListaJugadores'!U5-1</f>
        <v>19</v>
      </c>
      <c r="AB7" s="212">
        <f>'HT-ListaJugadores'!V5</f>
        <v>1861</v>
      </c>
      <c r="AC7" s="197">
        <f t="shared" ca="1" si="16"/>
        <v>3.4607315571384185</v>
      </c>
      <c r="AD7" s="197">
        <f t="shared" ca="1" si="17"/>
        <v>3.8692155068201011</v>
      </c>
      <c r="AE7" s="355">
        <f t="shared" ca="1" si="18"/>
        <v>18.594067879623122</v>
      </c>
      <c r="AF7" s="85">
        <f t="shared" ca="1" si="19"/>
        <v>24.597639735268437</v>
      </c>
      <c r="AG7" s="354">
        <f t="shared" ca="1" si="20"/>
        <v>13.741365222989398</v>
      </c>
      <c r="AH7" s="198">
        <f t="shared" ca="1" si="21"/>
        <v>15.51387478828098</v>
      </c>
      <c r="AI7" s="198">
        <f t="shared" ca="1" si="22"/>
        <v>17.345039310508216</v>
      </c>
      <c r="AJ7" s="209">
        <f>'HT-ListaJugadores'!Y5</f>
        <v>1</v>
      </c>
      <c r="AK7" s="209">
        <f>'HT-ListaJugadores'!Z5</f>
        <v>3</v>
      </c>
      <c r="AL7" s="136">
        <f t="shared" si="8"/>
        <v>4.9399999999999999E-2</v>
      </c>
      <c r="AM7" s="210">
        <v>97280</v>
      </c>
      <c r="AN7" s="201">
        <v>45169</v>
      </c>
      <c r="AO7" s="95"/>
      <c r="AP7" s="422"/>
      <c r="AQ7" s="95"/>
    </row>
    <row r="8" spans="1:45" s="62" customFormat="1" x14ac:dyDescent="0.25">
      <c r="A8" s="203">
        <f>'HT-ListaJugadores'!A6</f>
        <v>12</v>
      </c>
      <c r="B8" s="203" t="str">
        <f>'HT-ListaJugadores'!B6</f>
        <v>IM</v>
      </c>
      <c r="C8" s="437" t="str">
        <f>'HT-ListaJugadores'!D6</f>
        <v>P. Tuderek</v>
      </c>
      <c r="D8" s="204" t="str">
        <f>'HT-ListaJugadores'!F6</f>
        <v>32.57</v>
      </c>
      <c r="E8" s="205" t="str">
        <f>LEFT('HT-ListaJugadores'!E6,3)</f>
        <v>Cab</v>
      </c>
      <c r="F8" s="206">
        <f>'HT-ListaJugadores'!I6-1</f>
        <v>4</v>
      </c>
      <c r="G8" s="207">
        <f>'HT-ListaJugadores'!J6-1</f>
        <v>11</v>
      </c>
      <c r="H8" s="123">
        <f t="shared" si="0"/>
        <v>1.4389083280634998</v>
      </c>
      <c r="I8" s="80">
        <f t="shared" si="9"/>
        <v>176</v>
      </c>
      <c r="J8" s="80">
        <f t="shared" si="10"/>
        <v>275</v>
      </c>
      <c r="K8" s="208">
        <f>'HT-ListaJugadores'!L6-1</f>
        <v>7</v>
      </c>
      <c r="L8" s="121">
        <f t="shared" si="11"/>
        <v>89</v>
      </c>
      <c r="M8" s="176">
        <f t="shared" ca="1" si="12"/>
        <v>1</v>
      </c>
      <c r="N8" s="209">
        <f>'HT-ListaJugadores'!K6-1</f>
        <v>6</v>
      </c>
      <c r="O8" s="136">
        <f t="shared" si="13"/>
        <v>0.92582009977255142</v>
      </c>
      <c r="P8" s="136">
        <f t="shared" si="14"/>
        <v>0.99928545900129484</v>
      </c>
      <c r="Q8" s="210">
        <f>'HT-ListaJugadores'!H6</f>
        <v>86650</v>
      </c>
      <c r="R8" s="170">
        <f t="shared" si="15"/>
        <v>0</v>
      </c>
      <c r="S8" s="210">
        <f>'HT-ListaJugadores'!AD6</f>
        <v>28524</v>
      </c>
      <c r="T8" s="85">
        <f t="shared" si="7"/>
        <v>3.0377927359416632</v>
      </c>
      <c r="U8" s="211">
        <f>'HT-ListaJugadores'!O6-1</f>
        <v>0</v>
      </c>
      <c r="V8" s="211">
        <f>'HT-ListaJugadores'!P6-1</f>
        <v>11</v>
      </c>
      <c r="W8" s="211">
        <f>'HT-ListaJugadores'!Q6-1</f>
        <v>15</v>
      </c>
      <c r="X8" s="211">
        <f>'HT-ListaJugadores'!R6-1</f>
        <v>2</v>
      </c>
      <c r="Y8" s="211">
        <f>'HT-ListaJugadores'!S6-1</f>
        <v>3</v>
      </c>
      <c r="Z8" s="211">
        <f>'HT-ListaJugadores'!T6-1</f>
        <v>8</v>
      </c>
      <c r="AA8" s="211">
        <f>'HT-ListaJugadores'!U6-1</f>
        <v>20</v>
      </c>
      <c r="AB8" s="212">
        <f>'HT-ListaJugadores'!V6</f>
        <v>1934</v>
      </c>
      <c r="AC8" s="197">
        <f t="shared" ca="1" si="16"/>
        <v>16.145291848212128</v>
      </c>
      <c r="AD8" s="197">
        <f t="shared" ca="1" si="17"/>
        <v>17.438908328063501</v>
      </c>
      <c r="AE8" s="355">
        <f t="shared" ca="1" si="18"/>
        <v>20.432837941294881</v>
      </c>
      <c r="AF8" s="85">
        <f t="shared" ca="1" si="19"/>
        <v>22.069987405020335</v>
      </c>
      <c r="AG8" s="354">
        <f t="shared" ca="1" si="20"/>
        <v>17.441439987893698</v>
      </c>
      <c r="AH8" s="198">
        <f t="shared" ca="1" si="21"/>
        <v>20.727745134791039</v>
      </c>
      <c r="AI8" s="198">
        <f t="shared" ca="1" si="22"/>
        <v>22.388523580210968</v>
      </c>
      <c r="AJ8" s="209">
        <f>'HT-ListaJugadores'!Y6</f>
        <v>2</v>
      </c>
      <c r="AK8" s="209">
        <f>'HT-ListaJugadores'!Z6</f>
        <v>3</v>
      </c>
      <c r="AL8" s="136">
        <f t="shared" si="8"/>
        <v>6.1499999999999999E-2</v>
      </c>
      <c r="AM8" s="210">
        <v>86650</v>
      </c>
      <c r="AN8" s="201">
        <v>43626</v>
      </c>
      <c r="AO8" s="95"/>
      <c r="AP8" s="422"/>
      <c r="AQ8" s="95"/>
    </row>
    <row r="9" spans="1:45" s="62" customFormat="1" x14ac:dyDescent="0.25">
      <c r="A9" s="203">
        <f>'HT-ListaJugadores'!A7</f>
        <v>2</v>
      </c>
      <c r="B9" s="203" t="str">
        <f>'HT-ListaJugadores'!B7</f>
        <v>IM</v>
      </c>
      <c r="C9" s="437" t="str">
        <f>'HT-ListaJugadores'!D7</f>
        <v>T. McPhail</v>
      </c>
      <c r="D9" s="204" t="str">
        <f>'HT-ListaJugadores'!F7</f>
        <v>32.88</v>
      </c>
      <c r="E9" s="205" t="str">
        <f>LEFT('HT-ListaJugadores'!E7,3)</f>
        <v>Imp</v>
      </c>
      <c r="F9" s="206">
        <f>'HT-ListaJugadores'!I7-1</f>
        <v>2</v>
      </c>
      <c r="G9" s="207">
        <f>'HT-ListaJugadores'!J7-1</f>
        <v>12</v>
      </c>
      <c r="H9" s="123">
        <f t="shared" si="0"/>
        <v>1.4852578030757824</v>
      </c>
      <c r="I9" s="80">
        <f t="shared" si="9"/>
        <v>48</v>
      </c>
      <c r="J9" s="80">
        <f t="shared" si="10"/>
        <v>108</v>
      </c>
      <c r="K9" s="208">
        <f>'HT-ListaJugadores'!L7-1</f>
        <v>7</v>
      </c>
      <c r="L9" s="121">
        <f t="shared" si="11"/>
        <v>89</v>
      </c>
      <c r="M9" s="176">
        <f t="shared" ca="1" si="12"/>
        <v>1</v>
      </c>
      <c r="N9" s="209">
        <f>'HT-ListaJugadores'!K7-1</f>
        <v>7</v>
      </c>
      <c r="O9" s="136">
        <f t="shared" si="13"/>
        <v>1</v>
      </c>
      <c r="P9" s="136">
        <f t="shared" si="14"/>
        <v>1</v>
      </c>
      <c r="Q9" s="210">
        <f>'HT-ListaJugadores'!H7</f>
        <v>132390</v>
      </c>
      <c r="R9" s="170">
        <f t="shared" si="15"/>
        <v>0</v>
      </c>
      <c r="S9" s="210">
        <f>'HT-ListaJugadores'!AD7</f>
        <v>30588</v>
      </c>
      <c r="T9" s="85">
        <f t="shared" si="7"/>
        <v>4.3281679089839153</v>
      </c>
      <c r="U9" s="211">
        <f>'HT-ListaJugadores'!O7-1</f>
        <v>0</v>
      </c>
      <c r="V9" s="211">
        <f>'HT-ListaJugadores'!P7-1</f>
        <v>13</v>
      </c>
      <c r="W9" s="211">
        <f>'HT-ListaJugadores'!Q7-1</f>
        <v>14</v>
      </c>
      <c r="X9" s="211">
        <f>'HT-ListaJugadores'!R7-1</f>
        <v>4</v>
      </c>
      <c r="Y9" s="211">
        <f>'HT-ListaJugadores'!S7-1</f>
        <v>4</v>
      </c>
      <c r="Z9" s="211">
        <f>'HT-ListaJugadores'!T7-1</f>
        <v>9</v>
      </c>
      <c r="AA9" s="211">
        <f>'HT-ListaJugadores'!U7-1</f>
        <v>17</v>
      </c>
      <c r="AB9" s="212">
        <f>'HT-ListaJugadores'!V7</f>
        <v>2012</v>
      </c>
      <c r="AC9" s="197">
        <f t="shared" ca="1" si="16"/>
        <v>16.485257803075783</v>
      </c>
      <c r="AD9" s="197">
        <f t="shared" ca="1" si="17"/>
        <v>16.485257803075783</v>
      </c>
      <c r="AE9" s="355">
        <f t="shared" ca="1" si="18"/>
        <v>22.182419744797478</v>
      </c>
      <c r="AF9" s="85">
        <f t="shared" ca="1" si="19"/>
        <v>22.182419744797478</v>
      </c>
      <c r="AG9" s="354">
        <f t="shared" ca="1" si="20"/>
        <v>17.08525780307578</v>
      </c>
      <c r="AH9" s="198">
        <f t="shared" ca="1" si="21"/>
        <v>19.438908328063501</v>
      </c>
      <c r="AI9" s="198">
        <f t="shared" ca="1" si="22"/>
        <v>19.438908328063501</v>
      </c>
      <c r="AJ9" s="209">
        <f>'HT-ListaJugadores'!Y7</f>
        <v>2</v>
      </c>
      <c r="AK9" s="209">
        <f>'HT-ListaJugadores'!Z7</f>
        <v>3</v>
      </c>
      <c r="AL9" s="136">
        <f t="shared" si="8"/>
        <v>6.1499999999999999E-2</v>
      </c>
      <c r="AM9" s="210">
        <v>132390</v>
      </c>
      <c r="AN9" s="201">
        <v>44751</v>
      </c>
      <c r="AO9" s="95"/>
      <c r="AP9" s="422"/>
      <c r="AQ9" s="95"/>
    </row>
    <row r="10" spans="1:45" s="1" customFormat="1" x14ac:dyDescent="0.25">
      <c r="A10" s="203">
        <f>'HT-ListaJugadores'!A8</f>
        <v>11</v>
      </c>
      <c r="B10" s="203" t="str">
        <f>'HT-ListaJugadores'!B8</f>
        <v>IM</v>
      </c>
      <c r="C10" s="437" t="str">
        <f>'HT-ListaJugadores'!D8</f>
        <v>K. Teglborg</v>
      </c>
      <c r="D10" s="204">
        <f>'HT-ListaJugadores'!F8</f>
        <v>32101</v>
      </c>
      <c r="E10" s="205" t="str">
        <f>LEFT('HT-ListaJugadores'!E8,3)</f>
        <v>Cab</v>
      </c>
      <c r="F10" s="206">
        <f>'HT-ListaJugadores'!I8-1</f>
        <v>4</v>
      </c>
      <c r="G10" s="207">
        <f>'HT-ListaJugadores'!J8-1</f>
        <v>14</v>
      </c>
      <c r="H10" s="123">
        <f t="shared" si="0"/>
        <v>1.5681216787409085</v>
      </c>
      <c r="I10" s="80">
        <f t="shared" si="9"/>
        <v>224</v>
      </c>
      <c r="J10" s="80">
        <f t="shared" si="10"/>
        <v>350</v>
      </c>
      <c r="K10" s="208">
        <f>'HT-ListaJugadores'!L8-1</f>
        <v>7</v>
      </c>
      <c r="L10" s="121">
        <f t="shared" si="11"/>
        <v>89</v>
      </c>
      <c r="M10" s="176">
        <f t="shared" ca="1" si="12"/>
        <v>0.92407450863301921</v>
      </c>
      <c r="N10" s="209">
        <f>'HT-ListaJugadores'!K8-1</f>
        <v>6</v>
      </c>
      <c r="O10" s="136">
        <f t="shared" si="13"/>
        <v>0.92582009977255142</v>
      </c>
      <c r="P10" s="136">
        <f t="shared" si="14"/>
        <v>0.99928545900129484</v>
      </c>
      <c r="Q10" s="210">
        <f>'HT-ListaJugadores'!H8</f>
        <v>147670</v>
      </c>
      <c r="R10" s="170">
        <f t="shared" si="15"/>
        <v>0</v>
      </c>
      <c r="S10" s="210">
        <f>'HT-ListaJugadores'!AD8</f>
        <v>50700</v>
      </c>
      <c r="T10" s="85">
        <f t="shared" si="7"/>
        <v>2.9126232741617355</v>
      </c>
      <c r="U10" s="211">
        <f>'HT-ListaJugadores'!O8-1</f>
        <v>0</v>
      </c>
      <c r="V10" s="211">
        <f>'HT-ListaJugadores'!P8-1</f>
        <v>11</v>
      </c>
      <c r="W10" s="211">
        <f>'HT-ListaJugadores'!Q8-1</f>
        <v>16</v>
      </c>
      <c r="X10" s="211">
        <f>'HT-ListaJugadores'!R8-1</f>
        <v>2</v>
      </c>
      <c r="Y10" s="211">
        <f>'HT-ListaJugadores'!S8-1</f>
        <v>2</v>
      </c>
      <c r="Z10" s="211">
        <f>'HT-ListaJugadores'!T8-1</f>
        <v>9</v>
      </c>
      <c r="AA10" s="211">
        <f>'HT-ListaJugadores'!U8-1</f>
        <v>18</v>
      </c>
      <c r="AB10" s="212">
        <f>'HT-ListaJugadores'!V8</f>
        <v>2003</v>
      </c>
      <c r="AC10" s="197">
        <f t="shared" ca="1" si="16"/>
        <v>17.120446919208124</v>
      </c>
      <c r="AD10" s="197">
        <f t="shared" ca="1" si="17"/>
        <v>18.492196187373928</v>
      </c>
      <c r="AE10" s="355">
        <f t="shared" ca="1" si="18"/>
        <v>21.060327483571321</v>
      </c>
      <c r="AF10" s="85">
        <f t="shared" ca="1" si="19"/>
        <v>22.747753574096379</v>
      </c>
      <c r="AG10" s="354">
        <f t="shared" ca="1" si="20"/>
        <v>16.472372849367336</v>
      </c>
      <c r="AH10" s="198">
        <f t="shared" ca="1" si="21"/>
        <v>18.935099712810811</v>
      </c>
      <c r="AI10" s="198">
        <f t="shared" ca="1" si="22"/>
        <v>20.452245222870669</v>
      </c>
      <c r="AJ10" s="209">
        <f>'HT-ListaJugadores'!Y8</f>
        <v>1</v>
      </c>
      <c r="AK10" s="209">
        <f>'HT-ListaJugadores'!Z8</f>
        <v>2</v>
      </c>
      <c r="AL10" s="136">
        <f t="shared" si="8"/>
        <v>4.9399999999999999E-2</v>
      </c>
      <c r="AM10" s="210">
        <v>147670</v>
      </c>
      <c r="AN10" s="282">
        <v>44897</v>
      </c>
      <c r="AO10" s="95"/>
      <c r="AP10" s="422"/>
      <c r="AQ10" s="95"/>
    </row>
    <row r="11" spans="1:45" s="62" customFormat="1" x14ac:dyDescent="0.25">
      <c r="A11" s="203">
        <f>'HT-ListaJugadores'!A9</f>
        <v>3</v>
      </c>
      <c r="B11" s="203" t="str">
        <f>'HT-ListaJugadores'!B9</f>
        <v>IM</v>
      </c>
      <c r="C11" s="437" t="str">
        <f>'HT-ListaJugadores'!D9</f>
        <v>纪 (J.) 昌永 (Changyong)</v>
      </c>
      <c r="D11" s="204" t="str">
        <f>'HT-ListaJugadores'!F9</f>
        <v>33.43</v>
      </c>
      <c r="E11" s="205" t="str">
        <f>LEFT('HT-ListaJugadores'!E9,3)</f>
        <v>Cab</v>
      </c>
      <c r="F11" s="206">
        <f>'HT-ListaJugadores'!I9-1</f>
        <v>1</v>
      </c>
      <c r="G11" s="207">
        <f>'HT-ListaJugadores'!J9-1</f>
        <v>14</v>
      </c>
      <c r="H11" s="123">
        <f t="shared" si="0"/>
        <v>1.5681216787409085</v>
      </c>
      <c r="I11" s="80">
        <f t="shared" si="9"/>
        <v>14</v>
      </c>
      <c r="J11" s="80">
        <f t="shared" si="10"/>
        <v>56</v>
      </c>
      <c r="K11" s="208">
        <f>'HT-ListaJugadores'!L9-1</f>
        <v>7</v>
      </c>
      <c r="L11" s="121">
        <f t="shared" si="11"/>
        <v>89</v>
      </c>
      <c r="M11" s="176">
        <f t="shared" ca="1" si="12"/>
        <v>0.94386834847769996</v>
      </c>
      <c r="N11" s="209">
        <f>'HT-ListaJugadores'!K9-1</f>
        <v>6</v>
      </c>
      <c r="O11" s="136">
        <f t="shared" si="13"/>
        <v>0.92582009977255142</v>
      </c>
      <c r="P11" s="136">
        <f t="shared" si="14"/>
        <v>0.99928545900129484</v>
      </c>
      <c r="Q11" s="210">
        <f>'HT-ListaJugadores'!H9</f>
        <v>113800</v>
      </c>
      <c r="R11" s="170">
        <f t="shared" si="15"/>
        <v>0</v>
      </c>
      <c r="S11" s="210">
        <f>'HT-ListaJugadores'!AD9</f>
        <v>44112</v>
      </c>
      <c r="T11" s="85">
        <f t="shared" si="7"/>
        <v>2.5797968806673919</v>
      </c>
      <c r="U11" s="211">
        <f>'HT-ListaJugadores'!O9-1</f>
        <v>0</v>
      </c>
      <c r="V11" s="211">
        <f>'HT-ListaJugadores'!P9-1</f>
        <v>13</v>
      </c>
      <c r="W11" s="211">
        <f>'HT-ListaJugadores'!Q9-1</f>
        <v>16</v>
      </c>
      <c r="X11" s="211">
        <f>'HT-ListaJugadores'!R9-1</f>
        <v>3</v>
      </c>
      <c r="Y11" s="211">
        <f>'HT-ListaJugadores'!S9-1</f>
        <v>3</v>
      </c>
      <c r="Z11" s="211">
        <f>'HT-ListaJugadores'!T9-1</f>
        <v>9</v>
      </c>
      <c r="AA11" s="211">
        <f>'HT-ListaJugadores'!U9-1</f>
        <v>19</v>
      </c>
      <c r="AB11" s="212">
        <f>'HT-ListaJugadores'!V9</f>
        <v>2285</v>
      </c>
      <c r="AC11" s="197">
        <f t="shared" ca="1" si="16"/>
        <v>17.138772453988008</v>
      </c>
      <c r="AD11" s="197">
        <f t="shared" ca="1" si="17"/>
        <v>18.511990027218609</v>
      </c>
      <c r="AE11" s="355">
        <f t="shared" ca="1" si="18"/>
        <v>21.610027970309773</v>
      </c>
      <c r="AF11" s="85">
        <f t="shared" ca="1" si="19"/>
        <v>23.341497960153127</v>
      </c>
      <c r="AG11" s="354">
        <f t="shared" ca="1" si="20"/>
        <v>17.138772453988008</v>
      </c>
      <c r="AH11" s="198">
        <f t="shared" ca="1" si="21"/>
        <v>19.879245347363248</v>
      </c>
      <c r="AI11" s="198">
        <f t="shared" ca="1" si="22"/>
        <v>21.47203906271535</v>
      </c>
      <c r="AJ11" s="209">
        <f>'HT-ListaJugadores'!Y9</f>
        <v>2</v>
      </c>
      <c r="AK11" s="209">
        <f>'HT-ListaJugadores'!Z9</f>
        <v>2</v>
      </c>
      <c r="AL11" s="136">
        <f t="shared" si="8"/>
        <v>6.1499999999999999E-2</v>
      </c>
      <c r="AM11" s="210">
        <v>113800</v>
      </c>
      <c r="AN11" s="201">
        <v>44887</v>
      </c>
      <c r="AO11" s="95"/>
      <c r="AP11" s="422"/>
      <c r="AQ11" s="95"/>
    </row>
    <row r="12" spans="1:45" s="62" customFormat="1" x14ac:dyDescent="0.25">
      <c r="A12" s="203">
        <f>'HT-ListaJugadores'!A10</f>
        <v>4</v>
      </c>
      <c r="B12" s="203" t="str">
        <f>'HT-ListaJugadores'!B10</f>
        <v>IM</v>
      </c>
      <c r="C12" s="437" t="str">
        <f>'HT-ListaJugadores'!D10</f>
        <v>Y. Galitsky</v>
      </c>
      <c r="D12" s="204" t="str">
        <f>'HT-ListaJugadores'!F10</f>
        <v>33.49</v>
      </c>
      <c r="E12" s="205" t="str">
        <f>LEFT('HT-ListaJugadores'!E10,3)</f>
        <v>Imp</v>
      </c>
      <c r="F12" s="206">
        <f>'HT-ListaJugadores'!I10-1</f>
        <v>5</v>
      </c>
      <c r="G12" s="207">
        <f>'HT-ListaJugadores'!J10-1</f>
        <v>12</v>
      </c>
      <c r="H12" s="123">
        <f t="shared" si="0"/>
        <v>1.4852578030757824</v>
      </c>
      <c r="I12" s="80">
        <f t="shared" si="9"/>
        <v>300</v>
      </c>
      <c r="J12" s="80">
        <f t="shared" si="10"/>
        <v>432</v>
      </c>
      <c r="K12" s="208">
        <f>'HT-ListaJugadores'!L10-1</f>
        <v>7</v>
      </c>
      <c r="L12" s="121">
        <f t="shared" si="11"/>
        <v>89</v>
      </c>
      <c r="M12" s="176">
        <f t="shared" ca="1" si="12"/>
        <v>0.90605394289764585</v>
      </c>
      <c r="N12" s="209">
        <f>'HT-ListaJugadores'!K10-1</f>
        <v>5</v>
      </c>
      <c r="O12" s="136">
        <f t="shared" si="13"/>
        <v>0.84515425472851657</v>
      </c>
      <c r="P12" s="136">
        <f t="shared" si="14"/>
        <v>0.92504826128926143</v>
      </c>
      <c r="Q12" s="210">
        <f>'HT-ListaJugadores'!H10</f>
        <v>103300</v>
      </c>
      <c r="R12" s="170">
        <f t="shared" si="15"/>
        <v>0</v>
      </c>
      <c r="S12" s="210">
        <f>'HT-ListaJugadores'!AD10</f>
        <v>37008</v>
      </c>
      <c r="T12" s="85">
        <f t="shared" si="7"/>
        <v>2.7912883700821443</v>
      </c>
      <c r="U12" s="211">
        <f>'HT-ListaJugadores'!O10-1</f>
        <v>0</v>
      </c>
      <c r="V12" s="211">
        <f>'HT-ListaJugadores'!P10-1</f>
        <v>14</v>
      </c>
      <c r="W12" s="211">
        <f>'HT-ListaJugadores'!Q10-1</f>
        <v>15</v>
      </c>
      <c r="X12" s="211">
        <f>'HT-ListaJugadores'!R10-1</f>
        <v>1</v>
      </c>
      <c r="Y12" s="211">
        <f>'HT-ListaJugadores'!S10-1</f>
        <v>5</v>
      </c>
      <c r="Z12" s="211">
        <f>'HT-ListaJugadores'!T10-1</f>
        <v>9</v>
      </c>
      <c r="AA12" s="211">
        <f>'HT-ListaJugadores'!U10-1</f>
        <v>18</v>
      </c>
      <c r="AB12" s="212">
        <f>'HT-ListaJugadores'!V10</f>
        <v>2262</v>
      </c>
      <c r="AC12" s="197">
        <f t="shared" ca="1" si="16"/>
        <v>14.698341117419469</v>
      </c>
      <c r="AD12" s="197">
        <f t="shared" ca="1" si="17"/>
        <v>16.101225975832666</v>
      </c>
      <c r="AE12" s="355">
        <f t="shared" ca="1" si="18"/>
        <v>19.036929676766327</v>
      </c>
      <c r="AF12" s="85">
        <f t="shared" ca="1" si="19"/>
        <v>22.524798958601274</v>
      </c>
      <c r="AG12" s="354">
        <f t="shared" ca="1" si="20"/>
        <v>14.951887393838023</v>
      </c>
      <c r="AH12" s="198">
        <f t="shared" ca="1" si="21"/>
        <v>17.194631425593958</v>
      </c>
      <c r="AI12" s="198">
        <f t="shared" ca="1" si="22"/>
        <v>18.835774999570045</v>
      </c>
      <c r="AJ12" s="209">
        <f>'HT-ListaJugadores'!Y10</f>
        <v>2</v>
      </c>
      <c r="AK12" s="209">
        <f>'HT-ListaJugadores'!Z10</f>
        <v>1</v>
      </c>
      <c r="AL12" s="136">
        <f t="shared" si="8"/>
        <v>6.1499999999999999E-2</v>
      </c>
      <c r="AM12" s="210">
        <v>103300</v>
      </c>
      <c r="AN12" s="282">
        <v>44906</v>
      </c>
      <c r="AO12" s="95"/>
      <c r="AP12" s="422"/>
      <c r="AQ12" s="95"/>
    </row>
    <row r="13" spans="1:45" s="62" customFormat="1" x14ac:dyDescent="0.25">
      <c r="A13" s="203">
        <f>'HT-ListaJugadores'!A11</f>
        <v>17</v>
      </c>
      <c r="B13" s="203" t="str">
        <f>'HT-ListaJugadores'!B11</f>
        <v>IM</v>
      </c>
      <c r="C13" s="437" t="str">
        <f>'HT-ListaJugadores'!D11</f>
        <v>S. Sawczyn</v>
      </c>
      <c r="D13" s="204" t="str">
        <f>'HT-ListaJugadores'!F11</f>
        <v>31.70</v>
      </c>
      <c r="E13" s="205" t="str">
        <f>LEFT('HT-ListaJugadores'!E11,3)</f>
        <v>Imp</v>
      </c>
      <c r="F13" s="206">
        <f>'HT-ListaJugadores'!I11-1</f>
        <v>4</v>
      </c>
      <c r="G13" s="207">
        <f>'HT-ListaJugadores'!J11-1</f>
        <v>11</v>
      </c>
      <c r="H13" s="123">
        <f t="shared" si="0"/>
        <v>1.4389083280634998</v>
      </c>
      <c r="I13" s="80">
        <f t="shared" si="9"/>
        <v>176</v>
      </c>
      <c r="J13" s="80">
        <f t="shared" si="10"/>
        <v>275</v>
      </c>
      <c r="K13" s="208">
        <f>'HT-ListaJugadores'!L11-1</f>
        <v>6</v>
      </c>
      <c r="L13" s="121">
        <f t="shared" si="11"/>
        <v>79</v>
      </c>
      <c r="M13" s="176">
        <f t="shared" ca="1" si="12"/>
        <v>0.23082846810273991</v>
      </c>
      <c r="N13" s="209">
        <f>'HT-ListaJugadores'!K11-1</f>
        <v>6</v>
      </c>
      <c r="O13" s="136">
        <f t="shared" si="13"/>
        <v>0.92582009977255142</v>
      </c>
      <c r="P13" s="136">
        <f t="shared" si="14"/>
        <v>0.99928545900129484</v>
      </c>
      <c r="Q13" s="210">
        <f>'HT-ListaJugadores'!H11</f>
        <v>135770</v>
      </c>
      <c r="R13" s="170">
        <f t="shared" si="15"/>
        <v>0</v>
      </c>
      <c r="S13" s="210">
        <f>'HT-ListaJugadores'!AD11</f>
        <v>23424</v>
      </c>
      <c r="T13" s="85">
        <f t="shared" si="7"/>
        <v>5.7961919398907105</v>
      </c>
      <c r="U13" s="211">
        <f>'HT-ListaJugadores'!O11-1</f>
        <v>0</v>
      </c>
      <c r="V13" s="211">
        <f>'HT-ListaJugadores'!P11-1</f>
        <v>12</v>
      </c>
      <c r="W13" s="211">
        <f>'HT-ListaJugadores'!Q11-1</f>
        <v>14</v>
      </c>
      <c r="X13" s="211">
        <f>'HT-ListaJugadores'!R11-1</f>
        <v>3</v>
      </c>
      <c r="Y13" s="211">
        <f>'HT-ListaJugadores'!S11-1</f>
        <v>6</v>
      </c>
      <c r="Z13" s="211">
        <f>'HT-ListaJugadores'!T11-1</f>
        <v>9</v>
      </c>
      <c r="AA13" s="211">
        <f>'HT-ListaJugadores'!U11-1</f>
        <v>19</v>
      </c>
      <c r="AB13" s="212">
        <f>'HT-ListaJugadores'!V11</f>
        <v>2023</v>
      </c>
      <c r="AC13" s="197">
        <f t="shared" ca="1" si="16"/>
        <v>14.507357284036248</v>
      </c>
      <c r="AD13" s="197">
        <f t="shared" ca="1" si="17"/>
        <v>15.669736796166239</v>
      </c>
      <c r="AE13" s="355">
        <f t="shared" ca="1" si="18"/>
        <v>19.886725285711051</v>
      </c>
      <c r="AF13" s="85">
        <f t="shared" ca="1" si="19"/>
        <v>21.480118319527385</v>
      </c>
      <c r="AG13" s="354">
        <f t="shared" ca="1" si="20"/>
        <v>16.358997483581348</v>
      </c>
      <c r="AH13" s="198">
        <f t="shared" ca="1" si="21"/>
        <v>19.08981057061516</v>
      </c>
      <c r="AI13" s="198">
        <f t="shared" ca="1" si="22"/>
        <v>20.619352048313708</v>
      </c>
      <c r="AJ13" s="209">
        <f>'HT-ListaJugadores'!Y11</f>
        <v>1</v>
      </c>
      <c r="AK13" s="209">
        <f>'HT-ListaJugadores'!Z11</f>
        <v>2</v>
      </c>
      <c r="AL13" s="136">
        <f t="shared" si="8"/>
        <v>4.9399999999999999E-2</v>
      </c>
      <c r="AM13" s="210">
        <v>135770</v>
      </c>
      <c r="AN13" s="201">
        <v>45160</v>
      </c>
      <c r="AO13" s="95"/>
      <c r="AP13" s="422"/>
      <c r="AQ13" s="95"/>
    </row>
    <row r="14" spans="1:45" s="62" customFormat="1" x14ac:dyDescent="0.25">
      <c r="A14" s="203">
        <f>'HT-ListaJugadores'!A12</f>
        <v>7</v>
      </c>
      <c r="B14" s="203" t="str">
        <f>'HT-ListaJugadores'!B12</f>
        <v>IM</v>
      </c>
      <c r="C14" s="437" t="str">
        <f>'HT-ListaJugadores'!D12</f>
        <v>S. Hovhannesyan</v>
      </c>
      <c r="D14" s="204" t="str">
        <f>'HT-ListaJugadores'!F12</f>
        <v>31.71</v>
      </c>
      <c r="E14" s="205" t="str">
        <f>LEFT('HT-ListaJugadores'!E12,3)</f>
        <v>Cab</v>
      </c>
      <c r="F14" s="206">
        <f>'HT-ListaJugadores'!I12-1</f>
        <v>4</v>
      </c>
      <c r="G14" s="207">
        <f>'HT-ListaJugadores'!J12-1</f>
        <v>11</v>
      </c>
      <c r="H14" s="123">
        <f t="shared" si="0"/>
        <v>1.4389083280634998</v>
      </c>
      <c r="I14" s="80">
        <f t="shared" si="9"/>
        <v>176</v>
      </c>
      <c r="J14" s="80">
        <f t="shared" si="10"/>
        <v>275</v>
      </c>
      <c r="K14" s="208">
        <f>'HT-ListaJugadores'!L12-1</f>
        <v>7</v>
      </c>
      <c r="L14" s="121">
        <f t="shared" si="11"/>
        <v>89</v>
      </c>
      <c r="M14" s="176">
        <f t="shared" ca="1" si="12"/>
        <v>0.57883918910490562</v>
      </c>
      <c r="N14" s="209">
        <f>'HT-ListaJugadores'!K12-1</f>
        <v>5</v>
      </c>
      <c r="O14" s="136">
        <f t="shared" si="13"/>
        <v>0.84515425472851657</v>
      </c>
      <c r="P14" s="136">
        <f t="shared" si="14"/>
        <v>0.92504826128926143</v>
      </c>
      <c r="Q14" s="210">
        <f>'HT-ListaJugadores'!H12</f>
        <v>200200</v>
      </c>
      <c r="R14" s="170">
        <f t="shared" si="15"/>
        <v>0</v>
      </c>
      <c r="S14" s="210">
        <f>'HT-ListaJugadores'!AD12</f>
        <v>55080</v>
      </c>
      <c r="T14" s="85">
        <f t="shared" si="7"/>
        <v>3.634713144517066</v>
      </c>
      <c r="U14" s="211">
        <f>'HT-ListaJugadores'!O12-1</f>
        <v>0</v>
      </c>
      <c r="V14" s="211">
        <f>'HT-ListaJugadores'!P12-1</f>
        <v>13</v>
      </c>
      <c r="W14" s="211">
        <f>'HT-ListaJugadores'!Q12-1</f>
        <v>16</v>
      </c>
      <c r="X14" s="211">
        <f>'HT-ListaJugadores'!R12-1</f>
        <v>2</v>
      </c>
      <c r="Y14" s="211">
        <f>'HT-ListaJugadores'!S12-1</f>
        <v>2</v>
      </c>
      <c r="Z14" s="211">
        <f>'HT-ListaJugadores'!T12-1</f>
        <v>8</v>
      </c>
      <c r="AA14" s="211">
        <f>'HT-ListaJugadores'!U12-1</f>
        <v>19</v>
      </c>
      <c r="AB14" s="212">
        <f>'HT-ListaJugadores'!V12</f>
        <v>2198</v>
      </c>
      <c r="AC14" s="197">
        <f t="shared" ca="1" si="16"/>
        <v>15.227775974759044</v>
      </c>
      <c r="AD14" s="197">
        <f t="shared" ca="1" si="17"/>
        <v>16.681192804021496</v>
      </c>
      <c r="AE14" s="355">
        <f t="shared" ca="1" si="18"/>
        <v>17.401068585788117</v>
      </c>
      <c r="AF14" s="85">
        <f t="shared" ca="1" si="19"/>
        <v>20.58922201294218</v>
      </c>
      <c r="AG14" s="354">
        <f t="shared" ca="1" si="20"/>
        <v>14.974229698340489</v>
      </c>
      <c r="AH14" s="198">
        <f t="shared" ca="1" si="21"/>
        <v>17.720655854923603</v>
      </c>
      <c r="AI14" s="198">
        <f t="shared" ca="1" si="22"/>
        <v>19.412005891055301</v>
      </c>
      <c r="AJ14" s="209">
        <f>'HT-ListaJugadores'!Y12</f>
        <v>1</v>
      </c>
      <c r="AK14" s="209">
        <f>'HT-ListaJugadores'!Z12</f>
        <v>2</v>
      </c>
      <c r="AL14" s="136">
        <f t="shared" si="8"/>
        <v>4.9399999999999999E-2</v>
      </c>
      <c r="AM14" s="210">
        <v>200200</v>
      </c>
      <c r="AN14" s="201">
        <v>45051</v>
      </c>
      <c r="AO14" s="95"/>
      <c r="AP14" s="422"/>
      <c r="AQ14" s="95"/>
    </row>
    <row r="15" spans="1:45" s="62" customFormat="1" x14ac:dyDescent="0.25">
      <c r="A15" s="203">
        <f>'HT-ListaJugadores'!A13</f>
        <v>9</v>
      </c>
      <c r="B15" s="203" t="str">
        <f>'HT-ListaJugadores'!B13</f>
        <v>FW</v>
      </c>
      <c r="C15" s="437" t="str">
        <f>'HT-ListaJugadores'!D13</f>
        <v>M. Bondarewski</v>
      </c>
      <c r="D15" s="204" t="str">
        <f>'HT-ListaJugadores'!F13</f>
        <v>32.71</v>
      </c>
      <c r="E15" s="205" t="str">
        <f>LEFT('HT-ListaJugadores'!E13,3)</f>
        <v>Ráp</v>
      </c>
      <c r="F15" s="206">
        <f>'HT-ListaJugadores'!I13-1</f>
        <v>1</v>
      </c>
      <c r="G15" s="207">
        <f>'HT-ListaJugadores'!J13-1</f>
        <v>13</v>
      </c>
      <c r="H15" s="123">
        <f t="shared" si="0"/>
        <v>1.5281707142376506</v>
      </c>
      <c r="I15" s="80">
        <f t="shared" si="9"/>
        <v>13</v>
      </c>
      <c r="J15" s="80">
        <f t="shared" si="10"/>
        <v>52</v>
      </c>
      <c r="K15" s="208">
        <f>'HT-ListaJugadores'!L13-1</f>
        <v>6</v>
      </c>
      <c r="L15" s="121">
        <f t="shared" si="11"/>
        <v>79</v>
      </c>
      <c r="M15" s="176">
        <f t="shared" ca="1" si="12"/>
        <v>1</v>
      </c>
      <c r="N15" s="209">
        <f>'HT-ListaJugadores'!K13-1</f>
        <v>5</v>
      </c>
      <c r="O15" s="136">
        <f t="shared" si="13"/>
        <v>0.84515425472851657</v>
      </c>
      <c r="P15" s="136">
        <f t="shared" si="14"/>
        <v>0.92504826128926143</v>
      </c>
      <c r="Q15" s="210">
        <f>'HT-ListaJugadores'!H13</f>
        <v>62660</v>
      </c>
      <c r="R15" s="170">
        <f t="shared" si="15"/>
        <v>0</v>
      </c>
      <c r="S15" s="210">
        <f>'HT-ListaJugadores'!AD13</f>
        <v>32196</v>
      </c>
      <c r="T15" s="85">
        <f t="shared" si="7"/>
        <v>1.9462044974530999</v>
      </c>
      <c r="U15" s="211">
        <f>'HT-ListaJugadores'!O13-1</f>
        <v>0</v>
      </c>
      <c r="V15" s="211">
        <f>'HT-ListaJugadores'!P13-1</f>
        <v>8</v>
      </c>
      <c r="W15" s="211">
        <f>'HT-ListaJugadores'!Q13-1</f>
        <v>15</v>
      </c>
      <c r="X15" s="211">
        <f>'HT-ListaJugadores'!R13-1</f>
        <v>4</v>
      </c>
      <c r="Y15" s="211">
        <f>'HT-ListaJugadores'!S13-1</f>
        <v>4</v>
      </c>
      <c r="Z15" s="211">
        <f>'HT-ListaJugadores'!T13-1</f>
        <v>9</v>
      </c>
      <c r="AA15" s="211">
        <f>'HT-ListaJugadores'!U13-1</f>
        <v>20</v>
      </c>
      <c r="AB15" s="212">
        <f>'HT-ListaJugadores'!V13</f>
        <v>1831</v>
      </c>
      <c r="AC15" s="197">
        <f t="shared" ca="1" si="16"/>
        <v>14.814008056745731</v>
      </c>
      <c r="AD15" s="197">
        <f t="shared" ca="1" si="17"/>
        <v>16.227932759485814</v>
      </c>
      <c r="AE15" s="355">
        <f t="shared" ca="1" si="18"/>
        <v>20.222223292878734</v>
      </c>
      <c r="AF15" s="85">
        <f t="shared" ca="1" si="19"/>
        <v>23.927257278465206</v>
      </c>
      <c r="AG15" s="354">
        <f t="shared" ca="1" si="20"/>
        <v>16.25077028978421</v>
      </c>
      <c r="AH15" s="198">
        <f t="shared" ca="1" si="21"/>
        <v>19.003511300937074</v>
      </c>
      <c r="AI15" s="198">
        <f t="shared" ca="1" si="22"/>
        <v>20.81730362265516</v>
      </c>
      <c r="AJ15" s="209">
        <f>'HT-ListaJugadores'!Y13</f>
        <v>4</v>
      </c>
      <c r="AK15" s="209">
        <f>'HT-ListaJugadores'!Z13</f>
        <v>2</v>
      </c>
      <c r="AL15" s="136">
        <f t="shared" si="8"/>
        <v>0.157</v>
      </c>
      <c r="AM15" s="210">
        <v>62660</v>
      </c>
      <c r="AN15" s="201">
        <v>43627</v>
      </c>
      <c r="AO15" s="95"/>
      <c r="AP15" s="422"/>
      <c r="AQ15" s="95"/>
    </row>
    <row r="16" spans="1:45" s="62" customFormat="1" x14ac:dyDescent="0.25">
      <c r="A16" s="203">
        <f>'HT-ListaJugadores'!A14</f>
        <v>8</v>
      </c>
      <c r="B16" s="203" t="str">
        <f>'HT-ListaJugadores'!B14</f>
        <v>FW</v>
      </c>
      <c r="C16" s="437" t="str">
        <f>'HT-ListaJugadores'!D14</f>
        <v>I. Stone</v>
      </c>
      <c r="D16" s="204">
        <f>'HT-ListaJugadores'!F14</f>
        <v>31110</v>
      </c>
      <c r="E16" s="205" t="str">
        <f>LEFT('HT-ListaJugadores'!E14,3)</f>
        <v>Ráp</v>
      </c>
      <c r="F16" s="206">
        <f>'HT-ListaJugadores'!I14-1</f>
        <v>6</v>
      </c>
      <c r="G16" s="207">
        <f>'HT-ListaJugadores'!J14-1</f>
        <v>12</v>
      </c>
      <c r="H16" s="123">
        <f t="shared" si="0"/>
        <v>1.4852578030757824</v>
      </c>
      <c r="I16" s="80">
        <f t="shared" si="9"/>
        <v>432</v>
      </c>
      <c r="J16" s="80">
        <f t="shared" si="10"/>
        <v>588</v>
      </c>
      <c r="K16" s="208">
        <f>'HT-ListaJugadores'!L14-1</f>
        <v>7</v>
      </c>
      <c r="L16" s="121">
        <f t="shared" si="11"/>
        <v>89</v>
      </c>
      <c r="M16" s="176">
        <f t="shared" ca="1" si="12"/>
        <v>1</v>
      </c>
      <c r="N16" s="209">
        <f>'HT-ListaJugadores'!K14-1</f>
        <v>6</v>
      </c>
      <c r="O16" s="136">
        <f t="shared" si="13"/>
        <v>0.92582009977255142</v>
      </c>
      <c r="P16" s="136">
        <f t="shared" si="14"/>
        <v>0.99928545900129484</v>
      </c>
      <c r="Q16" s="210">
        <f>'HT-ListaJugadores'!H14</f>
        <v>116620</v>
      </c>
      <c r="R16" s="170">
        <f t="shared" si="15"/>
        <v>0</v>
      </c>
      <c r="S16" s="210">
        <f>'HT-ListaJugadores'!AD14</f>
        <v>23970</v>
      </c>
      <c r="T16" s="85">
        <f t="shared" si="7"/>
        <v>4.8652482269503547</v>
      </c>
      <c r="U16" s="211">
        <f>'HT-ListaJugadores'!O14-1</f>
        <v>0</v>
      </c>
      <c r="V16" s="211">
        <f>'HT-ListaJugadores'!P14-1</f>
        <v>9</v>
      </c>
      <c r="W16" s="211">
        <f>'HT-ListaJugadores'!Q14-1</f>
        <v>14</v>
      </c>
      <c r="X16" s="211">
        <f>'HT-ListaJugadores'!R14-1</f>
        <v>2</v>
      </c>
      <c r="Y16" s="211">
        <f>'HT-ListaJugadores'!S14-1</f>
        <v>6</v>
      </c>
      <c r="Z16" s="211">
        <f>'HT-ListaJugadores'!T14-1</f>
        <v>10</v>
      </c>
      <c r="AA16" s="211">
        <f>'HT-ListaJugadores'!U14-1</f>
        <v>19</v>
      </c>
      <c r="AB16" s="212">
        <f>'HT-ListaJugadores'!V14</f>
        <v>1820</v>
      </c>
      <c r="AC16" s="197">
        <f t="shared" ca="1" si="16"/>
        <v>15.262383024019853</v>
      </c>
      <c r="AD16" s="197">
        <f t="shared" ca="1" si="17"/>
        <v>16.485257803075783</v>
      </c>
      <c r="AE16" s="355">
        <f t="shared" ca="1" si="18"/>
        <v>23.092193536697255</v>
      </c>
      <c r="AF16" s="85">
        <f t="shared" ca="1" si="19"/>
        <v>24.942419744797476</v>
      </c>
      <c r="AG16" s="354">
        <f t="shared" ca="1" si="20"/>
        <v>17.391769253496719</v>
      </c>
      <c r="AH16" s="198">
        <f t="shared" ca="1" si="21"/>
        <v>19.848572247302336</v>
      </c>
      <c r="AI16" s="198">
        <f t="shared" ca="1" si="22"/>
        <v>21.438908328063501</v>
      </c>
      <c r="AJ16" s="209">
        <f>'HT-ListaJugadores'!Y14</f>
        <v>4</v>
      </c>
      <c r="AK16" s="209">
        <f>'HT-ListaJugadores'!Z14</f>
        <v>2</v>
      </c>
      <c r="AL16" s="136">
        <f t="shared" si="8"/>
        <v>0.157</v>
      </c>
      <c r="AM16" s="210">
        <v>116620</v>
      </c>
      <c r="AN16" s="201">
        <v>43633</v>
      </c>
      <c r="AO16" s="95"/>
      <c r="AP16" s="422"/>
      <c r="AQ16" s="95"/>
    </row>
    <row r="17" spans="1:43" s="62" customFormat="1" x14ac:dyDescent="0.25">
      <c r="A17" s="203">
        <f>'HT-ListaJugadores'!A15</f>
        <v>16</v>
      </c>
      <c r="B17" s="203" t="str">
        <f>'HT-ListaJugadores'!B15</f>
        <v>FW</v>
      </c>
      <c r="C17" s="437" t="str">
        <f>'HT-ListaJugadores'!D15</f>
        <v>I. Vanags</v>
      </c>
      <c r="D17" s="204" t="str">
        <f>'HT-ListaJugadores'!F15</f>
        <v>32.55</v>
      </c>
      <c r="E17" s="205" t="str">
        <f>LEFT('HT-ListaJugadores'!E15,3)</f>
        <v>Cab</v>
      </c>
      <c r="F17" s="206">
        <f>'HT-ListaJugadores'!I15-1</f>
        <v>4</v>
      </c>
      <c r="G17" s="207">
        <f>'HT-ListaJugadores'!J15-1</f>
        <v>11</v>
      </c>
      <c r="H17" s="123">
        <f t="shared" si="0"/>
        <v>1.4389083280634998</v>
      </c>
      <c r="I17" s="80">
        <f t="shared" si="9"/>
        <v>176</v>
      </c>
      <c r="J17" s="80">
        <f t="shared" si="10"/>
        <v>275</v>
      </c>
      <c r="K17" s="208">
        <f>'HT-ListaJugadores'!L15-1</f>
        <v>7</v>
      </c>
      <c r="L17" s="121">
        <f t="shared" si="11"/>
        <v>89</v>
      </c>
      <c r="M17" s="176">
        <f t="shared" ca="1" si="12"/>
        <v>1</v>
      </c>
      <c r="N17" s="209">
        <f>'HT-ListaJugadores'!K15-1</f>
        <v>6</v>
      </c>
      <c r="O17" s="136">
        <f t="shared" si="13"/>
        <v>0.92582009977255142</v>
      </c>
      <c r="P17" s="136">
        <f t="shared" si="14"/>
        <v>0.99928545900129484</v>
      </c>
      <c r="Q17" s="210">
        <f>'HT-ListaJugadores'!H15</f>
        <v>90300</v>
      </c>
      <c r="R17" s="170">
        <f t="shared" si="15"/>
        <v>0</v>
      </c>
      <c r="S17" s="210">
        <f>'HT-ListaJugadores'!AD15</f>
        <v>33060</v>
      </c>
      <c r="T17" s="85">
        <f t="shared" si="7"/>
        <v>2.7313974591651542</v>
      </c>
      <c r="U17" s="211">
        <f>'HT-ListaJugadores'!O15-1</f>
        <v>0</v>
      </c>
      <c r="V17" s="211">
        <f>'HT-ListaJugadores'!P15-1</f>
        <v>10</v>
      </c>
      <c r="W17" s="211">
        <f>'HT-ListaJugadores'!Q15-1</f>
        <v>15</v>
      </c>
      <c r="X17" s="211">
        <f>'HT-ListaJugadores'!R15-1</f>
        <v>2</v>
      </c>
      <c r="Y17" s="211">
        <f>'HT-ListaJugadores'!S15-1</f>
        <v>3</v>
      </c>
      <c r="Z17" s="211">
        <f>'HT-ListaJugadores'!T15-1</f>
        <v>8</v>
      </c>
      <c r="AA17" s="211">
        <f>'HT-ListaJugadores'!U15-1</f>
        <v>19</v>
      </c>
      <c r="AB17" s="212">
        <f>'HT-ListaJugadores'!V15</f>
        <v>1804</v>
      </c>
      <c r="AC17" s="197">
        <f t="shared" ca="1" si="16"/>
        <v>16.145291848212128</v>
      </c>
      <c r="AD17" s="197">
        <f t="shared" ca="1" si="17"/>
        <v>17.438908328063501</v>
      </c>
      <c r="AE17" s="355">
        <f t="shared" ca="1" si="18"/>
        <v>19.923636886419978</v>
      </c>
      <c r="AF17" s="85">
        <f t="shared" ca="1" si="19"/>
        <v>21.519987405020338</v>
      </c>
      <c r="AG17" s="354">
        <f t="shared" ca="1" si="20"/>
        <v>16.793365918052913</v>
      </c>
      <c r="AH17" s="198">
        <f t="shared" ca="1" si="21"/>
        <v>19.801925035018488</v>
      </c>
      <c r="AI17" s="198">
        <f t="shared" ca="1" si="22"/>
        <v>21.388523580210968</v>
      </c>
      <c r="AJ17" s="209">
        <f>'HT-ListaJugadores'!Y15</f>
        <v>4</v>
      </c>
      <c r="AK17" s="209">
        <f>'HT-ListaJugadores'!Z15</f>
        <v>3</v>
      </c>
      <c r="AL17" s="136">
        <f t="shared" si="8"/>
        <v>0.157</v>
      </c>
      <c r="AM17" s="210">
        <v>90300</v>
      </c>
      <c r="AN17" s="201">
        <v>43626</v>
      </c>
      <c r="AO17" s="95"/>
      <c r="AP17" s="422"/>
      <c r="AQ17" s="95"/>
    </row>
    <row r="18" spans="1:43" x14ac:dyDescent="0.25">
      <c r="A18" s="203">
        <f>'HT-ListaJugadores'!A16</f>
        <v>14</v>
      </c>
      <c r="B18" s="203" t="str">
        <f>'HT-ListaJugadores'!B16</f>
        <v>FW</v>
      </c>
      <c r="C18" s="437" t="str">
        <f>'HT-ListaJugadores'!D16</f>
        <v>G. Piscaer</v>
      </c>
      <c r="D18" s="204" t="str">
        <f>'HT-ListaJugadores'!F16</f>
        <v>32.71</v>
      </c>
      <c r="E18" s="205" t="str">
        <f>LEFT('HT-ListaJugadores'!E16,3)</f>
        <v>Imp</v>
      </c>
      <c r="F18" s="206">
        <f>'HT-ListaJugadores'!I16-1</f>
        <v>1</v>
      </c>
      <c r="G18" s="207">
        <f>'HT-ListaJugadores'!J16-1</f>
        <v>12</v>
      </c>
      <c r="H18" s="123">
        <f t="shared" si="0"/>
        <v>1.4852578030757824</v>
      </c>
      <c r="I18" s="80">
        <f t="shared" si="9"/>
        <v>12</v>
      </c>
      <c r="J18" s="80">
        <f t="shared" si="10"/>
        <v>48</v>
      </c>
      <c r="K18" s="208">
        <f>'HT-ListaJugadores'!L16-1</f>
        <v>7</v>
      </c>
      <c r="L18" s="121">
        <f t="shared" si="11"/>
        <v>89</v>
      </c>
      <c r="M18" s="176">
        <f t="shared" ca="1" si="12"/>
        <v>1</v>
      </c>
      <c r="N18" s="209">
        <f>'HT-ListaJugadores'!K16-1</f>
        <v>7</v>
      </c>
      <c r="O18" s="136">
        <f t="shared" si="13"/>
        <v>1</v>
      </c>
      <c r="P18" s="136">
        <f t="shared" si="14"/>
        <v>1</v>
      </c>
      <c r="Q18" s="210">
        <f>'HT-ListaJugadores'!H16</f>
        <v>94650</v>
      </c>
      <c r="R18" s="170">
        <f t="shared" si="15"/>
        <v>0</v>
      </c>
      <c r="S18" s="210">
        <f>'HT-ListaJugadores'!AD16</f>
        <v>36528</v>
      </c>
      <c r="T18" s="85">
        <f t="shared" si="7"/>
        <v>2.5911629434954007</v>
      </c>
      <c r="U18" s="211">
        <f>'HT-ListaJugadores'!O16-1</f>
        <v>0</v>
      </c>
      <c r="V18" s="211">
        <f>'HT-ListaJugadores'!P16-1</f>
        <v>9</v>
      </c>
      <c r="W18" s="211">
        <f>'HT-ListaJugadores'!Q16-1</f>
        <v>15</v>
      </c>
      <c r="X18" s="211">
        <f>'HT-ListaJugadores'!R16-1</f>
        <v>3</v>
      </c>
      <c r="Y18" s="211">
        <f>'HT-ListaJugadores'!S16-1</f>
        <v>1</v>
      </c>
      <c r="Z18" s="211">
        <f>'HT-ListaJugadores'!T16-1</f>
        <v>9</v>
      </c>
      <c r="AA18" s="211">
        <f>'HT-ListaJugadores'!U16-1</f>
        <v>19</v>
      </c>
      <c r="AB18" s="212">
        <f>'HT-ListaJugadores'!V16</f>
        <v>1763</v>
      </c>
      <c r="AC18" s="197">
        <f t="shared" ca="1" si="16"/>
        <v>17.485257803075783</v>
      </c>
      <c r="AD18" s="197">
        <f t="shared" ca="1" si="17"/>
        <v>17.485257803075783</v>
      </c>
      <c r="AE18" s="355">
        <f t="shared" ca="1" si="18"/>
        <v>23.28241974479748</v>
      </c>
      <c r="AF18" s="85">
        <f t="shared" ca="1" si="19"/>
        <v>23.28241974479748</v>
      </c>
      <c r="AG18" s="354">
        <f t="shared" ca="1" si="20"/>
        <v>18.485257803075783</v>
      </c>
      <c r="AH18" s="198">
        <f t="shared" ca="1" si="21"/>
        <v>21.438908328063501</v>
      </c>
      <c r="AI18" s="198">
        <f t="shared" ca="1" si="22"/>
        <v>21.438908328063501</v>
      </c>
      <c r="AJ18" s="209">
        <f>'HT-ListaJugadores'!Y16</f>
        <v>3</v>
      </c>
      <c r="AK18" s="209">
        <f>'HT-ListaJugadores'!Z16</f>
        <v>0</v>
      </c>
      <c r="AL18" s="136">
        <f t="shared" si="8"/>
        <v>0.16549999999999998</v>
      </c>
      <c r="AM18" s="210">
        <v>94650</v>
      </c>
      <c r="AN18" s="201">
        <v>43630</v>
      </c>
    </row>
    <row r="19" spans="1:43" x14ac:dyDescent="0.25">
      <c r="A19" s="203">
        <f>'HT-ListaJugadores'!A17</f>
        <v>15</v>
      </c>
      <c r="B19" s="203" t="str">
        <f>'HT-ListaJugadores'!B17</f>
        <v>FW</v>
      </c>
      <c r="C19" s="437" t="str">
        <f>'HT-ListaJugadores'!D17</f>
        <v>G. Mintan</v>
      </c>
      <c r="D19" s="204" t="str">
        <f>'HT-ListaJugadores'!F17</f>
        <v>32.4</v>
      </c>
      <c r="E19" s="205" t="str">
        <f>LEFT('HT-ListaJugadores'!E17,3)</f>
        <v>Pot</v>
      </c>
      <c r="F19" s="206">
        <f>'HT-ListaJugadores'!I17-1</f>
        <v>2</v>
      </c>
      <c r="G19" s="207">
        <f>'HT-ListaJugadores'!J17-1</f>
        <v>8</v>
      </c>
      <c r="H19" s="123">
        <f t="shared" si="0"/>
        <v>1.2723233459190999</v>
      </c>
      <c r="I19" s="80">
        <f t="shared" si="9"/>
        <v>32</v>
      </c>
      <c r="J19" s="80">
        <f t="shared" si="10"/>
        <v>72</v>
      </c>
      <c r="K19" s="208">
        <f>'HT-ListaJugadores'!L17-1</f>
        <v>6</v>
      </c>
      <c r="L19" s="121">
        <f t="shared" si="11"/>
        <v>79</v>
      </c>
      <c r="M19" s="176">
        <f t="shared" ca="1" si="12"/>
        <v>0.23082846810273991</v>
      </c>
      <c r="N19" s="209">
        <f>'HT-ListaJugadores'!K17-1</f>
        <v>6</v>
      </c>
      <c r="O19" s="136">
        <f t="shared" si="13"/>
        <v>0.92582009977255142</v>
      </c>
      <c r="P19" s="136">
        <f t="shared" si="14"/>
        <v>0.99928545900129484</v>
      </c>
      <c r="Q19" s="210">
        <f>'HT-ListaJugadores'!H17</f>
        <v>67500</v>
      </c>
      <c r="R19" s="170">
        <f t="shared" si="15"/>
        <v>0</v>
      </c>
      <c r="S19" s="210">
        <f>'HT-ListaJugadores'!AD17</f>
        <v>20856</v>
      </c>
      <c r="T19" s="85">
        <f t="shared" si="7"/>
        <v>3.2364787111622553</v>
      </c>
      <c r="U19" s="211">
        <f>'HT-ListaJugadores'!O17-1</f>
        <v>0</v>
      </c>
      <c r="V19" s="211">
        <f>'HT-ListaJugadores'!P17-1</f>
        <v>9</v>
      </c>
      <c r="W19" s="211">
        <f>'HT-ListaJugadores'!Q17-1</f>
        <v>14</v>
      </c>
      <c r="X19" s="211">
        <f>'HT-ListaJugadores'!R17-1</f>
        <v>2</v>
      </c>
      <c r="Y19" s="211">
        <f>'HT-ListaJugadores'!S17-1</f>
        <v>3</v>
      </c>
      <c r="Z19" s="211">
        <f>'HT-ListaJugadores'!T17-1</f>
        <v>10</v>
      </c>
      <c r="AA19" s="211">
        <f>'HT-ListaJugadores'!U17-1</f>
        <v>21</v>
      </c>
      <c r="AB19" s="212">
        <f>'HT-ListaJugadores'!V17</f>
        <v>1835</v>
      </c>
      <c r="AC19" s="197">
        <f t="shared" ca="1" si="16"/>
        <v>14.35312955924671</v>
      </c>
      <c r="AD19" s="197">
        <f t="shared" ca="1" si="17"/>
        <v>15.503151814021839</v>
      </c>
      <c r="AE19" s="355">
        <f t="shared" ca="1" si="18"/>
        <v>22.101145489298425</v>
      </c>
      <c r="AF19" s="85">
        <f t="shared" ca="1" si="19"/>
        <v>23.871965508988268</v>
      </c>
      <c r="AG19" s="354">
        <f t="shared" ca="1" si="20"/>
        <v>17.778663928405152</v>
      </c>
      <c r="AH19" s="198">
        <f t="shared" ca="1" si="21"/>
        <v>20.770726213073434</v>
      </c>
      <c r="AI19" s="198">
        <f t="shared" ca="1" si="22"/>
        <v>22.434948450758665</v>
      </c>
      <c r="AJ19" s="209">
        <f>'HT-ListaJugadores'!Y17</f>
        <v>1</v>
      </c>
      <c r="AK19" s="209">
        <f>'HT-ListaJugadores'!Z17</f>
        <v>4</v>
      </c>
      <c r="AL19" s="136">
        <f t="shared" si="8"/>
        <v>4.9399999999999999E-2</v>
      </c>
      <c r="AM19" s="210">
        <v>67500</v>
      </c>
      <c r="AN19" s="201">
        <v>45160</v>
      </c>
    </row>
    <row r="20" spans="1:43" x14ac:dyDescent="0.25">
      <c r="G20" s="68"/>
      <c r="V20" s="47"/>
    </row>
    <row r="21" spans="1:43" x14ac:dyDescent="0.25">
      <c r="C21"/>
      <c r="E21"/>
      <c r="F21"/>
      <c r="G21" s="68"/>
      <c r="I21"/>
      <c r="K21"/>
      <c r="L21"/>
      <c r="M21"/>
      <c r="N21"/>
      <c r="O21"/>
      <c r="P21"/>
      <c r="S21"/>
      <c r="T21"/>
      <c r="U21"/>
      <c r="AB21"/>
      <c r="AN21"/>
    </row>
    <row r="22" spans="1:43" x14ac:dyDescent="0.25">
      <c r="C22"/>
      <c r="E22"/>
      <c r="F22"/>
      <c r="G22" s="68"/>
      <c r="I22"/>
      <c r="K22"/>
      <c r="L22"/>
      <c r="M22"/>
      <c r="N22"/>
      <c r="O22"/>
      <c r="P22"/>
      <c r="S22"/>
      <c r="T22"/>
      <c r="U22"/>
      <c r="AB22"/>
      <c r="AN22"/>
    </row>
    <row r="23" spans="1:43" x14ac:dyDescent="0.25">
      <c r="C23"/>
      <c r="E23"/>
      <c r="F23"/>
      <c r="G23" s="68"/>
      <c r="I23"/>
      <c r="K23"/>
      <c r="L23"/>
      <c r="M23"/>
      <c r="N23"/>
      <c r="O23"/>
      <c r="P23"/>
      <c r="S23"/>
      <c r="T23"/>
      <c r="U23"/>
      <c r="AB23"/>
      <c r="AN23"/>
    </row>
    <row r="24" spans="1:43" x14ac:dyDescent="0.25">
      <c r="C24"/>
      <c r="E24"/>
      <c r="F24"/>
      <c r="G24" s="68"/>
      <c r="I24"/>
      <c r="K24"/>
      <c r="L24"/>
      <c r="M24"/>
      <c r="N24"/>
      <c r="O24"/>
      <c r="P24"/>
      <c r="S24"/>
      <c r="T24"/>
      <c r="U24"/>
      <c r="AB24"/>
      <c r="AN24"/>
    </row>
  </sheetData>
  <mergeCells count="1">
    <mergeCell ref="D1:E1"/>
  </mergeCells>
  <conditionalFormatting sqref="N4:N19">
    <cfRule type="cellIs" dxfId="52" priority="66" operator="greaterThan">
      <formula>6</formula>
    </cfRule>
    <cfRule type="cellIs" dxfId="51" priority="67" operator="lessThan">
      <formula>5</formula>
    </cfRule>
  </conditionalFormatting>
  <conditionalFormatting sqref="O4:P19">
    <cfRule type="cellIs" dxfId="50" priority="64" operator="greaterThan">
      <formula>0.95</formula>
    </cfRule>
    <cfRule type="cellIs" dxfId="49" priority="65" operator="lessThan">
      <formula>0.85</formula>
    </cfRule>
  </conditionalFormatting>
  <conditionalFormatting sqref="U4:AA19">
    <cfRule type="cellIs" dxfId="48" priority="35" operator="greaterThan">
      <formula>12</formula>
    </cfRule>
  </conditionalFormatting>
  <conditionalFormatting sqref="AC4:AD19">
    <cfRule type="colorScale" priority="1227">
      <colorScale>
        <cfvo type="min"/>
        <cfvo type="max"/>
        <color rgb="FFFFEF9C"/>
        <color rgb="FF63BE7B"/>
      </colorScale>
    </cfRule>
  </conditionalFormatting>
  <conditionalFormatting sqref="AE4:AF19">
    <cfRule type="colorScale" priority="1239">
      <colorScale>
        <cfvo type="min"/>
        <cfvo type="max"/>
        <color rgb="FFFCFCFF"/>
        <color rgb="FFF8696B"/>
      </colorScale>
    </cfRule>
  </conditionalFormatting>
  <conditionalFormatting sqref="AG4:AG19">
    <cfRule type="colorScale" priority="1238">
      <colorScale>
        <cfvo type="min"/>
        <cfvo type="max"/>
        <color rgb="FFFFEF9C"/>
        <color rgb="FF63BE7B"/>
      </colorScale>
    </cfRule>
  </conditionalFormatting>
  <conditionalFormatting sqref="AH4:AI19">
    <cfRule type="colorScale" priority="1228">
      <colorScale>
        <cfvo type="min"/>
        <cfvo type="max"/>
        <color rgb="FFFFEF9C"/>
        <color rgb="FF63BE7B"/>
      </colorScale>
    </cfRule>
  </conditionalFormatting>
  <conditionalFormatting sqref="AL4:AL19">
    <cfRule type="cellIs" dxfId="47" priority="62" operator="lessThan">
      <formula>0.07</formula>
    </cfRule>
    <cfRule type="cellIs" dxfId="46" priority="63" operator="greaterThan">
      <formula>0.1</formula>
    </cfRule>
  </conditionalFormatting>
  <conditionalFormatting sqref="I4:J19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9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9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9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R4:R19">
    <cfRule type="dataBar" priority="1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S4:S19">
    <cfRule type="dataBar" priority="13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T4:T19">
    <cfRule type="dataBar" priority="1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U4:Z19">
    <cfRule type="colorScale" priority="1316">
      <colorScale>
        <cfvo type="min"/>
        <cfvo type="max"/>
        <color rgb="FFFFEF9C"/>
        <color rgb="FF63BE7B"/>
      </colorScale>
    </cfRule>
  </conditionalFormatting>
  <conditionalFormatting sqref="AA4:AA19">
    <cfRule type="colorScale" priority="1317">
      <colorScale>
        <cfvo type="min"/>
        <cfvo type="max"/>
        <color rgb="FFFCFCFF"/>
        <color rgb="FFF8696B"/>
      </colorScale>
    </cfRule>
  </conditionalFormatting>
  <conditionalFormatting sqref="G4:G1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9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{7EA7F7EB-243F-43BD-A29D-633904309DF8}</x14:id>
        </ext>
      </extLst>
    </cfRule>
  </conditionalFormatting>
  <conditionalFormatting sqref="AB4:AB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{DC7C5084-2CF7-4E12-A513-FF4B6D0F34A6}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Q4:Q19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R4:R19</xm:sqref>
        </x14:conditionalFormatting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7EA7F7EB-243F-43BD-A29D-633904309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AM4:AM19</xm:sqref>
        </x14:conditionalFormatting>
        <x14:conditionalFormatting xmlns:xm="http://schemas.microsoft.com/office/excel/2006/main">
          <x14:cfRule type="dataBar" id="{DC7C5084-2CF7-4E12-A513-FF4B6D0F3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AB4:AB19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O31"/>
  <sheetViews>
    <sheetView zoomScale="90" zoomScaleNormal="90" workbookViewId="0">
      <selection activeCell="D25" sqref="D25"/>
    </sheetView>
  </sheetViews>
  <sheetFormatPr baseColWidth="10" defaultColWidth="10.7109375" defaultRowHeight="15" x14ac:dyDescent="0.25"/>
  <cols>
    <col min="1" max="1" width="23.85546875" customWidth="1"/>
    <col min="2" max="2" width="6.42578125" bestFit="1" customWidth="1"/>
    <col min="3" max="3" width="5.140625" customWidth="1"/>
    <col min="4" max="4" width="5.7109375" bestFit="1" customWidth="1"/>
    <col min="5" max="5" width="8.42578125" bestFit="1" customWidth="1"/>
    <col min="6" max="6" width="10.85546875" bestFit="1" customWidth="1"/>
    <col min="7" max="7" width="6" customWidth="1"/>
    <col min="8" max="8" width="5.140625" bestFit="1" customWidth="1"/>
    <col min="9" max="9" width="5.42578125" bestFit="1" customWidth="1"/>
    <col min="10" max="10" width="5.140625" bestFit="1" customWidth="1"/>
    <col min="11" max="11" width="5.42578125" bestFit="1" customWidth="1"/>
    <col min="12" max="14" width="5.140625" bestFit="1" customWidth="1"/>
    <col min="15" max="15" width="5.42578125" bestFit="1" customWidth="1"/>
    <col min="16" max="16" width="5.140625" bestFit="1" customWidth="1"/>
    <col min="17" max="17" width="5.7109375" bestFit="1" customWidth="1"/>
    <col min="18" max="18" width="5.140625" bestFit="1" customWidth="1"/>
    <col min="19" max="19" width="4.140625" bestFit="1" customWidth="1"/>
    <col min="20" max="20" width="5.140625" bestFit="1" customWidth="1"/>
    <col min="21" max="21" width="5" bestFit="1" customWidth="1"/>
    <col min="22" max="22" width="5.140625" bestFit="1" customWidth="1"/>
    <col min="23" max="23" width="6.7109375" bestFit="1" customWidth="1"/>
    <col min="24" max="24" width="5.7109375" bestFit="1" customWidth="1"/>
    <col min="25" max="28" width="5.5703125" bestFit="1" customWidth="1"/>
    <col min="29" max="29" width="5.7109375" bestFit="1" customWidth="1"/>
    <col min="30" max="30" width="4.140625" bestFit="1" customWidth="1"/>
    <col min="31" max="31" width="5.140625" bestFit="1" customWidth="1"/>
    <col min="32" max="32" width="4.140625" bestFit="1" customWidth="1"/>
    <col min="33" max="33" width="5" bestFit="1" customWidth="1"/>
    <col min="34" max="34" width="4.5703125" bestFit="1" customWidth="1"/>
    <col min="35" max="36" width="4.42578125" bestFit="1" customWidth="1"/>
    <col min="37" max="37" width="4.5703125" bestFit="1" customWidth="1"/>
    <col min="38" max="38" width="4.85546875" bestFit="1" customWidth="1"/>
    <col min="39" max="39" width="15.85546875" bestFit="1" customWidth="1"/>
    <col min="40" max="40" width="4" bestFit="1" customWidth="1"/>
    <col min="41" max="41" width="36.42578125" customWidth="1"/>
  </cols>
  <sheetData>
    <row r="1" spans="1:41" ht="15.75" x14ac:dyDescent="0.25">
      <c r="A1" s="358" t="s">
        <v>147</v>
      </c>
      <c r="B1" s="358"/>
      <c r="C1" s="358"/>
      <c r="D1" s="359"/>
      <c r="E1" s="358"/>
      <c r="F1" s="360"/>
      <c r="G1" s="466"/>
      <c r="H1" s="467"/>
      <c r="I1" s="358"/>
      <c r="J1" s="467"/>
      <c r="K1" s="358"/>
      <c r="L1" s="467"/>
      <c r="M1" s="358"/>
      <c r="N1" s="467"/>
      <c r="O1" s="358"/>
      <c r="P1" s="467"/>
      <c r="Q1" s="358"/>
      <c r="R1" s="467"/>
      <c r="S1" s="358"/>
      <c r="T1" s="467"/>
      <c r="U1" s="360"/>
      <c r="V1" s="360"/>
      <c r="W1" s="468"/>
      <c r="X1" s="469"/>
      <c r="Y1" s="469"/>
      <c r="Z1" s="469"/>
      <c r="AA1" s="469"/>
      <c r="AB1" s="469"/>
      <c r="AC1" s="469"/>
      <c r="AD1" s="469"/>
      <c r="AE1" s="359"/>
      <c r="AF1" s="359"/>
      <c r="AG1" s="470" t="s">
        <v>1</v>
      </c>
      <c r="AH1" s="470"/>
      <c r="AI1" s="470"/>
      <c r="AJ1" s="470"/>
      <c r="AK1" s="470"/>
      <c r="AL1" s="470"/>
      <c r="AM1" s="471"/>
      <c r="AN1" s="360"/>
      <c r="AO1" s="472"/>
    </row>
    <row r="2" spans="1:41" ht="15.75" x14ac:dyDescent="0.25">
      <c r="A2" s="473" t="s">
        <v>84</v>
      </c>
      <c r="B2" s="473" t="s">
        <v>148</v>
      </c>
      <c r="C2" s="473" t="s">
        <v>86</v>
      </c>
      <c r="D2" s="474" t="s">
        <v>149</v>
      </c>
      <c r="E2" s="473" t="s">
        <v>150</v>
      </c>
      <c r="F2" s="475" t="s">
        <v>540</v>
      </c>
      <c r="G2" s="476" t="s">
        <v>14</v>
      </c>
      <c r="H2" s="477" t="s">
        <v>152</v>
      </c>
      <c r="I2" s="478" t="s">
        <v>37</v>
      </c>
      <c r="J2" s="477" t="s">
        <v>152</v>
      </c>
      <c r="K2" s="478" t="s">
        <v>153</v>
      </c>
      <c r="L2" s="477" t="s">
        <v>152</v>
      </c>
      <c r="M2" s="478" t="s">
        <v>154</v>
      </c>
      <c r="N2" s="477" t="s">
        <v>152</v>
      </c>
      <c r="O2" s="478" t="s">
        <v>155</v>
      </c>
      <c r="P2" s="477" t="s">
        <v>152</v>
      </c>
      <c r="Q2" s="478" t="s">
        <v>156</v>
      </c>
      <c r="R2" s="477" t="s">
        <v>152</v>
      </c>
      <c r="S2" s="478" t="s">
        <v>157</v>
      </c>
      <c r="T2" s="477" t="s">
        <v>152</v>
      </c>
      <c r="U2" s="479" t="s">
        <v>541</v>
      </c>
      <c r="V2" s="479" t="s">
        <v>143</v>
      </c>
      <c r="W2" s="480" t="s">
        <v>174</v>
      </c>
      <c r="X2" s="481" t="s">
        <v>14</v>
      </c>
      <c r="Y2" s="481" t="s">
        <v>37</v>
      </c>
      <c r="Z2" s="481" t="s">
        <v>153</v>
      </c>
      <c r="AA2" s="481" t="s">
        <v>154</v>
      </c>
      <c r="AB2" s="481" t="s">
        <v>155</v>
      </c>
      <c r="AC2" s="481" t="s">
        <v>156</v>
      </c>
      <c r="AD2" s="481" t="s">
        <v>157</v>
      </c>
      <c r="AE2" s="474" t="s">
        <v>158</v>
      </c>
      <c r="AF2" s="474" t="s">
        <v>157</v>
      </c>
      <c r="AG2" s="482" t="s">
        <v>14</v>
      </c>
      <c r="AH2" s="482" t="s">
        <v>37</v>
      </c>
      <c r="AI2" s="482" t="s">
        <v>16</v>
      </c>
      <c r="AJ2" s="482" t="s">
        <v>121</v>
      </c>
      <c r="AK2" s="482" t="s">
        <v>30</v>
      </c>
      <c r="AL2" s="482" t="s">
        <v>21</v>
      </c>
      <c r="AM2" s="483" t="s">
        <v>962</v>
      </c>
      <c r="AN2" s="475" t="s">
        <v>963</v>
      </c>
      <c r="AO2" s="482" t="s">
        <v>964</v>
      </c>
    </row>
    <row r="3" spans="1:41" ht="15.75" x14ac:dyDescent="0.25">
      <c r="A3" s="394" t="s">
        <v>990</v>
      </c>
      <c r="B3" s="484">
        <v>16</v>
      </c>
      <c r="C3" s="485">
        <f ca="1">+A31-45135</f>
        <v>59</v>
      </c>
      <c r="D3" s="486"/>
      <c r="E3" s="364">
        <f ca="1">F3-TODAY()</f>
        <v>53</v>
      </c>
      <c r="F3" s="487">
        <v>45247</v>
      </c>
      <c r="G3" s="488"/>
      <c r="H3" s="489">
        <v>0.99</v>
      </c>
      <c r="I3" s="490">
        <v>5</v>
      </c>
      <c r="J3" s="489">
        <v>5.99</v>
      </c>
      <c r="K3" s="366"/>
      <c r="L3" s="489">
        <v>2.99</v>
      </c>
      <c r="M3" s="490">
        <v>2</v>
      </c>
      <c r="N3" s="489">
        <v>2.99</v>
      </c>
      <c r="O3" s="366"/>
      <c r="P3" s="489">
        <v>2.99</v>
      </c>
      <c r="Q3" s="366"/>
      <c r="R3" s="489">
        <v>4.99</v>
      </c>
      <c r="S3" s="490"/>
      <c r="T3" s="489"/>
      <c r="U3" s="491">
        <f>7-(COUNTBLANK(G3)+COUNTBLANK(I3)+COUNTBLANK(K3)+COUNTBLANK(M3)+COUNTBLANK(O3)+COUNTBLANK(Q3)+COUNTBLANK(S3))</f>
        <v>2</v>
      </c>
      <c r="V3" s="492">
        <f>COUNT(T3,P3,R3,N3,L3,J3,H3)</f>
        <v>6</v>
      </c>
      <c r="W3" s="493">
        <f>SUM(X3:AD3)</f>
        <v>395</v>
      </c>
      <c r="X3" s="56"/>
      <c r="Y3" s="56">
        <f>VLOOKUP(J3,[1]Tabla_HTMS!$E$4:$F$11,2)</f>
        <v>150</v>
      </c>
      <c r="Z3" s="56">
        <f>VLOOKUP(L3,[1]Tabla_HTMS!$A$4:$B$11,2)</f>
        <v>50</v>
      </c>
      <c r="AA3" s="56">
        <f>VLOOKUP(N3,[1]Tabla_HTMS!$G$4:$H$11,2)</f>
        <v>43</v>
      </c>
      <c r="AB3" s="56">
        <f>VLOOKUP(P3,[1]Tabla_HTMS!$I$4:$J$11,2)</f>
        <v>48</v>
      </c>
      <c r="AC3" s="56">
        <f>VLOOKUP(R3,[1]Tabla_HTMS!$K$4:$L$11,2)</f>
        <v>104</v>
      </c>
      <c r="AD3" s="56"/>
      <c r="AE3" s="494"/>
      <c r="AF3" s="494"/>
      <c r="AG3" s="495">
        <v>1.5</v>
      </c>
      <c r="AH3" s="495">
        <v>4.5</v>
      </c>
      <c r="AI3" s="495">
        <v>4.5</v>
      </c>
      <c r="AJ3" s="495">
        <v>3.5</v>
      </c>
      <c r="AK3" s="495"/>
      <c r="AL3" s="495">
        <v>5</v>
      </c>
      <c r="AM3" s="496"/>
      <c r="AN3" s="497"/>
      <c r="AO3" s="498"/>
    </row>
    <row r="4" spans="1:41" ht="15.75" x14ac:dyDescent="0.25">
      <c r="A4" s="368" t="s">
        <v>542</v>
      </c>
      <c r="B4" s="369"/>
      <c r="C4" s="369"/>
      <c r="D4" s="370"/>
      <c r="E4" s="369"/>
      <c r="F4" s="371"/>
      <c r="G4" s="499" t="s">
        <v>159</v>
      </c>
      <c r="H4" s="500"/>
      <c r="I4" s="369"/>
      <c r="J4" s="500"/>
      <c r="K4" s="369"/>
      <c r="L4" s="500"/>
      <c r="M4" s="369"/>
      <c r="N4" s="500"/>
      <c r="O4" s="369"/>
      <c r="P4" s="500"/>
      <c r="Q4" s="369"/>
      <c r="R4" s="500"/>
      <c r="S4" s="369"/>
      <c r="T4" s="500"/>
      <c r="U4" s="371"/>
      <c r="V4" s="371"/>
      <c r="W4" s="501"/>
      <c r="X4" s="502"/>
      <c r="Y4" s="502"/>
      <c r="Z4" s="502"/>
      <c r="AA4" s="502"/>
      <c r="AB4" s="502"/>
      <c r="AC4" s="502"/>
      <c r="AD4" s="502"/>
      <c r="AE4" s="370"/>
      <c r="AF4" s="370"/>
      <c r="AG4" s="503" t="s">
        <v>1</v>
      </c>
      <c r="AH4" s="503"/>
      <c r="AI4" s="503"/>
      <c r="AJ4" s="503"/>
      <c r="AK4" s="503"/>
      <c r="AL4" s="503"/>
      <c r="AM4" s="504"/>
      <c r="AN4" s="371"/>
      <c r="AO4" s="372"/>
    </row>
    <row r="5" spans="1:41" ht="15.75" x14ac:dyDescent="0.25">
      <c r="A5" s="505" t="s">
        <v>84</v>
      </c>
      <c r="B5" s="505" t="s">
        <v>148</v>
      </c>
      <c r="C5" s="505" t="s">
        <v>86</v>
      </c>
      <c r="D5" s="506" t="s">
        <v>149</v>
      </c>
      <c r="E5" s="505" t="s">
        <v>150</v>
      </c>
      <c r="F5" s="507" t="str">
        <f>F2</f>
        <v>Promoción</v>
      </c>
      <c r="G5" s="476" t="s">
        <v>14</v>
      </c>
      <c r="H5" s="477" t="str">
        <f t="shared" ref="H5:AE5" si="0">H2</f>
        <v>Pot</v>
      </c>
      <c r="I5" s="478" t="str">
        <f t="shared" si="0"/>
        <v>DEF</v>
      </c>
      <c r="J5" s="477" t="str">
        <f t="shared" si="0"/>
        <v>Pot</v>
      </c>
      <c r="K5" s="478" t="str">
        <f t="shared" si="0"/>
        <v>JUG</v>
      </c>
      <c r="L5" s="477" t="str">
        <f t="shared" si="0"/>
        <v>Pot</v>
      </c>
      <c r="M5" s="478" t="str">
        <f t="shared" si="0"/>
        <v>LAT</v>
      </c>
      <c r="N5" s="477" t="str">
        <f t="shared" si="0"/>
        <v>Pot</v>
      </c>
      <c r="O5" s="478" t="str">
        <f t="shared" si="0"/>
        <v>PAS</v>
      </c>
      <c r="P5" s="477" t="str">
        <f t="shared" si="0"/>
        <v>Pot</v>
      </c>
      <c r="Q5" s="478" t="str">
        <f t="shared" si="0"/>
        <v>ANO</v>
      </c>
      <c r="R5" s="477" t="str">
        <f t="shared" si="0"/>
        <v>Pot</v>
      </c>
      <c r="S5" s="478" t="str">
        <f t="shared" si="0"/>
        <v>BP</v>
      </c>
      <c r="T5" s="477" t="str">
        <f t="shared" si="0"/>
        <v>Pot</v>
      </c>
      <c r="U5" s="508" t="str">
        <f t="shared" si="0"/>
        <v>HAB</v>
      </c>
      <c r="V5" s="508" t="str">
        <f t="shared" si="0"/>
        <v>POT</v>
      </c>
      <c r="W5" s="480" t="s">
        <v>174</v>
      </c>
      <c r="X5" s="481" t="s">
        <v>14</v>
      </c>
      <c r="Y5" s="481" t="s">
        <v>37</v>
      </c>
      <c r="Z5" s="481" t="s">
        <v>153</v>
      </c>
      <c r="AA5" s="481" t="s">
        <v>154</v>
      </c>
      <c r="AB5" s="481" t="s">
        <v>155</v>
      </c>
      <c r="AC5" s="481" t="s">
        <v>156</v>
      </c>
      <c r="AD5" s="481" t="s">
        <v>157</v>
      </c>
      <c r="AE5" s="506" t="str">
        <f t="shared" si="0"/>
        <v>Cap</v>
      </c>
      <c r="AF5" s="506" t="s">
        <v>157</v>
      </c>
      <c r="AG5" s="509" t="str">
        <f t="shared" ref="AG5:AO5" si="1">AG2</f>
        <v>POR</v>
      </c>
      <c r="AH5" s="509" t="str">
        <f t="shared" si="1"/>
        <v>DEF</v>
      </c>
      <c r="AI5" s="509" t="str">
        <f t="shared" si="1"/>
        <v>DL</v>
      </c>
      <c r="AJ5" s="509" t="str">
        <f t="shared" si="1"/>
        <v>INN</v>
      </c>
      <c r="AK5" s="509" t="str">
        <f t="shared" si="1"/>
        <v>EXT</v>
      </c>
      <c r="AL5" s="509" t="str">
        <f t="shared" si="1"/>
        <v>DAV</v>
      </c>
      <c r="AM5" s="510" t="str">
        <f t="shared" si="1"/>
        <v>Atributs Inicial</v>
      </c>
      <c r="AN5" s="507" t="str">
        <f t="shared" si="1"/>
        <v>NM</v>
      </c>
      <c r="AO5" s="509" t="str">
        <f t="shared" si="1"/>
        <v>U21</v>
      </c>
    </row>
    <row r="6" spans="1:41" ht="15.75" x14ac:dyDescent="0.25">
      <c r="A6" s="511" t="s">
        <v>976</v>
      </c>
      <c r="B6" s="361">
        <v>16</v>
      </c>
      <c r="C6" s="362">
        <f ca="1">+A31-45110</f>
        <v>84</v>
      </c>
      <c r="D6" s="363" t="s">
        <v>632</v>
      </c>
      <c r="E6" s="364">
        <f t="shared" ref="E6" ca="1" si="2">F6-TODAY()</f>
        <v>28</v>
      </c>
      <c r="F6" s="512">
        <v>45222</v>
      </c>
      <c r="G6" s="488"/>
      <c r="H6" s="513">
        <v>0.99</v>
      </c>
      <c r="I6" s="366">
        <v>3</v>
      </c>
      <c r="J6" s="489">
        <v>3.99</v>
      </c>
      <c r="K6" s="366">
        <v>4</v>
      </c>
      <c r="L6" s="489">
        <v>5.99</v>
      </c>
      <c r="M6" s="490">
        <v>5</v>
      </c>
      <c r="N6" s="489">
        <v>5.99</v>
      </c>
      <c r="O6" s="366">
        <v>3</v>
      </c>
      <c r="P6" s="489">
        <v>3.99</v>
      </c>
      <c r="Q6" s="490">
        <v>5</v>
      </c>
      <c r="R6" s="489">
        <v>6.99</v>
      </c>
      <c r="S6" s="490"/>
      <c r="T6" s="489">
        <v>2.99</v>
      </c>
      <c r="U6" s="514">
        <f>7-(COUNTBLANK(G6)+COUNTBLANK(I6)+COUNTBLANK(K6)+COUNTBLANK(M6)+COUNTBLANK(O6)+COUNTBLANK(Q6)+COUNTBLANK(S6))</f>
        <v>5</v>
      </c>
      <c r="V6" s="191">
        <f>COUNT(T6,P6,R6,N6,L6,J6,H6)</f>
        <v>7</v>
      </c>
      <c r="W6" s="493">
        <f t="shared" ref="W6" si="3">SUM(X6:AD6)</f>
        <v>574</v>
      </c>
      <c r="X6" s="56"/>
      <c r="Y6" s="56">
        <f>VLOOKUP(J6,[1]Tabla_HTMS!$E$4:$F$11,2)</f>
        <v>81</v>
      </c>
      <c r="Z6" s="56">
        <f>VLOOKUP(L6,[1]Tabla_HTMS!$A$4:$B$11,2)</f>
        <v>130</v>
      </c>
      <c r="AA6" s="56">
        <f>VLOOKUP(N6,[1]Tabla_HTMS!$G$4:$H$11,2)</f>
        <v>99</v>
      </c>
      <c r="AB6" s="56">
        <f>VLOOKUP(P6,[1]Tabla_HTMS!$I$4:$J$11,2)</f>
        <v>68</v>
      </c>
      <c r="AC6" s="56">
        <f>VLOOKUP(R6,[1]Tabla_HTMS!$K$4:$L$11,2)</f>
        <v>172</v>
      </c>
      <c r="AD6" s="56">
        <f>VLOOKUP(T6,[1]Tabla_HTMS!$M$4:$N$11,2)</f>
        <v>24</v>
      </c>
      <c r="AE6" s="365"/>
      <c r="AF6" s="365"/>
      <c r="AG6" s="367"/>
      <c r="AH6" s="367">
        <v>3.5</v>
      </c>
      <c r="AI6" s="495">
        <v>4</v>
      </c>
      <c r="AJ6" s="367">
        <v>5.5</v>
      </c>
      <c r="AK6" s="495">
        <v>5.5</v>
      </c>
      <c r="AL6" s="495">
        <v>7</v>
      </c>
      <c r="AM6" s="496" t="s">
        <v>974</v>
      </c>
      <c r="AN6" s="515">
        <v>4</v>
      </c>
      <c r="AO6" s="551" t="s">
        <v>977</v>
      </c>
    </row>
    <row r="7" spans="1:41" ht="15.75" x14ac:dyDescent="0.25">
      <c r="A7" s="511" t="s">
        <v>982</v>
      </c>
      <c r="B7" s="361">
        <v>16</v>
      </c>
      <c r="C7" s="362">
        <f ca="1">+A31-45152</f>
        <v>42</v>
      </c>
      <c r="D7" s="363"/>
      <c r="E7" s="364">
        <f ca="1">F7-TODAY()</f>
        <v>70</v>
      </c>
      <c r="F7" s="512">
        <v>45264</v>
      </c>
      <c r="G7" s="488"/>
      <c r="H7" s="489">
        <v>1.99</v>
      </c>
      <c r="I7" s="490">
        <v>4</v>
      </c>
      <c r="J7" s="489">
        <v>5.99</v>
      </c>
      <c r="K7" s="366">
        <v>4</v>
      </c>
      <c r="L7" s="489">
        <v>4.99</v>
      </c>
      <c r="M7" s="366">
        <v>2</v>
      </c>
      <c r="N7" s="489">
        <v>2.99</v>
      </c>
      <c r="O7" s="366">
        <v>4</v>
      </c>
      <c r="P7" s="489">
        <v>5.99</v>
      </c>
      <c r="Q7" s="490">
        <v>3</v>
      </c>
      <c r="R7" s="489">
        <v>4.99</v>
      </c>
      <c r="S7" s="490"/>
      <c r="T7" s="489"/>
      <c r="U7" s="514">
        <f t="shared" ref="U7" si="4">7-(COUNTBLANK(G7)+COUNTBLANK(I7)+COUNTBLANK(K7)+COUNTBLANK(M7)+COUNTBLANK(O7)+COUNTBLANK(Q7)+COUNTBLANK(S7))</f>
        <v>5</v>
      </c>
      <c r="V7" s="191">
        <f t="shared" ref="V7" si="5">COUNT(T7,P7,R7,N7,L7,J7,H7)</f>
        <v>6</v>
      </c>
      <c r="W7" s="493">
        <f>SUM(X7:AD7)</f>
        <v>548</v>
      </c>
      <c r="X7" s="56">
        <f>VLOOKUP(H7,[1]Tabla_HTMS!$C$4:$D$11,2)</f>
        <v>30</v>
      </c>
      <c r="Y7" s="56">
        <f>VLOOKUP(J7,[1]Tabla_HTMS!$E$4:$F$11,2)</f>
        <v>150</v>
      </c>
      <c r="Z7" s="56">
        <f>VLOOKUP(L7,[1]Tabla_HTMS!$A$4:$B$11,2)</f>
        <v>100</v>
      </c>
      <c r="AA7" s="56">
        <f>VLOOKUP(N7,[1]Tabla_HTMS!$G$4:$H$11,2)</f>
        <v>43</v>
      </c>
      <c r="AB7" s="56">
        <f>VLOOKUP(P7,[1]Tabla_HTMS!$I$4:$J$11,2)</f>
        <v>121</v>
      </c>
      <c r="AC7" s="56">
        <f>VLOOKUP(R7,[1]Tabla_HTMS!$K$4:$L$11,2)</f>
        <v>104</v>
      </c>
      <c r="AD7" s="56"/>
      <c r="AE7" s="365"/>
      <c r="AF7" s="365"/>
      <c r="AG7" s="367"/>
      <c r="AH7" s="367">
        <v>4.5</v>
      </c>
      <c r="AI7" s="367">
        <v>4.5</v>
      </c>
      <c r="AJ7" s="495">
        <v>5.5</v>
      </c>
      <c r="AK7" s="367">
        <v>5.5</v>
      </c>
      <c r="AL7" s="367">
        <v>5.5</v>
      </c>
      <c r="AM7" s="496" t="s">
        <v>975</v>
      </c>
      <c r="AN7" s="520">
        <v>5</v>
      </c>
      <c r="AO7" s="553" t="s">
        <v>969</v>
      </c>
    </row>
    <row r="8" spans="1:41" ht="15.75" x14ac:dyDescent="0.25">
      <c r="A8" s="511" t="s">
        <v>980</v>
      </c>
      <c r="B8" s="484">
        <v>15</v>
      </c>
      <c r="C8" s="485">
        <f ca="1">+A31-45089</f>
        <v>105</v>
      </c>
      <c r="D8" s="486" t="s">
        <v>143</v>
      </c>
      <c r="E8" s="519">
        <f ca="1">F8-TODAY()</f>
        <v>119</v>
      </c>
      <c r="F8" s="487">
        <v>45313</v>
      </c>
      <c r="G8" s="488"/>
      <c r="H8" s="489"/>
      <c r="I8" s="490">
        <v>3</v>
      </c>
      <c r="J8" s="489">
        <v>5.99</v>
      </c>
      <c r="K8" s="366">
        <v>3</v>
      </c>
      <c r="L8" s="489">
        <v>3.99</v>
      </c>
      <c r="M8" s="490">
        <v>4</v>
      </c>
      <c r="N8" s="489">
        <v>6.99</v>
      </c>
      <c r="O8" s="366">
        <v>2</v>
      </c>
      <c r="P8" s="489">
        <v>2.99</v>
      </c>
      <c r="Q8" s="366"/>
      <c r="R8" s="489">
        <v>2.99</v>
      </c>
      <c r="S8" s="490"/>
      <c r="T8" s="489"/>
      <c r="U8" s="491">
        <f>7-(COUNTBLANK(G8)+COUNTBLANK(I8)+COUNTBLANK(K8)+COUNTBLANK(M8)+COUNTBLANK(O8)+COUNTBLANK(Q8)+COUNTBLANK(S8))</f>
        <v>4</v>
      </c>
      <c r="V8" s="492">
        <f>COUNT(T8,P8,R8,N8,L8,J8,H8)</f>
        <v>5</v>
      </c>
      <c r="W8" s="493">
        <f>SUM(X8:AD8)</f>
        <v>446</v>
      </c>
      <c r="X8" s="56"/>
      <c r="Y8" s="56">
        <f>VLOOKUP(J8,[1]Tabla_HTMS!$E$4:$F$11,2)</f>
        <v>150</v>
      </c>
      <c r="Z8" s="56">
        <f>VLOOKUP(L8,[1]Tabla_HTMS!$A$4:$B$11,2)</f>
        <v>73</v>
      </c>
      <c r="AA8" s="56">
        <f>VLOOKUP(N8,[1]Tabla_HTMS!$G$4:$H$11,2)</f>
        <v>123</v>
      </c>
      <c r="AB8" s="56">
        <f>VLOOKUP(P8,[1]Tabla_HTMS!$I$4:$J$11,2)</f>
        <v>48</v>
      </c>
      <c r="AC8" s="56">
        <f>VLOOKUP(R8,[1]Tabla_HTMS!$K$4:$L$11,2)</f>
        <v>52</v>
      </c>
      <c r="AD8" s="56"/>
      <c r="AE8" s="494"/>
      <c r="AF8" s="494"/>
      <c r="AG8" s="495"/>
      <c r="AH8" s="495"/>
      <c r="AI8" s="495">
        <v>5</v>
      </c>
      <c r="AJ8" s="495">
        <v>4</v>
      </c>
      <c r="AK8" s="367">
        <v>5.5</v>
      </c>
      <c r="AL8" s="367"/>
      <c r="AM8" s="496" t="s">
        <v>974</v>
      </c>
      <c r="AN8" s="520">
        <v>4</v>
      </c>
      <c r="AO8" s="551" t="s">
        <v>981</v>
      </c>
    </row>
    <row r="9" spans="1:41" ht="15.75" x14ac:dyDescent="0.25">
      <c r="A9" s="517" t="s">
        <v>978</v>
      </c>
      <c r="B9" s="361">
        <v>15</v>
      </c>
      <c r="C9" s="362">
        <f ca="1">+A31-45118</f>
        <v>76</v>
      </c>
      <c r="D9" s="363" t="s">
        <v>130</v>
      </c>
      <c r="E9" s="364">
        <f ca="1">F9-TODAY()</f>
        <v>152</v>
      </c>
      <c r="F9" s="512">
        <v>45346</v>
      </c>
      <c r="G9" s="488"/>
      <c r="H9" s="489"/>
      <c r="I9" s="490"/>
      <c r="J9" s="489"/>
      <c r="K9" s="490">
        <v>3</v>
      </c>
      <c r="L9" s="489">
        <v>5.99</v>
      </c>
      <c r="M9" s="490">
        <v>4</v>
      </c>
      <c r="N9" s="489">
        <v>5.99</v>
      </c>
      <c r="O9" s="366"/>
      <c r="P9" s="489">
        <v>6.99</v>
      </c>
      <c r="Q9" s="490"/>
      <c r="R9" s="489"/>
      <c r="S9" s="490"/>
      <c r="T9" s="513"/>
      <c r="U9" s="514">
        <f>7-(COUNTBLANK(G9)+COUNTBLANK(I9)+COUNTBLANK(K9)+COUNTBLANK(M9)+COUNTBLANK(O9)+COUNTBLANK(Q9)+COUNTBLANK(S9))</f>
        <v>2</v>
      </c>
      <c r="V9" s="191">
        <f>COUNT(T9,P9,R9,N9,L9,J9,H9)</f>
        <v>3</v>
      </c>
      <c r="W9" s="493">
        <f>SUM(X9:AD9)</f>
        <v>383</v>
      </c>
      <c r="X9" s="56"/>
      <c r="Y9" s="56"/>
      <c r="Z9" s="56">
        <f>VLOOKUP(L9,[1]Tabla_HTMS!$A$4:$B$11,2)</f>
        <v>130</v>
      </c>
      <c r="AA9" s="56">
        <f>VLOOKUP(N9,[1]Tabla_HTMS!$G$4:$H$11,2)</f>
        <v>99</v>
      </c>
      <c r="AB9" s="56">
        <f>VLOOKUP(P9,[1]Tabla_HTMS!$I$4:$J$11,2)</f>
        <v>154</v>
      </c>
      <c r="AC9" s="56"/>
      <c r="AD9" s="56"/>
      <c r="AE9" s="365"/>
      <c r="AF9" s="365"/>
      <c r="AG9" s="367"/>
      <c r="AH9" s="367"/>
      <c r="AI9" s="367"/>
      <c r="AJ9" s="495">
        <v>5</v>
      </c>
      <c r="AK9" s="495">
        <v>5</v>
      </c>
      <c r="AL9" s="367"/>
      <c r="AM9" s="496" t="s">
        <v>974</v>
      </c>
      <c r="AN9" s="518"/>
      <c r="AO9" s="554" t="s">
        <v>979</v>
      </c>
    </row>
    <row r="10" spans="1:41" ht="15.75" x14ac:dyDescent="0.25">
      <c r="A10" s="373" t="s">
        <v>543</v>
      </c>
      <c r="B10" s="374"/>
      <c r="C10" s="374"/>
      <c r="D10" s="375"/>
      <c r="E10" s="374"/>
      <c r="F10" s="376"/>
      <c r="G10" s="521" t="s">
        <v>159</v>
      </c>
      <c r="H10" s="522"/>
      <c r="I10" s="374"/>
      <c r="J10" s="522"/>
      <c r="K10" s="374"/>
      <c r="L10" s="522"/>
      <c r="M10" s="374"/>
      <c r="N10" s="522"/>
      <c r="O10" s="374"/>
      <c r="P10" s="522"/>
      <c r="Q10" s="374"/>
      <c r="R10" s="522"/>
      <c r="S10" s="374"/>
      <c r="T10" s="522"/>
      <c r="U10" s="376"/>
      <c r="V10" s="376"/>
      <c r="W10" s="523"/>
      <c r="X10" s="524"/>
      <c r="Y10" s="524"/>
      <c r="Z10" s="524"/>
      <c r="AA10" s="524"/>
      <c r="AB10" s="524"/>
      <c r="AC10" s="524"/>
      <c r="AD10" s="524"/>
      <c r="AE10" s="375"/>
      <c r="AF10" s="375"/>
      <c r="AG10" s="525" t="s">
        <v>1</v>
      </c>
      <c r="AH10" s="525"/>
      <c r="AI10" s="525"/>
      <c r="AJ10" s="525"/>
      <c r="AK10" s="525"/>
      <c r="AL10" s="525"/>
      <c r="AM10" s="526"/>
      <c r="AN10" s="376"/>
      <c r="AO10" s="377"/>
    </row>
    <row r="11" spans="1:41" ht="15.75" x14ac:dyDescent="0.25">
      <c r="A11" s="527" t="s">
        <v>84</v>
      </c>
      <c r="B11" s="527" t="s">
        <v>148</v>
      </c>
      <c r="C11" s="527" t="s">
        <v>86</v>
      </c>
      <c r="D11" s="528" t="s">
        <v>149</v>
      </c>
      <c r="E11" s="527" t="s">
        <v>150</v>
      </c>
      <c r="F11" s="529" t="str">
        <f>F5</f>
        <v>Promoción</v>
      </c>
      <c r="G11" s="476" t="s">
        <v>14</v>
      </c>
      <c r="H11" s="477" t="str">
        <f>H5</f>
        <v>Pot</v>
      </c>
      <c r="I11" s="478" t="str">
        <f>I5</f>
        <v>DEF</v>
      </c>
      <c r="J11" s="477" t="str">
        <f>J5</f>
        <v>Pot</v>
      </c>
      <c r="K11" s="478" t="str">
        <f>K5</f>
        <v>JUG</v>
      </c>
      <c r="L11" s="477" t="str">
        <f>L5</f>
        <v>Pot</v>
      </c>
      <c r="M11" s="478" t="str">
        <f>M5</f>
        <v>LAT</v>
      </c>
      <c r="N11" s="477" t="str">
        <f>N5</f>
        <v>Pot</v>
      </c>
      <c r="O11" s="478" t="str">
        <f>O5</f>
        <v>PAS</v>
      </c>
      <c r="P11" s="477" t="str">
        <f>P5</f>
        <v>Pot</v>
      </c>
      <c r="Q11" s="478" t="str">
        <f>Q5</f>
        <v>ANO</v>
      </c>
      <c r="R11" s="477" t="str">
        <f>R5</f>
        <v>Pot</v>
      </c>
      <c r="S11" s="478" t="str">
        <f>S5</f>
        <v>BP</v>
      </c>
      <c r="T11" s="477" t="str">
        <f>T5</f>
        <v>Pot</v>
      </c>
      <c r="U11" s="530" t="str">
        <f>U5</f>
        <v>HAB</v>
      </c>
      <c r="V11" s="530" t="str">
        <f>V5</f>
        <v>POT</v>
      </c>
      <c r="W11" s="480" t="s">
        <v>174</v>
      </c>
      <c r="X11" s="481" t="s">
        <v>14</v>
      </c>
      <c r="Y11" s="481" t="s">
        <v>37</v>
      </c>
      <c r="Z11" s="481" t="s">
        <v>153</v>
      </c>
      <c r="AA11" s="481" t="s">
        <v>154</v>
      </c>
      <c r="AB11" s="481" t="s">
        <v>155</v>
      </c>
      <c r="AC11" s="481" t="s">
        <v>156</v>
      </c>
      <c r="AD11" s="481" t="s">
        <v>157</v>
      </c>
      <c r="AE11" s="528" t="str">
        <f>AE5</f>
        <v>Cap</v>
      </c>
      <c r="AF11" s="528" t="s">
        <v>157</v>
      </c>
      <c r="AG11" s="531" t="str">
        <f>AG5</f>
        <v>POR</v>
      </c>
      <c r="AH11" s="531" t="str">
        <f>AH5</f>
        <v>DEF</v>
      </c>
      <c r="AI11" s="531" t="str">
        <f>AI5</f>
        <v>DL</v>
      </c>
      <c r="AJ11" s="531" t="str">
        <f>AJ5</f>
        <v>INN</v>
      </c>
      <c r="AK11" s="531" t="str">
        <f>AK5</f>
        <v>EXT</v>
      </c>
      <c r="AL11" s="531" t="str">
        <f>AL5</f>
        <v>DAV</v>
      </c>
      <c r="AM11" s="532" t="str">
        <f>AM5</f>
        <v>Atributs Inicial</v>
      </c>
      <c r="AN11" s="529" t="str">
        <f>AN5</f>
        <v>NM</v>
      </c>
      <c r="AO11" s="531" t="str">
        <f>AO5</f>
        <v>U21</v>
      </c>
    </row>
    <row r="12" spans="1:41" ht="15.75" x14ac:dyDescent="0.25">
      <c r="A12" s="533" t="s">
        <v>983</v>
      </c>
      <c r="B12" s="361">
        <v>16</v>
      </c>
      <c r="C12" s="362">
        <f ca="1">+A31-45153</f>
        <v>41</v>
      </c>
      <c r="D12" s="363"/>
      <c r="E12" s="364">
        <f ca="1">F12-TODAY()</f>
        <v>76</v>
      </c>
      <c r="F12" s="512">
        <v>45270</v>
      </c>
      <c r="G12" s="534"/>
      <c r="H12" s="489"/>
      <c r="I12" s="366"/>
      <c r="J12" s="489">
        <v>3.99</v>
      </c>
      <c r="K12" s="366">
        <v>5</v>
      </c>
      <c r="L12" s="489">
        <v>5.99</v>
      </c>
      <c r="M12" s="366"/>
      <c r="N12" s="489"/>
      <c r="O12" s="366"/>
      <c r="P12" s="489">
        <v>5.99</v>
      </c>
      <c r="Q12" s="366">
        <v>3</v>
      </c>
      <c r="R12" s="489">
        <v>3.99</v>
      </c>
      <c r="S12" s="366"/>
      <c r="T12" s="489"/>
      <c r="U12" s="514">
        <f>7-(COUNTBLANK(G12)+COUNTBLANK(I12)+COUNTBLANK(K12)+COUNTBLANK(M12)+COUNTBLANK(O12)+COUNTBLANK(Q12)+COUNTBLANK(S12))</f>
        <v>2</v>
      </c>
      <c r="V12" s="191">
        <f>COUNT(T12,P12,R12,N12,L12,J12,H12)</f>
        <v>4</v>
      </c>
      <c r="W12" s="493">
        <f>SUM(X12:AD12)</f>
        <v>407</v>
      </c>
      <c r="X12" s="56"/>
      <c r="Y12" s="56">
        <f>VLOOKUP(J12,[1]Tabla_HTMS!$E$4:$F$11,2)</f>
        <v>81</v>
      </c>
      <c r="Z12" s="56">
        <f>VLOOKUP(L12,[1]Tabla_HTMS!$A$4:$B$11,2)</f>
        <v>130</v>
      </c>
      <c r="AA12" s="56"/>
      <c r="AB12" s="56">
        <f>VLOOKUP(P12,[1]Tabla_HTMS!$I$4:$J$11,2)</f>
        <v>121</v>
      </c>
      <c r="AC12" s="56">
        <f>VLOOKUP(R12,[1]Tabla_HTMS!$K$4:$L$11,2)</f>
        <v>75</v>
      </c>
      <c r="AD12" s="56"/>
      <c r="AE12" s="365"/>
      <c r="AF12" s="365"/>
      <c r="AG12" s="367"/>
      <c r="AH12" s="367"/>
      <c r="AI12" s="367"/>
      <c r="AJ12" s="495">
        <v>5</v>
      </c>
      <c r="AK12" s="367">
        <v>4.5</v>
      </c>
      <c r="AL12" s="367">
        <v>4.5</v>
      </c>
      <c r="AM12" s="496" t="s">
        <v>970</v>
      </c>
      <c r="AN12" s="515">
        <v>4</v>
      </c>
      <c r="AO12" s="553" t="s">
        <v>969</v>
      </c>
    </row>
    <row r="13" spans="1:41" ht="15.75" x14ac:dyDescent="0.25">
      <c r="A13" s="533" t="s">
        <v>984</v>
      </c>
      <c r="B13" s="484">
        <v>16</v>
      </c>
      <c r="C13" s="485">
        <f ca="1">+A31-45174</f>
        <v>20</v>
      </c>
      <c r="D13" s="486" t="s">
        <v>143</v>
      </c>
      <c r="E13" s="364">
        <f ca="1">F13-TODAY()</f>
        <v>92</v>
      </c>
      <c r="F13" s="512">
        <v>45286</v>
      </c>
      <c r="G13" s="488"/>
      <c r="H13" s="513"/>
      <c r="I13" s="490"/>
      <c r="J13" s="489">
        <v>2.99</v>
      </c>
      <c r="K13" s="490">
        <v>5</v>
      </c>
      <c r="L13" s="489"/>
      <c r="M13" s="366"/>
      <c r="N13" s="489">
        <v>2.99</v>
      </c>
      <c r="O13" s="366"/>
      <c r="P13" s="489">
        <v>4.99</v>
      </c>
      <c r="Q13" s="366">
        <v>2</v>
      </c>
      <c r="R13" s="489">
        <v>3.99</v>
      </c>
      <c r="S13" s="490"/>
      <c r="T13" s="513"/>
      <c r="U13" s="491">
        <f>7-(COUNTBLANK(G13)+COUNTBLANK(I13)+COUNTBLANK(K13)+COUNTBLANK(M13)+COUNTBLANK(O13)+COUNTBLANK(Q13)+COUNTBLANK(S13))</f>
        <v>2</v>
      </c>
      <c r="V13" s="492">
        <f>COUNT(T13,P13,R13,N13,L13,J13,H13)</f>
        <v>4</v>
      </c>
      <c r="W13" s="493">
        <f>SUM(X13:AD13)</f>
        <v>265</v>
      </c>
      <c r="X13" s="56"/>
      <c r="Y13" s="56">
        <f>VLOOKUP(J13,[1]Tabla_HTMS!$E$4:$F$11,2)</f>
        <v>55</v>
      </c>
      <c r="Z13" s="56"/>
      <c r="AA13" s="56">
        <f>VLOOKUP(N13,[1]Tabla_HTMS!$G$4:$H$11,2)</f>
        <v>43</v>
      </c>
      <c r="AB13" s="56">
        <f>VLOOKUP(P13,[1]Tabla_HTMS!$I$4:$J$11,2)</f>
        <v>92</v>
      </c>
      <c r="AC13" s="56">
        <f>VLOOKUP(R13,[1]Tabla_HTMS!$K$4:$L$11,2)</f>
        <v>75</v>
      </c>
      <c r="AD13" s="56"/>
      <c r="AE13" s="494"/>
      <c r="AF13" s="494"/>
      <c r="AG13" s="367"/>
      <c r="AH13" s="495">
        <v>3</v>
      </c>
      <c r="AI13" s="367"/>
      <c r="AJ13" s="367">
        <v>5.5</v>
      </c>
      <c r="AK13" s="367">
        <v>4.5</v>
      </c>
      <c r="AL13" s="367"/>
      <c r="AM13" s="496" t="s">
        <v>970</v>
      </c>
      <c r="AN13" s="549">
        <v>4</v>
      </c>
      <c r="AO13" s="498" t="s">
        <v>985</v>
      </c>
    </row>
    <row r="14" spans="1:41" ht="15.75" x14ac:dyDescent="0.25">
      <c r="A14" s="533" t="s">
        <v>986</v>
      </c>
      <c r="B14" s="361">
        <v>15</v>
      </c>
      <c r="C14" s="362">
        <f ca="1">+A31-45096</f>
        <v>98</v>
      </c>
      <c r="D14" s="363"/>
      <c r="E14" s="364">
        <f ca="1">F14-TODAY()</f>
        <v>126</v>
      </c>
      <c r="F14" s="512">
        <v>45320</v>
      </c>
      <c r="G14" s="488"/>
      <c r="H14" s="513"/>
      <c r="I14" s="366"/>
      <c r="J14" s="513">
        <v>2.99</v>
      </c>
      <c r="K14" s="490"/>
      <c r="L14" s="513"/>
      <c r="M14" s="490">
        <v>3</v>
      </c>
      <c r="N14" s="513">
        <v>3.99</v>
      </c>
      <c r="O14" s="490"/>
      <c r="P14" s="489"/>
      <c r="Q14" s="490"/>
      <c r="R14" s="513">
        <v>3.99</v>
      </c>
      <c r="S14" s="490"/>
      <c r="T14" s="513"/>
      <c r="U14" s="514">
        <f>7-(COUNTBLANK(G14)+COUNTBLANK(I14)+COUNTBLANK(K14)+COUNTBLANK(M14)+COUNTBLANK(O14)+COUNTBLANK(Q14)+COUNTBLANK(S14))</f>
        <v>1</v>
      </c>
      <c r="V14" s="191">
        <f>COUNT(T14,P14,R14,N14,L14,J14,H14)</f>
        <v>3</v>
      </c>
      <c r="W14" s="493">
        <f>SUM(X14:AD14)</f>
        <v>189</v>
      </c>
      <c r="X14" s="56"/>
      <c r="Y14" s="56">
        <f>VLOOKUP(J14,[1]Tabla_HTMS!$E$4:$F$11,2)</f>
        <v>55</v>
      </c>
      <c r="Z14" s="56"/>
      <c r="AA14" s="56">
        <f>VLOOKUP(N14,[1]Tabla_HTMS!$G$4:$H$11,2)</f>
        <v>59</v>
      </c>
      <c r="AB14" s="56"/>
      <c r="AC14" s="56">
        <f>VLOOKUP(R14,[1]Tabla_HTMS!$K$4:$L$11,2)</f>
        <v>75</v>
      </c>
      <c r="AD14" s="56"/>
      <c r="AE14" s="365"/>
      <c r="AF14" s="365"/>
      <c r="AG14" s="495">
        <v>1</v>
      </c>
      <c r="AH14" s="367"/>
      <c r="AI14" s="495">
        <v>3</v>
      </c>
      <c r="AJ14" s="367"/>
      <c r="AK14" s="367"/>
      <c r="AL14" s="495">
        <v>4.5</v>
      </c>
      <c r="AM14" s="496" t="s">
        <v>972</v>
      </c>
      <c r="AN14" s="520">
        <v>4</v>
      </c>
      <c r="AO14" s="516" t="s">
        <v>987</v>
      </c>
    </row>
    <row r="15" spans="1:41" ht="15.75" x14ac:dyDescent="0.25">
      <c r="A15" s="533" t="s">
        <v>988</v>
      </c>
      <c r="B15" s="361">
        <v>15</v>
      </c>
      <c r="C15" s="382">
        <f ca="1">+A31-45090</f>
        <v>104</v>
      </c>
      <c r="D15" s="363"/>
      <c r="E15" s="364">
        <f ca="1">F15-TODAY()</f>
        <v>120</v>
      </c>
      <c r="F15" s="512">
        <v>45314</v>
      </c>
      <c r="G15" s="488"/>
      <c r="H15" s="513"/>
      <c r="I15" s="490"/>
      <c r="J15" s="513"/>
      <c r="K15" s="490">
        <v>4</v>
      </c>
      <c r="L15" s="513">
        <v>4.99</v>
      </c>
      <c r="M15" s="366"/>
      <c r="N15" s="513"/>
      <c r="O15" s="490"/>
      <c r="P15" s="513"/>
      <c r="Q15" s="490"/>
      <c r="R15" s="489"/>
      <c r="S15" s="490"/>
      <c r="T15" s="513"/>
      <c r="U15" s="514">
        <f>7-(COUNTBLANK(G15)+COUNTBLANK(I15)+COUNTBLANK(K15)+COUNTBLANK(M15)+COUNTBLANK(O15)+COUNTBLANK(Q15)+COUNTBLANK(S15))</f>
        <v>1</v>
      </c>
      <c r="V15" s="191">
        <f>COUNT(T15,P15,R15,N15,L15,J15,H15)</f>
        <v>1</v>
      </c>
      <c r="W15" s="493">
        <f>SUM(X15:AD15)</f>
        <v>100</v>
      </c>
      <c r="X15" s="56"/>
      <c r="Y15" s="56"/>
      <c r="Z15" s="56">
        <f>VLOOKUP(L15,[1]Tabla_HTMS!$A$4:$B$11,2)</f>
        <v>100</v>
      </c>
      <c r="AA15" s="56"/>
      <c r="AB15" s="56"/>
      <c r="AC15" s="56"/>
      <c r="AD15" s="56"/>
      <c r="AE15" s="365"/>
      <c r="AF15" s="365"/>
      <c r="AG15" s="367"/>
      <c r="AH15" s="367"/>
      <c r="AI15" s="495"/>
      <c r="AJ15" s="367"/>
      <c r="AK15" s="495"/>
      <c r="AL15" s="495"/>
      <c r="AM15" s="496" t="s">
        <v>968</v>
      </c>
      <c r="AN15" s="515"/>
      <c r="AO15" s="551" t="s">
        <v>989</v>
      </c>
    </row>
    <row r="16" spans="1:41" ht="15.75" x14ac:dyDescent="0.25">
      <c r="A16" s="536" t="s">
        <v>973</v>
      </c>
      <c r="B16" s="378"/>
      <c r="C16" s="378"/>
      <c r="D16" s="379"/>
      <c r="E16" s="378"/>
      <c r="F16" s="380"/>
      <c r="G16" s="537" t="s">
        <v>159</v>
      </c>
      <c r="H16" s="538"/>
      <c r="I16" s="378"/>
      <c r="J16" s="538"/>
      <c r="K16" s="378"/>
      <c r="L16" s="538"/>
      <c r="M16" s="378"/>
      <c r="N16" s="538"/>
      <c r="O16" s="378"/>
      <c r="P16" s="538"/>
      <c r="Q16" s="378"/>
      <c r="R16" s="538"/>
      <c r="S16" s="378"/>
      <c r="T16" s="538"/>
      <c r="U16" s="380"/>
      <c r="V16" s="380"/>
      <c r="W16" s="539"/>
      <c r="X16" s="540"/>
      <c r="Y16" s="540"/>
      <c r="Z16" s="540"/>
      <c r="AA16" s="540"/>
      <c r="AB16" s="540"/>
      <c r="AC16" s="540"/>
      <c r="AD16" s="540"/>
      <c r="AE16" s="379"/>
      <c r="AF16" s="379"/>
      <c r="AG16" s="541" t="s">
        <v>1</v>
      </c>
      <c r="AH16" s="541"/>
      <c r="AI16" s="541"/>
      <c r="AJ16" s="541"/>
      <c r="AK16" s="541"/>
      <c r="AL16" s="541"/>
      <c r="AM16" s="542"/>
      <c r="AN16" s="380"/>
      <c r="AO16" s="381"/>
    </row>
    <row r="17" spans="1:41" ht="15.75" x14ac:dyDescent="0.25">
      <c r="A17" s="543" t="s">
        <v>84</v>
      </c>
      <c r="B17" s="543" t="s">
        <v>148</v>
      </c>
      <c r="C17" s="543" t="s">
        <v>86</v>
      </c>
      <c r="D17" s="544" t="s">
        <v>149</v>
      </c>
      <c r="E17" s="543" t="s">
        <v>150</v>
      </c>
      <c r="F17" s="545" t="str">
        <f>F11</f>
        <v>Promoción</v>
      </c>
      <c r="G17" s="476" t="s">
        <v>14</v>
      </c>
      <c r="H17" s="477" t="str">
        <f>H11</f>
        <v>Pot</v>
      </c>
      <c r="I17" s="478" t="str">
        <f>I11</f>
        <v>DEF</v>
      </c>
      <c r="J17" s="477" t="str">
        <f>J11</f>
        <v>Pot</v>
      </c>
      <c r="K17" s="478" t="str">
        <f>K11</f>
        <v>JUG</v>
      </c>
      <c r="L17" s="477" t="str">
        <f>L11</f>
        <v>Pot</v>
      </c>
      <c r="M17" s="478" t="str">
        <f>M11</f>
        <v>LAT</v>
      </c>
      <c r="N17" s="477" t="str">
        <f>N11</f>
        <v>Pot</v>
      </c>
      <c r="O17" s="478" t="str">
        <f>O11</f>
        <v>PAS</v>
      </c>
      <c r="P17" s="477" t="str">
        <f>P11</f>
        <v>Pot</v>
      </c>
      <c r="Q17" s="478" t="str">
        <f>Q11</f>
        <v>ANO</v>
      </c>
      <c r="R17" s="477" t="str">
        <f>R11</f>
        <v>Pot</v>
      </c>
      <c r="S17" s="478" t="str">
        <f>S11</f>
        <v>BP</v>
      </c>
      <c r="T17" s="477" t="str">
        <f>T11</f>
        <v>Pot</v>
      </c>
      <c r="U17" s="546" t="str">
        <f>U11</f>
        <v>HAB</v>
      </c>
      <c r="V17" s="546" t="str">
        <f>V11</f>
        <v>POT</v>
      </c>
      <c r="W17" s="480" t="s">
        <v>174</v>
      </c>
      <c r="X17" s="481" t="s">
        <v>14</v>
      </c>
      <c r="Y17" s="481" t="s">
        <v>37</v>
      </c>
      <c r="Z17" s="481" t="s">
        <v>153</v>
      </c>
      <c r="AA17" s="481" t="s">
        <v>154</v>
      </c>
      <c r="AB17" s="481" t="s">
        <v>155</v>
      </c>
      <c r="AC17" s="481" t="s">
        <v>156</v>
      </c>
      <c r="AD17" s="481" t="s">
        <v>157</v>
      </c>
      <c r="AE17" s="544" t="str">
        <f>AE11</f>
        <v>Cap</v>
      </c>
      <c r="AF17" s="544" t="s">
        <v>157</v>
      </c>
      <c r="AG17" s="547" t="str">
        <f>AG11</f>
        <v>POR</v>
      </c>
      <c r="AH17" s="547" t="str">
        <f>AH11</f>
        <v>DEF</v>
      </c>
      <c r="AI17" s="547" t="str">
        <f>AI11</f>
        <v>DL</v>
      </c>
      <c r="AJ17" s="547" t="str">
        <f>AJ11</f>
        <v>INN</v>
      </c>
      <c r="AK17" s="547" t="str">
        <f>AK11</f>
        <v>EXT</v>
      </c>
      <c r="AL17" s="547" t="str">
        <f>AL11</f>
        <v>DAV</v>
      </c>
      <c r="AM17" s="548" t="str">
        <f>AM11</f>
        <v>Atributs Inicial</v>
      </c>
      <c r="AN17" s="545" t="str">
        <f>AN11</f>
        <v>NM</v>
      </c>
      <c r="AO17" s="547" t="str">
        <f>AO11</f>
        <v>U21</v>
      </c>
    </row>
    <row r="18" spans="1:41" ht="15.75" x14ac:dyDescent="0.25">
      <c r="A18" s="533" t="s">
        <v>996</v>
      </c>
      <c r="B18" s="361">
        <v>17</v>
      </c>
      <c r="C18" s="362">
        <f ca="1">+A31-45111</f>
        <v>83</v>
      </c>
      <c r="D18" s="363"/>
      <c r="E18" s="364">
        <f ca="1">F18-TODAY()</f>
        <v>-134</v>
      </c>
      <c r="F18" s="512">
        <v>45060</v>
      </c>
      <c r="G18" s="488"/>
      <c r="H18" s="513">
        <v>1.99</v>
      </c>
      <c r="I18" s="490">
        <v>4</v>
      </c>
      <c r="J18" s="513">
        <v>5.99</v>
      </c>
      <c r="K18" s="490">
        <v>2</v>
      </c>
      <c r="L18" s="513">
        <v>2.99</v>
      </c>
      <c r="M18" s="490">
        <v>4</v>
      </c>
      <c r="N18" s="513">
        <v>4.99</v>
      </c>
      <c r="O18" s="490"/>
      <c r="P18" s="513">
        <v>2.99</v>
      </c>
      <c r="Q18" s="366">
        <v>5</v>
      </c>
      <c r="R18" s="489">
        <v>6.99</v>
      </c>
      <c r="S18" s="490"/>
      <c r="T18" s="489"/>
      <c r="U18" s="514">
        <f>7-(COUNTBLANK(G18)+COUNTBLANK(I18)+COUNTBLANK(K18)+COUNTBLANK(M18)+COUNTBLANK(O18)+COUNTBLANK(Q18)+COUNTBLANK(S18))</f>
        <v>4</v>
      </c>
      <c r="V18" s="191">
        <f>COUNT(T18,P18,R18,N18,L18,J18,H18)</f>
        <v>6</v>
      </c>
      <c r="W18" s="493">
        <f>SUM(X18:AD18)</f>
        <v>528</v>
      </c>
      <c r="X18" s="56">
        <f>VLOOKUP(H18,[1]Tabla_HTMS!$C$4:$D$11,2)</f>
        <v>30</v>
      </c>
      <c r="Y18" s="56">
        <f>VLOOKUP(J18,[1]Tabla_HTMS!$E$4:$F$11,2)</f>
        <v>150</v>
      </c>
      <c r="Z18" s="56">
        <f>VLOOKUP(L18,[1]Tabla_HTMS!$A$4:$B$11,2)</f>
        <v>50</v>
      </c>
      <c r="AA18" s="56">
        <f>VLOOKUP(N18,[1]Tabla_HTMS!$G$4:$H$11,2)</f>
        <v>78</v>
      </c>
      <c r="AB18" s="56">
        <f>VLOOKUP(P18,[1]Tabla_HTMS!$I$4:$J$11,2)</f>
        <v>48</v>
      </c>
      <c r="AC18" s="56">
        <f>VLOOKUP(R18,[1]Tabla_HTMS!$K$4:$L$11,2)</f>
        <v>172</v>
      </c>
      <c r="AD18" s="56"/>
      <c r="AE18" s="365"/>
      <c r="AF18" s="365"/>
      <c r="AG18" s="367">
        <v>2.5</v>
      </c>
      <c r="AH18" s="367">
        <v>4.5</v>
      </c>
      <c r="AI18" s="495">
        <v>4.5</v>
      </c>
      <c r="AJ18" s="495">
        <v>3.5</v>
      </c>
      <c r="AK18" s="495">
        <v>4.5</v>
      </c>
      <c r="AL18" s="367">
        <v>6</v>
      </c>
      <c r="AM18" s="496" t="s">
        <v>997</v>
      </c>
      <c r="AN18" s="515"/>
      <c r="AO18" s="553" t="s">
        <v>971</v>
      </c>
    </row>
    <row r="19" spans="1:41" ht="15.75" x14ac:dyDescent="0.25">
      <c r="A19" s="550" t="s">
        <v>993</v>
      </c>
      <c r="B19" s="361">
        <v>17</v>
      </c>
      <c r="C19" s="362">
        <f ca="1">+A31-45130</f>
        <v>64</v>
      </c>
      <c r="D19" s="363"/>
      <c r="E19" s="364">
        <f t="shared" ref="E19:E26" ca="1" si="6">F19-TODAY()</f>
        <v>-183</v>
      </c>
      <c r="F19" s="512">
        <v>45011</v>
      </c>
      <c r="G19" s="488"/>
      <c r="H19" s="489"/>
      <c r="I19" s="490"/>
      <c r="J19" s="489">
        <v>3.99</v>
      </c>
      <c r="K19" s="366">
        <v>4</v>
      </c>
      <c r="L19" s="489">
        <v>4.99</v>
      </c>
      <c r="M19" s="366">
        <v>3</v>
      </c>
      <c r="N19" s="489">
        <v>3.99</v>
      </c>
      <c r="O19" s="366">
        <v>4</v>
      </c>
      <c r="P19" s="489">
        <v>6.99</v>
      </c>
      <c r="Q19" s="366">
        <v>2</v>
      </c>
      <c r="R19" s="489">
        <v>2.99</v>
      </c>
      <c r="S19" s="490"/>
      <c r="T19" s="513"/>
      <c r="U19" s="514">
        <f t="shared" ref="U19:U26" si="7">7-(COUNTBLANK(G19)+COUNTBLANK(I19)+COUNTBLANK(K19)+COUNTBLANK(M19)+COUNTBLANK(O19)+COUNTBLANK(Q19)+COUNTBLANK(S19))</f>
        <v>4</v>
      </c>
      <c r="V19" s="191">
        <f t="shared" ref="V19:V26" si="8">COUNT(T19,P19,R19,N19,L19,J19,H19)</f>
        <v>5</v>
      </c>
      <c r="W19" s="493">
        <f>SUM(X19:AD19)</f>
        <v>446</v>
      </c>
      <c r="X19" s="56"/>
      <c r="Y19" s="56">
        <f>VLOOKUP(J19,[1]Tabla_HTMS!$E$4:$F$11,2)</f>
        <v>81</v>
      </c>
      <c r="Z19" s="56">
        <f>VLOOKUP(L19,[1]Tabla_HTMS!$A$4:$B$11,2)</f>
        <v>100</v>
      </c>
      <c r="AA19" s="56">
        <f>VLOOKUP(N19,[1]Tabla_HTMS!$G$4:$H$11,2)</f>
        <v>59</v>
      </c>
      <c r="AB19" s="56">
        <f>VLOOKUP(P19,[1]Tabla_HTMS!$I$4:$J$11,2)</f>
        <v>154</v>
      </c>
      <c r="AC19" s="56">
        <f>VLOOKUP(R19,[1]Tabla_HTMS!$K$4:$L$11,2)</f>
        <v>52</v>
      </c>
      <c r="AD19" s="56"/>
      <c r="AE19" s="365"/>
      <c r="AF19" s="365"/>
      <c r="AG19" s="367"/>
      <c r="AH19" s="367">
        <v>3.5</v>
      </c>
      <c r="AI19" s="495">
        <v>4</v>
      </c>
      <c r="AJ19" s="367">
        <v>5.5</v>
      </c>
      <c r="AK19" s="367">
        <v>5</v>
      </c>
      <c r="AL19" s="367">
        <v>4.5</v>
      </c>
      <c r="AM19" s="496" t="s">
        <v>966</v>
      </c>
      <c r="AN19" s="520"/>
      <c r="AO19" s="553" t="s">
        <v>971</v>
      </c>
    </row>
    <row r="20" spans="1:41" ht="15.75" x14ac:dyDescent="0.25">
      <c r="A20" s="550" t="s">
        <v>994</v>
      </c>
      <c r="B20" s="484">
        <v>16</v>
      </c>
      <c r="C20" s="485">
        <f ca="1">+A31-45084</f>
        <v>110</v>
      </c>
      <c r="D20" s="486" t="s">
        <v>632</v>
      </c>
      <c r="E20" s="364">
        <f t="shared" ca="1" si="6"/>
        <v>50</v>
      </c>
      <c r="F20" s="487">
        <v>45244</v>
      </c>
      <c r="G20" s="488"/>
      <c r="H20" s="513"/>
      <c r="I20" s="366"/>
      <c r="J20" s="513">
        <v>3.99</v>
      </c>
      <c r="K20" s="490">
        <v>2</v>
      </c>
      <c r="L20" s="489">
        <v>2.99</v>
      </c>
      <c r="M20" s="490"/>
      <c r="N20" s="489">
        <v>5.99</v>
      </c>
      <c r="O20" s="490"/>
      <c r="P20" s="489">
        <v>5.99</v>
      </c>
      <c r="Q20" s="366">
        <v>4</v>
      </c>
      <c r="R20" s="489">
        <v>4.99</v>
      </c>
      <c r="S20" s="490"/>
      <c r="T20" s="513"/>
      <c r="U20" s="491">
        <f t="shared" si="7"/>
        <v>2</v>
      </c>
      <c r="V20" s="492">
        <f t="shared" si="8"/>
        <v>5</v>
      </c>
      <c r="W20" s="493">
        <f>SUM(X20:AD20)</f>
        <v>455</v>
      </c>
      <c r="X20" s="56"/>
      <c r="Y20" s="56">
        <f>VLOOKUP(J20,[1]Tabla_HTMS!$E$4:$F$11,2)</f>
        <v>81</v>
      </c>
      <c r="Z20" s="56">
        <f>VLOOKUP(L20,[1]Tabla_HTMS!$A$4:$B$11,2)</f>
        <v>50</v>
      </c>
      <c r="AA20" s="56">
        <f>VLOOKUP(N20,[1]Tabla_HTMS!$G$4:$H$11,2)</f>
        <v>99</v>
      </c>
      <c r="AB20" s="56">
        <f>VLOOKUP(P20,[1]Tabla_HTMS!$I$4:$J$11,2)</f>
        <v>121</v>
      </c>
      <c r="AC20" s="56">
        <f>VLOOKUP(R20,[1]Tabla_HTMS!$K$4:$L$11,2)</f>
        <v>104</v>
      </c>
      <c r="AD20" s="56"/>
      <c r="AE20" s="494"/>
      <c r="AF20" s="494"/>
      <c r="AG20" s="367"/>
      <c r="AH20" s="367"/>
      <c r="AI20" s="367">
        <v>3.5</v>
      </c>
      <c r="AJ20" s="495">
        <v>3.5</v>
      </c>
      <c r="AK20" s="495">
        <v>5</v>
      </c>
      <c r="AL20" s="495">
        <v>6</v>
      </c>
      <c r="AM20" s="496" t="s">
        <v>995</v>
      </c>
      <c r="AN20" s="515">
        <v>5</v>
      </c>
      <c r="AO20" s="553" t="s">
        <v>967</v>
      </c>
    </row>
    <row r="21" spans="1:41" ht="15.75" x14ac:dyDescent="0.25">
      <c r="A21" s="533" t="s">
        <v>991</v>
      </c>
      <c r="B21" s="484">
        <v>16</v>
      </c>
      <c r="C21" s="485">
        <f ca="1">+A31-45102</f>
        <v>92</v>
      </c>
      <c r="D21" s="486"/>
      <c r="E21" s="519">
        <f ca="1">F21-TODAY()</f>
        <v>36</v>
      </c>
      <c r="F21" s="487">
        <v>45230</v>
      </c>
      <c r="G21" s="488"/>
      <c r="H21" s="489"/>
      <c r="I21" s="490">
        <v>4</v>
      </c>
      <c r="J21" s="489">
        <v>4.99</v>
      </c>
      <c r="K21" s="366">
        <v>3</v>
      </c>
      <c r="L21" s="489">
        <v>4.99</v>
      </c>
      <c r="M21" s="490"/>
      <c r="N21" s="489">
        <v>2.99</v>
      </c>
      <c r="O21" s="366"/>
      <c r="P21" s="489"/>
      <c r="Q21" s="490"/>
      <c r="R21" s="489">
        <v>2.99</v>
      </c>
      <c r="S21" s="490"/>
      <c r="T21" s="489"/>
      <c r="U21" s="491">
        <f>7-(COUNTBLANK(G21)+COUNTBLANK(I21)+COUNTBLANK(K21)+COUNTBLANK(M21)+COUNTBLANK(O21)+COUNTBLANK(Q21)+COUNTBLANK(S21))</f>
        <v>2</v>
      </c>
      <c r="V21" s="492">
        <f>COUNT(T21,P21,R21,N21,L21,J21,H21)</f>
        <v>4</v>
      </c>
      <c r="W21" s="493">
        <f t="shared" ref="W21" si="9">SUM(X21:AD21)</f>
        <v>309</v>
      </c>
      <c r="X21" s="56"/>
      <c r="Y21" s="56">
        <f>VLOOKUP(J21,[1]Tabla_HTMS!$E$4:$F$11,2)</f>
        <v>114</v>
      </c>
      <c r="Z21" s="56">
        <f>VLOOKUP(L21,[1]Tabla_HTMS!$A$4:$B$11,2)</f>
        <v>100</v>
      </c>
      <c r="AA21" s="56">
        <f>VLOOKUP(N21,[1]Tabla_HTMS!$G$4:$H$11,2)</f>
        <v>43</v>
      </c>
      <c r="AB21" s="56"/>
      <c r="AC21" s="56">
        <f>VLOOKUP(R21,[1]Tabla_HTMS!$K$4:$L$11,2)</f>
        <v>52</v>
      </c>
      <c r="AD21" s="56"/>
      <c r="AE21" s="494"/>
      <c r="AF21" s="494"/>
      <c r="AG21" s="367"/>
      <c r="AH21" s="495">
        <v>4</v>
      </c>
      <c r="AI21" s="367">
        <v>4.5</v>
      </c>
      <c r="AJ21" s="495">
        <v>5</v>
      </c>
      <c r="AK21" s="367">
        <v>4.5</v>
      </c>
      <c r="AL21" s="495"/>
      <c r="AM21" s="496" t="s">
        <v>965</v>
      </c>
      <c r="AN21" s="497"/>
      <c r="AO21" s="551" t="s">
        <v>992</v>
      </c>
    </row>
    <row r="22" spans="1:41" ht="15.75" x14ac:dyDescent="0.25">
      <c r="A22" s="533" t="s">
        <v>998</v>
      </c>
      <c r="B22" s="361">
        <v>17</v>
      </c>
      <c r="C22" s="382">
        <f ca="1">+A31-45098</f>
        <v>96</v>
      </c>
      <c r="D22" s="363"/>
      <c r="E22" s="364">
        <f t="shared" ca="1" si="6"/>
        <v>-267</v>
      </c>
      <c r="F22" s="512">
        <v>44927</v>
      </c>
      <c r="G22" s="488"/>
      <c r="H22" s="513">
        <v>1.99</v>
      </c>
      <c r="I22" s="490">
        <v>2</v>
      </c>
      <c r="J22" s="513">
        <v>0.99</v>
      </c>
      <c r="K22" s="490">
        <v>4</v>
      </c>
      <c r="L22" s="513">
        <v>4.99</v>
      </c>
      <c r="M22" s="490">
        <v>4</v>
      </c>
      <c r="N22" s="513">
        <v>4.99</v>
      </c>
      <c r="O22" s="490"/>
      <c r="P22" s="513">
        <v>2.99</v>
      </c>
      <c r="Q22" s="490"/>
      <c r="R22" s="513">
        <v>2.99</v>
      </c>
      <c r="S22" s="490"/>
      <c r="T22" s="513">
        <v>4.99</v>
      </c>
      <c r="U22" s="514">
        <f t="shared" si="7"/>
        <v>3</v>
      </c>
      <c r="V22" s="191">
        <f t="shared" si="8"/>
        <v>7</v>
      </c>
      <c r="W22" s="493">
        <f t="shared" ref="W22:W25" si="10">SUM(X22:AD22)</f>
        <v>342</v>
      </c>
      <c r="X22" s="56">
        <f>VLOOKUP(H22,[1]Tabla_HTMS!$C$4:$D$11,2)</f>
        <v>30</v>
      </c>
      <c r="Y22" s="56">
        <f>VLOOKUP(J22,[1]Tabla_HTMS!$E$4:$F$11,2)</f>
        <v>0</v>
      </c>
      <c r="Z22" s="56">
        <f>VLOOKUP(L22,[1]Tabla_HTMS!$A$4:$B$11,2)</f>
        <v>100</v>
      </c>
      <c r="AA22" s="56">
        <f>VLOOKUP(N22,[1]Tabla_HTMS!$G$4:$H$11,2)</f>
        <v>78</v>
      </c>
      <c r="AB22" s="56">
        <f>VLOOKUP(P22,[1]Tabla_HTMS!$I$4:$J$11,2)</f>
        <v>48</v>
      </c>
      <c r="AC22" s="56">
        <f>VLOOKUP(R22,[1]Tabla_HTMS!$K$4:$L$11,2)</f>
        <v>52</v>
      </c>
      <c r="AD22" s="56">
        <f>VLOOKUP(T22,[1]Tabla_HTMS!$M$4:$N$11,2)</f>
        <v>34</v>
      </c>
      <c r="AE22" s="365"/>
      <c r="AF22" s="365"/>
      <c r="AG22" s="367">
        <v>1.5</v>
      </c>
      <c r="AH22" s="367">
        <v>3</v>
      </c>
      <c r="AI22" s="367">
        <v>3.5</v>
      </c>
      <c r="AJ22" s="367">
        <v>4.5</v>
      </c>
      <c r="AK22" s="367">
        <v>4.5</v>
      </c>
      <c r="AL22" s="367">
        <v>3.5</v>
      </c>
      <c r="AM22" s="496" t="s">
        <v>965</v>
      </c>
      <c r="AN22" s="555">
        <v>4</v>
      </c>
      <c r="AO22" s="553" t="s">
        <v>971</v>
      </c>
    </row>
    <row r="23" spans="1:41" ht="15.75" x14ac:dyDescent="0.25">
      <c r="A23" s="533" t="s">
        <v>999</v>
      </c>
      <c r="B23" s="361">
        <v>18</v>
      </c>
      <c r="C23" s="362">
        <f ca="1">+A31-45145</f>
        <v>49</v>
      </c>
      <c r="D23" s="363" t="s">
        <v>632</v>
      </c>
      <c r="E23" s="364">
        <f t="shared" ca="1" si="6"/>
        <v>-232</v>
      </c>
      <c r="F23" s="512">
        <v>44962</v>
      </c>
      <c r="G23" s="488"/>
      <c r="H23" s="513">
        <v>0.99</v>
      </c>
      <c r="I23" s="366"/>
      <c r="J23" s="489">
        <v>3.99</v>
      </c>
      <c r="K23" s="366">
        <v>4</v>
      </c>
      <c r="L23" s="489">
        <v>4.99</v>
      </c>
      <c r="M23" s="490">
        <v>4</v>
      </c>
      <c r="N23" s="489">
        <v>4.99</v>
      </c>
      <c r="O23" s="490">
        <v>4</v>
      </c>
      <c r="P23" s="489">
        <v>4.99</v>
      </c>
      <c r="Q23" s="490"/>
      <c r="R23" s="489">
        <v>2.99</v>
      </c>
      <c r="S23" s="490"/>
      <c r="T23" s="513"/>
      <c r="U23" s="514">
        <f t="shared" si="7"/>
        <v>3</v>
      </c>
      <c r="V23" s="191">
        <f t="shared" si="8"/>
        <v>6</v>
      </c>
      <c r="W23" s="493">
        <f t="shared" si="10"/>
        <v>403</v>
      </c>
      <c r="X23" s="56">
        <f>VLOOKUP(H23,[1]Tabla_HTMS!$C$4:$D$11,2)</f>
        <v>0</v>
      </c>
      <c r="Y23" s="56">
        <f>VLOOKUP(J23,[1]Tabla_HTMS!$E$4:$F$11,2)</f>
        <v>81</v>
      </c>
      <c r="Z23" s="56">
        <f>VLOOKUP(L23,[1]Tabla_HTMS!$A$4:$B$11,2)</f>
        <v>100</v>
      </c>
      <c r="AA23" s="56">
        <f>VLOOKUP(N23,[1]Tabla_HTMS!$G$4:$H$11,2)</f>
        <v>78</v>
      </c>
      <c r="AB23" s="56">
        <f>VLOOKUP(P23,[1]Tabla_HTMS!$I$4:$J$11,2)</f>
        <v>92</v>
      </c>
      <c r="AC23" s="56">
        <f>VLOOKUP(R23,[1]Tabla_HTMS!$K$4:$L$11,2)</f>
        <v>52</v>
      </c>
      <c r="AD23" s="56"/>
      <c r="AE23" s="365"/>
      <c r="AF23" s="365"/>
      <c r="AG23" s="367">
        <v>1.5</v>
      </c>
      <c r="AH23" s="367">
        <v>4</v>
      </c>
      <c r="AI23" s="367">
        <v>4.5</v>
      </c>
      <c r="AJ23" s="367">
        <v>5.5</v>
      </c>
      <c r="AK23" s="367">
        <v>5.5</v>
      </c>
      <c r="AL23" s="367">
        <v>4.5</v>
      </c>
      <c r="AM23" s="496" t="s">
        <v>1000</v>
      </c>
      <c r="AN23" s="515"/>
      <c r="AO23" s="553" t="s">
        <v>971</v>
      </c>
    </row>
    <row r="24" spans="1:41" ht="15.75" x14ac:dyDescent="0.25">
      <c r="A24" s="533"/>
      <c r="B24" s="361">
        <v>16</v>
      </c>
      <c r="C24" s="362">
        <f ca="1">+A31-3976-193</f>
        <v>41025</v>
      </c>
      <c r="D24" s="363"/>
      <c r="E24" s="364">
        <f t="shared" ca="1" si="6"/>
        <v>-45194</v>
      </c>
      <c r="F24" s="512"/>
      <c r="G24" s="488"/>
      <c r="H24" s="489"/>
      <c r="I24" s="366"/>
      <c r="J24" s="489"/>
      <c r="K24" s="366"/>
      <c r="L24" s="489"/>
      <c r="M24" s="366"/>
      <c r="N24" s="489"/>
      <c r="O24" s="490"/>
      <c r="P24" s="489"/>
      <c r="Q24" s="366"/>
      <c r="R24" s="489"/>
      <c r="S24" s="490"/>
      <c r="T24" s="513"/>
      <c r="U24" s="514">
        <f t="shared" si="7"/>
        <v>0</v>
      </c>
      <c r="V24" s="191">
        <f t="shared" si="8"/>
        <v>0</v>
      </c>
      <c r="W24" s="493" t="e">
        <f t="shared" si="10"/>
        <v>#N/A</v>
      </c>
      <c r="X24" s="56" t="e">
        <f>VLOOKUP(H24,[1]Tabla_HTMS!$C$4:$D$11,2)</f>
        <v>#N/A</v>
      </c>
      <c r="Y24" s="56" t="e">
        <f>VLOOKUP(J24,[1]Tabla_HTMS!$E$4:$F$11,2)</f>
        <v>#N/A</v>
      </c>
      <c r="Z24" s="56" t="e">
        <f>VLOOKUP(L24,[1]Tabla_HTMS!$A$4:$B$11,2)</f>
        <v>#N/A</v>
      </c>
      <c r="AA24" s="56" t="e">
        <f>VLOOKUP(N24,[1]Tabla_HTMS!$G$4:$H$11,2)</f>
        <v>#N/A</v>
      </c>
      <c r="AB24" s="56" t="e">
        <f>VLOOKUP(P24,[1]Tabla_HTMS!$I$4:$J$11,2)</f>
        <v>#N/A</v>
      </c>
      <c r="AC24" s="56" t="e">
        <f>VLOOKUP(R24,[1]Tabla_HTMS!$K$4:$L$11,2)</f>
        <v>#N/A</v>
      </c>
      <c r="AD24" s="56" t="e">
        <f>VLOOKUP(T24,[1]Tabla_HTMS!$M$4:$N$11,2)</f>
        <v>#N/A</v>
      </c>
      <c r="AE24" s="365"/>
      <c r="AF24" s="365"/>
      <c r="AG24" s="367"/>
      <c r="AH24" s="367"/>
      <c r="AI24" s="367"/>
      <c r="AJ24" s="367"/>
      <c r="AK24" s="367"/>
      <c r="AL24" s="367"/>
      <c r="AM24" s="496"/>
      <c r="AN24" s="520"/>
      <c r="AO24" s="498"/>
    </row>
    <row r="25" spans="1:41" ht="15.75" x14ac:dyDescent="0.25">
      <c r="A25" s="533"/>
      <c r="B25" s="361">
        <v>15</v>
      </c>
      <c r="C25" s="362">
        <f ca="1">+A31-4002-82</f>
        <v>41110</v>
      </c>
      <c r="D25" s="363"/>
      <c r="E25" s="364">
        <f t="shared" ca="1" si="6"/>
        <v>-45194</v>
      </c>
      <c r="F25" s="512"/>
      <c r="G25" s="488"/>
      <c r="H25" s="489"/>
      <c r="I25" s="490"/>
      <c r="J25" s="489"/>
      <c r="K25" s="366"/>
      <c r="L25" s="489"/>
      <c r="M25" s="490"/>
      <c r="N25" s="489"/>
      <c r="O25" s="366"/>
      <c r="P25" s="489"/>
      <c r="Q25" s="366"/>
      <c r="R25" s="489"/>
      <c r="S25" s="490"/>
      <c r="T25" s="489"/>
      <c r="U25" s="514">
        <f t="shared" si="7"/>
        <v>0</v>
      </c>
      <c r="V25" s="191">
        <f t="shared" si="8"/>
        <v>0</v>
      </c>
      <c r="W25" s="493" t="e">
        <f t="shared" si="10"/>
        <v>#N/A</v>
      </c>
      <c r="X25" s="56" t="e">
        <f>VLOOKUP(H25,[1]Tabla_HTMS!$C$4:$D$11,2)</f>
        <v>#N/A</v>
      </c>
      <c r="Y25" s="56" t="e">
        <f>VLOOKUP(J25,[1]Tabla_HTMS!$E$4:$F$11,2)</f>
        <v>#N/A</v>
      </c>
      <c r="Z25" s="56" t="e">
        <f>VLOOKUP(L25,[1]Tabla_HTMS!$A$4:$B$11,2)</f>
        <v>#N/A</v>
      </c>
      <c r="AA25" s="56" t="e">
        <f>VLOOKUP(N25,[1]Tabla_HTMS!$G$4:$H$11,2)</f>
        <v>#N/A</v>
      </c>
      <c r="AB25" s="56" t="e">
        <f>VLOOKUP(P25,[1]Tabla_HTMS!$I$4:$J$11,2)</f>
        <v>#N/A</v>
      </c>
      <c r="AC25" s="56" t="e">
        <f>VLOOKUP(R25,[1]Tabla_HTMS!$K$4:$L$11,2)</f>
        <v>#N/A</v>
      </c>
      <c r="AD25" s="56" t="e">
        <f>VLOOKUP(T25,[1]Tabla_HTMS!$M$4:$N$11,2)</f>
        <v>#N/A</v>
      </c>
      <c r="AE25" s="365"/>
      <c r="AF25" s="365"/>
      <c r="AG25" s="367"/>
      <c r="AH25" s="367"/>
      <c r="AI25" s="367"/>
      <c r="AJ25" s="367"/>
      <c r="AK25" s="367"/>
      <c r="AL25" s="367"/>
      <c r="AM25" s="496"/>
      <c r="AN25" s="515"/>
      <c r="AO25" s="535"/>
    </row>
    <row r="26" spans="1:41" ht="15.75" x14ac:dyDescent="0.25">
      <c r="A26" s="550"/>
      <c r="B26" s="361">
        <v>16</v>
      </c>
      <c r="C26" s="362">
        <f ca="1">+A31-4060-60</f>
        <v>41074</v>
      </c>
      <c r="D26" s="363"/>
      <c r="E26" s="364">
        <f t="shared" ca="1" si="6"/>
        <v>-45194</v>
      </c>
      <c r="F26" s="512"/>
      <c r="G26" s="534"/>
      <c r="H26" s="489"/>
      <c r="I26" s="366"/>
      <c r="J26" s="489"/>
      <c r="K26" s="490"/>
      <c r="L26" s="489"/>
      <c r="M26" s="490"/>
      <c r="N26" s="489"/>
      <c r="O26" s="490"/>
      <c r="P26" s="489"/>
      <c r="Q26" s="366"/>
      <c r="R26" s="489"/>
      <c r="S26" s="490"/>
      <c r="T26" s="489"/>
      <c r="U26" s="514">
        <f t="shared" si="7"/>
        <v>0</v>
      </c>
      <c r="V26" s="191">
        <f t="shared" si="8"/>
        <v>0</v>
      </c>
      <c r="W26" s="552"/>
      <c r="X26" s="56" t="e">
        <f>VLOOKUP(H26,[1]Tabla_HTMS!$C$4:$D$11,2)</f>
        <v>#N/A</v>
      </c>
      <c r="Y26" s="56" t="e">
        <f>VLOOKUP(J26,[1]Tabla_HTMS!$E$4:$F$11,2)</f>
        <v>#N/A</v>
      </c>
      <c r="Z26" s="56" t="e">
        <f>VLOOKUP(L26,[1]Tabla_HTMS!$A$4:$B$11,2)</f>
        <v>#N/A</v>
      </c>
      <c r="AA26" s="56" t="e">
        <f>VLOOKUP(N26,[1]Tabla_HTMS!$G$4:$H$11,2)</f>
        <v>#N/A</v>
      </c>
      <c r="AB26" s="56" t="e">
        <f>VLOOKUP(P26,[1]Tabla_HTMS!$I$4:$J$11,2)</f>
        <v>#N/A</v>
      </c>
      <c r="AC26" s="56" t="e">
        <f>VLOOKUP(R26,[1]Tabla_HTMS!$K$4:$L$11,2)</f>
        <v>#N/A</v>
      </c>
      <c r="AD26" s="56" t="e">
        <f>VLOOKUP(T26,[1]Tabla_HTMS!$M$4:$N$11,2)</f>
        <v>#N/A</v>
      </c>
      <c r="AE26" s="365"/>
      <c r="AF26" s="365"/>
      <c r="AG26" s="367"/>
      <c r="AH26" s="367"/>
      <c r="AI26" s="367"/>
      <c r="AJ26" s="367"/>
      <c r="AK26" s="367"/>
      <c r="AL26" s="367"/>
      <c r="AM26" s="496"/>
      <c r="AN26" s="520"/>
      <c r="AO26" s="498"/>
    </row>
    <row r="31" spans="1:41" x14ac:dyDescent="0.25">
      <c r="A31" s="464">
        <f ca="1">TODAY()</f>
        <v>45194</v>
      </c>
    </row>
  </sheetData>
  <mergeCells count="4">
    <mergeCell ref="AG1:AL1"/>
    <mergeCell ref="AG4:AL4"/>
    <mergeCell ref="AG10:AL10"/>
    <mergeCell ref="AG16:AL16"/>
  </mergeCells>
  <conditionalFormatting sqref="E3 E6:E8 E13:E15 E26 E19:E22">
    <cfRule type="cellIs" dxfId="45" priority="1" stopIfTrue="1" operator="lessThan">
      <formula>1</formula>
    </cfRule>
    <cfRule type="cellIs" dxfId="44" priority="2" stopIfTrue="1" operator="between">
      <formula>1</formula>
      <formula>50</formula>
    </cfRule>
    <cfRule type="cellIs" dxfId="43" priority="3" stopIfTrue="1" operator="greaterThan">
      <formula>50</formula>
    </cfRule>
  </conditionalFormatting>
  <conditionalFormatting sqref="E3 E6:E9 E12:E15 E18:E26">
    <cfRule type="cellIs" dxfId="42" priority="5" stopIfTrue="1" operator="between">
      <formula>1</formula>
      <formula>50</formula>
    </cfRule>
    <cfRule type="cellIs" dxfId="41" priority="6" stopIfTrue="1" operator="greaterThan">
      <formula>50</formula>
    </cfRule>
  </conditionalFormatting>
  <conditionalFormatting sqref="E3 E6:E9 E12:E15 E18:E26">
    <cfRule type="cellIs" dxfId="40" priority="4" stopIfTrue="1" operator="lessThan">
      <formula>1</formula>
    </cfRule>
  </conditionalFormatting>
  <conditionalFormatting sqref="AG3:AL3 AG6:AL9 AG12:AL15 AG18:AL26">
    <cfRule type="cellIs" dxfId="39" priority="7" stopIfTrue="1" operator="between">
      <formula>4</formula>
      <formula>5</formula>
    </cfRule>
    <cfRule type="cellIs" dxfId="38" priority="8" stopIfTrue="1" operator="lessThan">
      <formula>4</formula>
    </cfRule>
    <cfRule type="cellIs" dxfId="37" priority="9" stopIfTrue="1" operator="greaterThan">
      <formula>5</formula>
    </cfRule>
  </conditionalFormatting>
  <conditionalFormatting sqref="G18:T26 G12:T15 G3:T3 G6:T9">
    <cfRule type="colorScale" priority="1438">
      <colorScale>
        <cfvo type="min"/>
        <cfvo type="max"/>
        <color rgb="FFFCFCFF"/>
        <color rgb="FFF8696B"/>
      </colorScale>
    </cfRule>
  </conditionalFormatting>
  <conditionalFormatting sqref="U18:V26 U12:V15 U3:V3 U6:V9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6 W12:W15 W3 W6:W9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AD3 X12:AD15 X6:AD9 X18:AD2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53BE-E23D-493D-B0D7-0510D0CA03ED}">
  <sheetPr>
    <tabColor rgb="FFE4DFEC"/>
  </sheetPr>
  <dimension ref="A1:L29"/>
  <sheetViews>
    <sheetView zoomScale="110" zoomScaleNormal="110" workbookViewId="0">
      <selection activeCell="I22" sqref="I22"/>
    </sheetView>
  </sheetViews>
  <sheetFormatPr baseColWidth="10" defaultRowHeight="15" x14ac:dyDescent="0.25"/>
  <cols>
    <col min="1" max="1" width="19.85546875" bestFit="1" customWidth="1"/>
    <col min="2" max="3" width="4.5703125" bestFit="1" customWidth="1"/>
    <col min="4" max="4" width="7.42578125" bestFit="1" customWidth="1"/>
    <col min="6" max="6" width="3" bestFit="1" customWidth="1"/>
    <col min="7" max="7" width="19.85546875" bestFit="1" customWidth="1"/>
    <col min="8" max="8" width="5.5703125" bestFit="1" customWidth="1"/>
    <col min="9" max="9" width="4.5703125" bestFit="1" customWidth="1"/>
    <col min="10" max="10" width="7.42578125" bestFit="1" customWidth="1"/>
    <col min="11" max="11" width="8.42578125" bestFit="1" customWidth="1"/>
    <col min="12" max="12" width="12.140625" bestFit="1" customWidth="1"/>
  </cols>
  <sheetData>
    <row r="1" spans="1:12" x14ac:dyDescent="0.25">
      <c r="A1" s="443" t="s">
        <v>611</v>
      </c>
      <c r="B1" s="443"/>
      <c r="C1" s="443"/>
      <c r="D1" s="398"/>
      <c r="E1" s="398"/>
      <c r="F1" s="398"/>
      <c r="G1" s="398"/>
      <c r="H1" s="398"/>
    </row>
    <row r="2" spans="1:12" x14ac:dyDescent="0.25">
      <c r="A2" s="444" t="s">
        <v>612</v>
      </c>
      <c r="B2" s="444"/>
      <c r="C2" s="444"/>
      <c r="D2" s="444"/>
      <c r="E2" s="444"/>
      <c r="F2" s="444"/>
      <c r="G2" s="444"/>
      <c r="H2" s="444"/>
    </row>
    <row r="4" spans="1:12" x14ac:dyDescent="0.25">
      <c r="A4" s="445" t="s">
        <v>613</v>
      </c>
      <c r="B4" s="445"/>
      <c r="C4" s="445"/>
      <c r="D4" s="445"/>
      <c r="G4" s="399" t="s">
        <v>617</v>
      </c>
      <c r="H4" s="400" t="e">
        <f>SUM(H6:H16)</f>
        <v>#REF!</v>
      </c>
      <c r="I4" s="399"/>
      <c r="J4" s="399"/>
      <c r="K4" s="68"/>
    </row>
    <row r="5" spans="1:12" x14ac:dyDescent="0.25">
      <c r="A5" s="401" t="s">
        <v>168</v>
      </c>
      <c r="B5" s="402" t="s">
        <v>89</v>
      </c>
      <c r="C5" s="402" t="s">
        <v>88</v>
      </c>
      <c r="D5" s="402" t="s">
        <v>614</v>
      </c>
      <c r="G5" s="401" t="s">
        <v>168</v>
      </c>
      <c r="H5" s="402" t="s">
        <v>89</v>
      </c>
      <c r="I5" s="402" t="s">
        <v>88</v>
      </c>
      <c r="J5" s="402" t="s">
        <v>614</v>
      </c>
      <c r="K5" s="403" t="s">
        <v>615</v>
      </c>
      <c r="L5" s="403" t="s">
        <v>616</v>
      </c>
    </row>
    <row r="6" spans="1:12" x14ac:dyDescent="0.25">
      <c r="A6" t="e">
        <f>PLANTILLA!#REF!</f>
        <v>#REF!</v>
      </c>
      <c r="B6" s="133" t="e">
        <f>PLANTILLA!#REF!</f>
        <v>#REF!</v>
      </c>
      <c r="C6" s="48" t="e">
        <f>PLANTILLA!#REF!</f>
        <v>#REF!</v>
      </c>
      <c r="D6" t="e">
        <f>C6+0.99</f>
        <v>#REF!</v>
      </c>
      <c r="F6" s="2">
        <v>1</v>
      </c>
      <c r="G6" t="e">
        <f>A6</f>
        <v>#REF!</v>
      </c>
      <c r="H6" s="133" t="e">
        <f t="shared" ref="H6:J6" si="0">B6</f>
        <v>#REF!</v>
      </c>
      <c r="I6" s="48" t="e">
        <f t="shared" si="0"/>
        <v>#REF!</v>
      </c>
      <c r="J6" t="e">
        <f t="shared" si="0"/>
        <v>#REF!</v>
      </c>
      <c r="K6" s="47" t="e">
        <f>(($H$4+H6)/12)*(1-(7-I6)/20)</f>
        <v>#REF!</v>
      </c>
      <c r="L6" s="47" t="e">
        <f>(($H$4+H6)/12)*(1-(7-J6)/20)</f>
        <v>#REF!</v>
      </c>
    </row>
    <row r="7" spans="1:12" x14ac:dyDescent="0.25">
      <c r="A7" t="e">
        <f>PLANTILLA!#REF!</f>
        <v>#REF!</v>
      </c>
      <c r="B7" s="133" t="e">
        <f>PLANTILLA!#REF!</f>
        <v>#REF!</v>
      </c>
      <c r="C7" s="48" t="e">
        <f>PLANTILLA!#REF!</f>
        <v>#REF!</v>
      </c>
      <c r="D7" t="e">
        <f t="shared" ref="D7:D21" si="1">C7+0.99</f>
        <v>#REF!</v>
      </c>
      <c r="F7" s="2">
        <v>2</v>
      </c>
      <c r="G7" s="68" t="str">
        <f>A10</f>
        <v>C. Mosser</v>
      </c>
      <c r="H7" s="133">
        <f t="shared" ref="H7:J7" si="2">B10</f>
        <v>10</v>
      </c>
      <c r="I7" s="48">
        <f t="shared" si="2"/>
        <v>3</v>
      </c>
      <c r="J7">
        <f t="shared" si="2"/>
        <v>3.99</v>
      </c>
      <c r="K7" s="47" t="e">
        <f>(($H$4+H7)/12)*(1-(7-I7)/20)</f>
        <v>#REF!</v>
      </c>
      <c r="L7" s="47" t="e">
        <f t="shared" ref="L7:L16" si="3">(($H$4+H7)/12)*(1-(7-J7)/20)</f>
        <v>#REF!</v>
      </c>
    </row>
    <row r="8" spans="1:12" x14ac:dyDescent="0.25">
      <c r="A8" t="str">
        <f>PLANTILLA!C5</f>
        <v>V. Gardner</v>
      </c>
      <c r="B8" s="133">
        <f>PLANTILLA!G5</f>
        <v>10</v>
      </c>
      <c r="C8" s="48">
        <f>PLANTILLA!F5</f>
        <v>3</v>
      </c>
      <c r="D8">
        <f t="shared" si="1"/>
        <v>3.99</v>
      </c>
      <c r="F8" s="2">
        <v>3</v>
      </c>
      <c r="G8" t="str">
        <f>A8</f>
        <v>V. Gardner</v>
      </c>
      <c r="H8" s="133">
        <f t="shared" ref="H8:J8" si="4">B8</f>
        <v>10</v>
      </c>
      <c r="I8" s="48">
        <f t="shared" si="4"/>
        <v>3</v>
      </c>
      <c r="J8">
        <f t="shared" si="4"/>
        <v>3.99</v>
      </c>
      <c r="K8" s="47" t="e">
        <f t="shared" ref="K8:K16" si="5">(($H$4+H8)/12)*(1-(7-I8)/20)</f>
        <v>#REF!</v>
      </c>
      <c r="L8" s="47" t="e">
        <f t="shared" si="3"/>
        <v>#REF!</v>
      </c>
    </row>
    <row r="9" spans="1:12" x14ac:dyDescent="0.25">
      <c r="A9" t="str">
        <f>PLANTILLA!C6</f>
        <v>A. Grimaud</v>
      </c>
      <c r="B9" s="133">
        <f>PLANTILLA!G6</f>
        <v>12</v>
      </c>
      <c r="C9" s="48">
        <f>PLANTILLA!F6</f>
        <v>2</v>
      </c>
      <c r="D9">
        <f t="shared" si="1"/>
        <v>2.99</v>
      </c>
      <c r="F9" s="2">
        <v>4</v>
      </c>
      <c r="G9" t="str">
        <f>A12</f>
        <v>T. McPhail</v>
      </c>
      <c r="H9" s="133">
        <f t="shared" ref="H9:J9" si="6">B12</f>
        <v>12</v>
      </c>
      <c r="I9" s="48">
        <f t="shared" si="6"/>
        <v>2</v>
      </c>
      <c r="J9">
        <f t="shared" si="6"/>
        <v>2.99</v>
      </c>
      <c r="K9" s="47" t="e">
        <f t="shared" si="5"/>
        <v>#REF!</v>
      </c>
      <c r="L9" s="47" t="e">
        <f t="shared" si="3"/>
        <v>#REF!</v>
      </c>
    </row>
    <row r="10" spans="1:12" x14ac:dyDescent="0.25">
      <c r="A10" t="str">
        <f>PLANTILLA!C7</f>
        <v>C. Mosser</v>
      </c>
      <c r="B10" s="133">
        <f>PLANTILLA!G7</f>
        <v>10</v>
      </c>
      <c r="C10" s="48">
        <f>PLANTILLA!F7</f>
        <v>3</v>
      </c>
      <c r="D10">
        <f t="shared" si="1"/>
        <v>3.99</v>
      </c>
      <c r="F10" s="2">
        <v>5</v>
      </c>
      <c r="G10" t="e">
        <f>A13</f>
        <v>#REF!</v>
      </c>
      <c r="H10" s="133" t="e">
        <f t="shared" ref="H10:J10" si="7">B13</f>
        <v>#REF!</v>
      </c>
      <c r="I10" s="48" t="e">
        <f t="shared" si="7"/>
        <v>#REF!</v>
      </c>
      <c r="J10" t="e">
        <f t="shared" si="7"/>
        <v>#REF!</v>
      </c>
      <c r="K10" s="47" t="e">
        <f t="shared" si="5"/>
        <v>#REF!</v>
      </c>
      <c r="L10" s="47" t="e">
        <f t="shared" si="3"/>
        <v>#REF!</v>
      </c>
    </row>
    <row r="11" spans="1:12" x14ac:dyDescent="0.25">
      <c r="A11" t="str">
        <f>PLANTILLA!C8</f>
        <v>P. Tuderek</v>
      </c>
      <c r="B11" s="133">
        <f>PLANTILLA!G8</f>
        <v>11</v>
      </c>
      <c r="C11" s="48">
        <f>PLANTILLA!F8</f>
        <v>4</v>
      </c>
      <c r="D11">
        <f t="shared" si="1"/>
        <v>4.99</v>
      </c>
      <c r="F11" s="2">
        <v>6</v>
      </c>
      <c r="G11" t="str">
        <f>A14</f>
        <v>K. Teglborg</v>
      </c>
      <c r="H11" s="133">
        <f t="shared" ref="H11:J11" si="8">B14</f>
        <v>14</v>
      </c>
      <c r="I11" s="48">
        <f t="shared" si="8"/>
        <v>4</v>
      </c>
      <c r="J11">
        <f t="shared" si="8"/>
        <v>4.99</v>
      </c>
      <c r="K11" s="47" t="e">
        <f t="shared" si="5"/>
        <v>#REF!</v>
      </c>
      <c r="L11" s="47" t="e">
        <f t="shared" si="3"/>
        <v>#REF!</v>
      </c>
    </row>
    <row r="12" spans="1:12" x14ac:dyDescent="0.25">
      <c r="A12" t="str">
        <f>PLANTILLA!C9</f>
        <v>T. McPhail</v>
      </c>
      <c r="B12" s="133">
        <f>PLANTILLA!G9</f>
        <v>12</v>
      </c>
      <c r="C12" s="48">
        <f>PLANTILLA!F9</f>
        <v>2</v>
      </c>
      <c r="D12">
        <f t="shared" si="1"/>
        <v>2.99</v>
      </c>
      <c r="F12" s="2">
        <v>7</v>
      </c>
      <c r="G12" t="str">
        <f>A21</f>
        <v>I. Vanags</v>
      </c>
      <c r="H12" s="133">
        <f t="shared" ref="H12:J12" si="9">B21</f>
        <v>11</v>
      </c>
      <c r="I12" s="48">
        <f t="shared" si="9"/>
        <v>4</v>
      </c>
      <c r="J12">
        <f t="shared" si="9"/>
        <v>4.99</v>
      </c>
      <c r="K12" s="47" t="e">
        <f t="shared" si="5"/>
        <v>#REF!</v>
      </c>
      <c r="L12" s="47" t="e">
        <f t="shared" si="3"/>
        <v>#REF!</v>
      </c>
    </row>
    <row r="13" spans="1:12" x14ac:dyDescent="0.25">
      <c r="A13" t="e">
        <f>PLANTILLA!#REF!</f>
        <v>#REF!</v>
      </c>
      <c r="B13" s="133" t="e">
        <f>PLANTILLA!#REF!</f>
        <v>#REF!</v>
      </c>
      <c r="C13" s="48" t="e">
        <f>PLANTILLA!#REF!</f>
        <v>#REF!</v>
      </c>
      <c r="D13" t="e">
        <f t="shared" si="1"/>
        <v>#REF!</v>
      </c>
      <c r="F13" s="2">
        <v>8</v>
      </c>
      <c r="G13" t="str">
        <f>A19</f>
        <v>M. Bondarewski</v>
      </c>
      <c r="H13" s="133">
        <f t="shared" ref="H13:J13" si="10">B19</f>
        <v>13</v>
      </c>
      <c r="I13" s="48">
        <f t="shared" si="10"/>
        <v>1</v>
      </c>
      <c r="J13">
        <f t="shared" si="10"/>
        <v>1.99</v>
      </c>
      <c r="K13" s="47" t="e">
        <f t="shared" si="5"/>
        <v>#REF!</v>
      </c>
      <c r="L13" s="47" t="e">
        <f t="shared" si="3"/>
        <v>#REF!</v>
      </c>
    </row>
    <row r="14" spans="1:12" x14ac:dyDescent="0.25">
      <c r="A14" t="str">
        <f>PLANTILLA!C10</f>
        <v>K. Teglborg</v>
      </c>
      <c r="B14" s="133">
        <f>PLANTILLA!G10</f>
        <v>14</v>
      </c>
      <c r="C14" s="48">
        <f>PLANTILLA!F10</f>
        <v>4</v>
      </c>
      <c r="D14">
        <f t="shared" si="1"/>
        <v>4.99</v>
      </c>
      <c r="F14" s="2">
        <v>9</v>
      </c>
      <c r="G14" t="str">
        <f>A20</f>
        <v>I. Stone</v>
      </c>
      <c r="H14" s="133">
        <f t="shared" ref="H14:J14" si="11">B20</f>
        <v>12</v>
      </c>
      <c r="I14" s="48">
        <f t="shared" si="11"/>
        <v>6</v>
      </c>
      <c r="J14">
        <f t="shared" si="11"/>
        <v>6.99</v>
      </c>
      <c r="K14" s="47" t="e">
        <f t="shared" si="5"/>
        <v>#REF!</v>
      </c>
      <c r="L14" s="47" t="e">
        <f t="shared" si="3"/>
        <v>#REF!</v>
      </c>
    </row>
    <row r="15" spans="1:12" x14ac:dyDescent="0.25">
      <c r="A15" t="str">
        <f>PLANTILLA!C11</f>
        <v>纪 (J.) 昌永 (Changyong)</v>
      </c>
      <c r="B15" s="133">
        <f>PLANTILLA!G11</f>
        <v>14</v>
      </c>
      <c r="C15" s="48">
        <f>PLANTILLA!F11</f>
        <v>1</v>
      </c>
      <c r="D15">
        <f t="shared" si="1"/>
        <v>1.99</v>
      </c>
      <c r="F15" s="2">
        <v>10</v>
      </c>
      <c r="G15" t="str">
        <f>A18</f>
        <v>S. Hovhannesyan</v>
      </c>
      <c r="H15" s="133">
        <f t="shared" ref="H15:J15" si="12">B18</f>
        <v>11</v>
      </c>
      <c r="I15" s="48">
        <f t="shared" si="12"/>
        <v>4</v>
      </c>
      <c r="J15">
        <f t="shared" si="12"/>
        <v>4.99</v>
      </c>
      <c r="K15" s="47" t="e">
        <f t="shared" si="5"/>
        <v>#REF!</v>
      </c>
      <c r="L15" s="47" t="e">
        <f t="shared" si="3"/>
        <v>#REF!</v>
      </c>
    </row>
    <row r="16" spans="1:12" x14ac:dyDescent="0.25">
      <c r="A16" t="str">
        <f>PLANTILLA!C12</f>
        <v>Y. Galitsky</v>
      </c>
      <c r="B16" s="133">
        <f>PLANTILLA!G12</f>
        <v>12</v>
      </c>
      <c r="C16" s="48">
        <f>PLANTILLA!F12</f>
        <v>5</v>
      </c>
      <c r="D16">
        <f t="shared" si="1"/>
        <v>5.99</v>
      </c>
      <c r="F16" s="2">
        <v>11</v>
      </c>
      <c r="G16" t="str">
        <f>A16</f>
        <v>Y. Galitsky</v>
      </c>
      <c r="H16" s="133">
        <f t="shared" ref="H16:J16" si="13">B16</f>
        <v>12</v>
      </c>
      <c r="I16" s="48">
        <f t="shared" si="13"/>
        <v>5</v>
      </c>
      <c r="J16">
        <f t="shared" si="13"/>
        <v>5.99</v>
      </c>
      <c r="K16" s="47" t="e">
        <f t="shared" si="5"/>
        <v>#REF!</v>
      </c>
      <c r="L16" s="47" t="e">
        <f t="shared" si="3"/>
        <v>#REF!</v>
      </c>
    </row>
    <row r="17" spans="1:4" x14ac:dyDescent="0.25">
      <c r="A17" t="str">
        <f>PLANTILLA!C13</f>
        <v>S. Sawczyn</v>
      </c>
      <c r="B17" s="133">
        <f>PLANTILLA!G13</f>
        <v>11</v>
      </c>
      <c r="C17" s="48">
        <f>PLANTILLA!F13</f>
        <v>4</v>
      </c>
      <c r="D17">
        <f t="shared" si="1"/>
        <v>4.99</v>
      </c>
    </row>
    <row r="18" spans="1:4" x14ac:dyDescent="0.25">
      <c r="A18" t="str">
        <f>PLANTILLA!C14</f>
        <v>S. Hovhannesyan</v>
      </c>
      <c r="B18" s="133">
        <f>PLANTILLA!G14</f>
        <v>11</v>
      </c>
      <c r="C18" s="48">
        <f>PLANTILLA!F14</f>
        <v>4</v>
      </c>
      <c r="D18">
        <f t="shared" si="1"/>
        <v>4.99</v>
      </c>
    </row>
    <row r="19" spans="1:4" x14ac:dyDescent="0.25">
      <c r="A19" t="str">
        <f>PLANTILLA!C15</f>
        <v>M. Bondarewski</v>
      </c>
      <c r="B19" s="133">
        <f>PLANTILLA!G15</f>
        <v>13</v>
      </c>
      <c r="C19" s="48">
        <f>PLANTILLA!F15</f>
        <v>1</v>
      </c>
      <c r="D19">
        <f t="shared" si="1"/>
        <v>1.99</v>
      </c>
    </row>
    <row r="20" spans="1:4" x14ac:dyDescent="0.25">
      <c r="A20" t="str">
        <f>PLANTILLA!C16</f>
        <v>I. Stone</v>
      </c>
      <c r="B20" s="133">
        <f>PLANTILLA!G16</f>
        <v>12</v>
      </c>
      <c r="C20" s="48">
        <f>PLANTILLA!F16</f>
        <v>6</v>
      </c>
      <c r="D20">
        <f t="shared" si="1"/>
        <v>6.99</v>
      </c>
    </row>
    <row r="21" spans="1:4" x14ac:dyDescent="0.25">
      <c r="A21" t="str">
        <f>PLANTILLA!C17</f>
        <v>I. Vanags</v>
      </c>
      <c r="B21" s="133">
        <f>PLANTILLA!G17</f>
        <v>11</v>
      </c>
      <c r="C21" s="48">
        <f>PLANTILLA!F17</f>
        <v>4</v>
      </c>
      <c r="D21">
        <f t="shared" si="1"/>
        <v>4.99</v>
      </c>
    </row>
    <row r="22" spans="1:4" x14ac:dyDescent="0.25">
      <c r="B22" s="133"/>
      <c r="C22" s="48"/>
    </row>
    <row r="23" spans="1:4" x14ac:dyDescent="0.25">
      <c r="B23" s="133"/>
      <c r="C23" s="48"/>
    </row>
    <row r="24" spans="1:4" x14ac:dyDescent="0.25">
      <c r="B24" s="133"/>
      <c r="C24" s="48"/>
    </row>
    <row r="25" spans="1:4" x14ac:dyDescent="0.25">
      <c r="B25" s="133"/>
      <c r="C25" s="48"/>
    </row>
    <row r="26" spans="1:4" x14ac:dyDescent="0.25">
      <c r="B26" s="133"/>
      <c r="C26" s="48"/>
    </row>
    <row r="27" spans="1:4" x14ac:dyDescent="0.25">
      <c r="B27" s="133"/>
      <c r="C27" s="48"/>
    </row>
    <row r="28" spans="1:4" x14ac:dyDescent="0.25">
      <c r="B28" s="133"/>
      <c r="C28" s="48"/>
    </row>
    <row r="29" spans="1:4" x14ac:dyDescent="0.25">
      <c r="B29" s="133"/>
      <c r="C29" s="48"/>
    </row>
  </sheetData>
  <mergeCells count="3">
    <mergeCell ref="A1:C1"/>
    <mergeCell ref="A2:H2"/>
    <mergeCell ref="A4:D4"/>
  </mergeCells>
  <conditionalFormatting sqref="B6:B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6:D29">
    <cfRule type="colorScale" priority="9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2">
      <colorScale>
        <cfvo type="min"/>
        <cfvo type="max"/>
        <color rgb="FFFCFCFF"/>
        <color rgb="FF63BE7B"/>
      </colorScale>
    </cfRule>
  </conditionalFormatting>
  <conditionalFormatting sqref="I6:J16">
    <cfRule type="colorScale" priority="1">
      <colorScale>
        <cfvo type="min"/>
        <cfvo type="max"/>
        <color rgb="FFFCFCFF"/>
        <color rgb="FFF8696B"/>
      </colorScale>
    </cfRule>
  </conditionalFormatting>
  <conditionalFormatting sqref="K6: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97" t="s">
        <v>84</v>
      </c>
      <c r="B1" s="97" t="s">
        <v>37</v>
      </c>
      <c r="C1" s="97" t="s">
        <v>155</v>
      </c>
      <c r="D1" s="88" t="s">
        <v>257</v>
      </c>
      <c r="E1" s="88" t="s">
        <v>258</v>
      </c>
      <c r="F1" s="88" t="s">
        <v>259</v>
      </c>
      <c r="M1" s="151" t="str">
        <f>PLANTILLA!C3</f>
        <v>Jugador</v>
      </c>
      <c r="N1" s="151" t="s">
        <v>90</v>
      </c>
      <c r="O1" s="151" t="str">
        <f>PLANTILLA!Z3</f>
        <v>An</v>
      </c>
      <c r="P1" s="151" t="str">
        <f>PLANTILLA!AA3</f>
        <v>PA</v>
      </c>
      <c r="Q1" s="151" t="str">
        <f>PLANTILLA!AE3</f>
        <v>TL</v>
      </c>
      <c r="R1" s="151" t="str">
        <f>PLANTILLA!AG3</f>
        <v>PEN</v>
      </c>
      <c r="U1" s="446" t="s">
        <v>260</v>
      </c>
      <c r="V1" s="446"/>
      <c r="W1" s="446"/>
      <c r="X1" s="446"/>
      <c r="Y1" s="446"/>
    </row>
    <row r="2" spans="1:25" x14ac:dyDescent="0.25">
      <c r="A2" t="e">
        <f>PLANTILLA!#REF!</f>
        <v>#REF!</v>
      </c>
      <c r="B2" s="68" t="e">
        <f>PLANTILLA!#REF!++PLANTILLA!#REF!+PLANTILLA!#REF!</f>
        <v>#REF!</v>
      </c>
      <c r="C2" s="68" t="e">
        <f>PLANTILLA!#REF!+PLANTILLA!#REF!+PLANTILLA!#REF!</f>
        <v>#REF!</v>
      </c>
      <c r="D2" s="93" t="e">
        <f t="shared" ref="D2:D3" si="0">(C2*2+B2)/8</f>
        <v>#REF!</v>
      </c>
      <c r="E2" s="68" t="e">
        <f>D2*PLANTILLA!#REF!</f>
        <v>#REF!</v>
      </c>
      <c r="F2" s="68" t="e">
        <f>D2*PLANTILLA!#REF!</f>
        <v>#REF!</v>
      </c>
      <c r="M2" t="e">
        <f>PLANTILLA!#REF!</f>
        <v>#REF!</v>
      </c>
      <c r="N2" s="47" t="e">
        <f>PLANTILLA!#REF!</f>
        <v>#REF!</v>
      </c>
      <c r="O2" s="68" t="e">
        <f>PLANTILLA!#REF!</f>
        <v>#REF!</v>
      </c>
      <c r="P2" s="68" t="e">
        <f>PLANTILLA!#REF!</f>
        <v>#REF!</v>
      </c>
      <c r="Q2" s="68" t="e">
        <f>PLANTILLA!#REF!</f>
        <v>#REF!</v>
      </c>
      <c r="R2" s="47" t="e">
        <f>PLANTILLA!#REF!</f>
        <v>#REF!</v>
      </c>
      <c r="U2" t="str">
        <f>M11</f>
        <v>Y. Galitsky</v>
      </c>
      <c r="V2" s="47">
        <f>N11</f>
        <v>1.4852578030757824</v>
      </c>
      <c r="W2" s="47">
        <f>O11</f>
        <v>9</v>
      </c>
      <c r="X2" s="47">
        <f>P11</f>
        <v>18</v>
      </c>
      <c r="Y2" s="98"/>
    </row>
    <row r="3" spans="1:25" x14ac:dyDescent="0.25">
      <c r="A3" t="e">
        <f>PLANTILLA!#REF!</f>
        <v>#REF!</v>
      </c>
      <c r="B3" s="68" t="e">
        <f>PLANTILLA!#REF!++PLANTILLA!#REF!+PLANTILLA!#REF!</f>
        <v>#REF!</v>
      </c>
      <c r="C3" s="68" t="e">
        <f>PLANTILLA!#REF!+PLANTILLA!#REF!+PLANTILLA!#REF!</f>
        <v>#REF!</v>
      </c>
      <c r="D3" s="93" t="e">
        <f t="shared" si="0"/>
        <v>#REF!</v>
      </c>
      <c r="E3" s="68" t="e">
        <f>D3*PLANTILLA!#REF!</f>
        <v>#REF!</v>
      </c>
      <c r="F3" s="68" t="e">
        <f>D3*PLANTILLA!#REF!</f>
        <v>#REF!</v>
      </c>
      <c r="M3" t="e">
        <f>PLANTILLA!#REF!</f>
        <v>#REF!</v>
      </c>
      <c r="N3" s="47" t="e">
        <f>PLANTILLA!#REF!</f>
        <v>#REF!</v>
      </c>
      <c r="O3" s="68" t="e">
        <f>PLANTILLA!#REF!</f>
        <v>#REF!</v>
      </c>
      <c r="P3" s="68" t="e">
        <f>PLANTILLA!#REF!</f>
        <v>#REF!</v>
      </c>
      <c r="Q3" s="68" t="e">
        <f>PLANTILLA!#REF!</f>
        <v>#REF!</v>
      </c>
      <c r="R3" s="47" t="e">
        <f>PLANTILLA!#REF!</f>
        <v>#REF!</v>
      </c>
      <c r="U3" t="str">
        <f>M15</f>
        <v>M. Bondarewski</v>
      </c>
      <c r="V3" s="47">
        <f>N15</f>
        <v>1.5281707142376506</v>
      </c>
      <c r="W3" s="47">
        <f>O15</f>
        <v>9</v>
      </c>
      <c r="X3" s="47">
        <f>P15</f>
        <v>20</v>
      </c>
      <c r="Y3" s="98"/>
    </row>
    <row r="4" spans="1:25" x14ac:dyDescent="0.25">
      <c r="A4" t="str">
        <f>PLANTILLA!C5</f>
        <v>V. Gardner</v>
      </c>
      <c r="B4" s="68">
        <f ca="1">PLANTILLA!V5++PLANTILLA!H5+PLANTILLA!M5</f>
        <v>17.388523580210968</v>
      </c>
      <c r="C4" s="68">
        <f ca="1">PLANTILLA!Y5+PLANTILLA!H5+PLANTILLA!M5</f>
        <v>6.3885235802109666</v>
      </c>
      <c r="D4" s="93">
        <f t="shared" ref="D4:D17" ca="1" si="1">(C4*2+B4)/8</f>
        <v>3.7706963425791127</v>
      </c>
      <c r="E4" s="68">
        <f ca="1">D4*PLANTILLA!O5</f>
        <v>3.4909864640985888</v>
      </c>
      <c r="F4" s="68">
        <f ca="1">D4*PLANTILLA!P5</f>
        <v>3.7680020254486721</v>
      </c>
      <c r="M4" t="str">
        <f>PLANTILLA!C5</f>
        <v>V. Gardner</v>
      </c>
      <c r="N4" s="47">
        <f>PLANTILLA!H5</f>
        <v>1.3885235802109668</v>
      </c>
      <c r="O4" s="68">
        <f>PLANTILLA!Z5</f>
        <v>7</v>
      </c>
      <c r="P4" s="68">
        <f>PLANTILLA!AA5</f>
        <v>19</v>
      </c>
      <c r="Q4" s="68">
        <f ca="1">PLANTILLA!AE5</f>
        <v>18.283685181650238</v>
      </c>
      <c r="R4" s="47">
        <f ca="1">PLANTILLA!AG5</f>
        <v>16.4689726758373</v>
      </c>
      <c r="U4" t="str">
        <f>M14</f>
        <v>S. Hovhannesyan</v>
      </c>
      <c r="V4" s="47">
        <f>N14</f>
        <v>1.4389083280634998</v>
      </c>
      <c r="W4" s="47">
        <f>O14</f>
        <v>8</v>
      </c>
      <c r="X4" s="47">
        <f>P14</f>
        <v>19</v>
      </c>
      <c r="Y4" s="98"/>
    </row>
    <row r="5" spans="1:25" x14ac:dyDescent="0.25">
      <c r="A5" t="str">
        <f>PLANTILLA!C6</f>
        <v>A. Grimaud</v>
      </c>
      <c r="B5" s="68">
        <f ca="1">PLANTILLA!V6++PLANTILLA!H6+PLANTILLA!M6</f>
        <v>16.485257803075783</v>
      </c>
      <c r="C5" s="68">
        <f ca="1">PLANTILLA!Y6+PLANTILLA!H6+PLANTILLA!M6</f>
        <v>5.4852578030757826</v>
      </c>
      <c r="D5" s="93">
        <f t="shared" ca="1" si="1"/>
        <v>3.4319716761534185</v>
      </c>
      <c r="E5" s="68">
        <f ca="1">D5*PLANTILLA!O6</f>
        <v>3.1773883596329284</v>
      </c>
      <c r="F5" s="68">
        <f ca="1">D5*PLANTILLA!P6</f>
        <v>3.429519391684412</v>
      </c>
      <c r="M5" t="str">
        <f>PLANTILLA!C6</f>
        <v>A. Grimaud</v>
      </c>
      <c r="N5" s="47">
        <f>PLANTILLA!H6</f>
        <v>1.4852578030757824</v>
      </c>
      <c r="O5" s="68">
        <f>PLANTILLA!Z6</f>
        <v>7</v>
      </c>
      <c r="P5" s="68">
        <f>PLANTILLA!AA6</f>
        <v>18</v>
      </c>
      <c r="Q5" s="68">
        <f ca="1">PLANTILLA!AE6</f>
        <v>17.972408384955052</v>
      </c>
      <c r="R5" s="47">
        <f ca="1">PLANTILLA!AG6</f>
        <v>15.910457093860638</v>
      </c>
      <c r="U5" t="str">
        <f t="shared" ref="U5:X6" si="2">M12</f>
        <v>S. Sawczyn</v>
      </c>
      <c r="V5" s="47">
        <f t="shared" si="2"/>
        <v>1.4389083280634998</v>
      </c>
      <c r="W5" s="47">
        <f t="shared" si="2"/>
        <v>9</v>
      </c>
      <c r="X5" s="47">
        <f t="shared" si="2"/>
        <v>19</v>
      </c>
      <c r="Y5" s="98"/>
    </row>
    <row r="6" spans="1:25" x14ac:dyDescent="0.25">
      <c r="A6" t="str">
        <f>PLANTILLA!C7</f>
        <v>C. Mosser</v>
      </c>
      <c r="B6" s="68">
        <f ca="1">PLANTILLA!V7++PLANTILLA!H7+PLANTILLA!M7</f>
        <v>16.578117527270788</v>
      </c>
      <c r="C6" s="68">
        <f ca="1">PLANTILLA!Y7+PLANTILLA!H7+PLANTILLA!M7</f>
        <v>3.5781175272707864</v>
      </c>
      <c r="D6" s="93">
        <f t="shared" ca="1" si="1"/>
        <v>2.9667940727265449</v>
      </c>
      <c r="E6" s="68">
        <f ca="1">D6*PLANTILLA!O7</f>
        <v>2.242685516449975</v>
      </c>
      <c r="F6" s="68">
        <f ca="1">D6*PLANTILLA!P7</f>
        <v>2.5048899798801298</v>
      </c>
      <c r="M6" t="str">
        <f>PLANTILLA!C7</f>
        <v>C. Mosser</v>
      </c>
      <c r="N6" s="47">
        <f>PLANTILLA!H7</f>
        <v>1.3885235802109668</v>
      </c>
      <c r="O6" s="68">
        <f>PLANTILLA!Z7</f>
        <v>11</v>
      </c>
      <c r="P6" s="68">
        <f>PLANTILLA!AA7</f>
        <v>19</v>
      </c>
      <c r="Q6" s="68">
        <f ca="1">PLANTILLA!AE7</f>
        <v>18.594067879623122</v>
      </c>
      <c r="R6" s="47">
        <f ca="1">PLANTILLA!AG7</f>
        <v>13.741365222989398</v>
      </c>
      <c r="U6" t="str">
        <f t="shared" si="2"/>
        <v>K. Teglborg</v>
      </c>
      <c r="V6" s="47">
        <f t="shared" si="2"/>
        <v>1.5681216787409085</v>
      </c>
      <c r="W6" s="47">
        <f t="shared" si="2"/>
        <v>9</v>
      </c>
      <c r="X6" s="47">
        <f t="shared" si="2"/>
        <v>18</v>
      </c>
      <c r="Y6" s="98"/>
    </row>
    <row r="7" spans="1:25" x14ac:dyDescent="0.25">
      <c r="A7" t="str">
        <f>PLANTILLA!C8</f>
        <v>P. Tuderek</v>
      </c>
      <c r="B7" s="68">
        <f ca="1">PLANTILLA!V8++PLANTILLA!H8+PLANTILLA!M8</f>
        <v>13.4389083280635</v>
      </c>
      <c r="C7" s="68">
        <f ca="1">PLANTILLA!Y8+PLANTILLA!H8+PLANTILLA!M8</f>
        <v>5.4389083280634996</v>
      </c>
      <c r="D7" s="93">
        <f t="shared" ca="1" si="1"/>
        <v>3.0395906230238126</v>
      </c>
      <c r="E7" s="68">
        <f ca="1">D7*PLANTILLA!O8</f>
        <v>2.814114093875618</v>
      </c>
      <c r="F7" s="68">
        <f ca="1">D7*PLANTILLA!P8</f>
        <v>3.0374187109043822</v>
      </c>
      <c r="H7" s="47"/>
      <c r="M7" t="str">
        <f>PLANTILLA!C8</f>
        <v>P. Tuderek</v>
      </c>
      <c r="N7" s="47">
        <f>PLANTILLA!H8</f>
        <v>1.4389083280634998</v>
      </c>
      <c r="O7" s="68">
        <f>PLANTILLA!Z8</f>
        <v>8</v>
      </c>
      <c r="P7" s="68">
        <f>PLANTILLA!AA8</f>
        <v>20</v>
      </c>
      <c r="Q7" s="68">
        <f ca="1">PLANTILLA!AE8</f>
        <v>20.432837941294881</v>
      </c>
      <c r="R7" s="47">
        <f ca="1">PLANTILLA!AG8</f>
        <v>17.441439987893698</v>
      </c>
      <c r="U7" t="str">
        <f>M17</f>
        <v>I. Vanags</v>
      </c>
      <c r="V7" s="47">
        <f>N17</f>
        <v>1.4389083280634998</v>
      </c>
      <c r="W7" s="47">
        <f>O17</f>
        <v>8</v>
      </c>
      <c r="X7" s="47">
        <f>P17</f>
        <v>19</v>
      </c>
      <c r="Y7" s="98"/>
    </row>
    <row r="8" spans="1:25" x14ac:dyDescent="0.25">
      <c r="A8" t="str">
        <f>PLANTILLA!C9</f>
        <v>T. McPhail</v>
      </c>
      <c r="B8" s="68">
        <f ca="1">PLANTILLA!V9++PLANTILLA!H9+PLANTILLA!M9</f>
        <v>15.485257803075783</v>
      </c>
      <c r="C8" s="68">
        <f ca="1">PLANTILLA!Y9+PLANTILLA!H9+PLANTILLA!M9</f>
        <v>6.4852578030757826</v>
      </c>
      <c r="D8" s="93">
        <f t="shared" ca="1" si="1"/>
        <v>3.5569716761534185</v>
      </c>
      <c r="E8" s="68">
        <f ca="1">D8*PLANTILLA!O9</f>
        <v>3.5569716761534185</v>
      </c>
      <c r="F8" s="68">
        <f ca="1">D8*PLANTILLA!P9</f>
        <v>3.5569716761534185</v>
      </c>
      <c r="M8" t="str">
        <f>PLANTILLA!C9</f>
        <v>T. McPhail</v>
      </c>
      <c r="N8" s="47">
        <f>PLANTILLA!H9</f>
        <v>1.4852578030757824</v>
      </c>
      <c r="O8" s="68">
        <f>PLANTILLA!Z9</f>
        <v>9</v>
      </c>
      <c r="P8" s="68">
        <f>PLANTILLA!AA9</f>
        <v>17</v>
      </c>
      <c r="Q8" s="68">
        <f ca="1">PLANTILLA!AE9</f>
        <v>22.182419744797478</v>
      </c>
      <c r="R8" s="47">
        <f ca="1">PLANTILLA!AG9</f>
        <v>17.08525780307578</v>
      </c>
      <c r="U8" t="str">
        <f>M8</f>
        <v>T. McPhail</v>
      </c>
      <c r="V8" s="47">
        <f>N8</f>
        <v>1.4852578030757824</v>
      </c>
      <c r="W8" s="47">
        <f>O8</f>
        <v>9</v>
      </c>
      <c r="X8" s="47">
        <f>P8</f>
        <v>17</v>
      </c>
      <c r="Y8" s="98"/>
    </row>
    <row r="9" spans="1:25" x14ac:dyDescent="0.25">
      <c r="A9" t="e">
        <f>PLANTILLA!#REF!</f>
        <v>#REF!</v>
      </c>
      <c r="B9" s="68" t="e">
        <f>PLANTILLA!#REF!++PLANTILLA!#REF!+PLANTILLA!#REF!</f>
        <v>#REF!</v>
      </c>
      <c r="C9" s="68" t="e">
        <f>PLANTILLA!#REF!+PLANTILLA!#REF!+PLANTILLA!#REF!</f>
        <v>#REF!</v>
      </c>
      <c r="D9" s="93" t="e">
        <f t="shared" si="1"/>
        <v>#REF!</v>
      </c>
      <c r="E9" s="68" t="e">
        <f>D9*PLANTILLA!#REF!</f>
        <v>#REF!</v>
      </c>
      <c r="F9" s="68" t="e">
        <f>D9*PLANTILLA!#REF!</f>
        <v>#REF!</v>
      </c>
      <c r="M9" t="e">
        <f>PLANTILLA!#REF!</f>
        <v>#REF!</v>
      </c>
      <c r="N9" s="47" t="e">
        <f>PLANTILLA!#REF!</f>
        <v>#REF!</v>
      </c>
      <c r="O9" s="68" t="e">
        <f>PLANTILLA!#REF!</f>
        <v>#REF!</v>
      </c>
      <c r="P9" s="68" t="e">
        <f>PLANTILLA!#REF!</f>
        <v>#REF!</v>
      </c>
      <c r="Q9" s="68" t="e">
        <f>PLANTILLA!#REF!</f>
        <v>#REF!</v>
      </c>
      <c r="R9" s="47" t="e">
        <f>PLANTILLA!#REF!</f>
        <v>#REF!</v>
      </c>
      <c r="U9" t="str">
        <f>M10</f>
        <v>纪 (J.) 昌永 (Changyong)</v>
      </c>
      <c r="V9" s="47">
        <f>N10</f>
        <v>1.5681216787409085</v>
      </c>
      <c r="W9" s="47">
        <f>O10</f>
        <v>9</v>
      </c>
      <c r="X9" s="47">
        <f>P10</f>
        <v>19</v>
      </c>
      <c r="Y9" s="98"/>
    </row>
    <row r="10" spans="1:25" x14ac:dyDescent="0.25">
      <c r="A10" t="str">
        <f>PLANTILLA!C11</f>
        <v>纪 (J.) 昌永 (Changyong)</v>
      </c>
      <c r="B10" s="68">
        <f ca="1">PLANTILLA!V11++PLANTILLA!H11+PLANTILLA!M11</f>
        <v>15.511990027218609</v>
      </c>
      <c r="C10" s="68">
        <f ca="1">PLANTILLA!Y11+PLANTILLA!H11+PLANTILLA!M11</f>
        <v>5.5119900272186086</v>
      </c>
      <c r="D10" s="93">
        <f t="shared" ca="1" si="1"/>
        <v>3.3169962602069782</v>
      </c>
      <c r="E10" s="68">
        <f ca="1">D10*PLANTILLA!O11</f>
        <v>3.0709418085700046</v>
      </c>
      <c r="F10" s="68">
        <f ca="1">D10*PLANTILLA!P11</f>
        <v>3.3146261303865088</v>
      </c>
      <c r="M10" t="str">
        <f>PLANTILLA!C11</f>
        <v>纪 (J.) 昌永 (Changyong)</v>
      </c>
      <c r="N10" s="47">
        <f>PLANTILLA!H11</f>
        <v>1.5681216787409085</v>
      </c>
      <c r="O10" s="68">
        <f>PLANTILLA!Z11</f>
        <v>9</v>
      </c>
      <c r="P10" s="68">
        <f>PLANTILLA!AA11</f>
        <v>19</v>
      </c>
      <c r="Q10" s="68">
        <f ca="1">PLANTILLA!AE11</f>
        <v>21.610027970309773</v>
      </c>
      <c r="R10" s="47">
        <f ca="1">PLANTILLA!AG11</f>
        <v>17.138772453988008</v>
      </c>
      <c r="U10" t="str">
        <f>M4</f>
        <v>V. Gardner</v>
      </c>
      <c r="V10" s="47">
        <f>N4</f>
        <v>1.3885235802109668</v>
      </c>
      <c r="W10" s="47">
        <f>O4</f>
        <v>7</v>
      </c>
      <c r="X10" s="47">
        <f>P4</f>
        <v>19</v>
      </c>
      <c r="Y10" s="98"/>
    </row>
    <row r="11" spans="1:25" x14ac:dyDescent="0.25">
      <c r="A11" t="str">
        <f>PLANTILLA!C12</f>
        <v>Y. Galitsky</v>
      </c>
      <c r="B11" s="68">
        <f ca="1">PLANTILLA!V12++PLANTILLA!H12+PLANTILLA!M12</f>
        <v>16.391311745973429</v>
      </c>
      <c r="C11" s="68">
        <f ca="1">PLANTILLA!Y12+PLANTILLA!H12+PLANTILLA!M12</f>
        <v>7.3913117459734288</v>
      </c>
      <c r="D11" s="93">
        <f t="shared" ca="1" si="1"/>
        <v>3.8967419047400358</v>
      </c>
      <c r="E11" s="68">
        <f ca="1">D11*PLANTILLA!O12</f>
        <v>3.2933480003699449</v>
      </c>
      <c r="F11" s="68">
        <f ca="1">D11*PLANTILLA!P12</f>
        <v>3.604674323672775</v>
      </c>
      <c r="M11" t="str">
        <f>PLANTILLA!C12</f>
        <v>Y. Galitsky</v>
      </c>
      <c r="N11" s="47">
        <f>PLANTILLA!H12</f>
        <v>1.4852578030757824</v>
      </c>
      <c r="O11" s="68">
        <f>PLANTILLA!Z12</f>
        <v>9</v>
      </c>
      <c r="P11" s="68">
        <f>PLANTILLA!AA12</f>
        <v>18</v>
      </c>
      <c r="Q11" s="68">
        <f ca="1">PLANTILLA!AE12</f>
        <v>19.036929676766327</v>
      </c>
      <c r="R11" s="47">
        <f ca="1">PLANTILLA!AG12</f>
        <v>14.951887393838023</v>
      </c>
      <c r="U11" t="str">
        <f>M7</f>
        <v>P. Tuderek</v>
      </c>
      <c r="V11" s="47">
        <f>N7</f>
        <v>1.4389083280634998</v>
      </c>
      <c r="W11" s="47">
        <f>O7</f>
        <v>8</v>
      </c>
      <c r="X11" s="47">
        <f>P7</f>
        <v>20</v>
      </c>
      <c r="Y11" s="98"/>
    </row>
    <row r="12" spans="1:25" x14ac:dyDescent="0.25">
      <c r="A12" t="str">
        <f>PLANTILLA!C13</f>
        <v>S. Sawczyn</v>
      </c>
      <c r="B12" s="68">
        <f ca="1">PLANTILLA!V13++PLANTILLA!H13+PLANTILLA!M13</f>
        <v>13.669736796166239</v>
      </c>
      <c r="C12" s="68">
        <f ca="1">PLANTILLA!Y13+PLANTILLA!H13+PLANTILLA!M13</f>
        <v>7.669736796166239</v>
      </c>
      <c r="D12" s="93">
        <f t="shared" ca="1" si="1"/>
        <v>3.6261512985623394</v>
      </c>
      <c r="E12" s="68">
        <f ca="1">D12*PLANTILLA!O13</f>
        <v>3.3571637570253521</v>
      </c>
      <c r="F12" s="68">
        <f ca="1">D12*PLANTILLA!P13</f>
        <v>3.6235602647920087</v>
      </c>
      <c r="M12" t="str">
        <f>PLANTILLA!C13</f>
        <v>S. Sawczyn</v>
      </c>
      <c r="N12" s="47">
        <f>PLANTILLA!H13</f>
        <v>1.4389083280634998</v>
      </c>
      <c r="O12" s="68">
        <f>PLANTILLA!Z13</f>
        <v>9</v>
      </c>
      <c r="P12" s="68">
        <f>PLANTILLA!AA13</f>
        <v>19</v>
      </c>
      <c r="Q12" s="68">
        <f ca="1">PLANTILLA!AE13</f>
        <v>19.886725285711051</v>
      </c>
      <c r="R12" s="47">
        <f ca="1">PLANTILLA!AG13</f>
        <v>16.358997483581348</v>
      </c>
      <c r="V12" s="47"/>
      <c r="W12" s="93">
        <f>AVERAGE(W2:W11)</f>
        <v>8.5</v>
      </c>
      <c r="X12" s="93">
        <f>AVERAGE(X2:X11)</f>
        <v>18.8</v>
      </c>
      <c r="Y12" s="152">
        <f>1.66*(W12+1.5)+0.55*(X12+1.5)-7.6</f>
        <v>20.164999999999999</v>
      </c>
    </row>
    <row r="13" spans="1:25" x14ac:dyDescent="0.25">
      <c r="A13" t="str">
        <f>PLANTILLA!C10</f>
        <v>K. Teglborg</v>
      </c>
      <c r="B13" s="68">
        <f ca="1">PLANTILLA!V10++PLANTILLA!H10+PLANTILLA!M10</f>
        <v>13.492196187373928</v>
      </c>
      <c r="C13" s="68">
        <f ca="1">PLANTILLA!Y10+PLANTILLA!H10+PLANTILLA!M10</f>
        <v>4.4921961873739278</v>
      </c>
      <c r="D13" s="93">
        <f t="shared" ca="1" si="1"/>
        <v>2.8095735702652229</v>
      </c>
      <c r="E13" s="68">
        <f ca="1">D13*PLANTILLA!O10</f>
        <v>2.601159683141272</v>
      </c>
      <c r="F13" s="68">
        <f ca="1">D13*PLANTILLA!P10</f>
        <v>2.8075660147603898</v>
      </c>
      <c r="M13" t="str">
        <f>PLANTILLA!C10</f>
        <v>K. Teglborg</v>
      </c>
      <c r="N13" s="47">
        <f>PLANTILLA!H10</f>
        <v>1.5681216787409085</v>
      </c>
      <c r="O13" s="68">
        <f>PLANTILLA!Z10</f>
        <v>9</v>
      </c>
      <c r="P13" s="68">
        <f>PLANTILLA!AA10</f>
        <v>18</v>
      </c>
      <c r="Q13" s="68">
        <f ca="1">PLANTILLA!AE10</f>
        <v>21.060327483571321</v>
      </c>
      <c r="R13" s="47">
        <f ca="1">PLANTILLA!AG10</f>
        <v>16.472372849367336</v>
      </c>
    </row>
    <row r="14" spans="1:25" x14ac:dyDescent="0.25">
      <c r="A14" t="str">
        <f>PLANTILLA!C14</f>
        <v>S. Hovhannesyan</v>
      </c>
      <c r="B14" s="68">
        <f ca="1">PLANTILLA!V14++PLANTILLA!H14+PLANTILLA!M14</f>
        <v>15.017747517168406</v>
      </c>
      <c r="C14" s="68">
        <f ca="1">PLANTILLA!Y14+PLANTILLA!H14+PLANTILLA!M14</f>
        <v>4.0177475171684049</v>
      </c>
      <c r="D14" s="93">
        <f t="shared" ca="1" si="1"/>
        <v>2.8816553189381517</v>
      </c>
      <c r="E14" s="68">
        <f ca="1">D14*PLANTILLA!O14</f>
        <v>2.4354432534616395</v>
      </c>
      <c r="F14" s="68">
        <f ca="1">D14*PLANTILLA!P14</f>
        <v>2.6656702424186896</v>
      </c>
      <c r="M14" t="str">
        <f>PLANTILLA!C14</f>
        <v>S. Hovhannesyan</v>
      </c>
      <c r="N14" s="47">
        <f>PLANTILLA!H14</f>
        <v>1.4389083280634998</v>
      </c>
      <c r="O14" s="68">
        <f>PLANTILLA!Z14</f>
        <v>8</v>
      </c>
      <c r="P14" s="68">
        <f>PLANTILLA!AA14</f>
        <v>19</v>
      </c>
      <c r="Q14" s="68">
        <f ca="1">PLANTILLA!AE14</f>
        <v>17.401068585788117</v>
      </c>
      <c r="R14" s="47">
        <f ca="1">PLANTILLA!AG14</f>
        <v>14.974229698340489</v>
      </c>
    </row>
    <row r="15" spans="1:25" x14ac:dyDescent="0.25">
      <c r="A15" t="str">
        <f>PLANTILLA!C15</f>
        <v>M. Bondarewski</v>
      </c>
      <c r="B15" s="68">
        <f ca="1">PLANTILLA!V15++PLANTILLA!H15+PLANTILLA!M15</f>
        <v>10.52817071423765</v>
      </c>
      <c r="C15" s="68">
        <f ca="1">PLANTILLA!Y15+PLANTILLA!H15+PLANTILLA!M15</f>
        <v>6.5281707142376506</v>
      </c>
      <c r="D15" s="93">
        <f t="shared" ca="1" si="1"/>
        <v>2.9480640178391191</v>
      </c>
      <c r="E15" s="68">
        <f ca="1">D15*PLANTILLA!O15</f>
        <v>2.491568847888777</v>
      </c>
      <c r="F15" s="68">
        <f ca="1">D15*PLANTILLA!P15</f>
        <v>2.7271014938715115</v>
      </c>
      <c r="M15" t="str">
        <f>PLANTILLA!C15</f>
        <v>M. Bondarewski</v>
      </c>
      <c r="N15" s="47">
        <f>PLANTILLA!H15</f>
        <v>1.5281707142376506</v>
      </c>
      <c r="O15" s="68">
        <f>PLANTILLA!Z15</f>
        <v>9</v>
      </c>
      <c r="P15" s="68">
        <f>PLANTILLA!AA15</f>
        <v>20</v>
      </c>
      <c r="Q15" s="68">
        <f ca="1">PLANTILLA!AE15</f>
        <v>20.222223292878734</v>
      </c>
      <c r="R15" s="47">
        <f ca="1">PLANTILLA!AG15</f>
        <v>16.25077028978421</v>
      </c>
    </row>
    <row r="16" spans="1:25" x14ac:dyDescent="0.25">
      <c r="A16" t="str">
        <f>PLANTILLA!C16</f>
        <v>I. Stone</v>
      </c>
      <c r="B16" s="68">
        <f ca="1">PLANTILLA!V16++PLANTILLA!H16+PLANTILLA!M16</f>
        <v>11.485257803075783</v>
      </c>
      <c r="C16" s="68">
        <f ca="1">PLANTILLA!Y16+PLANTILLA!H16+PLANTILLA!M16</f>
        <v>8.4852578030757826</v>
      </c>
      <c r="D16" s="93">
        <f t="shared" ca="1" si="1"/>
        <v>3.5569716761534185</v>
      </c>
      <c r="E16" s="68">
        <f ca="1">D16*PLANTILLA!O16</f>
        <v>3.2931158721044973</v>
      </c>
      <c r="F16" s="68">
        <f ca="1">D16*PLANTILLA!P16</f>
        <v>3.554430074059574</v>
      </c>
      <c r="M16" t="str">
        <f>PLANTILLA!C16</f>
        <v>I. Stone</v>
      </c>
      <c r="N16" s="47">
        <f>PLANTILLA!H16</f>
        <v>1.4852578030757824</v>
      </c>
      <c r="O16" s="68">
        <f>PLANTILLA!Z16</f>
        <v>10</v>
      </c>
      <c r="P16" s="68">
        <f>PLANTILLA!AA16</f>
        <v>19</v>
      </c>
      <c r="Q16" s="68">
        <f ca="1">PLANTILLA!AE16</f>
        <v>23.092193536697255</v>
      </c>
      <c r="R16" s="47">
        <f ca="1">PLANTILLA!AG16</f>
        <v>17.391769253496719</v>
      </c>
    </row>
    <row r="17" spans="1:18" x14ac:dyDescent="0.25">
      <c r="A17" t="str">
        <f>PLANTILLA!C17</f>
        <v>I. Vanags</v>
      </c>
      <c r="B17" s="68">
        <f ca="1">PLANTILLA!V17++PLANTILLA!H17+PLANTILLA!M17</f>
        <v>12.4389083280635</v>
      </c>
      <c r="C17" s="68">
        <f ca="1">PLANTILLA!Y17+PLANTILLA!H17+PLANTILLA!M17</f>
        <v>5.4389083280634996</v>
      </c>
      <c r="D17" s="93">
        <f t="shared" ca="1" si="1"/>
        <v>2.9145906230238126</v>
      </c>
      <c r="E17" s="68">
        <f ca="1">D17*PLANTILLA!O17</f>
        <v>2.6983865814040491</v>
      </c>
      <c r="F17" s="68">
        <f ca="1">D17*PLANTILLA!P17</f>
        <v>2.9125080285292206</v>
      </c>
      <c r="M17" t="str">
        <f>PLANTILLA!C17</f>
        <v>I. Vanags</v>
      </c>
      <c r="N17" s="47">
        <f>PLANTILLA!H17</f>
        <v>1.4389083280634998</v>
      </c>
      <c r="O17" s="68">
        <f>PLANTILLA!Z17</f>
        <v>8</v>
      </c>
      <c r="P17" s="68">
        <f>PLANTILLA!AA17</f>
        <v>19</v>
      </c>
      <c r="Q17" s="68">
        <f ca="1">PLANTILLA!AE17</f>
        <v>19.923636886419978</v>
      </c>
      <c r="R17" s="47">
        <f ca="1">PLANTILLA!AG17</f>
        <v>16.793365918052913</v>
      </c>
    </row>
    <row r="18" spans="1:18" x14ac:dyDescent="0.25">
      <c r="B18" s="68"/>
      <c r="C18" s="68"/>
      <c r="D18" s="93"/>
      <c r="E18" s="68"/>
      <c r="F18" s="68"/>
      <c r="N18" s="47"/>
      <c r="O18" s="68"/>
      <c r="P18" s="68"/>
      <c r="Q18" s="68"/>
      <c r="R18" s="47"/>
    </row>
    <row r="19" spans="1:18" x14ac:dyDescent="0.25">
      <c r="B19" s="68"/>
      <c r="C19" s="68"/>
      <c r="D19" s="93"/>
      <c r="E19" s="68"/>
      <c r="F19" s="68"/>
      <c r="N19" s="47"/>
      <c r="O19" s="68"/>
      <c r="P19" s="68"/>
      <c r="Q19" s="68"/>
      <c r="R19" s="47"/>
    </row>
    <row r="20" spans="1:18" x14ac:dyDescent="0.25">
      <c r="B20" s="68"/>
      <c r="C20" s="68"/>
      <c r="D20" s="93"/>
      <c r="E20" s="68"/>
      <c r="F20" s="68"/>
      <c r="N20" s="47"/>
      <c r="O20" s="68"/>
      <c r="P20" s="68"/>
      <c r="Q20" s="68"/>
      <c r="R20" s="47"/>
    </row>
    <row r="21" spans="1:18" x14ac:dyDescent="0.25">
      <c r="B21" s="68"/>
      <c r="C21" s="68"/>
      <c r="D21" s="93"/>
      <c r="E21" s="68"/>
      <c r="F21" s="68"/>
      <c r="N21" s="47"/>
      <c r="O21" s="68"/>
      <c r="P21" s="68"/>
      <c r="Q21" s="68"/>
      <c r="R21" s="47"/>
    </row>
    <row r="22" spans="1:18" x14ac:dyDescent="0.25">
      <c r="B22" s="68"/>
      <c r="C22" s="68"/>
      <c r="D22" s="93"/>
      <c r="E22" s="68"/>
      <c r="F22" s="68"/>
      <c r="N22" s="47"/>
      <c r="O22" s="68"/>
      <c r="P22" s="68"/>
      <c r="Q22" s="68"/>
      <c r="R22" s="47"/>
    </row>
    <row r="23" spans="1:18" x14ac:dyDescent="0.25">
      <c r="B23" s="68"/>
      <c r="C23" s="68"/>
      <c r="D23" s="93"/>
      <c r="E23" s="68"/>
      <c r="F23" s="68"/>
      <c r="N23" s="47"/>
      <c r="O23" s="68"/>
      <c r="P23" s="68"/>
      <c r="Q23" s="68"/>
      <c r="R23" s="47"/>
    </row>
    <row r="24" spans="1:18" x14ac:dyDescent="0.25">
      <c r="B24" s="68"/>
      <c r="C24" s="68"/>
      <c r="D24" s="93"/>
      <c r="E24" s="68"/>
      <c r="F24" s="68"/>
      <c r="Q24" s="68"/>
    </row>
    <row r="25" spans="1:18" ht="18.75" x14ac:dyDescent="0.3">
      <c r="A25" s="446" t="s">
        <v>261</v>
      </c>
      <c r="B25" s="446"/>
      <c r="C25" s="446"/>
      <c r="D25" s="446"/>
      <c r="E25" s="446"/>
      <c r="F25" s="446"/>
      <c r="G25" s="446"/>
      <c r="H25" s="446"/>
      <c r="I25" s="446"/>
      <c r="J25" s="446"/>
    </row>
    <row r="26" spans="1:18" x14ac:dyDescent="0.25">
      <c r="A26" s="97" t="s">
        <v>262</v>
      </c>
      <c r="B26" s="97" t="str">
        <f>D1</f>
        <v>N_CA</v>
      </c>
      <c r="C26" s="88" t="s">
        <v>258</v>
      </c>
      <c r="D26" s="88" t="s">
        <v>259</v>
      </c>
      <c r="G26" s="97" t="s">
        <v>262</v>
      </c>
      <c r="H26" s="97" t="str">
        <f>B26</f>
        <v>N_CA</v>
      </c>
      <c r="I26" s="88" t="s">
        <v>258</v>
      </c>
      <c r="J26" s="88" t="s">
        <v>259</v>
      </c>
    </row>
    <row r="27" spans="1:18" x14ac:dyDescent="0.25">
      <c r="A27" s="47" t="str">
        <f>A5</f>
        <v>A. Grimaud</v>
      </c>
      <c r="B27" s="47">
        <f ca="1">D5</f>
        <v>3.4319716761534185</v>
      </c>
      <c r="C27" s="47">
        <f ca="1">E5</f>
        <v>3.1773883596329284</v>
      </c>
      <c r="D27" s="47">
        <f ca="1">F5</f>
        <v>3.429519391684412</v>
      </c>
      <c r="G27" s="47" t="str">
        <f>A27</f>
        <v>A. Grimaud</v>
      </c>
      <c r="H27" s="47">
        <f ca="1">B27</f>
        <v>3.4319716761534185</v>
      </c>
      <c r="I27" s="47">
        <f t="shared" ref="I27:J30" ca="1" si="3">C27</f>
        <v>3.1773883596329284</v>
      </c>
      <c r="J27" s="47">
        <f t="shared" ca="1" si="3"/>
        <v>3.429519391684412</v>
      </c>
    </row>
    <row r="28" spans="1:18" x14ac:dyDescent="0.25">
      <c r="A28" s="47" t="str">
        <f>A6</f>
        <v>C. Mosser</v>
      </c>
      <c r="B28" s="47">
        <f t="shared" ref="B28" ca="1" si="4">D6</f>
        <v>2.9667940727265449</v>
      </c>
      <c r="C28" s="47">
        <f t="shared" ref="C28:D28" ca="1" si="5">E6</f>
        <v>2.242685516449975</v>
      </c>
      <c r="D28" s="47">
        <f t="shared" ca="1" si="5"/>
        <v>2.5048899798801298</v>
      </c>
      <c r="G28" s="47" t="str">
        <f>A28</f>
        <v>C. Mosser</v>
      </c>
      <c r="H28" s="47">
        <f ca="1">B28</f>
        <v>2.9667940727265449</v>
      </c>
      <c r="I28" s="47">
        <f t="shared" ca="1" si="3"/>
        <v>2.242685516449975</v>
      </c>
      <c r="J28" s="47">
        <f t="shared" ca="1" si="3"/>
        <v>2.5048899798801298</v>
      </c>
    </row>
    <row r="29" spans="1:18" x14ac:dyDescent="0.25">
      <c r="A29" t="e">
        <f>A9</f>
        <v>#REF!</v>
      </c>
      <c r="B29" s="47" t="e">
        <f t="shared" ref="B29:D30" si="6">D9</f>
        <v>#REF!</v>
      </c>
      <c r="C29" s="47" t="e">
        <f t="shared" si="6"/>
        <v>#REF!</v>
      </c>
      <c r="D29" s="47" t="e">
        <f t="shared" si="6"/>
        <v>#REF!</v>
      </c>
      <c r="G29" s="47" t="e">
        <f>A29</f>
        <v>#REF!</v>
      </c>
      <c r="H29" s="47" t="e">
        <f>B29</f>
        <v>#REF!</v>
      </c>
      <c r="I29" s="47" t="e">
        <f t="shared" si="3"/>
        <v>#REF!</v>
      </c>
      <c r="J29" s="47" t="e">
        <f t="shared" si="3"/>
        <v>#REF!</v>
      </c>
    </row>
    <row r="30" spans="1:18" x14ac:dyDescent="0.25">
      <c r="A30" s="47" t="str">
        <f>A10</f>
        <v>纪 (J.) 昌永 (Changyong)</v>
      </c>
      <c r="B30" s="47">
        <f t="shared" ca="1" si="6"/>
        <v>3.3169962602069782</v>
      </c>
      <c r="C30" s="47">
        <f t="shared" ca="1" si="6"/>
        <v>3.0709418085700046</v>
      </c>
      <c r="D30" s="47">
        <f t="shared" ca="1" si="6"/>
        <v>3.3146261303865088</v>
      </c>
      <c r="G30" s="47" t="str">
        <f>A30</f>
        <v>纪 (J.) 昌永 (Changyong)</v>
      </c>
      <c r="H30" s="47">
        <f ca="1">B30</f>
        <v>3.3169962602069782</v>
      </c>
      <c r="I30" s="47">
        <f t="shared" ca="1" si="3"/>
        <v>3.0709418085700046</v>
      </c>
      <c r="J30" s="47">
        <f t="shared" ca="1" si="3"/>
        <v>3.3146261303865088</v>
      </c>
    </row>
    <row r="31" spans="1:18" x14ac:dyDescent="0.25">
      <c r="A31" t="str">
        <f>A8</f>
        <v>T. McPhail</v>
      </c>
      <c r="B31" s="47">
        <f ca="1">D8</f>
        <v>3.5569716761534185</v>
      </c>
      <c r="C31" s="47">
        <f ca="1">E8</f>
        <v>3.5569716761534185</v>
      </c>
      <c r="D31" s="47">
        <f ca="1">F8</f>
        <v>3.5569716761534185</v>
      </c>
      <c r="H31" s="47"/>
      <c r="I31" s="68"/>
      <c r="J31" s="68"/>
    </row>
    <row r="32" spans="1:18" x14ac:dyDescent="0.25">
      <c r="B32" s="107" t="e">
        <f ca="1">SUM(B27:B31)</f>
        <v>#REF!</v>
      </c>
      <c r="C32" s="177" t="e">
        <f ca="1">SUM(C27:C31)</f>
        <v>#REF!</v>
      </c>
      <c r="D32" s="177" t="e">
        <f ca="1">SUM(D27:D31)</f>
        <v>#REF!</v>
      </c>
      <c r="E32" s="107"/>
      <c r="G32" s="107"/>
      <c r="H32" s="107" t="e">
        <f ca="1">SUM(H27:H31)</f>
        <v>#REF!</v>
      </c>
      <c r="I32" s="177" t="e">
        <f ca="1">SUM(I27:I31)</f>
        <v>#REF!</v>
      </c>
      <c r="J32" s="177" t="e">
        <f ca="1">SUM(J27:J31)</f>
        <v>#REF!</v>
      </c>
    </row>
  </sheetData>
  <mergeCells count="2">
    <mergeCell ref="U1:Y1"/>
    <mergeCell ref="A25:J25"/>
  </mergeCells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3">
    <cfRule type="cellIs" dxfId="36" priority="1" operator="lessThan">
      <formula>12</formula>
    </cfRule>
    <cfRule type="cellIs" dxfId="35" priority="2" operator="between">
      <formula>12</formula>
      <formula>17</formula>
    </cfRule>
    <cfRule type="cellIs" dxfId="34" priority="3" operator="greaterThan">
      <formula>17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B77F-4BDD-44EA-B10C-1675F606743C}">
  <dimension ref="A1:D18"/>
  <sheetViews>
    <sheetView workbookViewId="0">
      <selection activeCell="D16" sqref="D16"/>
    </sheetView>
  </sheetViews>
  <sheetFormatPr baseColWidth="10" defaultRowHeight="15" x14ac:dyDescent="0.25"/>
  <cols>
    <col min="1" max="1" width="8.7109375" style="3" bestFit="1" customWidth="1"/>
    <col min="2" max="2" width="44.140625" bestFit="1" customWidth="1"/>
    <col min="3" max="3" width="20.5703125" bestFit="1" customWidth="1"/>
    <col min="4" max="4" width="19.85546875" bestFit="1" customWidth="1"/>
  </cols>
  <sheetData>
    <row r="1" spans="1:4" s="3" customFormat="1" x14ac:dyDescent="0.25">
      <c r="B1" s="3" t="s">
        <v>595</v>
      </c>
      <c r="C1" s="3" t="s">
        <v>596</v>
      </c>
      <c r="D1" s="3" t="s">
        <v>597</v>
      </c>
    </row>
    <row r="2" spans="1:4" x14ac:dyDescent="0.25">
      <c r="A2" s="3" t="s">
        <v>598</v>
      </c>
      <c r="B2" t="s">
        <v>603</v>
      </c>
      <c r="C2" s="396">
        <f>14*91000</f>
        <v>1274000</v>
      </c>
      <c r="D2" s="396">
        <f>14*91000</f>
        <v>1274000</v>
      </c>
    </row>
    <row r="3" spans="1:4" x14ac:dyDescent="0.25">
      <c r="A3" s="3" t="s">
        <v>599</v>
      </c>
      <c r="B3" t="s">
        <v>608</v>
      </c>
      <c r="C3" s="396">
        <f>273000</f>
        <v>273000</v>
      </c>
      <c r="D3" s="396">
        <f>4*273000</f>
        <v>1092000</v>
      </c>
    </row>
    <row r="4" spans="1:4" x14ac:dyDescent="0.25">
      <c r="A4" s="3" t="s">
        <v>600</v>
      </c>
      <c r="B4" t="s">
        <v>604</v>
      </c>
      <c r="C4">
        <f>12*27000</f>
        <v>324000</v>
      </c>
      <c r="D4">
        <f>20*27000</f>
        <v>540000</v>
      </c>
    </row>
    <row r="5" spans="1:4" x14ac:dyDescent="0.25">
      <c r="B5" t="s">
        <v>605</v>
      </c>
      <c r="C5">
        <v>0</v>
      </c>
      <c r="D5">
        <v>820000</v>
      </c>
    </row>
    <row r="6" spans="1:4" x14ac:dyDescent="0.25">
      <c r="A6" s="3" t="s">
        <v>601</v>
      </c>
      <c r="B6" t="s">
        <v>606</v>
      </c>
      <c r="C6">
        <f>8*53000</f>
        <v>424000</v>
      </c>
      <c r="D6">
        <f>12*53000</f>
        <v>636000</v>
      </c>
    </row>
    <row r="7" spans="1:4" x14ac:dyDescent="0.25">
      <c r="B7" t="s">
        <v>607</v>
      </c>
      <c r="C7">
        <f>5*99000</f>
        <v>495000</v>
      </c>
      <c r="D7">
        <f>7*99000</f>
        <v>693000</v>
      </c>
    </row>
    <row r="8" spans="1:4" x14ac:dyDescent="0.25">
      <c r="A8" s="3" t="s">
        <v>602</v>
      </c>
      <c r="C8">
        <f>7*49000</f>
        <v>343000</v>
      </c>
      <c r="D8">
        <f>10*49000</f>
        <v>490000</v>
      </c>
    </row>
    <row r="9" spans="1:4" x14ac:dyDescent="0.25">
      <c r="C9">
        <f>39000*3</f>
        <v>117000</v>
      </c>
      <c r="D9">
        <f>5*39000</f>
        <v>195000</v>
      </c>
    </row>
    <row r="13" spans="1:4" x14ac:dyDescent="0.25">
      <c r="A13" s="2" t="s">
        <v>718</v>
      </c>
      <c r="B13" s="56"/>
      <c r="C13" s="2" t="s">
        <v>596</v>
      </c>
      <c r="D13" s="2" t="s">
        <v>597</v>
      </c>
    </row>
    <row r="14" spans="1:4" x14ac:dyDescent="0.25">
      <c r="A14" s="2" t="s">
        <v>598</v>
      </c>
      <c r="B14" s="56" t="s">
        <v>719</v>
      </c>
      <c r="C14" s="56">
        <f>134*14</f>
        <v>1876</v>
      </c>
      <c r="D14" s="56">
        <f>C14</f>
        <v>1876</v>
      </c>
    </row>
    <row r="15" spans="1:4" x14ac:dyDescent="0.25">
      <c r="A15" s="3" t="s">
        <v>599</v>
      </c>
      <c r="B15" s="56" t="s">
        <v>720</v>
      </c>
      <c r="C15" s="56">
        <v>335.5</v>
      </c>
      <c r="D15" s="56">
        <f>335.5*2</f>
        <v>671</v>
      </c>
    </row>
    <row r="16" spans="1:4" x14ac:dyDescent="0.25">
      <c r="A16" s="3" t="s">
        <v>600</v>
      </c>
      <c r="B16" t="s">
        <v>725</v>
      </c>
      <c r="C16" s="56">
        <f>15*18.5 + 201*2</f>
        <v>679.5</v>
      </c>
      <c r="D16" s="56">
        <f>25*18.5 + 201*5</f>
        <v>1467.5</v>
      </c>
    </row>
    <row r="17" spans="1:4" x14ac:dyDescent="0.25">
      <c r="A17" s="3" t="s">
        <v>721</v>
      </c>
      <c r="B17" s="56" t="s">
        <v>722</v>
      </c>
      <c r="C17">
        <f>62.5*4</f>
        <v>250</v>
      </c>
      <c r="D17">
        <f>1290+62.5*5</f>
        <v>1602.5</v>
      </c>
    </row>
    <row r="18" spans="1:4" x14ac:dyDescent="0.25">
      <c r="A18" s="3" t="s">
        <v>723</v>
      </c>
      <c r="B18" s="56" t="s">
        <v>724</v>
      </c>
      <c r="C18">
        <f>112.5*5 + 117*4</f>
        <v>1030.5</v>
      </c>
      <c r="D18">
        <f>112.5*6 + 117*5</f>
        <v>1260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297">
        <f>C2-G2</f>
        <v>0</v>
      </c>
      <c r="J1" s="287"/>
      <c r="K1" s="287"/>
      <c r="L1" s="288"/>
      <c r="M1" s="289">
        <v>44543</v>
      </c>
      <c r="N1" s="289">
        <f t="shared" ref="N1:AB1" si="0">M1+7</f>
        <v>44550</v>
      </c>
      <c r="O1" s="289">
        <f t="shared" si="0"/>
        <v>44557</v>
      </c>
      <c r="P1" s="289">
        <f t="shared" si="0"/>
        <v>44564</v>
      </c>
      <c r="Q1" s="289">
        <f t="shared" si="0"/>
        <v>44571</v>
      </c>
      <c r="R1" s="289">
        <f t="shared" si="0"/>
        <v>44578</v>
      </c>
      <c r="S1" s="289">
        <f t="shared" si="0"/>
        <v>44585</v>
      </c>
      <c r="T1" s="289">
        <f t="shared" si="0"/>
        <v>44592</v>
      </c>
      <c r="U1" s="289">
        <f t="shared" si="0"/>
        <v>44599</v>
      </c>
      <c r="V1" s="289">
        <f t="shared" si="0"/>
        <v>44606</v>
      </c>
      <c r="W1" s="289">
        <f t="shared" si="0"/>
        <v>44613</v>
      </c>
      <c r="X1" s="289">
        <f t="shared" si="0"/>
        <v>44620</v>
      </c>
      <c r="Y1" s="289">
        <f t="shared" si="0"/>
        <v>44627</v>
      </c>
      <c r="Z1" s="289">
        <f t="shared" si="0"/>
        <v>44634</v>
      </c>
      <c r="AA1" s="289">
        <f t="shared" si="0"/>
        <v>44641</v>
      </c>
      <c r="AB1" s="289">
        <f t="shared" si="0"/>
        <v>44648</v>
      </c>
      <c r="AC1" s="238"/>
    </row>
    <row r="2" spans="2:32" ht="21" x14ac:dyDescent="0.35">
      <c r="B2" s="290" t="s">
        <v>194</v>
      </c>
      <c r="C2" s="291">
        <f>C3+C7+C10+C14+C25</f>
        <v>59198412</v>
      </c>
      <c r="D2" s="292">
        <f>C2/C2</f>
        <v>1</v>
      </c>
      <c r="E2" s="293"/>
      <c r="F2" s="294" t="s">
        <v>195</v>
      </c>
      <c r="G2" s="295">
        <f>G3+G7+G14</f>
        <v>59198412</v>
      </c>
      <c r="H2" s="296">
        <f>G2/G2</f>
        <v>1</v>
      </c>
      <c r="J2" s="388">
        <f>C2-G2</f>
        <v>0</v>
      </c>
      <c r="K2" s="269"/>
      <c r="L2" s="269" t="s">
        <v>474</v>
      </c>
      <c r="M2" s="335" t="s">
        <v>179</v>
      </c>
      <c r="N2" s="335" t="s">
        <v>180</v>
      </c>
      <c r="O2" s="335" t="s">
        <v>181</v>
      </c>
      <c r="P2" s="335" t="s">
        <v>182</v>
      </c>
      <c r="Q2" s="335" t="s">
        <v>183</v>
      </c>
      <c r="R2" s="335" t="s">
        <v>184</v>
      </c>
      <c r="S2" s="335" t="s">
        <v>185</v>
      </c>
      <c r="T2" s="335" t="s">
        <v>186</v>
      </c>
      <c r="U2" s="335" t="s">
        <v>187</v>
      </c>
      <c r="V2" s="335" t="s">
        <v>188</v>
      </c>
      <c r="W2" s="335" t="s">
        <v>189</v>
      </c>
      <c r="X2" s="335" t="s">
        <v>190</v>
      </c>
      <c r="Y2" s="335" t="s">
        <v>191</v>
      </c>
      <c r="Z2" s="335" t="s">
        <v>192</v>
      </c>
      <c r="AA2" s="335" t="s">
        <v>193</v>
      </c>
      <c r="AB2" s="335" t="s">
        <v>178</v>
      </c>
      <c r="AC2" s="238"/>
      <c r="AD2" s="335" t="s">
        <v>204</v>
      </c>
    </row>
    <row r="3" spans="2:32" ht="21" x14ac:dyDescent="0.35">
      <c r="B3" s="299" t="s">
        <v>197</v>
      </c>
      <c r="C3" s="300">
        <f>C4+C5+C6</f>
        <v>8900445</v>
      </c>
      <c r="D3" s="301">
        <f>C3/C2</f>
        <v>0.15034938775046872</v>
      </c>
      <c r="E3" s="302"/>
      <c r="F3" s="237" t="s">
        <v>198</v>
      </c>
      <c r="G3" s="300">
        <f>G4+G5</f>
        <v>72671004</v>
      </c>
      <c r="H3" s="301">
        <f>G3/$G$2</f>
        <v>1.2275836723458056</v>
      </c>
      <c r="J3" s="240"/>
      <c r="K3" s="298"/>
      <c r="L3" s="269" t="s">
        <v>196</v>
      </c>
      <c r="M3" s="336">
        <v>3004</v>
      </c>
      <c r="N3" s="336">
        <f t="shared" ref="N3:AB3" si="1">M3+M11/30</f>
        <v>3005</v>
      </c>
      <c r="O3" s="336">
        <f t="shared" si="1"/>
        <v>3006</v>
      </c>
      <c r="P3" s="336">
        <f t="shared" si="1"/>
        <v>3007</v>
      </c>
      <c r="Q3" s="336">
        <f t="shared" si="1"/>
        <v>3008</v>
      </c>
      <c r="R3" s="336">
        <f t="shared" si="1"/>
        <v>3009</v>
      </c>
      <c r="S3" s="336">
        <f t="shared" si="1"/>
        <v>3010</v>
      </c>
      <c r="T3" s="336">
        <f t="shared" si="1"/>
        <v>3011</v>
      </c>
      <c r="U3" s="336">
        <f t="shared" si="1"/>
        <v>3012</v>
      </c>
      <c r="V3" s="336">
        <f t="shared" si="1"/>
        <v>3013</v>
      </c>
      <c r="W3" s="336">
        <f t="shared" si="1"/>
        <v>3014</v>
      </c>
      <c r="X3" s="336">
        <f t="shared" si="1"/>
        <v>3015</v>
      </c>
      <c r="Y3" s="336">
        <f t="shared" si="1"/>
        <v>3016</v>
      </c>
      <c r="Z3" s="336">
        <f t="shared" si="1"/>
        <v>3017</v>
      </c>
      <c r="AA3" s="336">
        <f t="shared" si="1"/>
        <v>3018</v>
      </c>
      <c r="AB3" s="336">
        <f t="shared" si="1"/>
        <v>3019</v>
      </c>
      <c r="AC3" s="238"/>
      <c r="AD3" t="s">
        <v>579</v>
      </c>
      <c r="AE3" t="s">
        <v>580</v>
      </c>
      <c r="AF3">
        <f>62000*14</f>
        <v>868000</v>
      </c>
    </row>
    <row r="4" spans="2:32" ht="18.75" x14ac:dyDescent="0.3">
      <c r="B4" s="304" t="s">
        <v>200</v>
      </c>
      <c r="C4" s="305">
        <f>(45*35404)+(75*13589)+(90*11811)+(300*1417)+L17</f>
        <v>4100445</v>
      </c>
      <c r="D4" s="306">
        <f>C4/C2</f>
        <v>6.926613166582915E-2</v>
      </c>
      <c r="E4" s="307"/>
      <c r="F4" s="308" t="s">
        <v>201</v>
      </c>
      <c r="G4" s="305">
        <v>300000</v>
      </c>
      <c r="H4" s="306">
        <f>G4/$G$2</f>
        <v>5.0677035052899728E-3</v>
      </c>
      <c r="I4" s="309"/>
      <c r="J4" s="337" t="s">
        <v>458</v>
      </c>
      <c r="K4" s="337"/>
      <c r="L4" s="338">
        <v>0</v>
      </c>
      <c r="M4" s="339">
        <f>L4</f>
        <v>0</v>
      </c>
      <c r="N4" s="339">
        <f>M26</f>
        <v>0</v>
      </c>
      <c r="O4" s="339">
        <f t="shared" ref="O4:AB4" si="2">N26</f>
        <v>0</v>
      </c>
      <c r="P4" s="339">
        <f t="shared" si="2"/>
        <v>0</v>
      </c>
      <c r="Q4" s="339">
        <f t="shared" si="2"/>
        <v>0</v>
      </c>
      <c r="R4" s="339">
        <f t="shared" si="2"/>
        <v>0</v>
      </c>
      <c r="S4" s="339">
        <f t="shared" si="2"/>
        <v>0</v>
      </c>
      <c r="T4" s="339">
        <f t="shared" si="2"/>
        <v>0</v>
      </c>
      <c r="U4" s="339">
        <f t="shared" si="2"/>
        <v>0</v>
      </c>
      <c r="V4" s="339">
        <f t="shared" si="2"/>
        <v>0</v>
      </c>
      <c r="W4" s="339">
        <f t="shared" si="2"/>
        <v>0</v>
      </c>
      <c r="X4" s="339">
        <f t="shared" si="2"/>
        <v>0</v>
      </c>
      <c r="Y4" s="339">
        <f t="shared" si="2"/>
        <v>0</v>
      </c>
      <c r="Z4" s="339">
        <f t="shared" si="2"/>
        <v>0</v>
      </c>
      <c r="AA4" s="339">
        <f t="shared" si="2"/>
        <v>0</v>
      </c>
      <c r="AB4" s="339">
        <f t="shared" si="2"/>
        <v>0</v>
      </c>
      <c r="AC4" s="303"/>
      <c r="AD4" t="s">
        <v>581</v>
      </c>
      <c r="AE4" t="s">
        <v>582</v>
      </c>
      <c r="AF4">
        <f>17*32500</f>
        <v>552500</v>
      </c>
    </row>
    <row r="5" spans="2:32" ht="18.75" x14ac:dyDescent="0.3">
      <c r="B5" s="304" t="s">
        <v>203</v>
      </c>
      <c r="C5" s="305">
        <f>4800000+L21</f>
        <v>4800000</v>
      </c>
      <c r="D5" s="306">
        <f>C5/C2</f>
        <v>8.1083256084639566E-2</v>
      </c>
      <c r="E5" s="307"/>
      <c r="F5" s="308" t="s">
        <v>459</v>
      </c>
      <c r="G5" s="305">
        <v>72371004</v>
      </c>
      <c r="H5" s="306">
        <f>G5/$G$2</f>
        <v>1.2225159688405156</v>
      </c>
      <c r="I5" s="309"/>
      <c r="J5" s="340" t="s">
        <v>199</v>
      </c>
      <c r="K5" s="340"/>
      <c r="L5" s="341">
        <v>8247419</v>
      </c>
      <c r="M5" s="342">
        <f>L5</f>
        <v>8247419</v>
      </c>
      <c r="N5" s="342">
        <f t="shared" ref="N5:AB5" si="3">M27</f>
        <v>7929295</v>
      </c>
      <c r="O5" s="342">
        <f t="shared" si="3"/>
        <v>7637901</v>
      </c>
      <c r="P5" s="342">
        <f t="shared" si="3"/>
        <v>7890541</v>
      </c>
      <c r="Q5" s="342">
        <f t="shared" si="3"/>
        <v>8250883</v>
      </c>
      <c r="R5" s="342">
        <f t="shared" si="3"/>
        <v>8060199</v>
      </c>
      <c r="S5" s="342">
        <f t="shared" si="3"/>
        <v>8077029</v>
      </c>
      <c r="T5" s="342">
        <f t="shared" si="3"/>
        <v>7739255</v>
      </c>
      <c r="U5" s="342">
        <f t="shared" si="3"/>
        <v>8061481</v>
      </c>
      <c r="V5" s="342">
        <f t="shared" si="3"/>
        <v>7723707</v>
      </c>
      <c r="W5" s="342">
        <f t="shared" si="3"/>
        <v>8045933</v>
      </c>
      <c r="X5" s="342">
        <f t="shared" si="3"/>
        <v>7708159</v>
      </c>
      <c r="Y5" s="342">
        <f t="shared" si="3"/>
        <v>8030385</v>
      </c>
      <c r="Z5" s="342">
        <f t="shared" si="3"/>
        <v>7692611</v>
      </c>
      <c r="AA5" s="342">
        <f t="shared" si="3"/>
        <v>8014837</v>
      </c>
      <c r="AB5" s="342">
        <f t="shared" si="3"/>
        <v>7692063</v>
      </c>
      <c r="AC5" s="303"/>
      <c r="AD5" t="s">
        <v>583</v>
      </c>
      <c r="AE5" t="s">
        <v>584</v>
      </c>
      <c r="AF5">
        <v>220000</v>
      </c>
    </row>
    <row r="6" spans="2:32" ht="21" x14ac:dyDescent="0.35">
      <c r="B6" s="304" t="s">
        <v>460</v>
      </c>
      <c r="C6" s="305">
        <v>0</v>
      </c>
      <c r="D6" s="306">
        <f>C6/C2</f>
        <v>0</v>
      </c>
      <c r="E6" s="302"/>
      <c r="F6" s="237"/>
      <c r="G6" s="300"/>
      <c r="H6" s="301"/>
      <c r="J6" s="310" t="s">
        <v>202</v>
      </c>
      <c r="K6" s="310" t="s">
        <v>202</v>
      </c>
      <c r="L6" s="343">
        <f t="shared" ref="L6:L25" si="4">SUM(M6:AB6)</f>
        <v>4766254</v>
      </c>
      <c r="M6" s="311">
        <v>34650</v>
      </c>
      <c r="N6" s="311">
        <v>61380</v>
      </c>
      <c r="O6" s="311">
        <f>519614+85800</f>
        <v>605414</v>
      </c>
      <c r="P6" s="311">
        <v>713116</v>
      </c>
      <c r="Q6" s="311">
        <v>162090</v>
      </c>
      <c r="R6" s="383">
        <v>369604</v>
      </c>
      <c r="S6" s="383">
        <v>15000</v>
      </c>
      <c r="T6" s="383">
        <f>65000+610000</f>
        <v>675000</v>
      </c>
      <c r="U6" s="383">
        <v>15000</v>
      </c>
      <c r="V6" s="383">
        <f>65000+610000</f>
        <v>675000</v>
      </c>
      <c r="W6" s="383">
        <v>15000</v>
      </c>
      <c r="X6" s="383">
        <f>65000+610000</f>
        <v>675000</v>
      </c>
      <c r="Y6" s="383">
        <v>15000</v>
      </c>
      <c r="Z6" s="383">
        <f>65000+610000</f>
        <v>675000</v>
      </c>
      <c r="AA6" s="383">
        <v>30000</v>
      </c>
      <c r="AB6" s="383">
        <v>30000</v>
      </c>
      <c r="AC6" s="238"/>
      <c r="AE6" t="s">
        <v>585</v>
      </c>
      <c r="AF6">
        <v>74500</v>
      </c>
    </row>
    <row r="7" spans="2:32" ht="21" x14ac:dyDescent="0.35">
      <c r="B7" s="299" t="s">
        <v>461</v>
      </c>
      <c r="C7" s="300">
        <f>C9</f>
        <v>0</v>
      </c>
      <c r="D7" s="301">
        <f>C7/C2</f>
        <v>0</v>
      </c>
      <c r="E7" s="302"/>
      <c r="F7" s="237" t="s">
        <v>539</v>
      </c>
      <c r="G7" s="300">
        <f>G8+G9+G10</f>
        <v>-22317456</v>
      </c>
      <c r="H7" s="301">
        <f>G7/$G$2</f>
        <v>-0.37699416666784913</v>
      </c>
      <c r="J7" s="310" t="s">
        <v>204</v>
      </c>
      <c r="K7" s="310" t="s">
        <v>204</v>
      </c>
      <c r="L7" s="343">
        <f t="shared" si="4"/>
        <v>3008000</v>
      </c>
      <c r="M7" s="312">
        <v>188000</v>
      </c>
      <c r="N7" s="312">
        <f>M7</f>
        <v>188000</v>
      </c>
      <c r="O7" s="312">
        <f>N7</f>
        <v>188000</v>
      </c>
      <c r="P7" s="312">
        <f t="shared" ref="P7:AB7" si="5">O7</f>
        <v>188000</v>
      </c>
      <c r="Q7" s="312">
        <f t="shared" si="5"/>
        <v>188000</v>
      </c>
      <c r="R7" s="312">
        <f t="shared" si="5"/>
        <v>188000</v>
      </c>
      <c r="S7" s="312">
        <f t="shared" si="5"/>
        <v>188000</v>
      </c>
      <c r="T7" s="312">
        <f t="shared" si="5"/>
        <v>188000</v>
      </c>
      <c r="U7" s="312">
        <f t="shared" si="5"/>
        <v>188000</v>
      </c>
      <c r="V7" s="312">
        <f t="shared" si="5"/>
        <v>188000</v>
      </c>
      <c r="W7" s="312">
        <f t="shared" si="5"/>
        <v>188000</v>
      </c>
      <c r="X7" s="312">
        <f t="shared" si="5"/>
        <v>188000</v>
      </c>
      <c r="Y7" s="312">
        <f t="shared" si="5"/>
        <v>188000</v>
      </c>
      <c r="Z7" s="312">
        <f t="shared" si="5"/>
        <v>188000</v>
      </c>
      <c r="AA7" s="312">
        <f t="shared" si="5"/>
        <v>188000</v>
      </c>
      <c r="AB7" s="312">
        <f t="shared" si="5"/>
        <v>188000</v>
      </c>
      <c r="AC7" s="238"/>
      <c r="AD7" t="s">
        <v>586</v>
      </c>
      <c r="AE7" t="s">
        <v>587</v>
      </c>
      <c r="AF7">
        <f>3*77500</f>
        <v>232500</v>
      </c>
    </row>
    <row r="8" spans="2:32" ht="18.75" x14ac:dyDescent="0.3">
      <c r="B8" s="304" t="s">
        <v>462</v>
      </c>
      <c r="C8" s="305">
        <f>L4</f>
        <v>0</v>
      </c>
      <c r="D8" s="302"/>
      <c r="E8" s="302"/>
      <c r="F8" s="308" t="s">
        <v>550</v>
      </c>
      <c r="G8" s="305">
        <f>C6+C13+(C26-C25)</f>
        <v>-22317456</v>
      </c>
      <c r="H8" s="306">
        <f>G8/$G$2</f>
        <v>-0.37699416666784913</v>
      </c>
      <c r="J8" s="310" t="s">
        <v>205</v>
      </c>
      <c r="K8" s="310" t="s">
        <v>206</v>
      </c>
      <c r="L8" s="343">
        <f t="shared" si="4"/>
        <v>0</v>
      </c>
      <c r="M8" s="311">
        <v>0</v>
      </c>
      <c r="N8" s="311">
        <v>0</v>
      </c>
      <c r="O8" s="311">
        <v>0</v>
      </c>
      <c r="P8" s="311">
        <v>0</v>
      </c>
      <c r="Q8" s="311">
        <v>0</v>
      </c>
      <c r="R8" s="383">
        <v>0</v>
      </c>
      <c r="S8" s="383">
        <v>0</v>
      </c>
      <c r="T8" s="383">
        <v>0</v>
      </c>
      <c r="U8" s="383">
        <v>0</v>
      </c>
      <c r="V8" s="383">
        <v>0</v>
      </c>
      <c r="W8" s="383">
        <v>0</v>
      </c>
      <c r="X8" s="383">
        <v>0</v>
      </c>
      <c r="Y8" s="383">
        <v>0</v>
      </c>
      <c r="Z8" s="383">
        <v>0</v>
      </c>
      <c r="AA8" s="383">
        <v>0</v>
      </c>
      <c r="AB8" s="383">
        <v>0</v>
      </c>
      <c r="AC8" s="238"/>
      <c r="AE8" t="s">
        <v>588</v>
      </c>
      <c r="AF8">
        <f>32*8500</f>
        <v>272000</v>
      </c>
    </row>
    <row r="9" spans="2:32" ht="18.75" x14ac:dyDescent="0.3">
      <c r="B9" s="304" t="s">
        <v>463</v>
      </c>
      <c r="C9" s="313">
        <f>L26</f>
        <v>0</v>
      </c>
      <c r="D9" s="306">
        <f>C9/C2</f>
        <v>0</v>
      </c>
      <c r="E9" s="302"/>
      <c r="F9" s="308" t="s">
        <v>547</v>
      </c>
      <c r="G9" s="313">
        <f>C23</f>
        <v>0</v>
      </c>
      <c r="H9" s="306">
        <f>G9/$G$2</f>
        <v>0</v>
      </c>
      <c r="J9" s="310"/>
      <c r="K9" s="310" t="s">
        <v>207</v>
      </c>
      <c r="L9" s="343">
        <f t="shared" si="4"/>
        <v>0</v>
      </c>
      <c r="M9" s="311">
        <v>0</v>
      </c>
      <c r="N9" s="311">
        <v>0</v>
      </c>
      <c r="O9" s="311">
        <v>0</v>
      </c>
      <c r="P9" s="311">
        <v>0</v>
      </c>
      <c r="Q9" s="311">
        <v>0</v>
      </c>
      <c r="R9" s="383">
        <v>0</v>
      </c>
      <c r="S9" s="383">
        <v>0</v>
      </c>
      <c r="T9" s="383">
        <v>0</v>
      </c>
      <c r="U9" s="383">
        <v>0</v>
      </c>
      <c r="V9" s="383">
        <v>0</v>
      </c>
      <c r="W9" s="383">
        <v>0</v>
      </c>
      <c r="X9" s="383">
        <v>0</v>
      </c>
      <c r="Y9" s="383">
        <v>0</v>
      </c>
      <c r="Z9" s="383">
        <v>0</v>
      </c>
      <c r="AA9" s="383">
        <v>0</v>
      </c>
      <c r="AB9" s="383">
        <v>0</v>
      </c>
      <c r="AC9" s="238"/>
      <c r="AD9" t="s">
        <v>589</v>
      </c>
      <c r="AE9" t="s">
        <v>590</v>
      </c>
      <c r="AF9">
        <v>700000</v>
      </c>
    </row>
    <row r="10" spans="2:32" ht="21" x14ac:dyDescent="0.35">
      <c r="B10" s="314" t="s">
        <v>213</v>
      </c>
      <c r="C10" s="300">
        <f>C12+C13</f>
        <v>33993214</v>
      </c>
      <c r="D10" s="301">
        <f>C10/$C$2</f>
        <v>0.57422509914624065</v>
      </c>
      <c r="E10" s="302"/>
      <c r="F10" s="308" t="s">
        <v>548</v>
      </c>
      <c r="G10" s="300">
        <v>0</v>
      </c>
      <c r="H10" s="306">
        <f>G10/$G$2</f>
        <v>0</v>
      </c>
      <c r="J10" s="310" t="s">
        <v>209</v>
      </c>
      <c r="K10" s="310" t="s">
        <v>209</v>
      </c>
      <c r="L10" s="343">
        <f t="shared" si="4"/>
        <v>192000</v>
      </c>
      <c r="M10" s="312">
        <v>12000</v>
      </c>
      <c r="N10" s="312">
        <f>M10</f>
        <v>12000</v>
      </c>
      <c r="O10" s="312">
        <f t="shared" ref="O10:AB10" si="6">N10</f>
        <v>12000</v>
      </c>
      <c r="P10" s="312">
        <f t="shared" si="6"/>
        <v>12000</v>
      </c>
      <c r="Q10" s="312">
        <f t="shared" si="6"/>
        <v>12000</v>
      </c>
      <c r="R10" s="312">
        <f t="shared" si="6"/>
        <v>12000</v>
      </c>
      <c r="S10" s="312">
        <f t="shared" si="6"/>
        <v>12000</v>
      </c>
      <c r="T10" s="312">
        <f t="shared" si="6"/>
        <v>12000</v>
      </c>
      <c r="U10" s="312">
        <f t="shared" si="6"/>
        <v>12000</v>
      </c>
      <c r="V10" s="312">
        <f t="shared" si="6"/>
        <v>12000</v>
      </c>
      <c r="W10" s="312">
        <f t="shared" si="6"/>
        <v>12000</v>
      </c>
      <c r="X10" s="312">
        <f t="shared" si="6"/>
        <v>12000</v>
      </c>
      <c r="Y10" s="312">
        <f t="shared" si="6"/>
        <v>12000</v>
      </c>
      <c r="Z10" s="312">
        <f t="shared" si="6"/>
        <v>12000</v>
      </c>
      <c r="AA10" s="312">
        <f t="shared" si="6"/>
        <v>12000</v>
      </c>
      <c r="AB10" s="312">
        <f t="shared" si="6"/>
        <v>12000</v>
      </c>
      <c r="AC10" s="238"/>
      <c r="AE10" t="s">
        <v>591</v>
      </c>
      <c r="AF10">
        <f>9*21500</f>
        <v>193500</v>
      </c>
    </row>
    <row r="11" spans="2:32" ht="18.75" x14ac:dyDescent="0.3">
      <c r="B11" s="304" t="s">
        <v>464</v>
      </c>
      <c r="C11" s="315">
        <f>K31</f>
        <v>77053066</v>
      </c>
      <c r="D11" s="306"/>
      <c r="E11" s="302"/>
      <c r="F11" s="308"/>
      <c r="G11" s="315"/>
      <c r="H11" s="302"/>
      <c r="J11" s="447" t="s">
        <v>210</v>
      </c>
      <c r="K11" s="310" t="s">
        <v>196</v>
      </c>
      <c r="L11" s="343">
        <f t="shared" si="4"/>
        <v>91080</v>
      </c>
      <c r="M11" s="312">
        <v>30</v>
      </c>
      <c r="N11" s="312">
        <f>M11</f>
        <v>30</v>
      </c>
      <c r="O11" s="312">
        <f t="shared" ref="O11:AA11" si="7">N11</f>
        <v>30</v>
      </c>
      <c r="P11" s="312">
        <f t="shared" si="7"/>
        <v>30</v>
      </c>
      <c r="Q11" s="312">
        <f t="shared" si="7"/>
        <v>30</v>
      </c>
      <c r="R11" s="312">
        <f t="shared" si="7"/>
        <v>30</v>
      </c>
      <c r="S11" s="312">
        <f t="shared" si="7"/>
        <v>30</v>
      </c>
      <c r="T11" s="312">
        <f t="shared" si="7"/>
        <v>30</v>
      </c>
      <c r="U11" s="312">
        <f t="shared" si="7"/>
        <v>30</v>
      </c>
      <c r="V11" s="312">
        <f t="shared" si="7"/>
        <v>30</v>
      </c>
      <c r="W11" s="312">
        <f t="shared" si="7"/>
        <v>30</v>
      </c>
      <c r="X11" s="312">
        <f t="shared" si="7"/>
        <v>30</v>
      </c>
      <c r="Y11" s="312">
        <f t="shared" si="7"/>
        <v>30</v>
      </c>
      <c r="Z11" s="312">
        <f t="shared" si="7"/>
        <v>30</v>
      </c>
      <c r="AA11" s="312">
        <f t="shared" si="7"/>
        <v>30</v>
      </c>
      <c r="AB11" s="384">
        <f>60+30*AB3</f>
        <v>90630</v>
      </c>
      <c r="AC11" s="238"/>
    </row>
    <row r="12" spans="2:32" ht="18.75" x14ac:dyDescent="0.3">
      <c r="B12" s="304" t="s">
        <v>544</v>
      </c>
      <c r="C12" s="315">
        <f>N31</f>
        <v>55523140</v>
      </c>
      <c r="D12" s="306"/>
      <c r="E12" s="302"/>
      <c r="F12" s="308"/>
      <c r="G12" s="315"/>
      <c r="H12" s="302"/>
      <c r="J12" s="447"/>
      <c r="K12" s="310" t="s">
        <v>211</v>
      </c>
      <c r="L12" s="343">
        <f t="shared" si="4"/>
        <v>0</v>
      </c>
      <c r="M12" s="312">
        <v>0</v>
      </c>
      <c r="N12" s="312">
        <v>0</v>
      </c>
      <c r="O12" s="312">
        <v>0</v>
      </c>
      <c r="P12" s="312">
        <v>0</v>
      </c>
      <c r="Q12" s="312">
        <v>0</v>
      </c>
      <c r="R12" s="384">
        <v>0</v>
      </c>
      <c r="S12" s="384">
        <v>0</v>
      </c>
      <c r="T12" s="384">
        <v>0</v>
      </c>
      <c r="U12" s="384">
        <v>0</v>
      </c>
      <c r="V12" s="384">
        <v>0</v>
      </c>
      <c r="W12" s="384">
        <v>0</v>
      </c>
      <c r="X12" s="384">
        <v>0</v>
      </c>
      <c r="Y12" s="384">
        <v>0</v>
      </c>
      <c r="Z12" s="384">
        <v>0</v>
      </c>
      <c r="AA12" s="384">
        <v>0</v>
      </c>
      <c r="AB12" s="384">
        <v>0</v>
      </c>
      <c r="AC12" s="238"/>
    </row>
    <row r="13" spans="2:32" ht="21" x14ac:dyDescent="0.35">
      <c r="B13" s="304" t="s">
        <v>465</v>
      </c>
      <c r="C13" s="315">
        <f>M31*-1</f>
        <v>-21529926</v>
      </c>
      <c r="D13" s="306">
        <f t="shared" ref="D13:D25" si="8">C13/$C$2</f>
        <v>-0.36369093819611242</v>
      </c>
      <c r="E13" s="302"/>
      <c r="F13" s="258"/>
      <c r="G13" s="300"/>
      <c r="H13" s="301"/>
      <c r="J13" s="447"/>
      <c r="K13" s="310" t="s">
        <v>208</v>
      </c>
      <c r="L13" s="343">
        <f t="shared" si="4"/>
        <v>0</v>
      </c>
      <c r="M13" s="312">
        <v>0</v>
      </c>
      <c r="N13" s="312">
        <v>0</v>
      </c>
      <c r="O13" s="312">
        <v>0</v>
      </c>
      <c r="P13" s="312">
        <v>0</v>
      </c>
      <c r="Q13" s="312">
        <f t="shared" ref="Q13:AB13" si="9">P13</f>
        <v>0</v>
      </c>
      <c r="R13" s="384">
        <f t="shared" si="9"/>
        <v>0</v>
      </c>
      <c r="S13" s="384">
        <f t="shared" si="9"/>
        <v>0</v>
      </c>
      <c r="T13" s="384">
        <f t="shared" si="9"/>
        <v>0</v>
      </c>
      <c r="U13" s="384">
        <f t="shared" si="9"/>
        <v>0</v>
      </c>
      <c r="V13" s="384">
        <f t="shared" si="9"/>
        <v>0</v>
      </c>
      <c r="W13" s="384">
        <f t="shared" si="9"/>
        <v>0</v>
      </c>
      <c r="X13" s="384">
        <f t="shared" si="9"/>
        <v>0</v>
      </c>
      <c r="Y13" s="384">
        <f t="shared" si="9"/>
        <v>0</v>
      </c>
      <c r="Z13" s="384">
        <f t="shared" si="9"/>
        <v>0</v>
      </c>
      <c r="AA13" s="384">
        <f t="shared" si="9"/>
        <v>0</v>
      </c>
      <c r="AB13" s="384">
        <f t="shared" si="9"/>
        <v>0</v>
      </c>
      <c r="AC13" s="238"/>
    </row>
    <row r="14" spans="2:32" ht="21" x14ac:dyDescent="0.35">
      <c r="B14" s="314" t="s">
        <v>549</v>
      </c>
      <c r="C14" s="300">
        <f>C15+C16+C17+C18+C19+C20+C21+C22+C23</f>
        <v>8057334</v>
      </c>
      <c r="D14" s="301">
        <f t="shared" si="8"/>
        <v>0.13610726585030694</v>
      </c>
      <c r="E14" s="302"/>
      <c r="F14" s="314" t="s">
        <v>551</v>
      </c>
      <c r="G14" s="300">
        <f>G15+G16+G17+G18+G19+G20+G21+G23</f>
        <v>8844864</v>
      </c>
      <c r="H14" s="301">
        <f t="shared" ref="H14:H20" si="10">G14/$G$2</f>
        <v>0.14941049432204365</v>
      </c>
      <c r="I14" s="309"/>
      <c r="J14" s="344" t="s">
        <v>212</v>
      </c>
      <c r="K14" s="345"/>
      <c r="L14" s="346">
        <f t="shared" si="4"/>
        <v>8057334</v>
      </c>
      <c r="M14" s="347">
        <f t="shared" ref="M14:AB14" si="11">SUM(M6:M13)</f>
        <v>234680</v>
      </c>
      <c r="N14" s="347">
        <f t="shared" si="11"/>
        <v>261410</v>
      </c>
      <c r="O14" s="347">
        <f t="shared" si="11"/>
        <v>805444</v>
      </c>
      <c r="P14" s="347">
        <f t="shared" si="11"/>
        <v>913146</v>
      </c>
      <c r="Q14" s="347">
        <f t="shared" si="11"/>
        <v>362120</v>
      </c>
      <c r="R14" s="385">
        <f t="shared" si="11"/>
        <v>569634</v>
      </c>
      <c r="S14" s="385">
        <f t="shared" si="11"/>
        <v>215030</v>
      </c>
      <c r="T14" s="385">
        <f t="shared" si="11"/>
        <v>875030</v>
      </c>
      <c r="U14" s="385">
        <f t="shared" si="11"/>
        <v>215030</v>
      </c>
      <c r="V14" s="385">
        <f t="shared" si="11"/>
        <v>875030</v>
      </c>
      <c r="W14" s="385">
        <f t="shared" si="11"/>
        <v>215030</v>
      </c>
      <c r="X14" s="385">
        <f t="shared" si="11"/>
        <v>875030</v>
      </c>
      <c r="Y14" s="385">
        <f t="shared" si="11"/>
        <v>215030</v>
      </c>
      <c r="Z14" s="385">
        <f t="shared" si="11"/>
        <v>875030</v>
      </c>
      <c r="AA14" s="385">
        <f t="shared" si="11"/>
        <v>230030</v>
      </c>
      <c r="AB14" s="385">
        <f t="shared" si="11"/>
        <v>320630</v>
      </c>
      <c r="AC14" s="303"/>
    </row>
    <row r="15" spans="2:32" ht="18.75" x14ac:dyDescent="0.3">
      <c r="B15" s="304" t="s">
        <v>196</v>
      </c>
      <c r="C15" s="305">
        <f>L11</f>
        <v>91080</v>
      </c>
      <c r="D15" s="306">
        <f t="shared" si="8"/>
        <v>1.5385547842060357E-3</v>
      </c>
      <c r="E15" s="302"/>
      <c r="F15" s="308" t="s">
        <v>466</v>
      </c>
      <c r="G15" s="313">
        <f>L16</f>
        <v>681088</v>
      </c>
      <c r="H15" s="306">
        <f t="shared" si="10"/>
        <v>1.1505173483369791E-2</v>
      </c>
      <c r="J15" s="348" t="s">
        <v>214</v>
      </c>
      <c r="K15" s="316" t="s">
        <v>225</v>
      </c>
      <c r="L15" s="349">
        <f t="shared" si="4"/>
        <v>6735296</v>
      </c>
      <c r="M15" s="317">
        <v>420956</v>
      </c>
      <c r="N15" s="317">
        <f>M15</f>
        <v>420956</v>
      </c>
      <c r="O15" s="317">
        <f t="shared" ref="O15:AB15" si="12">N15</f>
        <v>420956</v>
      </c>
      <c r="P15" s="317">
        <f t="shared" si="12"/>
        <v>420956</v>
      </c>
      <c r="Q15" s="317">
        <f t="shared" si="12"/>
        <v>420956</v>
      </c>
      <c r="R15" s="317">
        <f t="shared" si="12"/>
        <v>420956</v>
      </c>
      <c r="S15" s="317">
        <f t="shared" si="12"/>
        <v>420956</v>
      </c>
      <c r="T15" s="317">
        <f t="shared" si="12"/>
        <v>420956</v>
      </c>
      <c r="U15" s="317">
        <f t="shared" si="12"/>
        <v>420956</v>
      </c>
      <c r="V15" s="317">
        <f t="shared" si="12"/>
        <v>420956</v>
      </c>
      <c r="W15" s="317">
        <f t="shared" si="12"/>
        <v>420956</v>
      </c>
      <c r="X15" s="317">
        <f t="shared" si="12"/>
        <v>420956</v>
      </c>
      <c r="Y15" s="317">
        <f t="shared" si="12"/>
        <v>420956</v>
      </c>
      <c r="Z15" s="317">
        <f t="shared" si="12"/>
        <v>420956</v>
      </c>
      <c r="AA15" s="317">
        <f t="shared" si="12"/>
        <v>420956</v>
      </c>
      <c r="AB15" s="317">
        <f t="shared" si="12"/>
        <v>420956</v>
      </c>
      <c r="AC15" s="238"/>
    </row>
    <row r="16" spans="2:32" ht="18.75" x14ac:dyDescent="0.3">
      <c r="B16" s="304" t="s">
        <v>211</v>
      </c>
      <c r="C16" s="305">
        <f>L12</f>
        <v>0</v>
      </c>
      <c r="D16" s="306">
        <f t="shared" si="8"/>
        <v>0</v>
      </c>
      <c r="E16" s="302"/>
      <c r="F16" s="308" t="s">
        <v>225</v>
      </c>
      <c r="G16" s="313">
        <f>L15</f>
        <v>6735296</v>
      </c>
      <c r="H16" s="306">
        <f t="shared" si="10"/>
        <v>0.11377494382788511</v>
      </c>
      <c r="J16" s="348" t="s">
        <v>215</v>
      </c>
      <c r="K16" s="316" t="str">
        <f>J16</f>
        <v xml:space="preserve">Mantenimiento </v>
      </c>
      <c r="L16" s="349">
        <f t="shared" si="4"/>
        <v>681088</v>
      </c>
      <c r="M16" s="317">
        <v>42568</v>
      </c>
      <c r="N16" s="317">
        <f>M16</f>
        <v>42568</v>
      </c>
      <c r="O16" s="317">
        <f t="shared" ref="O16:AB16" si="13">N16</f>
        <v>42568</v>
      </c>
      <c r="P16" s="317">
        <f t="shared" si="13"/>
        <v>42568</v>
      </c>
      <c r="Q16" s="317">
        <f t="shared" si="13"/>
        <v>42568</v>
      </c>
      <c r="R16" s="386">
        <f t="shared" si="13"/>
        <v>42568</v>
      </c>
      <c r="S16" s="386">
        <f t="shared" si="13"/>
        <v>42568</v>
      </c>
      <c r="T16" s="386">
        <f t="shared" si="13"/>
        <v>42568</v>
      </c>
      <c r="U16" s="386">
        <f t="shared" si="13"/>
        <v>42568</v>
      </c>
      <c r="V16" s="386">
        <f t="shared" si="13"/>
        <v>42568</v>
      </c>
      <c r="W16" s="386">
        <f t="shared" si="13"/>
        <v>42568</v>
      </c>
      <c r="X16" s="386">
        <f t="shared" si="13"/>
        <v>42568</v>
      </c>
      <c r="Y16" s="386">
        <f t="shared" si="13"/>
        <v>42568</v>
      </c>
      <c r="Z16" s="386">
        <f t="shared" si="13"/>
        <v>42568</v>
      </c>
      <c r="AA16" s="386">
        <f t="shared" si="13"/>
        <v>42568</v>
      </c>
      <c r="AB16" s="386">
        <f t="shared" si="13"/>
        <v>42568</v>
      </c>
      <c r="AC16" s="238"/>
    </row>
    <row r="17" spans="2:29" ht="24" customHeight="1" x14ac:dyDescent="0.3">
      <c r="B17" s="304" t="s">
        <v>202</v>
      </c>
      <c r="C17" s="305">
        <f>L6</f>
        <v>4766254</v>
      </c>
      <c r="D17" s="306">
        <f t="shared" si="8"/>
        <v>8.0513207009674514E-2</v>
      </c>
      <c r="E17" s="302"/>
      <c r="F17" s="308" t="s">
        <v>217</v>
      </c>
      <c r="G17" s="313">
        <f>L18</f>
        <v>1044480</v>
      </c>
      <c r="H17" s="306">
        <f t="shared" si="10"/>
        <v>1.7643716524017569E-2</v>
      </c>
      <c r="J17" s="348" t="s">
        <v>216</v>
      </c>
      <c r="K17" s="316" t="s">
        <v>200</v>
      </c>
      <c r="L17" s="349">
        <f t="shared" si="4"/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86">
        <v>0</v>
      </c>
      <c r="S17" s="386">
        <v>0</v>
      </c>
      <c r="T17" s="386">
        <v>0</v>
      </c>
      <c r="U17" s="386">
        <v>0</v>
      </c>
      <c r="V17" s="386">
        <v>0</v>
      </c>
      <c r="W17" s="386">
        <v>0</v>
      </c>
      <c r="X17" s="386">
        <v>0</v>
      </c>
      <c r="Y17" s="386">
        <v>0</v>
      </c>
      <c r="Z17" s="386">
        <v>0</v>
      </c>
      <c r="AA17" s="386">
        <v>0</v>
      </c>
      <c r="AB17" s="386">
        <v>0</v>
      </c>
      <c r="AC17" s="238"/>
    </row>
    <row r="18" spans="2:29" ht="18.75" x14ac:dyDescent="0.3">
      <c r="B18" s="304" t="s">
        <v>204</v>
      </c>
      <c r="C18" s="305">
        <f>L7</f>
        <v>3008000</v>
      </c>
      <c r="D18" s="306">
        <f t="shared" si="8"/>
        <v>5.0812173813040797E-2</v>
      </c>
      <c r="E18" s="307"/>
      <c r="F18" s="308" t="s">
        <v>219</v>
      </c>
      <c r="G18" s="318">
        <f>L19</f>
        <v>320000</v>
      </c>
      <c r="H18" s="306">
        <f t="shared" si="10"/>
        <v>5.4055504056426378E-3</v>
      </c>
      <c r="J18" s="348" t="s">
        <v>217</v>
      </c>
      <c r="K18" s="316" t="str">
        <f>J18</f>
        <v>Empleados</v>
      </c>
      <c r="L18" s="349">
        <f t="shared" si="4"/>
        <v>1044480</v>
      </c>
      <c r="M18" s="317">
        <v>65280</v>
      </c>
      <c r="N18" s="317">
        <f t="shared" ref="N18:AB24" si="14">M18</f>
        <v>65280</v>
      </c>
      <c r="O18" s="317">
        <f t="shared" si="14"/>
        <v>65280</v>
      </c>
      <c r="P18" s="317">
        <f t="shared" si="14"/>
        <v>65280</v>
      </c>
      <c r="Q18" s="317">
        <f t="shared" si="14"/>
        <v>65280</v>
      </c>
      <c r="R18" s="386">
        <f t="shared" si="14"/>
        <v>65280</v>
      </c>
      <c r="S18" s="386">
        <f t="shared" si="14"/>
        <v>65280</v>
      </c>
      <c r="T18" s="386">
        <f t="shared" si="14"/>
        <v>65280</v>
      </c>
      <c r="U18" s="386">
        <f t="shared" si="14"/>
        <v>65280</v>
      </c>
      <c r="V18" s="386">
        <f t="shared" si="14"/>
        <v>65280</v>
      </c>
      <c r="W18" s="386">
        <f t="shared" si="14"/>
        <v>65280</v>
      </c>
      <c r="X18" s="386">
        <f t="shared" si="14"/>
        <v>65280</v>
      </c>
      <c r="Y18" s="386">
        <f t="shared" si="14"/>
        <v>65280</v>
      </c>
      <c r="Z18" s="386">
        <f t="shared" si="14"/>
        <v>65280</v>
      </c>
      <c r="AA18" s="386">
        <f t="shared" si="14"/>
        <v>65280</v>
      </c>
      <c r="AB18" s="386">
        <f t="shared" si="14"/>
        <v>65280</v>
      </c>
      <c r="AC18" s="238"/>
    </row>
    <row r="19" spans="2:29" ht="18.75" x14ac:dyDescent="0.3">
      <c r="B19" s="304" t="s">
        <v>209</v>
      </c>
      <c r="C19" s="305">
        <f>L10</f>
        <v>192000</v>
      </c>
      <c r="D19" s="306">
        <f t="shared" si="8"/>
        <v>3.2433302433855825E-3</v>
      </c>
      <c r="E19" s="307"/>
      <c r="F19" s="319" t="s">
        <v>221</v>
      </c>
      <c r="G19" s="318">
        <f>L22</f>
        <v>64000</v>
      </c>
      <c r="H19" s="306">
        <f t="shared" si="10"/>
        <v>1.0811100811285277E-3</v>
      </c>
      <c r="J19" s="348" t="s">
        <v>219</v>
      </c>
      <c r="K19" s="316" t="str">
        <f>J19</f>
        <v>Juveniles</v>
      </c>
      <c r="L19" s="349">
        <f t="shared" si="4"/>
        <v>320000</v>
      </c>
      <c r="M19" s="317">
        <v>20000</v>
      </c>
      <c r="N19" s="317">
        <f t="shared" si="14"/>
        <v>20000</v>
      </c>
      <c r="O19" s="317">
        <f t="shared" si="14"/>
        <v>20000</v>
      </c>
      <c r="P19" s="317">
        <f t="shared" si="14"/>
        <v>20000</v>
      </c>
      <c r="Q19" s="317">
        <f t="shared" si="14"/>
        <v>20000</v>
      </c>
      <c r="R19" s="386">
        <f t="shared" si="14"/>
        <v>20000</v>
      </c>
      <c r="S19" s="386">
        <f t="shared" si="14"/>
        <v>20000</v>
      </c>
      <c r="T19" s="386">
        <f t="shared" si="14"/>
        <v>20000</v>
      </c>
      <c r="U19" s="386">
        <f t="shared" si="14"/>
        <v>20000</v>
      </c>
      <c r="V19" s="386">
        <f t="shared" si="14"/>
        <v>20000</v>
      </c>
      <c r="W19" s="386">
        <f t="shared" si="14"/>
        <v>20000</v>
      </c>
      <c r="X19" s="386">
        <f t="shared" si="14"/>
        <v>20000</v>
      </c>
      <c r="Y19" s="386">
        <f t="shared" si="14"/>
        <v>20000</v>
      </c>
      <c r="Z19" s="386">
        <f t="shared" si="14"/>
        <v>20000</v>
      </c>
      <c r="AA19" s="386">
        <f t="shared" si="14"/>
        <v>20000</v>
      </c>
      <c r="AB19" s="386">
        <f t="shared" si="14"/>
        <v>20000</v>
      </c>
      <c r="AC19" s="238"/>
    </row>
    <row r="20" spans="2:29" ht="18.75" x14ac:dyDescent="0.3">
      <c r="B20" s="304" t="s">
        <v>468</v>
      </c>
      <c r="C20" s="305">
        <f>L13</f>
        <v>0</v>
      </c>
      <c r="D20" s="306">
        <f t="shared" si="8"/>
        <v>0</v>
      </c>
      <c r="E20" s="307"/>
      <c r="F20" s="308" t="s">
        <v>222</v>
      </c>
      <c r="G20" s="300">
        <f>L24</f>
        <v>0</v>
      </c>
      <c r="H20" s="306">
        <f t="shared" si="10"/>
        <v>0</v>
      </c>
      <c r="J20" s="348" t="s">
        <v>220</v>
      </c>
      <c r="K20" s="316" t="s">
        <v>218</v>
      </c>
      <c r="L20" s="349">
        <f t="shared" si="4"/>
        <v>0</v>
      </c>
      <c r="M20" s="317">
        <v>0</v>
      </c>
      <c r="N20" s="317">
        <v>0</v>
      </c>
      <c r="O20" s="317">
        <f t="shared" si="14"/>
        <v>0</v>
      </c>
      <c r="P20" s="317">
        <f t="shared" si="14"/>
        <v>0</v>
      </c>
      <c r="Q20" s="317">
        <f t="shared" si="14"/>
        <v>0</v>
      </c>
      <c r="R20" s="386">
        <v>0</v>
      </c>
      <c r="S20" s="386">
        <v>0</v>
      </c>
      <c r="T20" s="386">
        <v>0</v>
      </c>
      <c r="U20" s="386">
        <v>0</v>
      </c>
      <c r="V20" s="386">
        <v>0</v>
      </c>
      <c r="W20" s="386">
        <v>0</v>
      </c>
      <c r="X20" s="386">
        <f t="shared" si="14"/>
        <v>0</v>
      </c>
      <c r="Y20" s="386">
        <f t="shared" si="14"/>
        <v>0</v>
      </c>
      <c r="Z20" s="386">
        <v>0</v>
      </c>
      <c r="AA20" s="386">
        <v>0</v>
      </c>
      <c r="AB20" s="386">
        <v>0</v>
      </c>
      <c r="AC20" s="238"/>
    </row>
    <row r="21" spans="2:29" ht="18.75" x14ac:dyDescent="0.3">
      <c r="B21" s="304" t="s">
        <v>469</v>
      </c>
      <c r="C21" s="305">
        <f>L23*-1</f>
        <v>0</v>
      </c>
      <c r="D21" s="306">
        <f t="shared" si="8"/>
        <v>0</v>
      </c>
      <c r="E21" s="302"/>
      <c r="F21" s="304"/>
      <c r="G21" s="315"/>
      <c r="H21" s="306"/>
      <c r="J21" s="448" t="s">
        <v>210</v>
      </c>
      <c r="K21" s="316" t="s">
        <v>203</v>
      </c>
      <c r="L21" s="349">
        <f t="shared" si="4"/>
        <v>0</v>
      </c>
      <c r="M21" s="317">
        <v>0</v>
      </c>
      <c r="N21" s="317">
        <f>M21</f>
        <v>0</v>
      </c>
      <c r="O21" s="317">
        <f t="shared" si="14"/>
        <v>0</v>
      </c>
      <c r="P21" s="317">
        <f t="shared" si="14"/>
        <v>0</v>
      </c>
      <c r="Q21" s="317">
        <f t="shared" si="14"/>
        <v>0</v>
      </c>
      <c r="R21" s="386">
        <f t="shared" si="14"/>
        <v>0</v>
      </c>
      <c r="S21" s="386">
        <f t="shared" si="14"/>
        <v>0</v>
      </c>
      <c r="T21" s="386">
        <f t="shared" si="14"/>
        <v>0</v>
      </c>
      <c r="U21" s="386">
        <f t="shared" si="14"/>
        <v>0</v>
      </c>
      <c r="V21" s="386">
        <f t="shared" si="14"/>
        <v>0</v>
      </c>
      <c r="W21" s="386">
        <f t="shared" si="14"/>
        <v>0</v>
      </c>
      <c r="X21" s="386">
        <f t="shared" si="14"/>
        <v>0</v>
      </c>
      <c r="Y21" s="386">
        <f t="shared" si="14"/>
        <v>0</v>
      </c>
      <c r="Z21" s="386">
        <v>0</v>
      </c>
      <c r="AA21" s="386">
        <f t="shared" ref="AA21:AB24" si="15">Z21</f>
        <v>0</v>
      </c>
      <c r="AB21" s="386">
        <f t="shared" si="15"/>
        <v>0</v>
      </c>
      <c r="AC21" s="238"/>
    </row>
    <row r="22" spans="2:29" ht="18.75" x14ac:dyDescent="0.3">
      <c r="B22" s="304"/>
      <c r="C22" s="305"/>
      <c r="D22" s="306"/>
      <c r="E22" s="302"/>
      <c r="F22" s="308"/>
      <c r="G22" s="313"/>
      <c r="H22" s="306"/>
      <c r="J22" s="448"/>
      <c r="K22" s="316" t="s">
        <v>221</v>
      </c>
      <c r="L22" s="349">
        <f t="shared" si="4"/>
        <v>64000</v>
      </c>
      <c r="M22" s="317">
        <v>4000</v>
      </c>
      <c r="N22" s="317">
        <f>M22</f>
        <v>4000</v>
      </c>
      <c r="O22" s="317">
        <f t="shared" si="14"/>
        <v>4000</v>
      </c>
      <c r="P22" s="317">
        <f t="shared" si="14"/>
        <v>4000</v>
      </c>
      <c r="Q22" s="317">
        <f t="shared" si="14"/>
        <v>4000</v>
      </c>
      <c r="R22" s="317">
        <f t="shared" si="14"/>
        <v>4000</v>
      </c>
      <c r="S22" s="317">
        <f t="shared" si="14"/>
        <v>4000</v>
      </c>
      <c r="T22" s="317">
        <f t="shared" si="14"/>
        <v>4000</v>
      </c>
      <c r="U22" s="317">
        <f t="shared" si="14"/>
        <v>4000</v>
      </c>
      <c r="V22" s="317">
        <f t="shared" si="14"/>
        <v>4000</v>
      </c>
      <c r="W22" s="317">
        <f t="shared" si="14"/>
        <v>4000</v>
      </c>
      <c r="X22" s="317">
        <f t="shared" si="14"/>
        <v>4000</v>
      </c>
      <c r="Y22" s="317">
        <f t="shared" si="14"/>
        <v>4000</v>
      </c>
      <c r="Z22" s="317">
        <f t="shared" ref="Z22" si="16">Y22</f>
        <v>4000</v>
      </c>
      <c r="AA22" s="317">
        <f t="shared" si="15"/>
        <v>4000</v>
      </c>
      <c r="AB22" s="317">
        <f t="shared" si="15"/>
        <v>4000</v>
      </c>
      <c r="AC22" s="238"/>
    </row>
    <row r="23" spans="2:29" ht="18.75" x14ac:dyDescent="0.3">
      <c r="B23" s="304" t="s">
        <v>206</v>
      </c>
      <c r="C23" s="305">
        <f>L8+L9</f>
        <v>0</v>
      </c>
      <c r="D23" s="306">
        <f t="shared" si="8"/>
        <v>0</v>
      </c>
      <c r="E23" s="302"/>
      <c r="F23" s="304" t="s">
        <v>578</v>
      </c>
      <c r="G23" s="313">
        <f>L20</f>
        <v>0</v>
      </c>
      <c r="H23" s="306">
        <f t="shared" ref="H23" si="17">G23/$G$2</f>
        <v>0</v>
      </c>
      <c r="J23" s="448"/>
      <c r="K23" s="316" t="s">
        <v>208</v>
      </c>
      <c r="L23" s="349">
        <f t="shared" si="4"/>
        <v>0</v>
      </c>
      <c r="M23" s="317">
        <v>0</v>
      </c>
      <c r="N23" s="317">
        <f>M23</f>
        <v>0</v>
      </c>
      <c r="O23" s="317">
        <f t="shared" si="14"/>
        <v>0</v>
      </c>
      <c r="P23" s="317">
        <f t="shared" si="14"/>
        <v>0</v>
      </c>
      <c r="Q23" s="317">
        <f t="shared" si="14"/>
        <v>0</v>
      </c>
      <c r="R23" s="386">
        <f t="shared" si="14"/>
        <v>0</v>
      </c>
      <c r="S23" s="386">
        <f t="shared" si="14"/>
        <v>0</v>
      </c>
      <c r="T23" s="386">
        <f t="shared" si="14"/>
        <v>0</v>
      </c>
      <c r="U23" s="386">
        <f t="shared" si="14"/>
        <v>0</v>
      </c>
      <c r="V23" s="386">
        <f t="shared" si="14"/>
        <v>0</v>
      </c>
      <c r="W23" s="386">
        <f t="shared" si="14"/>
        <v>0</v>
      </c>
      <c r="X23" s="386">
        <f t="shared" si="14"/>
        <v>0</v>
      </c>
      <c r="Y23" s="386">
        <f t="shared" si="14"/>
        <v>0</v>
      </c>
      <c r="Z23" s="386">
        <v>0</v>
      </c>
      <c r="AA23" s="386">
        <f t="shared" si="15"/>
        <v>0</v>
      </c>
      <c r="AB23" s="386">
        <f t="shared" si="15"/>
        <v>0</v>
      </c>
      <c r="AC23" s="238"/>
    </row>
    <row r="24" spans="2:29" ht="21" x14ac:dyDescent="0.35">
      <c r="B24" s="314" t="s">
        <v>467</v>
      </c>
      <c r="C24" s="300">
        <f>C25</f>
        <v>8247419</v>
      </c>
      <c r="D24" s="301">
        <f t="shared" si="8"/>
        <v>0.13931824725298375</v>
      </c>
      <c r="E24" s="302"/>
      <c r="F24" s="308"/>
      <c r="G24" s="313"/>
      <c r="H24" s="302"/>
      <c r="J24" s="348" t="s">
        <v>222</v>
      </c>
      <c r="K24" s="316" t="str">
        <f>J24</f>
        <v>Intereses</v>
      </c>
      <c r="L24" s="349">
        <f t="shared" si="4"/>
        <v>0</v>
      </c>
      <c r="M24" s="317">
        <v>0</v>
      </c>
      <c r="N24" s="317">
        <f>M24</f>
        <v>0</v>
      </c>
      <c r="O24" s="317">
        <f t="shared" si="14"/>
        <v>0</v>
      </c>
      <c r="P24" s="317">
        <f t="shared" si="14"/>
        <v>0</v>
      </c>
      <c r="Q24" s="317">
        <f t="shared" si="14"/>
        <v>0</v>
      </c>
      <c r="R24" s="386">
        <f t="shared" si="14"/>
        <v>0</v>
      </c>
      <c r="S24" s="386">
        <f t="shared" si="14"/>
        <v>0</v>
      </c>
      <c r="T24" s="386">
        <f t="shared" si="14"/>
        <v>0</v>
      </c>
      <c r="U24" s="386">
        <f t="shared" si="14"/>
        <v>0</v>
      </c>
      <c r="V24" s="386">
        <f t="shared" si="14"/>
        <v>0</v>
      </c>
      <c r="W24" s="386">
        <f t="shared" si="14"/>
        <v>0</v>
      </c>
      <c r="X24" s="386">
        <f t="shared" si="14"/>
        <v>0</v>
      </c>
      <c r="Y24" s="386">
        <f t="shared" si="14"/>
        <v>0</v>
      </c>
      <c r="Z24" s="386">
        <v>0</v>
      </c>
      <c r="AA24" s="386">
        <f t="shared" si="15"/>
        <v>0</v>
      </c>
      <c r="AB24" s="386">
        <f t="shared" si="15"/>
        <v>0</v>
      </c>
      <c r="AC24" s="238"/>
    </row>
    <row r="25" spans="2:29" ht="18.75" x14ac:dyDescent="0.3">
      <c r="B25" s="304" t="s">
        <v>545</v>
      </c>
      <c r="C25" s="305">
        <f>L5</f>
        <v>8247419</v>
      </c>
      <c r="D25" s="306">
        <f t="shared" si="8"/>
        <v>0.13931824725298375</v>
      </c>
      <c r="E25" s="302"/>
      <c r="F25" s="308"/>
      <c r="G25" s="313"/>
      <c r="H25" s="302"/>
      <c r="I25" s="309"/>
      <c r="J25" s="350" t="s">
        <v>223</v>
      </c>
      <c r="K25" s="351"/>
      <c r="L25" s="352">
        <f t="shared" si="4"/>
        <v>8844864</v>
      </c>
      <c r="M25" s="353">
        <f t="shared" ref="M25:AB25" si="18">SUM(M15:M24)</f>
        <v>552804</v>
      </c>
      <c r="N25" s="353">
        <f t="shared" si="18"/>
        <v>552804</v>
      </c>
      <c r="O25" s="353">
        <f t="shared" si="18"/>
        <v>552804</v>
      </c>
      <c r="P25" s="353">
        <f t="shared" si="18"/>
        <v>552804</v>
      </c>
      <c r="Q25" s="353">
        <f t="shared" si="18"/>
        <v>552804</v>
      </c>
      <c r="R25" s="353">
        <f t="shared" si="18"/>
        <v>552804</v>
      </c>
      <c r="S25" s="353">
        <f t="shared" si="18"/>
        <v>552804</v>
      </c>
      <c r="T25" s="353">
        <f t="shared" si="18"/>
        <v>552804</v>
      </c>
      <c r="U25" s="353">
        <f t="shared" si="18"/>
        <v>552804</v>
      </c>
      <c r="V25" s="353">
        <f t="shared" si="18"/>
        <v>552804</v>
      </c>
      <c r="W25" s="353">
        <f t="shared" si="18"/>
        <v>552804</v>
      </c>
      <c r="X25" s="353">
        <f t="shared" si="18"/>
        <v>552804</v>
      </c>
      <c r="Y25" s="353">
        <f t="shared" si="18"/>
        <v>552804</v>
      </c>
      <c r="Z25" s="353">
        <f t="shared" si="18"/>
        <v>552804</v>
      </c>
      <c r="AA25" s="353">
        <f t="shared" si="18"/>
        <v>552804</v>
      </c>
      <c r="AB25" s="353">
        <f t="shared" si="18"/>
        <v>552804</v>
      </c>
      <c r="AC25" s="303"/>
    </row>
    <row r="26" spans="2:29" ht="18.75" x14ac:dyDescent="0.3">
      <c r="B26" s="304" t="s">
        <v>546</v>
      </c>
      <c r="C26" s="315">
        <f>L27</f>
        <v>7459889</v>
      </c>
      <c r="D26" s="306"/>
      <c r="E26" s="323"/>
      <c r="F26" s="324"/>
      <c r="G26" s="321"/>
      <c r="H26" s="323"/>
      <c r="I26" s="309"/>
      <c r="J26" s="337" t="s">
        <v>470</v>
      </c>
      <c r="K26" s="337"/>
      <c r="L26" s="338">
        <f>L4-L13+L23</f>
        <v>0</v>
      </c>
      <c r="M26" s="339">
        <f>M4-M13+M23</f>
        <v>0</v>
      </c>
      <c r="N26" s="339">
        <f t="shared" ref="N26:AB26" si="19">N4-N13+N23</f>
        <v>0</v>
      </c>
      <c r="O26" s="339">
        <f t="shared" si="19"/>
        <v>0</v>
      </c>
      <c r="P26" s="339">
        <f t="shared" si="19"/>
        <v>0</v>
      </c>
      <c r="Q26" s="339">
        <f t="shared" si="19"/>
        <v>0</v>
      </c>
      <c r="R26" s="339">
        <f t="shared" si="19"/>
        <v>0</v>
      </c>
      <c r="S26" s="339">
        <f t="shared" si="19"/>
        <v>0</v>
      </c>
      <c r="T26" s="339">
        <f t="shared" si="19"/>
        <v>0</v>
      </c>
      <c r="U26" s="339">
        <f t="shared" si="19"/>
        <v>0</v>
      </c>
      <c r="V26" s="339">
        <f t="shared" si="19"/>
        <v>0</v>
      </c>
      <c r="W26" s="339">
        <f t="shared" si="19"/>
        <v>0</v>
      </c>
      <c r="X26" s="339">
        <f t="shared" si="19"/>
        <v>0</v>
      </c>
      <c r="Y26" s="339">
        <f t="shared" si="19"/>
        <v>0</v>
      </c>
      <c r="Z26" s="339">
        <f t="shared" si="19"/>
        <v>0</v>
      </c>
      <c r="AA26" s="339">
        <f t="shared" si="19"/>
        <v>0</v>
      </c>
      <c r="AB26" s="339">
        <f t="shared" si="19"/>
        <v>0</v>
      </c>
      <c r="AC26" s="303"/>
    </row>
    <row r="27" spans="2:29" ht="18.75" x14ac:dyDescent="0.3">
      <c r="B27" s="304"/>
      <c r="C27" s="313"/>
      <c r="D27" s="306"/>
      <c r="E27" s="309"/>
      <c r="F27" s="309"/>
      <c r="G27" s="309"/>
      <c r="H27" s="309"/>
      <c r="I27" s="309"/>
      <c r="J27" s="340" t="s">
        <v>224</v>
      </c>
      <c r="K27" s="340"/>
      <c r="L27" s="341">
        <f>AB27</f>
        <v>7459889</v>
      </c>
      <c r="M27" s="342">
        <f t="shared" ref="M27:AB27" si="20">M5+M14-M25</f>
        <v>7929295</v>
      </c>
      <c r="N27" s="342">
        <f t="shared" si="20"/>
        <v>7637901</v>
      </c>
      <c r="O27" s="342">
        <f t="shared" si="20"/>
        <v>7890541</v>
      </c>
      <c r="P27" s="342">
        <f t="shared" si="20"/>
        <v>8250883</v>
      </c>
      <c r="Q27" s="342">
        <f t="shared" si="20"/>
        <v>8060199</v>
      </c>
      <c r="R27" s="342">
        <f t="shared" si="20"/>
        <v>8077029</v>
      </c>
      <c r="S27" s="342">
        <f t="shared" si="20"/>
        <v>7739255</v>
      </c>
      <c r="T27" s="342">
        <f t="shared" si="20"/>
        <v>8061481</v>
      </c>
      <c r="U27" s="342">
        <f t="shared" si="20"/>
        <v>7723707</v>
      </c>
      <c r="V27" s="342">
        <f t="shared" si="20"/>
        <v>8045933</v>
      </c>
      <c r="W27" s="342">
        <f t="shared" si="20"/>
        <v>7708159</v>
      </c>
      <c r="X27" s="342">
        <f t="shared" si="20"/>
        <v>8030385</v>
      </c>
      <c r="Y27" s="342">
        <f t="shared" si="20"/>
        <v>7692611</v>
      </c>
      <c r="Z27" s="342">
        <f t="shared" si="20"/>
        <v>8014837</v>
      </c>
      <c r="AA27" s="342">
        <f t="shared" si="20"/>
        <v>7692063</v>
      </c>
      <c r="AB27" s="342">
        <f t="shared" si="20"/>
        <v>7459889</v>
      </c>
      <c r="AC27" s="303"/>
    </row>
    <row r="28" spans="2:29" ht="15.75" x14ac:dyDescent="0.25">
      <c r="B28" s="304"/>
      <c r="C28" s="313"/>
      <c r="D28" s="306"/>
      <c r="J28" s="325"/>
      <c r="K28" s="325"/>
      <c r="L28" s="326"/>
      <c r="M28" s="327">
        <f>M1+7</f>
        <v>44550</v>
      </c>
      <c r="N28" s="327">
        <f t="shared" ref="N28:AB28" si="21">M28+7</f>
        <v>44557</v>
      </c>
      <c r="O28" s="327">
        <f t="shared" si="21"/>
        <v>44564</v>
      </c>
      <c r="P28" s="327">
        <f t="shared" si="21"/>
        <v>44571</v>
      </c>
      <c r="Q28" s="327">
        <f t="shared" si="21"/>
        <v>44578</v>
      </c>
      <c r="R28" s="327">
        <f t="shared" si="21"/>
        <v>44585</v>
      </c>
      <c r="S28" s="327">
        <f t="shared" si="21"/>
        <v>44592</v>
      </c>
      <c r="T28" s="327">
        <f t="shared" si="21"/>
        <v>44599</v>
      </c>
      <c r="U28" s="327">
        <f t="shared" si="21"/>
        <v>44606</v>
      </c>
      <c r="V28" s="327">
        <f t="shared" si="21"/>
        <v>44613</v>
      </c>
      <c r="W28" s="327">
        <f t="shared" si="21"/>
        <v>44620</v>
      </c>
      <c r="X28" s="327">
        <f t="shared" si="21"/>
        <v>44627</v>
      </c>
      <c r="Y28" s="327">
        <f t="shared" si="21"/>
        <v>44634</v>
      </c>
      <c r="Z28" s="327">
        <f t="shared" si="21"/>
        <v>44641</v>
      </c>
      <c r="AA28" s="327">
        <f t="shared" si="21"/>
        <v>44648</v>
      </c>
      <c r="AB28" s="327">
        <f t="shared" si="21"/>
        <v>44655</v>
      </c>
      <c r="AC28" s="238"/>
    </row>
    <row r="29" spans="2:29" ht="15.75" x14ac:dyDescent="0.25">
      <c r="B29" s="304"/>
      <c r="C29" s="313"/>
      <c r="D29" s="306"/>
      <c r="G29" s="297"/>
      <c r="J29" s="238"/>
      <c r="K29" s="238"/>
      <c r="L29" s="243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</row>
    <row r="30" spans="2:29" ht="15.75" x14ac:dyDescent="0.25">
      <c r="B30" s="320"/>
      <c r="C30" s="321"/>
      <c r="D30" s="322"/>
      <c r="G30" s="297"/>
      <c r="J30" s="238"/>
      <c r="K30" s="238"/>
      <c r="L30" s="319" t="s">
        <v>471</v>
      </c>
      <c r="M30" s="328">
        <v>44537</v>
      </c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</row>
    <row r="31" spans="2:29" ht="15.75" x14ac:dyDescent="0.25">
      <c r="E31" s="331"/>
      <c r="F31" s="331"/>
      <c r="G31" s="387"/>
      <c r="H31" s="331"/>
      <c r="I31" s="331"/>
      <c r="J31" s="329"/>
      <c r="K31" s="330">
        <f>SUM(K33:K55)</f>
        <v>77053066</v>
      </c>
      <c r="L31" s="330">
        <f>SUM(L33:L55)</f>
        <v>75800000</v>
      </c>
      <c r="M31" s="330">
        <f>SUM(M33:M55)</f>
        <v>21529926</v>
      </c>
      <c r="N31" s="330">
        <f>SUM(N33:N55)</f>
        <v>55523140</v>
      </c>
      <c r="O31" s="329"/>
      <c r="P31" s="330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0"/>
      <c r="AC31" s="321"/>
    </row>
    <row r="32" spans="2:29" ht="15.75" x14ac:dyDescent="0.25">
      <c r="B32" s="331"/>
      <c r="C32" s="331"/>
      <c r="D32" s="331"/>
      <c r="E32" s="2"/>
      <c r="F32" s="2"/>
      <c r="G32" s="2"/>
      <c r="H32" s="2"/>
      <c r="I32" s="2"/>
      <c r="J32" s="332" t="s">
        <v>84</v>
      </c>
      <c r="K32" s="332" t="s">
        <v>472</v>
      </c>
      <c r="L32" s="332" t="s">
        <v>473</v>
      </c>
      <c r="M32" s="332" t="s">
        <v>465</v>
      </c>
      <c r="N32" s="332" t="s">
        <v>576</v>
      </c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2:29" ht="15.75" x14ac:dyDescent="0.25">
      <c r="B33" s="2"/>
      <c r="C33" s="2"/>
      <c r="D33" s="2"/>
      <c r="J33" s="395" t="s">
        <v>475</v>
      </c>
      <c r="K33" s="333">
        <v>11113000</v>
      </c>
      <c r="L33" s="333">
        <v>8350000</v>
      </c>
      <c r="M33" s="334">
        <f>IF((K33-L33)&gt;0,(K33-L33),0)</f>
        <v>2763000</v>
      </c>
      <c r="N33" s="315">
        <f>K33-M33</f>
        <v>8350000</v>
      </c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331"/>
      <c r="AC33" s="331"/>
    </row>
    <row r="34" spans="2:29" x14ac:dyDescent="0.25">
      <c r="J34" s="395" t="s">
        <v>476</v>
      </c>
      <c r="K34" s="333">
        <v>11662680</v>
      </c>
      <c r="L34" s="333">
        <v>1500000</v>
      </c>
      <c r="M34" s="334">
        <f t="shared" ref="M34:M49" si="22">IF((K34-L34)&gt;0,(K34-L34),0)</f>
        <v>10162680</v>
      </c>
      <c r="N34" s="315">
        <f t="shared" ref="N34:N49" si="23">K34-M34</f>
        <v>1500000</v>
      </c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"/>
      <c r="AC34" s="2"/>
    </row>
    <row r="35" spans="2:29" x14ac:dyDescent="0.25">
      <c r="J35" s="395" t="s">
        <v>577</v>
      </c>
      <c r="K35" s="333">
        <f>5464000+30516</f>
        <v>5494516</v>
      </c>
      <c r="L35" s="333">
        <v>4350000</v>
      </c>
      <c r="M35" s="334">
        <f t="shared" si="22"/>
        <v>1144516</v>
      </c>
      <c r="N35" s="315">
        <f t="shared" si="23"/>
        <v>4350000</v>
      </c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</row>
    <row r="36" spans="2:29" x14ac:dyDescent="0.25">
      <c r="J36" s="395" t="s">
        <v>477</v>
      </c>
      <c r="K36" s="333">
        <v>2121600</v>
      </c>
      <c r="L36" s="333">
        <v>3450000</v>
      </c>
      <c r="M36" s="334">
        <f t="shared" si="22"/>
        <v>0</v>
      </c>
      <c r="N36" s="315">
        <f t="shared" si="23"/>
        <v>2121600</v>
      </c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</row>
    <row r="37" spans="2:29" x14ac:dyDescent="0.25">
      <c r="J37" s="395" t="s">
        <v>478</v>
      </c>
      <c r="K37" s="333">
        <v>3900000</v>
      </c>
      <c r="L37" s="333">
        <v>3750000</v>
      </c>
      <c r="M37" s="334">
        <f t="shared" si="22"/>
        <v>150000</v>
      </c>
      <c r="N37" s="315">
        <f t="shared" si="23"/>
        <v>3750000</v>
      </c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</row>
    <row r="38" spans="2:29" x14ac:dyDescent="0.25">
      <c r="J38" s="395" t="s">
        <v>479</v>
      </c>
      <c r="K38" s="333">
        <v>3550000</v>
      </c>
      <c r="L38" s="333">
        <v>3100000</v>
      </c>
      <c r="M38" s="334">
        <f t="shared" si="22"/>
        <v>450000</v>
      </c>
      <c r="N38" s="315">
        <f t="shared" si="23"/>
        <v>3100000</v>
      </c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</row>
    <row r="39" spans="2:29" x14ac:dyDescent="0.25">
      <c r="J39" s="395" t="s">
        <v>480</v>
      </c>
      <c r="K39" s="333">
        <v>2040000</v>
      </c>
      <c r="L39" s="333">
        <v>3100000</v>
      </c>
      <c r="M39" s="334">
        <f t="shared" si="22"/>
        <v>0</v>
      </c>
      <c r="N39" s="315">
        <f t="shared" si="23"/>
        <v>2040000</v>
      </c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</row>
    <row r="40" spans="2:29" x14ac:dyDescent="0.25">
      <c r="J40" s="395" t="s">
        <v>481</v>
      </c>
      <c r="K40" s="333">
        <v>4689000</v>
      </c>
      <c r="L40" s="333">
        <v>5150000</v>
      </c>
      <c r="M40" s="334">
        <f t="shared" si="22"/>
        <v>0</v>
      </c>
      <c r="N40" s="315">
        <f t="shared" si="23"/>
        <v>4689000</v>
      </c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</row>
    <row r="41" spans="2:29" x14ac:dyDescent="0.25">
      <c r="J41" s="395" t="s">
        <v>482</v>
      </c>
      <c r="K41" s="333">
        <v>3852540</v>
      </c>
      <c r="L41" s="333">
        <v>5100000</v>
      </c>
      <c r="M41" s="334">
        <f t="shared" si="22"/>
        <v>0</v>
      </c>
      <c r="N41" s="315">
        <f t="shared" si="23"/>
        <v>3852540</v>
      </c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</row>
    <row r="42" spans="2:29" x14ac:dyDescent="0.25">
      <c r="J42" s="395" t="s">
        <v>483</v>
      </c>
      <c r="K42" s="333">
        <v>1887000</v>
      </c>
      <c r="L42" s="333">
        <v>7350000</v>
      </c>
      <c r="M42" s="334">
        <f t="shared" si="22"/>
        <v>0</v>
      </c>
      <c r="N42" s="315">
        <f t="shared" si="23"/>
        <v>1887000</v>
      </c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 spans="2:29" x14ac:dyDescent="0.25">
      <c r="J43" s="395" t="s">
        <v>484</v>
      </c>
      <c r="K43" s="333">
        <v>2327000</v>
      </c>
      <c r="L43" s="333">
        <v>5150000</v>
      </c>
      <c r="M43" s="334">
        <f t="shared" si="22"/>
        <v>0</v>
      </c>
      <c r="N43" s="315">
        <f t="shared" si="23"/>
        <v>2327000</v>
      </c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</row>
    <row r="44" spans="2:29" x14ac:dyDescent="0.25">
      <c r="J44" s="395" t="s">
        <v>486</v>
      </c>
      <c r="K44" s="333">
        <v>1308000</v>
      </c>
      <c r="L44" s="333">
        <v>5400000</v>
      </c>
      <c r="M44" s="334">
        <f t="shared" si="22"/>
        <v>0</v>
      </c>
      <c r="N44" s="315">
        <f t="shared" si="23"/>
        <v>1308000</v>
      </c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</row>
    <row r="45" spans="2:29" x14ac:dyDescent="0.25">
      <c r="J45" s="395" t="s">
        <v>487</v>
      </c>
      <c r="K45" s="333">
        <v>1548000</v>
      </c>
      <c r="L45" s="333">
        <v>5350000</v>
      </c>
      <c r="M45" s="334">
        <f t="shared" si="22"/>
        <v>0</v>
      </c>
      <c r="N45" s="315">
        <f t="shared" si="23"/>
        <v>1548000</v>
      </c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</row>
    <row r="46" spans="2:29" x14ac:dyDescent="0.25">
      <c r="J46" s="395" t="s">
        <v>488</v>
      </c>
      <c r="K46" s="333">
        <v>4162000</v>
      </c>
      <c r="L46" s="333">
        <v>2650000</v>
      </c>
      <c r="M46" s="334">
        <f t="shared" si="22"/>
        <v>1512000</v>
      </c>
      <c r="N46" s="315">
        <f t="shared" si="23"/>
        <v>2650000</v>
      </c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 spans="2:29" x14ac:dyDescent="0.25">
      <c r="J47" s="395" t="s">
        <v>489</v>
      </c>
      <c r="K47" s="333">
        <v>5380000</v>
      </c>
      <c r="L47" s="333">
        <v>3500000</v>
      </c>
      <c r="M47" s="334">
        <f t="shared" si="22"/>
        <v>1880000</v>
      </c>
      <c r="N47" s="315">
        <f t="shared" si="23"/>
        <v>3500000</v>
      </c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8" spans="2:29" x14ac:dyDescent="0.25">
      <c r="J48" s="395" t="s">
        <v>490</v>
      </c>
      <c r="K48" s="333">
        <v>2989620</v>
      </c>
      <c r="L48" s="333">
        <v>1200000</v>
      </c>
      <c r="M48" s="334">
        <f t="shared" si="22"/>
        <v>1789620</v>
      </c>
      <c r="N48" s="315">
        <f t="shared" si="23"/>
        <v>1200000</v>
      </c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</row>
    <row r="49" spans="10:29" x14ac:dyDescent="0.25">
      <c r="J49" s="395" t="s">
        <v>554</v>
      </c>
      <c r="K49" s="333">
        <v>9028110</v>
      </c>
      <c r="L49" s="333">
        <v>7350000</v>
      </c>
      <c r="M49" s="334">
        <f t="shared" si="22"/>
        <v>1678110</v>
      </c>
      <c r="N49" s="315">
        <f t="shared" si="23"/>
        <v>7350000</v>
      </c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</row>
    <row r="50" spans="10:29" x14ac:dyDescent="0.25">
      <c r="J50" s="243"/>
      <c r="K50" s="333"/>
      <c r="L50" s="333"/>
      <c r="M50" s="333"/>
      <c r="N50" s="334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</row>
    <row r="51" spans="10:29" x14ac:dyDescent="0.25">
      <c r="J51" s="243"/>
      <c r="K51" s="333"/>
      <c r="L51" s="333"/>
      <c r="M51" s="333"/>
      <c r="N51" s="334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</row>
    <row r="52" spans="10:29" x14ac:dyDescent="0.25">
      <c r="J52" s="243"/>
      <c r="K52" s="333"/>
      <c r="L52" s="333"/>
      <c r="M52" s="333"/>
      <c r="N52" s="334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</row>
    <row r="53" spans="10:29" x14ac:dyDescent="0.25">
      <c r="J53" s="243"/>
      <c r="K53" s="333"/>
      <c r="L53" s="333"/>
      <c r="M53" s="333"/>
      <c r="N53" s="334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</row>
    <row r="54" spans="10:29" x14ac:dyDescent="0.25">
      <c r="J54" s="243"/>
      <c r="K54" s="238"/>
      <c r="L54" s="243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  <c r="AB54" s="238"/>
      <c r="AC54" s="238"/>
    </row>
  </sheetData>
  <mergeCells count="2">
    <mergeCell ref="J11:J13"/>
    <mergeCell ref="J21:J23"/>
  </mergeCells>
  <conditionalFormatting sqref="C4:C6 C9">
    <cfRule type="cellIs" dxfId="33" priority="17" operator="greaterThan">
      <formula>0</formula>
    </cfRule>
    <cfRule type="cellIs" dxfId="32" priority="18" operator="lessThan">
      <formula>0</formula>
    </cfRule>
  </conditionalFormatting>
  <conditionalFormatting sqref="C13">
    <cfRule type="cellIs" dxfId="31" priority="15" operator="greaterThan">
      <formula>0</formula>
    </cfRule>
    <cfRule type="cellIs" dxfId="30" priority="16" operator="lessThan">
      <formula>0</formula>
    </cfRule>
  </conditionalFormatting>
  <conditionalFormatting sqref="C15:C23">
    <cfRule type="cellIs" dxfId="29" priority="9" operator="greaterThan">
      <formula>0</formula>
    </cfRule>
    <cfRule type="cellIs" dxfId="28" priority="10" operator="lessThan">
      <formula>0</formula>
    </cfRule>
  </conditionalFormatting>
  <conditionalFormatting sqref="C25">
    <cfRule type="cellIs" dxfId="27" priority="1" operator="greaterThan">
      <formula>0</formula>
    </cfRule>
    <cfRule type="cellIs" dxfId="26" priority="2" operator="lessThan">
      <formula>0</formula>
    </cfRule>
  </conditionalFormatting>
  <conditionalFormatting sqref="G4:G5">
    <cfRule type="cellIs" dxfId="25" priority="7" operator="greaterThan">
      <formula>0</formula>
    </cfRule>
    <cfRule type="cellIs" dxfId="24" priority="8" operator="lessThan">
      <formula>0</formula>
    </cfRule>
  </conditionalFormatting>
  <conditionalFormatting sqref="G8:G9"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G15:G26 C27:C30">
    <cfRule type="cellIs" dxfId="21" priority="25" operator="greaterThan">
      <formula>0</formula>
    </cfRule>
    <cfRule type="cellIs" dxfId="20" priority="26" operator="lessThan">
      <formula>0</formula>
    </cfRule>
  </conditionalFormatting>
  <conditionalFormatting sqref="AC31">
    <cfRule type="cellIs" dxfId="19" priority="33" operator="greaterThan">
      <formula>0</formula>
    </cfRule>
    <cfRule type="cellIs" dxfId="18" priority="3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Hall_of_Fame</vt:lpstr>
      <vt:lpstr>Fites</vt:lpstr>
      <vt:lpstr>HT-ListaJugadores</vt:lpstr>
      <vt:lpstr>PLANTILLA</vt:lpstr>
      <vt:lpstr>JUVENILES</vt:lpstr>
      <vt:lpstr>Capitan</vt:lpstr>
      <vt:lpstr>Calculadora_Tactica</vt:lpstr>
      <vt:lpstr>Patrocinadores</vt:lpstr>
      <vt:lpstr>ECONOMIA</vt:lpstr>
      <vt:lpstr>Planning_v3</vt:lpstr>
      <vt:lpstr>MajorLeague</vt:lpstr>
      <vt:lpstr>T78_III.7</vt:lpstr>
      <vt:lpstr>Evaluacion</vt:lpstr>
      <vt:lpstr>Estudio_Conversion_TL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Porta</cp:lastModifiedBy>
  <cp:revision>0</cp:revision>
  <dcterms:created xsi:type="dcterms:W3CDTF">2006-09-12T14:46:56Z</dcterms:created>
  <dcterms:modified xsi:type="dcterms:W3CDTF">2023-09-25T09:44:39Z</dcterms:modified>
</cp:coreProperties>
</file>