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/>
  <mc:AlternateContent xmlns:mc="http://schemas.openxmlformats.org/markup-compatibility/2006">
    <mc:Choice Requires="x15">
      <x15ac:absPath xmlns:x15ac="http://schemas.microsoft.com/office/spreadsheetml/2010/11/ac" url="C:\GitHub\HI\projects\current\hattrick\"/>
    </mc:Choice>
  </mc:AlternateContent>
  <xr:revisionPtr revIDLastSave="0" documentId="13_ncr:1_{0F62CAFA-9312-468C-A606-374D11248F76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SIMULADOR_v5" sheetId="31" r:id="rId1"/>
    <sheet name="SIMULADOR_v4" sheetId="10" r:id="rId2"/>
    <sheet name="Eventos" sheetId="32" r:id="rId3"/>
    <sheet name="SIMULADOR_sinJC" sheetId="8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smNativeData">
      <pm:revision xmlns:pm="smNativeData" day="1595253380" val="976" rev="124" rev64="64" revOS="3" revMin="124" revMax="0"/>
      <pm:docPrefs xmlns:pm="smNativeData" id="1595253380" fixedDigits="0" showNotice="1" showFrameBounds="1" autoChart="1" recalcOnPrint="1" recalcOnCopy="1" finalRounding="1" compatTextArt="1" tab="567" useDefinedPrintRange="1" printArea="currentSheet"/>
      <pm:compatibility xmlns:pm="smNativeData" id="1595253380" overlapCells="1"/>
      <pm:defCurrency xmlns:pm="smNativeData" id="1595253380"/>
    </ext>
  </extLst>
</workbook>
</file>

<file path=xl/calcChain.xml><?xml version="1.0" encoding="utf-8"?>
<calcChain xmlns="http://schemas.openxmlformats.org/spreadsheetml/2006/main">
  <c r="Q11" i="31" l="1"/>
  <c r="P11" i="31"/>
  <c r="W11" i="31" l="1"/>
  <c r="V11" i="31"/>
  <c r="W16" i="31" l="1"/>
  <c r="V16" i="31"/>
  <c r="R16" i="31"/>
  <c r="Q16" i="31"/>
  <c r="P16" i="31"/>
  <c r="C30" i="31"/>
  <c r="B30" i="31"/>
  <c r="C33" i="31" l="1"/>
  <c r="B33" i="31"/>
  <c r="U16" i="32" l="1"/>
  <c r="T16" i="32"/>
  <c r="X16" i="32" s="1"/>
  <c r="R16" i="32" l="1"/>
  <c r="U15" i="32"/>
  <c r="T15" i="32"/>
  <c r="R15" i="32"/>
  <c r="U14" i="32"/>
  <c r="T14" i="32"/>
  <c r="R14" i="32"/>
  <c r="U13" i="32"/>
  <c r="T13" i="32"/>
  <c r="R13" i="32"/>
  <c r="U12" i="32"/>
  <c r="T12" i="32"/>
  <c r="R12" i="32"/>
  <c r="R11" i="32"/>
  <c r="V11" i="32" s="1"/>
  <c r="U10" i="32"/>
  <c r="T10" i="32"/>
  <c r="R10" i="32"/>
  <c r="U9" i="32"/>
  <c r="T9" i="32"/>
  <c r="R9" i="32"/>
  <c r="U8" i="32"/>
  <c r="T8" i="32"/>
  <c r="R8" i="32"/>
  <c r="U7" i="32"/>
  <c r="T7" i="32"/>
  <c r="R7" i="32"/>
  <c r="U6" i="32"/>
  <c r="T6" i="32"/>
  <c r="R6" i="32"/>
  <c r="U5" i="32"/>
  <c r="T5" i="32"/>
  <c r="R5" i="32"/>
  <c r="U2" i="32"/>
  <c r="T2" i="32"/>
  <c r="V16" i="32" s="1"/>
  <c r="R2" i="32"/>
  <c r="Q1" i="31"/>
  <c r="P1" i="31"/>
  <c r="P15" i="31"/>
  <c r="Q6" i="31"/>
  <c r="E11" i="32"/>
  <c r="E12" i="32"/>
  <c r="E13" i="32"/>
  <c r="E14" i="32"/>
  <c r="B27" i="32" s="1"/>
  <c r="C33" i="32" s="1"/>
  <c r="D33" i="32" s="1"/>
  <c r="E33" i="32" s="1"/>
  <c r="E7" i="32"/>
  <c r="E8" i="32"/>
  <c r="E4" i="32"/>
  <c r="E5" i="32"/>
  <c r="E6" i="32"/>
  <c r="E3" i="32"/>
  <c r="V15" i="32" l="1"/>
  <c r="R3" i="32"/>
  <c r="V14" i="32"/>
  <c r="V9" i="32"/>
  <c r="V13" i="32"/>
  <c r="V10" i="32"/>
  <c r="V8" i="32"/>
  <c r="V12" i="32"/>
  <c r="V6" i="32"/>
  <c r="V7" i="32"/>
  <c r="V5" i="32"/>
  <c r="B26" i="32"/>
  <c r="C26" i="32" s="1"/>
  <c r="D26" i="32" s="1"/>
  <c r="E26" i="32" s="1"/>
  <c r="F26" i="32" s="1"/>
  <c r="B19" i="32"/>
  <c r="C19" i="32" s="1"/>
  <c r="D19" i="32" s="1"/>
  <c r="E19" i="32" s="1"/>
  <c r="F19" i="32" s="1"/>
  <c r="B25" i="32"/>
  <c r="F25" i="32" s="1"/>
  <c r="D17" i="32"/>
  <c r="C25" i="32"/>
  <c r="D25" i="32" s="1"/>
  <c r="E25" i="32" s="1"/>
  <c r="C32" i="32"/>
  <c r="D32" i="32" s="1"/>
  <c r="E32" i="32" s="1"/>
  <c r="C27" i="32"/>
  <c r="D27" i="32" s="1"/>
  <c r="E27" i="32" s="1"/>
  <c r="F27" i="32" s="1"/>
  <c r="BF48" i="31"/>
  <c r="BF47" i="31"/>
  <c r="BE45" i="31"/>
  <c r="BF46" i="31" s="1"/>
  <c r="BE44" i="31"/>
  <c r="BF45" i="31" s="1"/>
  <c r="BD44" i="31"/>
  <c r="BE43" i="31"/>
  <c r="BD43" i="31"/>
  <c r="BC43" i="31"/>
  <c r="BE42" i="31"/>
  <c r="BD42" i="31"/>
  <c r="BC42" i="31"/>
  <c r="BF41" i="31"/>
  <c r="BE41" i="31"/>
  <c r="BD41" i="31"/>
  <c r="BC41" i="31"/>
  <c r="BF40" i="31"/>
  <c r="BE40" i="31"/>
  <c r="BD40" i="31"/>
  <c r="BC40" i="31"/>
  <c r="BC39" i="31"/>
  <c r="AS38" i="31"/>
  <c r="AR38" i="31"/>
  <c r="AQ38" i="31"/>
  <c r="AP38" i="31"/>
  <c r="AO38" i="31"/>
  <c r="AN38" i="31"/>
  <c r="AM38" i="31"/>
  <c r="AL38" i="31"/>
  <c r="AK38" i="31"/>
  <c r="AJ38" i="31"/>
  <c r="AI38" i="31"/>
  <c r="AH38" i="31"/>
  <c r="AG38" i="31"/>
  <c r="AF38" i="31"/>
  <c r="AE38" i="31"/>
  <c r="AD38" i="31"/>
  <c r="AC38" i="31"/>
  <c r="AB38" i="31"/>
  <c r="AA38" i="31"/>
  <c r="Z38" i="31"/>
  <c r="Y38" i="31"/>
  <c r="X38" i="31"/>
  <c r="W38" i="31"/>
  <c r="V38" i="31"/>
  <c r="U38" i="31"/>
  <c r="T38" i="31"/>
  <c r="S38" i="31"/>
  <c r="R38" i="31"/>
  <c r="Q38" i="31"/>
  <c r="P38" i="31"/>
  <c r="O38" i="31"/>
  <c r="N38" i="31"/>
  <c r="M38" i="31"/>
  <c r="L38" i="31"/>
  <c r="K38" i="31"/>
  <c r="J38" i="31"/>
  <c r="I38" i="31"/>
  <c r="H38" i="31"/>
  <c r="G38" i="31"/>
  <c r="BF34" i="31"/>
  <c r="BF33" i="31"/>
  <c r="C32" i="31"/>
  <c r="B32" i="31"/>
  <c r="BE31" i="31"/>
  <c r="BF32" i="31" s="1"/>
  <c r="BI30" i="31"/>
  <c r="BI37" i="31" s="1"/>
  <c r="BI43" i="31" s="1"/>
  <c r="BI48" i="31" s="1"/>
  <c r="BI53" i="31" s="1"/>
  <c r="BI56" i="31" s="1"/>
  <c r="BI58" i="31" s="1"/>
  <c r="BI59" i="31" s="1"/>
  <c r="BE30" i="31"/>
  <c r="BD30" i="31"/>
  <c r="E30" i="31"/>
  <c r="D30" i="31"/>
  <c r="BI29" i="31"/>
  <c r="BI36" i="31" s="1"/>
  <c r="BI42" i="31" s="1"/>
  <c r="BI47" i="31" s="1"/>
  <c r="BI52" i="31" s="1"/>
  <c r="BI55" i="31" s="1"/>
  <c r="BI57" i="31" s="1"/>
  <c r="BM13" i="31" s="1"/>
  <c r="BE29" i="31"/>
  <c r="BD29" i="31"/>
  <c r="BC29" i="31"/>
  <c r="C29" i="31"/>
  <c r="B29" i="31"/>
  <c r="BI28" i="31"/>
  <c r="BI35" i="31" s="1"/>
  <c r="BI41" i="31" s="1"/>
  <c r="BI46" i="31" s="1"/>
  <c r="BI51" i="31" s="1"/>
  <c r="BI54" i="31" s="1"/>
  <c r="BM12" i="31" s="1"/>
  <c r="BQ47" i="31" s="1"/>
  <c r="BE28" i="31"/>
  <c r="BF29" i="31" s="1"/>
  <c r="BD28" i="31"/>
  <c r="BC28" i="31"/>
  <c r="BI27" i="31"/>
  <c r="BI34" i="31" s="1"/>
  <c r="BI40" i="31" s="1"/>
  <c r="BI45" i="31" s="1"/>
  <c r="BI50" i="31" s="1"/>
  <c r="BF27" i="31"/>
  <c r="BE27" i="31"/>
  <c r="BF28" i="31" s="1"/>
  <c r="BD27" i="31"/>
  <c r="BC27" i="31"/>
  <c r="C27" i="31"/>
  <c r="B27" i="31"/>
  <c r="BI26" i="31"/>
  <c r="BI33" i="31" s="1"/>
  <c r="BI39" i="31" s="1"/>
  <c r="BI44" i="31" s="1"/>
  <c r="BM10" i="31" s="1"/>
  <c r="BQ30" i="31" s="1"/>
  <c r="BQ37" i="31" s="1"/>
  <c r="BQ45" i="31" s="1"/>
  <c r="BF26" i="31"/>
  <c r="BE26" i="31"/>
  <c r="BD26" i="31"/>
  <c r="BC26" i="31"/>
  <c r="E26" i="31"/>
  <c r="E27" i="31" s="1"/>
  <c r="D26" i="31"/>
  <c r="C26" i="31"/>
  <c r="B26" i="31"/>
  <c r="BI25" i="31"/>
  <c r="BI32" i="31" s="1"/>
  <c r="BI38" i="31" s="1"/>
  <c r="BM9" i="31" s="1"/>
  <c r="BQ23" i="31" s="1"/>
  <c r="BQ29" i="31" s="1"/>
  <c r="BQ36" i="31" s="1"/>
  <c r="BQ44" i="31" s="1"/>
  <c r="BC25" i="31"/>
  <c r="E25" i="31"/>
  <c r="D25" i="31"/>
  <c r="C25" i="31"/>
  <c r="B25" i="31"/>
  <c r="BI24" i="31"/>
  <c r="BI31" i="31" s="1"/>
  <c r="BM8" i="31" s="1"/>
  <c r="BI23" i="31"/>
  <c r="B22" i="31"/>
  <c r="C22" i="31" s="1"/>
  <c r="B20" i="31"/>
  <c r="B21" i="31" s="1"/>
  <c r="BQ18" i="31"/>
  <c r="BQ22" i="31" s="1"/>
  <c r="BQ28" i="31" s="1"/>
  <c r="BQ35" i="31" s="1"/>
  <c r="BQ43" i="31" s="1"/>
  <c r="W15" i="31"/>
  <c r="V15" i="31"/>
  <c r="Q15" i="31"/>
  <c r="R15" i="31" s="1"/>
  <c r="W14" i="31"/>
  <c r="V14" i="31"/>
  <c r="Q14" i="31"/>
  <c r="P14" i="31"/>
  <c r="Q13" i="31"/>
  <c r="P13" i="31"/>
  <c r="W12" i="31"/>
  <c r="V12" i="31"/>
  <c r="Q12" i="31"/>
  <c r="P12" i="31"/>
  <c r="BM11" i="31"/>
  <c r="BQ38" i="31" s="1"/>
  <c r="BQ46" i="31" s="1"/>
  <c r="W10" i="31"/>
  <c r="V10" i="31"/>
  <c r="W9" i="31"/>
  <c r="V9" i="31"/>
  <c r="Q9" i="31"/>
  <c r="P9" i="31"/>
  <c r="W8" i="31"/>
  <c r="V8" i="31"/>
  <c r="Q8" i="31"/>
  <c r="P8" i="31"/>
  <c r="BM7" i="31"/>
  <c r="BQ13" i="31" s="1"/>
  <c r="BQ17" i="31" s="1"/>
  <c r="BQ21" i="31" s="1"/>
  <c r="BQ27" i="31" s="1"/>
  <c r="BQ34" i="31" s="1"/>
  <c r="BQ42" i="31" s="1"/>
  <c r="W7" i="31"/>
  <c r="V7" i="31"/>
  <c r="Q7" i="31"/>
  <c r="P7" i="31"/>
  <c r="BQ6" i="31"/>
  <c r="BQ8" i="31" s="1"/>
  <c r="BQ11" i="31" s="1"/>
  <c r="BQ15" i="31" s="1"/>
  <c r="BQ19" i="31" s="1"/>
  <c r="BQ25" i="31" s="1"/>
  <c r="BQ32" i="31" s="1"/>
  <c r="BQ40" i="31" s="1"/>
  <c r="BM6" i="31"/>
  <c r="BQ9" i="31" s="1"/>
  <c r="BQ12" i="31" s="1"/>
  <c r="BQ16" i="31" s="1"/>
  <c r="BQ20" i="31" s="1"/>
  <c r="BQ26" i="31" s="1"/>
  <c r="BQ33" i="31" s="1"/>
  <c r="BQ41" i="31" s="1"/>
  <c r="W6" i="31"/>
  <c r="V6" i="31"/>
  <c r="P6" i="31"/>
  <c r="BQ5" i="31"/>
  <c r="BQ7" i="31" s="1"/>
  <c r="BQ10" i="31" s="1"/>
  <c r="BQ14" i="31" s="1"/>
  <c r="BI49" i="31" s="1"/>
  <c r="BQ24" i="31" s="1"/>
  <c r="BQ31" i="31" s="1"/>
  <c r="BQ39" i="31" s="1"/>
  <c r="BM14" i="31" s="1"/>
  <c r="W5" i="31"/>
  <c r="V5" i="31"/>
  <c r="Q5" i="31"/>
  <c r="P5" i="31"/>
  <c r="W4" i="31"/>
  <c r="V4" i="31"/>
  <c r="Q4" i="31"/>
  <c r="P4" i="31"/>
  <c r="D3" i="31"/>
  <c r="N1" i="31"/>
  <c r="N11" i="31" s="1"/>
  <c r="BF42" i="31" l="1"/>
  <c r="BF31" i="31"/>
  <c r="BF44" i="31"/>
  <c r="BF43" i="31"/>
  <c r="BF30" i="31"/>
  <c r="E23" i="31"/>
  <c r="N5" i="31"/>
  <c r="R5" i="31" s="1"/>
  <c r="N12" i="31"/>
  <c r="R12" i="31" s="1"/>
  <c r="N4" i="31"/>
  <c r="R4" i="31" s="1"/>
  <c r="N7" i="31"/>
  <c r="N6" i="31"/>
  <c r="V3" i="32"/>
  <c r="W16" i="32" s="1"/>
  <c r="C31" i="32"/>
  <c r="D31" i="32" s="1"/>
  <c r="E31" i="32" s="1"/>
  <c r="B23" i="31"/>
  <c r="G14" i="31"/>
  <c r="G13" i="31"/>
  <c r="R6" i="31"/>
  <c r="R11" i="31"/>
  <c r="N9" i="31"/>
  <c r="R9" i="31" s="1"/>
  <c r="D27" i="31"/>
  <c r="D23" i="31" s="1"/>
  <c r="N10" i="31"/>
  <c r="R10" i="31" s="1"/>
  <c r="C31" i="31"/>
  <c r="W39" i="31" s="1"/>
  <c r="R7" i="31"/>
  <c r="N15" i="31"/>
  <c r="N14" i="31"/>
  <c r="R14" i="31" s="1"/>
  <c r="N13" i="31"/>
  <c r="R13" i="31" s="1"/>
  <c r="N8" i="31"/>
  <c r="B24" i="31" l="1"/>
  <c r="N30" i="31" s="1"/>
  <c r="P30" i="31" s="1"/>
  <c r="R35" i="31" s="1"/>
  <c r="C23" i="31"/>
  <c r="T29" i="31" s="1"/>
  <c r="N26" i="31"/>
  <c r="P26" i="31" s="1"/>
  <c r="B34" i="31"/>
  <c r="N2" i="31"/>
  <c r="W6" i="32"/>
  <c r="X6" i="32" s="1"/>
  <c r="Y16" i="32"/>
  <c r="W10" i="32"/>
  <c r="X10" i="32" s="1"/>
  <c r="W13" i="32"/>
  <c r="X13" i="32" s="1"/>
  <c r="W8" i="32"/>
  <c r="Y8" i="32" s="1"/>
  <c r="W11" i="32"/>
  <c r="X11" i="32" s="1"/>
  <c r="W9" i="32"/>
  <c r="X9" i="32" s="1"/>
  <c r="W7" i="32"/>
  <c r="X7" i="32" s="1"/>
  <c r="W15" i="32"/>
  <c r="X15" i="32" s="1"/>
  <c r="W5" i="32"/>
  <c r="Y5" i="32" s="1"/>
  <c r="W14" i="32"/>
  <c r="X14" i="32" s="1"/>
  <c r="W12" i="32"/>
  <c r="X12" i="32" s="1"/>
  <c r="R8" i="31"/>
  <c r="B31" i="31"/>
  <c r="C34" i="31"/>
  <c r="U16" i="31" s="1"/>
  <c r="Y16" i="31" s="1"/>
  <c r="AG16" i="31" s="1"/>
  <c r="T26" i="31"/>
  <c r="T30" i="31"/>
  <c r="T33" i="31" l="1"/>
  <c r="T28" i="31"/>
  <c r="T34" i="31"/>
  <c r="T35" i="31"/>
  <c r="N29" i="31"/>
  <c r="P29" i="31" s="1"/>
  <c r="R34" i="31" s="1"/>
  <c r="T31" i="31"/>
  <c r="T32" i="31"/>
  <c r="N28" i="31"/>
  <c r="P28" i="31" s="1"/>
  <c r="C24" i="31"/>
  <c r="N44" i="31" s="1"/>
  <c r="P44" i="31" s="1"/>
  <c r="N27" i="31"/>
  <c r="P27" i="31" s="1"/>
  <c r="R31" i="31" s="1"/>
  <c r="N25" i="31"/>
  <c r="P25" i="31" s="1"/>
  <c r="R26" i="31" s="1"/>
  <c r="AJ16" i="31"/>
  <c r="AH16" i="31"/>
  <c r="T16" i="31"/>
  <c r="X16" i="31" s="1"/>
  <c r="AA16" i="31" s="1"/>
  <c r="R33" i="31"/>
  <c r="T25" i="31"/>
  <c r="T27" i="31"/>
  <c r="Y6" i="32"/>
  <c r="Y7" i="32"/>
  <c r="Y9" i="32"/>
  <c r="Y10" i="32"/>
  <c r="Y12" i="32"/>
  <c r="X8" i="32"/>
  <c r="Y15" i="32"/>
  <c r="Y11" i="32"/>
  <c r="Y14" i="32"/>
  <c r="Y13" i="32"/>
  <c r="W3" i="32"/>
  <c r="X5" i="32"/>
  <c r="W25" i="31"/>
  <c r="T39" i="31"/>
  <c r="T41" i="31"/>
  <c r="T49" i="31"/>
  <c r="T43" i="31"/>
  <c r="T40" i="31"/>
  <c r="T45" i="31"/>
  <c r="T48" i="31"/>
  <c r="T44" i="31"/>
  <c r="T46" i="31"/>
  <c r="T47" i="31"/>
  <c r="T42" i="31"/>
  <c r="R25" i="31"/>
  <c r="P23" i="31"/>
  <c r="N43" i="31"/>
  <c r="P43" i="31" s="1"/>
  <c r="N41" i="31"/>
  <c r="P41" i="31" s="1"/>
  <c r="R2" i="31"/>
  <c r="S16" i="31" s="1"/>
  <c r="R32" i="31" l="1"/>
  <c r="R29" i="31"/>
  <c r="R30" i="31"/>
  <c r="R27" i="31"/>
  <c r="V27" i="31" s="1"/>
  <c r="AC25" i="31" s="1"/>
  <c r="N23" i="31"/>
  <c r="R28" i="31"/>
  <c r="N42" i="31"/>
  <c r="P42" i="31" s="1"/>
  <c r="N39" i="31"/>
  <c r="N40" i="31"/>
  <c r="P40" i="31" s="1"/>
  <c r="T23" i="31"/>
  <c r="AD16" i="31"/>
  <c r="AB16" i="31"/>
  <c r="X3" i="32"/>
  <c r="Y3" i="32"/>
  <c r="V26" i="31"/>
  <c r="V29" i="31"/>
  <c r="AG25" i="31" s="1"/>
  <c r="V33" i="31"/>
  <c r="AO33" i="31" s="1"/>
  <c r="S14" i="31"/>
  <c r="S10" i="31"/>
  <c r="S9" i="31"/>
  <c r="S15" i="31"/>
  <c r="S11" i="31"/>
  <c r="S4" i="31"/>
  <c r="S5" i="31"/>
  <c r="S13" i="31"/>
  <c r="S6" i="31"/>
  <c r="S12" i="31"/>
  <c r="S7" i="31"/>
  <c r="R47" i="31"/>
  <c r="R48" i="31"/>
  <c r="R49" i="31"/>
  <c r="S8" i="31"/>
  <c r="V34" i="31"/>
  <c r="AQ31" i="31" s="1"/>
  <c r="R23" i="31"/>
  <c r="V25" i="31"/>
  <c r="T37" i="31"/>
  <c r="V31" i="31"/>
  <c r="AK26" i="31" s="1"/>
  <c r="P39" i="31"/>
  <c r="R44" i="31" s="1"/>
  <c r="N37" i="31"/>
  <c r="V30" i="31"/>
  <c r="AI29" i="31" s="1"/>
  <c r="V28" i="31"/>
  <c r="AE27" i="31" s="1"/>
  <c r="V32" i="31"/>
  <c r="AM25" i="31" s="1"/>
  <c r="R45" i="31" l="1"/>
  <c r="AG28" i="31"/>
  <c r="R46" i="31"/>
  <c r="U11" i="31"/>
  <c r="Y11" i="31" s="1"/>
  <c r="AG11" i="31" s="1"/>
  <c r="T11" i="31"/>
  <c r="X11" i="31" s="1"/>
  <c r="AA11" i="31" s="1"/>
  <c r="AG27" i="31"/>
  <c r="AQ33" i="31"/>
  <c r="AC26" i="31"/>
  <c r="AK31" i="31"/>
  <c r="AG29" i="31"/>
  <c r="AG26" i="31"/>
  <c r="AA25" i="31"/>
  <c r="AK30" i="31"/>
  <c r="AK27" i="31"/>
  <c r="AA26" i="31"/>
  <c r="AO30" i="31"/>
  <c r="R40" i="31"/>
  <c r="R41" i="31"/>
  <c r="R42" i="31"/>
  <c r="AC27" i="31"/>
  <c r="AQ30" i="31"/>
  <c r="AM32" i="31"/>
  <c r="AQ32" i="31"/>
  <c r="AQ25" i="31"/>
  <c r="AQ27" i="31"/>
  <c r="AQ28" i="31"/>
  <c r="AQ26" i="31"/>
  <c r="AQ34" i="31"/>
  <c r="AQ29" i="31"/>
  <c r="U13" i="31"/>
  <c r="Y13" i="31" s="1"/>
  <c r="AG13" i="31" s="1"/>
  <c r="T13" i="31"/>
  <c r="X13" i="31" s="1"/>
  <c r="AA13" i="31" s="1"/>
  <c r="U15" i="31"/>
  <c r="Y15" i="31" s="1"/>
  <c r="AG15" i="31" s="1"/>
  <c r="AJ15" i="31" s="1"/>
  <c r="T15" i="31"/>
  <c r="X15" i="31" s="1"/>
  <c r="AA15" i="31" s="1"/>
  <c r="T7" i="31"/>
  <c r="X7" i="31" s="1"/>
  <c r="AA7" i="31" s="1"/>
  <c r="U7" i="31"/>
  <c r="Y7" i="31" s="1"/>
  <c r="AG7" i="31" s="1"/>
  <c r="U9" i="31"/>
  <c r="Y9" i="31" s="1"/>
  <c r="AG9" i="31" s="1"/>
  <c r="T9" i="31"/>
  <c r="X9" i="31" s="1"/>
  <c r="AA9" i="31" s="1"/>
  <c r="T12" i="31"/>
  <c r="X12" i="31" s="1"/>
  <c r="AA12" i="31" s="1"/>
  <c r="U12" i="31"/>
  <c r="Y12" i="31" s="1"/>
  <c r="AG12" i="31" s="1"/>
  <c r="T6" i="31"/>
  <c r="X6" i="31" s="1"/>
  <c r="AA6" i="31" s="1"/>
  <c r="U6" i="31"/>
  <c r="Y6" i="31" s="1"/>
  <c r="AG6" i="31" s="1"/>
  <c r="T14" i="31"/>
  <c r="X14" i="31" s="1"/>
  <c r="AA14" i="31" s="1"/>
  <c r="U14" i="31"/>
  <c r="Y14" i="31" s="1"/>
  <c r="AG14" i="31" s="1"/>
  <c r="U8" i="31"/>
  <c r="Y8" i="31" s="1"/>
  <c r="AG8" i="31" s="1"/>
  <c r="T8" i="31"/>
  <c r="X8" i="31" s="1"/>
  <c r="AA8" i="31" s="1"/>
  <c r="U5" i="31"/>
  <c r="Y5" i="31" s="1"/>
  <c r="AG5" i="31" s="1"/>
  <c r="T5" i="31"/>
  <c r="X5" i="31" s="1"/>
  <c r="AA5" i="31" s="1"/>
  <c r="U4" i="31"/>
  <c r="T4" i="31"/>
  <c r="AO32" i="31"/>
  <c r="AO25" i="31"/>
  <c r="AO31" i="31"/>
  <c r="AO27" i="31"/>
  <c r="AO28" i="31"/>
  <c r="AO29" i="31"/>
  <c r="AM31" i="31"/>
  <c r="AO26" i="31"/>
  <c r="AM28" i="31"/>
  <c r="AM29" i="31"/>
  <c r="AE28" i="31"/>
  <c r="AM27" i="31"/>
  <c r="S2" i="31"/>
  <c r="AE26" i="31"/>
  <c r="AK28" i="31"/>
  <c r="AK25" i="31"/>
  <c r="AM26" i="31"/>
  <c r="AI27" i="31"/>
  <c r="AK29" i="31"/>
  <c r="AE25" i="31"/>
  <c r="Y25" i="31"/>
  <c r="V23" i="31"/>
  <c r="V35" i="31" s="1"/>
  <c r="V22" i="31" s="1"/>
  <c r="U10" i="31"/>
  <c r="Y10" i="31" s="1"/>
  <c r="AG10" i="31" s="1"/>
  <c r="T10" i="31"/>
  <c r="X10" i="31" s="1"/>
  <c r="AA10" i="31" s="1"/>
  <c r="AI30" i="31"/>
  <c r="AI28" i="31"/>
  <c r="AM30" i="31"/>
  <c r="AI26" i="31"/>
  <c r="AI25" i="31"/>
  <c r="P37" i="31"/>
  <c r="R39" i="31"/>
  <c r="R43" i="31"/>
  <c r="AG23" i="31" l="1"/>
  <c r="V40" i="31"/>
  <c r="AA40" i="31" s="1"/>
  <c r="AC23" i="31"/>
  <c r="AA23" i="31"/>
  <c r="AB14" i="31"/>
  <c r="AB7" i="31"/>
  <c r="AB11" i="31"/>
  <c r="AB10" i="31"/>
  <c r="AB15" i="31"/>
  <c r="AB13" i="31"/>
  <c r="AB12" i="31"/>
  <c r="AB6" i="31"/>
  <c r="AB5" i="31"/>
  <c r="AB8" i="31"/>
  <c r="AB9" i="31"/>
  <c r="U2" i="31"/>
  <c r="T2" i="31"/>
  <c r="AQ23" i="31"/>
  <c r="AE23" i="31"/>
  <c r="AO23" i="31"/>
  <c r="AM23" i="31"/>
  <c r="AH7" i="31"/>
  <c r="AH6" i="31"/>
  <c r="AH8" i="31"/>
  <c r="V41" i="31"/>
  <c r="AH11" i="31"/>
  <c r="AS31" i="31"/>
  <c r="J31" i="31" s="1"/>
  <c r="AS25" i="31"/>
  <c r="AS28" i="31"/>
  <c r="J28" i="31" s="1"/>
  <c r="AS30" i="31"/>
  <c r="J30" i="31" s="1"/>
  <c r="AS26" i="31"/>
  <c r="J26" i="31" s="1"/>
  <c r="AS29" i="31"/>
  <c r="J29" i="31" s="1"/>
  <c r="AS35" i="31"/>
  <c r="J35" i="31" s="1"/>
  <c r="AS27" i="31"/>
  <c r="J27" i="31" s="1"/>
  <c r="AS32" i="31"/>
  <c r="J32" i="31" s="1"/>
  <c r="AS33" i="31"/>
  <c r="J33" i="31" s="1"/>
  <c r="AS34" i="31"/>
  <c r="J34" i="31" s="1"/>
  <c r="AH15" i="31"/>
  <c r="AI23" i="31"/>
  <c r="Y23" i="31"/>
  <c r="AK23" i="31"/>
  <c r="AH5" i="31"/>
  <c r="AH10" i="31"/>
  <c r="Y4" i="31"/>
  <c r="Y2" i="31" s="1"/>
  <c r="AH13" i="31"/>
  <c r="AH14" i="31"/>
  <c r="R37" i="31"/>
  <c r="V39" i="31"/>
  <c r="V48" i="31"/>
  <c r="V45" i="31"/>
  <c r="V44" i="31"/>
  <c r="V47" i="31"/>
  <c r="V46" i="31"/>
  <c r="V43" i="31"/>
  <c r="V42" i="31"/>
  <c r="AH12" i="31"/>
  <c r="AH9" i="31"/>
  <c r="X4" i="31"/>
  <c r="AA39" i="31" l="1"/>
  <c r="AA37" i="31" s="1"/>
  <c r="X2" i="31"/>
  <c r="AA4" i="31"/>
  <c r="AD4" i="31" s="1"/>
  <c r="AM39" i="31"/>
  <c r="AM45" i="31"/>
  <c r="AM46" i="31"/>
  <c r="AM43" i="31"/>
  <c r="AM44" i="31"/>
  <c r="AM41" i="31"/>
  <c r="AM42" i="31"/>
  <c r="AM40" i="31"/>
  <c r="AO41" i="31"/>
  <c r="AO40" i="31"/>
  <c r="AO46" i="31"/>
  <c r="AO44" i="31"/>
  <c r="AO39" i="31"/>
  <c r="AO45" i="31"/>
  <c r="AO42" i="31"/>
  <c r="AO47" i="31"/>
  <c r="AO43" i="31"/>
  <c r="AS23" i="31"/>
  <c r="AS22" i="31" s="1"/>
  <c r="AC41" i="31"/>
  <c r="AC40" i="31"/>
  <c r="AC39" i="31"/>
  <c r="AI39" i="31"/>
  <c r="AI42" i="31"/>
  <c r="AI40" i="31"/>
  <c r="AI44" i="31"/>
  <c r="AI43" i="31"/>
  <c r="AI41" i="31"/>
  <c r="AK39" i="31"/>
  <c r="AK43" i="31"/>
  <c r="AK44" i="31"/>
  <c r="AK45" i="31"/>
  <c r="AK42" i="31"/>
  <c r="AK41" i="31"/>
  <c r="AK40" i="31"/>
  <c r="AQ48" i="31"/>
  <c r="AQ43" i="31"/>
  <c r="AQ40" i="31"/>
  <c r="AQ44" i="31"/>
  <c r="AQ45" i="31"/>
  <c r="AQ39" i="31"/>
  <c r="AQ46" i="31"/>
  <c r="AQ47" i="31"/>
  <c r="AQ42" i="31"/>
  <c r="AQ41" i="31"/>
  <c r="AG4" i="31"/>
  <c r="AJ4" i="31" s="1"/>
  <c r="AE39" i="31"/>
  <c r="AE40" i="31"/>
  <c r="AE42" i="31"/>
  <c r="AE41" i="31"/>
  <c r="V37" i="31"/>
  <c r="V49" i="31" s="1"/>
  <c r="Y39" i="31"/>
  <c r="AG39" i="31"/>
  <c r="AG43" i="31"/>
  <c r="AG41" i="31"/>
  <c r="AG42" i="31"/>
  <c r="AG40" i="31"/>
  <c r="J25" i="31"/>
  <c r="J23" i="31" s="1"/>
  <c r="AB4" i="31" l="1"/>
  <c r="AC4" i="31"/>
  <c r="AG37" i="31"/>
  <c r="AK37" i="31"/>
  <c r="AS40" i="31"/>
  <c r="J40" i="31" s="1"/>
  <c r="AS46" i="31"/>
  <c r="J46" i="31" s="1"/>
  <c r="AS47" i="31"/>
  <c r="J47" i="31" s="1"/>
  <c r="AS39" i="31"/>
  <c r="AS48" i="31"/>
  <c r="J48" i="31" s="1"/>
  <c r="AS44" i="31"/>
  <c r="J44" i="31" s="1"/>
  <c r="AS45" i="31"/>
  <c r="J45" i="31" s="1"/>
  <c r="AS49" i="31"/>
  <c r="J49" i="31" s="1"/>
  <c r="AS42" i="31"/>
  <c r="J42" i="31" s="1"/>
  <c r="AS43" i="31"/>
  <c r="J43" i="31" s="1"/>
  <c r="AS41" i="31"/>
  <c r="J41" i="31" s="1"/>
  <c r="AM37" i="31"/>
  <c r="V36" i="31"/>
  <c r="AI37" i="31"/>
  <c r="Y37" i="31"/>
  <c r="AQ37" i="31"/>
  <c r="AH4" i="31"/>
  <c r="AI4" i="31"/>
  <c r="AC37" i="31"/>
  <c r="AO37" i="31"/>
  <c r="AE37" i="31"/>
  <c r="AI16" i="31" l="1"/>
  <c r="AJ7" i="31"/>
  <c r="AJ12" i="31"/>
  <c r="AJ11" i="31"/>
  <c r="AJ8" i="31"/>
  <c r="AJ6" i="31"/>
  <c r="AJ14" i="31"/>
  <c r="AJ9" i="31"/>
  <c r="AJ10" i="31"/>
  <c r="AJ13" i="31"/>
  <c r="AJ5" i="31"/>
  <c r="AD9" i="31"/>
  <c r="AD5" i="31"/>
  <c r="AD13" i="31"/>
  <c r="AD10" i="31"/>
  <c r="AD12" i="31"/>
  <c r="AD15" i="31"/>
  <c r="AD7" i="31"/>
  <c r="AD11" i="31"/>
  <c r="AD6" i="31"/>
  <c r="AD14" i="31"/>
  <c r="AD8" i="31"/>
  <c r="AC16" i="31"/>
  <c r="AC15" i="31"/>
  <c r="AC5" i="31"/>
  <c r="AC14" i="31"/>
  <c r="AC8" i="31"/>
  <c r="AC12" i="31"/>
  <c r="AC10" i="31"/>
  <c r="AC13" i="31"/>
  <c r="AB18" i="31"/>
  <c r="AC11" i="31"/>
  <c r="AC6" i="31"/>
  <c r="AC9" i="31"/>
  <c r="AC7" i="31"/>
  <c r="AH18" i="31"/>
  <c r="AI10" i="31"/>
  <c r="AI11" i="31"/>
  <c r="AI5" i="31"/>
  <c r="AI9" i="31"/>
  <c r="AI7" i="31"/>
  <c r="AI14" i="31"/>
  <c r="AI8" i="31"/>
  <c r="AI15" i="31"/>
  <c r="AI12" i="31"/>
  <c r="AI6" i="31"/>
  <c r="AI13" i="31"/>
  <c r="AS37" i="31"/>
  <c r="AS36" i="31" s="1"/>
  <c r="J39" i="31"/>
  <c r="J37" i="31" s="1"/>
  <c r="L25" i="31" l="1"/>
  <c r="H25" i="31" s="1"/>
  <c r="AC18" i="31"/>
  <c r="L26" i="31" s="1"/>
  <c r="H26" i="31" s="1"/>
  <c r="AD18" i="31"/>
  <c r="L27" i="31" s="1"/>
  <c r="AJ18" i="31"/>
  <c r="L41" i="31" s="1"/>
  <c r="AI18" i="31"/>
  <c r="L40" i="31" s="1"/>
  <c r="L39" i="31"/>
  <c r="AE18" i="31" l="1"/>
  <c r="AK18" i="31"/>
  <c r="H27" i="31"/>
  <c r="L28" i="31"/>
  <c r="H31" i="31" s="1"/>
  <c r="L42" i="31"/>
  <c r="H49" i="31" s="1"/>
  <c r="H41" i="31"/>
  <c r="H40" i="31"/>
  <c r="H39" i="31"/>
  <c r="H44" i="31" l="1"/>
  <c r="BS23" i="31" s="1"/>
  <c r="H32" i="31"/>
  <c r="BS24" i="31" s="1"/>
  <c r="H34" i="31"/>
  <c r="BS39" i="31" s="1"/>
  <c r="H29" i="31"/>
  <c r="BS11" i="31" s="1"/>
  <c r="H35" i="31"/>
  <c r="BO14" i="31" s="1"/>
  <c r="H30" i="31"/>
  <c r="BS15" i="31" s="1"/>
  <c r="L23" i="31"/>
  <c r="H33" i="31"/>
  <c r="BS33" i="31" s="1"/>
  <c r="H28" i="31"/>
  <c r="BK37" i="31" s="1"/>
  <c r="H48" i="31"/>
  <c r="H47" i="31"/>
  <c r="BK28" i="31" s="1"/>
  <c r="H43" i="31"/>
  <c r="L37" i="31"/>
  <c r="H45" i="31"/>
  <c r="H46" i="31"/>
  <c r="BK10" i="31" s="1"/>
  <c r="H42" i="31"/>
  <c r="BK49" i="31"/>
  <c r="BS5" i="31"/>
  <c r="BS4" i="31"/>
  <c r="BO4" i="31"/>
  <c r="BS6" i="31"/>
  <c r="BO5" i="31"/>
  <c r="BK4" i="31"/>
  <c r="BS19" i="31"/>
  <c r="BK13" i="31"/>
  <c r="BK53" i="31"/>
  <c r="BK22" i="31"/>
  <c r="BK30" i="31"/>
  <c r="BK14" i="31"/>
  <c r="BK5" i="31"/>
  <c r="BO6" i="31"/>
  <c r="BS20" i="31"/>
  <c r="BS43" i="31" l="1"/>
  <c r="BS10" i="31"/>
  <c r="BS41" i="31"/>
  <c r="BK59" i="31"/>
  <c r="BK43" i="31"/>
  <c r="BS40" i="31"/>
  <c r="BS12" i="31"/>
  <c r="BS16" i="31"/>
  <c r="BK48" i="31"/>
  <c r="BK44" i="31"/>
  <c r="BS26" i="31"/>
  <c r="BK56" i="31"/>
  <c r="BS25" i="31"/>
  <c r="BK47" i="31"/>
  <c r="BK58" i="31"/>
  <c r="BS31" i="31"/>
  <c r="BS14" i="31"/>
  <c r="BS32" i="31"/>
  <c r="BS34" i="31"/>
  <c r="H23" i="31"/>
  <c r="BS9" i="31"/>
  <c r="BS7" i="31"/>
  <c r="BS8" i="31"/>
  <c r="BS22" i="31"/>
  <c r="BO8" i="31"/>
  <c r="BS28" i="31"/>
  <c r="BS18" i="31"/>
  <c r="BK7" i="31"/>
  <c r="BK31" i="31"/>
  <c r="BK17" i="31"/>
  <c r="BS42" i="31"/>
  <c r="BS35" i="31"/>
  <c r="BK24" i="31"/>
  <c r="BK16" i="31"/>
  <c r="BK45" i="31"/>
  <c r="BK15" i="31"/>
  <c r="BK40" i="31"/>
  <c r="BS37" i="31"/>
  <c r="BK54" i="31"/>
  <c r="BK51" i="31"/>
  <c r="BK36" i="31"/>
  <c r="BO12" i="31"/>
  <c r="BK20" i="31"/>
  <c r="BK11" i="31"/>
  <c r="BS47" i="31"/>
  <c r="BK46" i="31"/>
  <c r="BK35" i="31"/>
  <c r="BK55" i="31"/>
  <c r="BK29" i="31"/>
  <c r="BO10" i="31"/>
  <c r="BK21" i="31"/>
  <c r="BK34" i="31"/>
  <c r="BK50" i="31"/>
  <c r="BK52" i="31"/>
  <c r="BK12" i="31"/>
  <c r="BK57" i="31"/>
  <c r="BS21" i="31"/>
  <c r="BO13" i="31"/>
  <c r="BK42" i="31"/>
  <c r="BS46" i="31"/>
  <c r="BK23" i="31"/>
  <c r="BK41" i="31"/>
  <c r="BO11" i="31"/>
  <c r="BS17" i="31"/>
  <c r="BK9" i="31"/>
  <c r="H37" i="31"/>
  <c r="BS44" i="31"/>
  <c r="BS27" i="31"/>
  <c r="BS45" i="31"/>
  <c r="BK26" i="31"/>
  <c r="BK25" i="31"/>
  <c r="BS36" i="31"/>
  <c r="BK27" i="31"/>
  <c r="BS29" i="31"/>
  <c r="BK8" i="31"/>
  <c r="BS13" i="31"/>
  <c r="BK18" i="31"/>
  <c r="BK33" i="31"/>
  <c r="BO9" i="31"/>
  <c r="BS38" i="31"/>
  <c r="BK39" i="31"/>
  <c r="BK6" i="31"/>
  <c r="BS30" i="31"/>
  <c r="BK38" i="31"/>
  <c r="BK19" i="31"/>
  <c r="BO7" i="31"/>
  <c r="BK32" i="31"/>
  <c r="B38" i="31" l="1"/>
  <c r="B36" i="31"/>
  <c r="B37" i="31"/>
  <c r="Q15" i="10" l="1"/>
  <c r="P15" i="10"/>
  <c r="N1" i="10" l="1"/>
  <c r="N7" i="10" s="1"/>
  <c r="AA15" i="10"/>
  <c r="W12" i="10"/>
  <c r="V12" i="10"/>
  <c r="W10" i="10"/>
  <c r="V10" i="10"/>
  <c r="W7" i="10"/>
  <c r="V7" i="10"/>
  <c r="W6" i="10"/>
  <c r="V6" i="10"/>
  <c r="W15" i="10"/>
  <c r="V15" i="10"/>
  <c r="W14" i="10"/>
  <c r="V14" i="10"/>
  <c r="W13" i="10"/>
  <c r="V13" i="10"/>
  <c r="W9" i="10"/>
  <c r="V9" i="10"/>
  <c r="W8" i="10"/>
  <c r="V8" i="10"/>
  <c r="W5" i="10"/>
  <c r="V5" i="10"/>
  <c r="W4" i="10"/>
  <c r="V4" i="10"/>
  <c r="Q14" i="10"/>
  <c r="P14" i="10"/>
  <c r="Q13" i="10"/>
  <c r="P13" i="10"/>
  <c r="Q12" i="10"/>
  <c r="P12" i="10"/>
  <c r="Q11" i="10"/>
  <c r="P11" i="10"/>
  <c r="V11" i="10" s="1"/>
  <c r="Q9" i="10"/>
  <c r="P9" i="10"/>
  <c r="Q8" i="10"/>
  <c r="P8" i="10"/>
  <c r="Q7" i="10"/>
  <c r="P7" i="10"/>
  <c r="Q6" i="10"/>
  <c r="P6" i="10"/>
  <c r="Q5" i="10"/>
  <c r="P5" i="10"/>
  <c r="Q4" i="10"/>
  <c r="P4" i="10"/>
  <c r="BF48" i="10"/>
  <c r="BF47" i="10"/>
  <c r="BE45" i="10"/>
  <c r="BF46" i="10" s="1"/>
  <c r="BE44" i="10"/>
  <c r="BD44" i="10"/>
  <c r="BE43" i="10"/>
  <c r="BD43" i="10"/>
  <c r="BC43" i="10"/>
  <c r="BE42" i="10"/>
  <c r="BD42" i="10"/>
  <c r="BC42" i="10"/>
  <c r="BF41" i="10"/>
  <c r="BE41" i="10"/>
  <c r="BD41" i="10"/>
  <c r="BC41" i="10"/>
  <c r="BF40" i="10"/>
  <c r="BE40" i="10"/>
  <c r="BD40" i="10"/>
  <c r="BC40" i="10"/>
  <c r="BC39" i="10"/>
  <c r="AS38" i="10"/>
  <c r="AR38" i="10"/>
  <c r="AQ38" i="10"/>
  <c r="AP38" i="10"/>
  <c r="AO38" i="10"/>
  <c r="AN38" i="10"/>
  <c r="AM38" i="10"/>
  <c r="AL38" i="10"/>
  <c r="AK38" i="10"/>
  <c r="AJ38" i="10"/>
  <c r="AI38" i="10"/>
  <c r="AH38" i="10"/>
  <c r="AG38" i="10"/>
  <c r="AF38" i="10"/>
  <c r="AE38" i="10"/>
  <c r="AD38" i="10"/>
  <c r="AC38" i="10"/>
  <c r="AB38" i="10"/>
  <c r="AA38" i="10"/>
  <c r="Z38" i="10"/>
  <c r="Y38" i="10"/>
  <c r="X38" i="10"/>
  <c r="W38" i="10"/>
  <c r="V38" i="10"/>
  <c r="U38" i="10"/>
  <c r="T38" i="10"/>
  <c r="S38" i="10"/>
  <c r="R38" i="10"/>
  <c r="Q38" i="10"/>
  <c r="P38" i="10"/>
  <c r="O38" i="10"/>
  <c r="N38" i="10"/>
  <c r="M38" i="10"/>
  <c r="L38" i="10"/>
  <c r="K38" i="10"/>
  <c r="J38" i="10"/>
  <c r="I38" i="10"/>
  <c r="H38" i="10"/>
  <c r="G38" i="10"/>
  <c r="BF34" i="10"/>
  <c r="BF33" i="10"/>
  <c r="C33" i="10"/>
  <c r="B33" i="10"/>
  <c r="C32" i="10"/>
  <c r="B32" i="10"/>
  <c r="BE31" i="10"/>
  <c r="BF32" i="10" s="1"/>
  <c r="BI30" i="10"/>
  <c r="BI37" i="10" s="1"/>
  <c r="BI43" i="10" s="1"/>
  <c r="BI48" i="10" s="1"/>
  <c r="BI53" i="10" s="1"/>
  <c r="BI56" i="10" s="1"/>
  <c r="BI58" i="10" s="1"/>
  <c r="BI59" i="10" s="1"/>
  <c r="BE30" i="10"/>
  <c r="BD30" i="10"/>
  <c r="E30" i="10"/>
  <c r="D30" i="10"/>
  <c r="BI29" i="10"/>
  <c r="BI36" i="10" s="1"/>
  <c r="BI42" i="10" s="1"/>
  <c r="BI47" i="10" s="1"/>
  <c r="BI52" i="10" s="1"/>
  <c r="BI55" i="10" s="1"/>
  <c r="BI57" i="10" s="1"/>
  <c r="BM13" i="10" s="1"/>
  <c r="BE29" i="10"/>
  <c r="BD29" i="10"/>
  <c r="BC29" i="10"/>
  <c r="C29" i="10"/>
  <c r="B29" i="10"/>
  <c r="BI28" i="10"/>
  <c r="BI35" i="10" s="1"/>
  <c r="BI41" i="10" s="1"/>
  <c r="BI46" i="10" s="1"/>
  <c r="BI51" i="10" s="1"/>
  <c r="BI54" i="10" s="1"/>
  <c r="BM12" i="10" s="1"/>
  <c r="BQ47" i="10" s="1"/>
  <c r="BE28" i="10"/>
  <c r="BD28" i="10"/>
  <c r="BC28" i="10"/>
  <c r="BI27" i="10"/>
  <c r="BI34" i="10" s="1"/>
  <c r="BI40" i="10" s="1"/>
  <c r="BI45" i="10" s="1"/>
  <c r="BI50" i="10" s="1"/>
  <c r="BM11" i="10" s="1"/>
  <c r="BQ38" i="10" s="1"/>
  <c r="BQ46" i="10" s="1"/>
  <c r="BF27" i="10"/>
  <c r="BE27" i="10"/>
  <c r="BD27" i="10"/>
  <c r="BC27" i="10"/>
  <c r="C27" i="10"/>
  <c r="B27" i="10"/>
  <c r="BI26" i="10"/>
  <c r="BI33" i="10" s="1"/>
  <c r="BI39" i="10" s="1"/>
  <c r="BI44" i="10" s="1"/>
  <c r="BM10" i="10" s="1"/>
  <c r="BQ30" i="10" s="1"/>
  <c r="BQ37" i="10" s="1"/>
  <c r="BQ45" i="10" s="1"/>
  <c r="BF26" i="10"/>
  <c r="BE26" i="10"/>
  <c r="BD26" i="10"/>
  <c r="BC26" i="10"/>
  <c r="E26" i="10"/>
  <c r="E27" i="10" s="1"/>
  <c r="D26" i="10"/>
  <c r="D27" i="10" s="1"/>
  <c r="C26" i="10"/>
  <c r="B26" i="10"/>
  <c r="BI25" i="10"/>
  <c r="BI32" i="10" s="1"/>
  <c r="BI38" i="10" s="1"/>
  <c r="BM9" i="10" s="1"/>
  <c r="BQ23" i="10" s="1"/>
  <c r="BQ29" i="10" s="1"/>
  <c r="BQ36" i="10" s="1"/>
  <c r="BQ44" i="10" s="1"/>
  <c r="BC25" i="10"/>
  <c r="E25" i="10"/>
  <c r="D25" i="10"/>
  <c r="C25" i="10"/>
  <c r="B25" i="10"/>
  <c r="BI24" i="10"/>
  <c r="BI31" i="10" s="1"/>
  <c r="BM8" i="10" s="1"/>
  <c r="BQ18" i="10" s="1"/>
  <c r="BQ22" i="10" s="1"/>
  <c r="BQ28" i="10" s="1"/>
  <c r="BQ35" i="10" s="1"/>
  <c r="BQ43" i="10" s="1"/>
  <c r="BI23" i="10"/>
  <c r="BM7" i="10" s="1"/>
  <c r="BQ13" i="10" s="1"/>
  <c r="BQ17" i="10" s="1"/>
  <c r="BQ21" i="10" s="1"/>
  <c r="BQ27" i="10" s="1"/>
  <c r="BQ34" i="10" s="1"/>
  <c r="BQ42" i="10" s="1"/>
  <c r="B22" i="10"/>
  <c r="C22" i="10" s="1"/>
  <c r="G14" i="10" s="1"/>
  <c r="B20" i="10"/>
  <c r="B21" i="10" s="1"/>
  <c r="BQ6" i="10"/>
  <c r="BQ8" i="10" s="1"/>
  <c r="BQ11" i="10" s="1"/>
  <c r="BQ15" i="10" s="1"/>
  <c r="BQ19" i="10" s="1"/>
  <c r="BQ25" i="10" s="1"/>
  <c r="BQ32" i="10" s="1"/>
  <c r="BQ40" i="10" s="1"/>
  <c r="BM6" i="10"/>
  <c r="BQ9" i="10" s="1"/>
  <c r="BQ12" i="10" s="1"/>
  <c r="BQ16" i="10" s="1"/>
  <c r="BQ20" i="10" s="1"/>
  <c r="BQ26" i="10" s="1"/>
  <c r="BQ33" i="10" s="1"/>
  <c r="BQ41" i="10" s="1"/>
  <c r="BQ5" i="10"/>
  <c r="BQ7" i="10" s="1"/>
  <c r="BQ10" i="10" s="1"/>
  <c r="BQ14" i="10" s="1"/>
  <c r="BI49" i="10" s="1"/>
  <c r="BQ24" i="10" s="1"/>
  <c r="BQ31" i="10" s="1"/>
  <c r="BQ39" i="10" s="1"/>
  <c r="BM14" i="10" s="1"/>
  <c r="D3" i="10"/>
  <c r="BF42" i="10" l="1"/>
  <c r="W11" i="10"/>
  <c r="N11" i="10"/>
  <c r="N14" i="10"/>
  <c r="N6" i="10"/>
  <c r="N13" i="10"/>
  <c r="R13" i="10" s="1"/>
  <c r="N5" i="10"/>
  <c r="N12" i="10"/>
  <c r="N10" i="10"/>
  <c r="R10" i="10" s="1"/>
  <c r="N4" i="10"/>
  <c r="N8" i="10"/>
  <c r="N9" i="10"/>
  <c r="R9" i="10" s="1"/>
  <c r="N15" i="10"/>
  <c r="BF44" i="10"/>
  <c r="BF29" i="10"/>
  <c r="R7" i="10"/>
  <c r="R15" i="10"/>
  <c r="BF30" i="10"/>
  <c r="BF45" i="10"/>
  <c r="R5" i="10"/>
  <c r="G13" i="10"/>
  <c r="AB15" i="10"/>
  <c r="R12" i="10"/>
  <c r="D23" i="10"/>
  <c r="R6" i="10"/>
  <c r="R4" i="10"/>
  <c r="B31" i="10"/>
  <c r="W25" i="10" s="1"/>
  <c r="BF43" i="10"/>
  <c r="C31" i="10"/>
  <c r="W39" i="10" s="1"/>
  <c r="E23" i="10"/>
  <c r="BF28" i="10"/>
  <c r="BF31" i="10"/>
  <c r="B23" i="10"/>
  <c r="BF48" i="8"/>
  <c r="BF47" i="8"/>
  <c r="BE45" i="8"/>
  <c r="BF46" i="8" s="1"/>
  <c r="BE44" i="8"/>
  <c r="BD44" i="8"/>
  <c r="BE43" i="8"/>
  <c r="BF44" i="8" s="1"/>
  <c r="BD43" i="8"/>
  <c r="BC43" i="8"/>
  <c r="BE42" i="8"/>
  <c r="BD42" i="8"/>
  <c r="BC42" i="8"/>
  <c r="BF41" i="8"/>
  <c r="BE41" i="8"/>
  <c r="BF42" i="8" s="1"/>
  <c r="BD41" i="8"/>
  <c r="BC41" i="8"/>
  <c r="BF40" i="8"/>
  <c r="BE40" i="8"/>
  <c r="BD40" i="8"/>
  <c r="BC40" i="8"/>
  <c r="BC39" i="8"/>
  <c r="AS37" i="8"/>
  <c r="AR37" i="8"/>
  <c r="AQ37" i="8"/>
  <c r="AP37" i="8"/>
  <c r="AO37" i="8"/>
  <c r="AN37" i="8"/>
  <c r="AM37" i="8"/>
  <c r="AL37" i="8"/>
  <c r="AK37" i="8"/>
  <c r="AJ37" i="8"/>
  <c r="AI37" i="8"/>
  <c r="AH37" i="8"/>
  <c r="AG37" i="8"/>
  <c r="AF37" i="8"/>
  <c r="AE37" i="8"/>
  <c r="AD37" i="8"/>
  <c r="AC37" i="8"/>
  <c r="AB37" i="8"/>
  <c r="AA37" i="8"/>
  <c r="Z37" i="8"/>
  <c r="Y37" i="8"/>
  <c r="X37" i="8"/>
  <c r="W37" i="8"/>
  <c r="V37" i="8"/>
  <c r="U37" i="8"/>
  <c r="T37" i="8"/>
  <c r="S37" i="8"/>
  <c r="R37" i="8"/>
  <c r="Q37" i="8"/>
  <c r="P37" i="8"/>
  <c r="O37" i="8"/>
  <c r="N37" i="8"/>
  <c r="M37" i="8"/>
  <c r="L37" i="8"/>
  <c r="K37" i="8"/>
  <c r="J37" i="8"/>
  <c r="I37" i="8"/>
  <c r="H37" i="8"/>
  <c r="G37" i="8"/>
  <c r="BF34" i="8"/>
  <c r="BF33" i="8"/>
  <c r="C33" i="8"/>
  <c r="B33" i="8"/>
  <c r="C32" i="8"/>
  <c r="B32" i="8"/>
  <c r="BE31" i="8"/>
  <c r="BF32" i="8" s="1"/>
  <c r="BH30" i="8"/>
  <c r="BH37" i="8" s="1"/>
  <c r="BH43" i="8" s="1"/>
  <c r="BH48" i="8" s="1"/>
  <c r="BH53" i="8" s="1"/>
  <c r="BH56" i="8" s="1"/>
  <c r="BH58" i="8" s="1"/>
  <c r="BH59" i="8" s="1"/>
  <c r="BE30" i="8"/>
  <c r="BF31" i="8" s="1"/>
  <c r="BD30" i="8"/>
  <c r="E30" i="8"/>
  <c r="D30" i="8"/>
  <c r="BH29" i="8"/>
  <c r="BH36" i="8" s="1"/>
  <c r="BH42" i="8" s="1"/>
  <c r="BH47" i="8" s="1"/>
  <c r="BH52" i="8" s="1"/>
  <c r="BH55" i="8" s="1"/>
  <c r="BH57" i="8" s="1"/>
  <c r="BL13" i="8" s="1"/>
  <c r="BE29" i="8"/>
  <c r="BF30" i="8" s="1"/>
  <c r="BD29" i="8"/>
  <c r="BC29" i="8"/>
  <c r="C29" i="8"/>
  <c r="B29" i="8"/>
  <c r="BH28" i="8"/>
  <c r="BH35" i="8" s="1"/>
  <c r="BH41" i="8" s="1"/>
  <c r="BH46" i="8" s="1"/>
  <c r="BH51" i="8" s="1"/>
  <c r="BH54" i="8" s="1"/>
  <c r="BL12" i="8" s="1"/>
  <c r="BP47" i="8" s="1"/>
  <c r="BE28" i="8"/>
  <c r="BD28" i="8"/>
  <c r="BC28" i="8"/>
  <c r="BH27" i="8"/>
  <c r="BH34" i="8" s="1"/>
  <c r="BH40" i="8" s="1"/>
  <c r="BH45" i="8" s="1"/>
  <c r="BH50" i="8" s="1"/>
  <c r="BL11" i="8" s="1"/>
  <c r="BP38" i="8" s="1"/>
  <c r="BP46" i="8" s="1"/>
  <c r="BF27" i="8"/>
  <c r="BE27" i="8"/>
  <c r="BD27" i="8"/>
  <c r="BC27" i="8"/>
  <c r="C27" i="8"/>
  <c r="B27" i="8"/>
  <c r="BH26" i="8"/>
  <c r="BH33" i="8" s="1"/>
  <c r="BH39" i="8" s="1"/>
  <c r="BH44" i="8" s="1"/>
  <c r="BL10" i="8" s="1"/>
  <c r="BP30" i="8" s="1"/>
  <c r="BP37" i="8" s="1"/>
  <c r="BP45" i="8" s="1"/>
  <c r="BF26" i="8"/>
  <c r="BE26" i="8"/>
  <c r="BD26" i="8"/>
  <c r="BC26" i="8"/>
  <c r="E26" i="8"/>
  <c r="E27" i="8" s="1"/>
  <c r="D26" i="8"/>
  <c r="D27" i="8" s="1"/>
  <c r="C26" i="8"/>
  <c r="B26" i="8"/>
  <c r="BH25" i="8"/>
  <c r="BH32" i="8" s="1"/>
  <c r="BH38" i="8" s="1"/>
  <c r="BC25" i="8"/>
  <c r="E25" i="8"/>
  <c r="D25" i="8"/>
  <c r="C25" i="8"/>
  <c r="B25" i="8"/>
  <c r="BH24" i="8"/>
  <c r="BH31" i="8" s="1"/>
  <c r="BH23" i="8"/>
  <c r="C22" i="8"/>
  <c r="B22" i="8"/>
  <c r="B20" i="8"/>
  <c r="B21" i="8" s="1"/>
  <c r="Z19" i="8"/>
  <c r="Y19" i="8"/>
  <c r="P19" i="8"/>
  <c r="O19" i="8"/>
  <c r="AA18" i="8"/>
  <c r="Q18" i="8"/>
  <c r="Z17" i="8"/>
  <c r="Y17" i="8"/>
  <c r="P17" i="8"/>
  <c r="O17" i="8"/>
  <c r="Q17" i="8" s="1"/>
  <c r="Y16" i="8"/>
  <c r="AA16" i="8" s="1"/>
  <c r="O16" i="8"/>
  <c r="Q16" i="8" s="1"/>
  <c r="C16" i="8"/>
  <c r="B16" i="8"/>
  <c r="AA15" i="8"/>
  <c r="Q15" i="8"/>
  <c r="Y14" i="8"/>
  <c r="AA14" i="8" s="1"/>
  <c r="O14" i="8"/>
  <c r="Q14" i="8" s="1"/>
  <c r="Z13" i="8"/>
  <c r="AA13" i="8" s="1"/>
  <c r="P13" i="8"/>
  <c r="Q13" i="8" s="1"/>
  <c r="AA12" i="8"/>
  <c r="Q12" i="8"/>
  <c r="Z11" i="8"/>
  <c r="AA11" i="8" s="1"/>
  <c r="Y11" i="8"/>
  <c r="P11" i="8"/>
  <c r="O11" i="8"/>
  <c r="Z10" i="8"/>
  <c r="AA10" i="8" s="1"/>
  <c r="Y10" i="8"/>
  <c r="P10" i="8"/>
  <c r="O10" i="8"/>
  <c r="BL9" i="8"/>
  <c r="BP23" i="8" s="1"/>
  <c r="BP29" i="8" s="1"/>
  <c r="BP36" i="8" s="1"/>
  <c r="BP44" i="8" s="1"/>
  <c r="Y9" i="8"/>
  <c r="AA9" i="8" s="1"/>
  <c r="O9" i="8"/>
  <c r="Q9" i="8" s="1"/>
  <c r="BL8" i="8"/>
  <c r="BP18" i="8" s="1"/>
  <c r="BP22" i="8" s="1"/>
  <c r="BP28" i="8" s="1"/>
  <c r="BP35" i="8" s="1"/>
  <c r="BP43" i="8" s="1"/>
  <c r="Z8" i="8"/>
  <c r="AA8" i="8" s="1"/>
  <c r="Y8" i="8"/>
  <c r="P8" i="8"/>
  <c r="O8" i="8"/>
  <c r="BL7" i="8"/>
  <c r="BP13" i="8" s="1"/>
  <c r="BP17" i="8" s="1"/>
  <c r="BP21" i="8" s="1"/>
  <c r="BP27" i="8" s="1"/>
  <c r="BP34" i="8" s="1"/>
  <c r="BP42" i="8" s="1"/>
  <c r="AA7" i="8"/>
  <c r="Q7" i="8"/>
  <c r="BP6" i="8"/>
  <c r="BP8" i="8" s="1"/>
  <c r="BP11" i="8" s="1"/>
  <c r="BP15" i="8" s="1"/>
  <c r="BP19" i="8" s="1"/>
  <c r="BP25" i="8" s="1"/>
  <c r="BP32" i="8" s="1"/>
  <c r="BP40" i="8" s="1"/>
  <c r="BL6" i="8"/>
  <c r="BP9" i="8" s="1"/>
  <c r="BP12" i="8" s="1"/>
  <c r="BP16" i="8" s="1"/>
  <c r="BP20" i="8" s="1"/>
  <c r="BP26" i="8" s="1"/>
  <c r="BP33" i="8" s="1"/>
  <c r="BP41" i="8" s="1"/>
  <c r="Z6" i="8"/>
  <c r="Y6" i="8"/>
  <c r="P6" i="8"/>
  <c r="O6" i="8"/>
  <c r="BP5" i="8"/>
  <c r="BP7" i="8" s="1"/>
  <c r="BP10" i="8" s="1"/>
  <c r="BP14" i="8" s="1"/>
  <c r="BH49" i="8" s="1"/>
  <c r="BP24" i="8" s="1"/>
  <c r="BP31" i="8" s="1"/>
  <c r="BP39" i="8" s="1"/>
  <c r="BL14" i="8" s="1"/>
  <c r="Z5" i="8"/>
  <c r="Y5" i="8"/>
  <c r="P5" i="8"/>
  <c r="O5" i="8"/>
  <c r="D3" i="8"/>
  <c r="K3" i="8" s="1"/>
  <c r="S2" i="8"/>
  <c r="AF1" i="8"/>
  <c r="S1" i="8"/>
  <c r="AA5" i="8" l="1"/>
  <c r="AA6" i="8"/>
  <c r="E23" i="8"/>
  <c r="G2" i="8"/>
  <c r="C31" i="8"/>
  <c r="W38" i="8" s="1"/>
  <c r="D23" i="8"/>
  <c r="Q19" i="8"/>
  <c r="BF45" i="8"/>
  <c r="K2" i="8"/>
  <c r="AA17" i="8"/>
  <c r="Q6" i="8"/>
  <c r="Q8" i="8"/>
  <c r="BF43" i="8"/>
  <c r="AA19" i="8"/>
  <c r="G1" i="8"/>
  <c r="Q10" i="8"/>
  <c r="B31" i="8"/>
  <c r="W24" i="8" s="1"/>
  <c r="BF28" i="8"/>
  <c r="T45" i="10"/>
  <c r="T46" i="10"/>
  <c r="T40" i="10"/>
  <c r="B34" i="10"/>
  <c r="B24" i="10"/>
  <c r="T43" i="10"/>
  <c r="T41" i="10"/>
  <c r="C23" i="10"/>
  <c r="T42" i="10"/>
  <c r="T49" i="10"/>
  <c r="T39" i="10"/>
  <c r="T44" i="10"/>
  <c r="T48" i="10"/>
  <c r="T47" i="10"/>
  <c r="K1" i="8"/>
  <c r="L1" i="8" s="1"/>
  <c r="Q5" i="8"/>
  <c r="Q11" i="8"/>
  <c r="B23" i="8"/>
  <c r="T43" i="8" s="1"/>
  <c r="G3" i="8"/>
  <c r="H1" i="8" s="1"/>
  <c r="BF29" i="8"/>
  <c r="T46" i="8" l="1"/>
  <c r="T39" i="8"/>
  <c r="T42" i="8"/>
  <c r="T37" i="10"/>
  <c r="N25" i="10"/>
  <c r="N30" i="10"/>
  <c r="P30" i="10" s="1"/>
  <c r="R35" i="10" s="1"/>
  <c r="N29" i="10"/>
  <c r="P29" i="10" s="1"/>
  <c r="N26" i="10"/>
  <c r="N28" i="10"/>
  <c r="P28" i="10" s="1"/>
  <c r="N27" i="10"/>
  <c r="P27" i="10" s="1"/>
  <c r="C34" i="10"/>
  <c r="T27" i="10"/>
  <c r="C24" i="10"/>
  <c r="T25" i="10"/>
  <c r="T32" i="10"/>
  <c r="T31" i="10"/>
  <c r="T33" i="10"/>
  <c r="T34" i="10"/>
  <c r="T30" i="10"/>
  <c r="T28" i="10"/>
  <c r="T35" i="10"/>
  <c r="T26" i="10"/>
  <c r="T29" i="10"/>
  <c r="T40" i="8"/>
  <c r="T48" i="8"/>
  <c r="T44" i="8"/>
  <c r="T41" i="8"/>
  <c r="T38" i="8"/>
  <c r="T36" i="8" s="1"/>
  <c r="M1" i="8"/>
  <c r="M2" i="8" s="1"/>
  <c r="T45" i="8"/>
  <c r="T47" i="8"/>
  <c r="B34" i="8"/>
  <c r="B24" i="8"/>
  <c r="C23" i="8"/>
  <c r="R34" i="10" l="1"/>
  <c r="R32" i="10"/>
  <c r="R33" i="10"/>
  <c r="T23" i="10"/>
  <c r="P25" i="10"/>
  <c r="N23" i="10"/>
  <c r="N43" i="10"/>
  <c r="P43" i="10" s="1"/>
  <c r="N41" i="10"/>
  <c r="P41" i="10" s="1"/>
  <c r="N44" i="10"/>
  <c r="P44" i="10" s="1"/>
  <c r="N40" i="10"/>
  <c r="P40" i="10" s="1"/>
  <c r="N39" i="10"/>
  <c r="N42" i="10"/>
  <c r="P42" i="10" s="1"/>
  <c r="P26" i="10"/>
  <c r="R31" i="10" s="1"/>
  <c r="N24" i="8"/>
  <c r="N26" i="8"/>
  <c r="P26" i="8" s="1"/>
  <c r="N27" i="8"/>
  <c r="P27" i="8" s="1"/>
  <c r="N25" i="8"/>
  <c r="N29" i="8"/>
  <c r="P29" i="8" s="1"/>
  <c r="R34" i="8" s="1"/>
  <c r="N28" i="8"/>
  <c r="P28" i="8" s="1"/>
  <c r="R33" i="8" s="1"/>
  <c r="AB10" i="8"/>
  <c r="AB5" i="8"/>
  <c r="R17" i="8"/>
  <c r="R16" i="8"/>
  <c r="R15" i="8"/>
  <c r="R14" i="8"/>
  <c r="R18" i="8"/>
  <c r="AB17" i="8"/>
  <c r="R13" i="8"/>
  <c r="R12" i="8"/>
  <c r="R19" i="8"/>
  <c r="AB16" i="8"/>
  <c r="AB14" i="8"/>
  <c r="AB15" i="8"/>
  <c r="AB13" i="8"/>
  <c r="AB11" i="8"/>
  <c r="AB19" i="8"/>
  <c r="AB18" i="8"/>
  <c r="R8" i="8"/>
  <c r="R7" i="8"/>
  <c r="R6" i="8"/>
  <c r="R11" i="8"/>
  <c r="AB6" i="8"/>
  <c r="R5" i="8"/>
  <c r="R9" i="8"/>
  <c r="AB12" i="8"/>
  <c r="R10" i="8"/>
  <c r="AB9" i="8"/>
  <c r="AB7" i="8"/>
  <c r="AB8" i="8"/>
  <c r="C34" i="8"/>
  <c r="C24" i="8"/>
  <c r="T24" i="8"/>
  <c r="T22" i="8" s="1"/>
  <c r="T25" i="8"/>
  <c r="T30" i="8"/>
  <c r="T29" i="8"/>
  <c r="T27" i="8"/>
  <c r="T31" i="8"/>
  <c r="T32" i="8"/>
  <c r="T34" i="8"/>
  <c r="T33" i="8"/>
  <c r="T26" i="8"/>
  <c r="T28" i="8"/>
  <c r="R32" i="8" l="1"/>
  <c r="P39" i="10"/>
  <c r="R40" i="10" s="1"/>
  <c r="N37" i="10"/>
  <c r="R25" i="10"/>
  <c r="P23" i="10"/>
  <c r="R30" i="10"/>
  <c r="R29" i="10"/>
  <c r="R28" i="10"/>
  <c r="R27" i="10"/>
  <c r="R43" i="10"/>
  <c r="R26" i="10"/>
  <c r="R47" i="10"/>
  <c r="R49" i="10"/>
  <c r="R48" i="10"/>
  <c r="R46" i="10"/>
  <c r="R45" i="10"/>
  <c r="S6" i="8"/>
  <c r="S9" i="8"/>
  <c r="S13" i="8"/>
  <c r="AC8" i="8"/>
  <c r="AD7" i="8" s="1"/>
  <c r="S11" i="8"/>
  <c r="AC15" i="8"/>
  <c r="S14" i="8"/>
  <c r="S7" i="8"/>
  <c r="S10" i="8"/>
  <c r="S8" i="8"/>
  <c r="S19" i="8"/>
  <c r="S17" i="8"/>
  <c r="AC14" i="8"/>
  <c r="AD13" i="8" s="1"/>
  <c r="AC9" i="8"/>
  <c r="AC16" i="8"/>
  <c r="S16" i="8"/>
  <c r="AC12" i="8"/>
  <c r="AE11" i="8" s="1"/>
  <c r="AD18" i="8"/>
  <c r="AC18" i="8"/>
  <c r="AD17" i="8" s="1"/>
  <c r="S12" i="8"/>
  <c r="U11" i="8" s="1"/>
  <c r="AC5" i="8"/>
  <c r="AC20" i="8" s="1"/>
  <c r="P25" i="8"/>
  <c r="R30" i="8" s="1"/>
  <c r="AC7" i="8"/>
  <c r="T5" i="8"/>
  <c r="T20" i="8" s="1"/>
  <c r="L25" i="8" s="1"/>
  <c r="S5" i="8"/>
  <c r="S20" i="8" s="1"/>
  <c r="AC11" i="8"/>
  <c r="AD10" i="8" s="1"/>
  <c r="AC17" i="8"/>
  <c r="R31" i="8"/>
  <c r="S15" i="8"/>
  <c r="AD19" i="8"/>
  <c r="AC19" i="8"/>
  <c r="AC10" i="8"/>
  <c r="N42" i="8"/>
  <c r="P42" i="8" s="1"/>
  <c r="N40" i="8"/>
  <c r="P40" i="8" s="1"/>
  <c r="N38" i="8"/>
  <c r="N43" i="8"/>
  <c r="P43" i="8" s="1"/>
  <c r="N41" i="8"/>
  <c r="P41" i="8" s="1"/>
  <c r="N39" i="8"/>
  <c r="P39" i="8" s="1"/>
  <c r="AC6" i="8"/>
  <c r="AD5" i="8" s="1"/>
  <c r="AD20" i="8" s="1"/>
  <c r="L39" i="8" s="1"/>
  <c r="AC13" i="8"/>
  <c r="U18" i="8"/>
  <c r="S18" i="8"/>
  <c r="P24" i="8"/>
  <c r="R25" i="8" s="1"/>
  <c r="N22" i="8"/>
  <c r="AE16" i="8" l="1"/>
  <c r="AE17" i="8"/>
  <c r="AE10" i="8"/>
  <c r="AD11" i="8"/>
  <c r="AE12" i="8"/>
  <c r="AD14" i="8"/>
  <c r="T17" i="8"/>
  <c r="AE15" i="8"/>
  <c r="U17" i="8"/>
  <c r="U13" i="8"/>
  <c r="U14" i="8"/>
  <c r="AD16" i="8"/>
  <c r="U10" i="8"/>
  <c r="AE7" i="8"/>
  <c r="T15" i="8"/>
  <c r="AE5" i="8"/>
  <c r="AE20" i="8" s="1"/>
  <c r="L40" i="8" s="1"/>
  <c r="T12" i="8"/>
  <c r="AD9" i="8"/>
  <c r="T10" i="8"/>
  <c r="AD8" i="8"/>
  <c r="U12" i="8"/>
  <c r="T13" i="8"/>
  <c r="V26" i="10"/>
  <c r="AA25" i="10" s="1"/>
  <c r="R42" i="10"/>
  <c r="V27" i="10"/>
  <c r="R41" i="10"/>
  <c r="R23" i="10"/>
  <c r="V25" i="10"/>
  <c r="V30" i="10"/>
  <c r="V34" i="10"/>
  <c r="V32" i="10"/>
  <c r="V33" i="10"/>
  <c r="V31" i="10"/>
  <c r="V29" i="10"/>
  <c r="R44" i="10"/>
  <c r="V28" i="10"/>
  <c r="R39" i="10"/>
  <c r="P37" i="10"/>
  <c r="N36" i="8"/>
  <c r="P38" i="8"/>
  <c r="R43" i="8" s="1"/>
  <c r="R40" i="8"/>
  <c r="L24" i="8"/>
  <c r="AE13" i="8"/>
  <c r="U5" i="8"/>
  <c r="U20" i="8" s="1"/>
  <c r="L26" i="8" s="1"/>
  <c r="AE9" i="8"/>
  <c r="T9" i="8"/>
  <c r="U16" i="8"/>
  <c r="T8" i="8"/>
  <c r="T7" i="8"/>
  <c r="U9" i="8"/>
  <c r="R24" i="8"/>
  <c r="R26" i="8"/>
  <c r="P22" i="8"/>
  <c r="R27" i="8"/>
  <c r="R29" i="8"/>
  <c r="R28" i="8"/>
  <c r="AD6" i="8"/>
  <c r="R39" i="8"/>
  <c r="L38" i="8"/>
  <c r="AE18" i="8"/>
  <c r="T16" i="8"/>
  <c r="U8" i="8"/>
  <c r="AE8" i="8"/>
  <c r="U6" i="8"/>
  <c r="T14" i="8"/>
  <c r="T18" i="8"/>
  <c r="AE6" i="8"/>
  <c r="R41" i="8"/>
  <c r="AD12" i="8"/>
  <c r="AD15" i="8"/>
  <c r="R47" i="8"/>
  <c r="R48" i="8"/>
  <c r="R45" i="8"/>
  <c r="R46" i="8"/>
  <c r="R44" i="8"/>
  <c r="U15" i="8"/>
  <c r="AE14" i="8"/>
  <c r="T6" i="8"/>
  <c r="R42" i="8"/>
  <c r="T19" i="8"/>
  <c r="U7" i="8"/>
  <c r="T11" i="8"/>
  <c r="V27" i="8" l="1"/>
  <c r="V20" i="8"/>
  <c r="L27" i="8" s="1"/>
  <c r="AF20" i="8"/>
  <c r="L41" i="8" s="1"/>
  <c r="AA26" i="10"/>
  <c r="AA23" i="10" s="1"/>
  <c r="AE26" i="10"/>
  <c r="AE28" i="10"/>
  <c r="AE27" i="10"/>
  <c r="AE25" i="10"/>
  <c r="AK25" i="10"/>
  <c r="AK31" i="10"/>
  <c r="AK26" i="10"/>
  <c r="AK30" i="10"/>
  <c r="AK29" i="10"/>
  <c r="AK28" i="10"/>
  <c r="AK27" i="10"/>
  <c r="V41" i="10"/>
  <c r="AG29" i="10"/>
  <c r="AG28" i="10"/>
  <c r="AG27" i="10"/>
  <c r="AG26" i="10"/>
  <c r="AG25" i="10"/>
  <c r="AO31" i="10"/>
  <c r="AO29" i="10"/>
  <c r="AO28" i="10"/>
  <c r="AO26" i="10"/>
  <c r="AO27" i="10"/>
  <c r="AO25" i="10"/>
  <c r="AO33" i="10"/>
  <c r="AO30" i="10"/>
  <c r="AO32" i="10"/>
  <c r="AC26" i="10"/>
  <c r="AC27" i="10"/>
  <c r="AC25" i="10"/>
  <c r="R37" i="10"/>
  <c r="V39" i="10"/>
  <c r="V45" i="10"/>
  <c r="V43" i="10"/>
  <c r="V46" i="10"/>
  <c r="V47" i="10"/>
  <c r="V48" i="10"/>
  <c r="V44" i="10"/>
  <c r="AM28" i="10"/>
  <c r="AM31" i="10"/>
  <c r="AM27" i="10"/>
  <c r="AM32" i="10"/>
  <c r="AM29" i="10"/>
  <c r="AM25" i="10"/>
  <c r="AM30" i="10"/>
  <c r="AM26" i="10"/>
  <c r="AQ25" i="10"/>
  <c r="AQ31" i="10"/>
  <c r="AQ34" i="10"/>
  <c r="AQ30" i="10"/>
  <c r="AQ26" i="10"/>
  <c r="AQ29" i="10"/>
  <c r="AQ33" i="10"/>
  <c r="AQ28" i="10"/>
  <c r="AQ32" i="10"/>
  <c r="AQ27" i="10"/>
  <c r="AI30" i="10"/>
  <c r="AI27" i="10"/>
  <c r="AI25" i="10"/>
  <c r="AI26" i="10"/>
  <c r="AI29" i="10"/>
  <c r="AI28" i="10"/>
  <c r="V40" i="10"/>
  <c r="Y25" i="10"/>
  <c r="V23" i="10"/>
  <c r="V35" i="10" s="1"/>
  <c r="V42" i="10"/>
  <c r="R22" i="8"/>
  <c r="V24" i="8"/>
  <c r="V31" i="8"/>
  <c r="V29" i="8"/>
  <c r="V30" i="8"/>
  <c r="V32" i="8"/>
  <c r="V28" i="8"/>
  <c r="V33" i="8"/>
  <c r="AE24" i="8"/>
  <c r="AE22" i="8" s="1"/>
  <c r="AE26" i="8"/>
  <c r="AE25" i="8"/>
  <c r="AE27" i="8"/>
  <c r="V26" i="8"/>
  <c r="L22" i="8"/>
  <c r="L36" i="8"/>
  <c r="V25" i="8"/>
  <c r="P36" i="8"/>
  <c r="R38" i="8"/>
  <c r="V40" i="8" s="1"/>
  <c r="V39" i="8" l="1"/>
  <c r="V41" i="8"/>
  <c r="AI23" i="10"/>
  <c r="Y23" i="10"/>
  <c r="AM23" i="10"/>
  <c r="AO23" i="10"/>
  <c r="AS26" i="10"/>
  <c r="J26" i="10" s="1"/>
  <c r="AS31" i="10"/>
  <c r="J31" i="10" s="1"/>
  <c r="AS29" i="10"/>
  <c r="J29" i="10" s="1"/>
  <c r="AS25" i="10"/>
  <c r="J25" i="10" s="1"/>
  <c r="AS28" i="10"/>
  <c r="J28" i="10" s="1"/>
  <c r="AS30" i="10"/>
  <c r="J30" i="10" s="1"/>
  <c r="AS35" i="10"/>
  <c r="J35" i="10" s="1"/>
  <c r="AS27" i="10"/>
  <c r="J27" i="10" s="1"/>
  <c r="AS32" i="10"/>
  <c r="J32" i="10" s="1"/>
  <c r="AS33" i="10"/>
  <c r="J33" i="10" s="1"/>
  <c r="AS34" i="10"/>
  <c r="J34" i="10" s="1"/>
  <c r="AA40" i="10"/>
  <c r="AA39" i="10"/>
  <c r="AI40" i="10"/>
  <c r="AI39" i="10"/>
  <c r="AI41" i="10"/>
  <c r="AI43" i="10"/>
  <c r="AI42" i="10"/>
  <c r="AI44" i="10"/>
  <c r="AC23" i="10"/>
  <c r="AQ41" i="10"/>
  <c r="AQ48" i="10"/>
  <c r="AQ46" i="10"/>
  <c r="AQ40" i="10"/>
  <c r="AQ45" i="10"/>
  <c r="AQ39" i="10"/>
  <c r="AQ44" i="10"/>
  <c r="AQ47" i="10"/>
  <c r="AQ43" i="10"/>
  <c r="AQ42" i="10"/>
  <c r="AO42" i="10"/>
  <c r="AO41" i="10"/>
  <c r="AO40" i="10"/>
  <c r="AO46" i="10"/>
  <c r="AO45" i="10"/>
  <c r="AO44" i="10"/>
  <c r="AO39" i="10"/>
  <c r="AO47" i="10"/>
  <c r="AO43" i="10"/>
  <c r="AC41" i="10"/>
  <c r="AC40" i="10"/>
  <c r="AC39" i="10"/>
  <c r="AM41" i="10"/>
  <c r="AM40" i="10"/>
  <c r="AM42" i="10"/>
  <c r="AM39" i="10"/>
  <c r="AM45" i="10"/>
  <c r="AM46" i="10"/>
  <c r="AM43" i="10"/>
  <c r="AM44" i="10"/>
  <c r="AE23" i="10"/>
  <c r="AK23" i="10"/>
  <c r="AE39" i="10"/>
  <c r="AE41" i="10"/>
  <c r="AE40" i="10"/>
  <c r="AE42" i="10"/>
  <c r="AQ23" i="10"/>
  <c r="AG40" i="10"/>
  <c r="AG39" i="10"/>
  <c r="AG42" i="10"/>
  <c r="AG43" i="10"/>
  <c r="AG41" i="10"/>
  <c r="V22" i="10"/>
  <c r="AK40" i="10"/>
  <c r="AK39" i="10"/>
  <c r="AK45" i="10"/>
  <c r="AK43" i="10"/>
  <c r="AK44" i="10"/>
  <c r="AK42" i="10"/>
  <c r="AK41" i="10"/>
  <c r="AG23" i="10"/>
  <c r="V37" i="10"/>
  <c r="V49" i="10" s="1"/>
  <c r="V36" i="10" s="1"/>
  <c r="Y39" i="10"/>
  <c r="AC39" i="8"/>
  <c r="AC40" i="8"/>
  <c r="AC38" i="8"/>
  <c r="AC36" i="8" s="1"/>
  <c r="AA25" i="8"/>
  <c r="AA24" i="8"/>
  <c r="AA22" i="8" s="1"/>
  <c r="AK25" i="8"/>
  <c r="AK26" i="8"/>
  <c r="AK28" i="8"/>
  <c r="AK30" i="8"/>
  <c r="AK27" i="8"/>
  <c r="AK29" i="8"/>
  <c r="AK24" i="8"/>
  <c r="AK22" i="8" s="1"/>
  <c r="AM25" i="8"/>
  <c r="AM24" i="8"/>
  <c r="AM22" i="8" s="1"/>
  <c r="AM30" i="8"/>
  <c r="AM29" i="8"/>
  <c r="AM28" i="8"/>
  <c r="AM31" i="8"/>
  <c r="AM27" i="8"/>
  <c r="AM26" i="8"/>
  <c r="Y24" i="8"/>
  <c r="V21" i="8"/>
  <c r="V22" i="8"/>
  <c r="V34" i="8" s="1"/>
  <c r="AE41" i="8"/>
  <c r="AE40" i="8"/>
  <c r="AE39" i="8"/>
  <c r="AE38" i="8"/>
  <c r="AE36" i="8" s="1"/>
  <c r="AA38" i="8"/>
  <c r="AA36" i="8" s="1"/>
  <c r="AA39" i="8"/>
  <c r="AQ31" i="8"/>
  <c r="AQ25" i="8"/>
  <c r="AQ24" i="8"/>
  <c r="AQ22" i="8" s="1"/>
  <c r="AQ29" i="8"/>
  <c r="AQ28" i="8"/>
  <c r="AQ33" i="8"/>
  <c r="AQ30" i="8"/>
  <c r="AQ26" i="8"/>
  <c r="AQ27" i="8"/>
  <c r="AQ32" i="8"/>
  <c r="AG27" i="8"/>
  <c r="AG25" i="8"/>
  <c r="AG24" i="8"/>
  <c r="AG22" i="8" s="1"/>
  <c r="AG28" i="8"/>
  <c r="AG26" i="8"/>
  <c r="AI27" i="8"/>
  <c r="AI28" i="8"/>
  <c r="AI29" i="8"/>
  <c r="AI26" i="8"/>
  <c r="AI25" i="8"/>
  <c r="AI24" i="8"/>
  <c r="AI22" i="8" s="1"/>
  <c r="R36" i="8"/>
  <c r="V38" i="8"/>
  <c r="V43" i="8"/>
  <c r="V42" i="8"/>
  <c r="V46" i="8"/>
  <c r="V47" i="8"/>
  <c r="V45" i="8"/>
  <c r="V44" i="8"/>
  <c r="AC24" i="8"/>
  <c r="AC22" i="8" s="1"/>
  <c r="AC26" i="8"/>
  <c r="AC25" i="8"/>
  <c r="AO26" i="8"/>
  <c r="AO32" i="8"/>
  <c r="AO24" i="8"/>
  <c r="AO22" i="8" s="1"/>
  <c r="AO31" i="8"/>
  <c r="AO25" i="8"/>
  <c r="AO28" i="8"/>
  <c r="AO29" i="8"/>
  <c r="AO30" i="8"/>
  <c r="AO27" i="8"/>
  <c r="AA37" i="10" l="1"/>
  <c r="AC37" i="10"/>
  <c r="AG37" i="10"/>
  <c r="AE37" i="10"/>
  <c r="Y37" i="10"/>
  <c r="J23" i="10"/>
  <c r="AS41" i="10"/>
  <c r="J41" i="10" s="1"/>
  <c r="AS40" i="10"/>
  <c r="J40" i="10" s="1"/>
  <c r="AS42" i="10"/>
  <c r="J42" i="10" s="1"/>
  <c r="AS46" i="10"/>
  <c r="J46" i="10" s="1"/>
  <c r="AS47" i="10"/>
  <c r="J47" i="10" s="1"/>
  <c r="AS39" i="10"/>
  <c r="J39" i="10" s="1"/>
  <c r="AS48" i="10"/>
  <c r="J48" i="10" s="1"/>
  <c r="AS44" i="10"/>
  <c r="J44" i="10" s="1"/>
  <c r="AS45" i="10"/>
  <c r="J45" i="10" s="1"/>
  <c r="AS49" i="10"/>
  <c r="J49" i="10" s="1"/>
  <c r="AS43" i="10"/>
  <c r="J43" i="10" s="1"/>
  <c r="AQ37" i="10"/>
  <c r="AI37" i="10"/>
  <c r="AK37" i="10"/>
  <c r="AM37" i="10"/>
  <c r="AO37" i="10"/>
  <c r="AS23" i="10"/>
  <c r="AS22" i="10" s="1"/>
  <c r="AM39" i="8"/>
  <c r="AM42" i="8"/>
  <c r="AM45" i="8"/>
  <c r="AM44" i="8"/>
  <c r="AM38" i="8"/>
  <c r="AM36" i="8" s="1"/>
  <c r="AM41" i="8"/>
  <c r="AM43" i="8"/>
  <c r="AM40" i="8"/>
  <c r="AO44" i="8"/>
  <c r="AO39" i="8"/>
  <c r="AO42" i="8"/>
  <c r="AO38" i="8"/>
  <c r="AO36" i="8" s="1"/>
  <c r="AO41" i="8"/>
  <c r="AO43" i="8"/>
  <c r="AO40" i="8"/>
  <c r="AO45" i="8"/>
  <c r="AO46" i="8"/>
  <c r="Y22" i="8"/>
  <c r="V36" i="8"/>
  <c r="V48" i="8" s="1"/>
  <c r="Y38" i="8"/>
  <c r="V35" i="8"/>
  <c r="AI38" i="8"/>
  <c r="AI36" i="8" s="1"/>
  <c r="AI41" i="8"/>
  <c r="AI43" i="8"/>
  <c r="AI40" i="8"/>
  <c r="AI39" i="8"/>
  <c r="AI42" i="8"/>
  <c r="AK38" i="8"/>
  <c r="AK36" i="8" s="1"/>
  <c r="AK41" i="8"/>
  <c r="AK40" i="8"/>
  <c r="AK42" i="8"/>
  <c r="AK44" i="8"/>
  <c r="AK43" i="8"/>
  <c r="AK39" i="8"/>
  <c r="J30" i="8"/>
  <c r="AS33" i="8"/>
  <c r="J33" i="8" s="1"/>
  <c r="AS27" i="8"/>
  <c r="J27" i="8" s="1"/>
  <c r="AS32" i="8"/>
  <c r="J32" i="8" s="1"/>
  <c r="AS31" i="8"/>
  <c r="J31" i="8" s="1"/>
  <c r="AS30" i="8"/>
  <c r="AS24" i="8"/>
  <c r="AS22" i="8" s="1"/>
  <c r="AS29" i="8"/>
  <c r="J29" i="8" s="1"/>
  <c r="AS34" i="8"/>
  <c r="J34" i="8" s="1"/>
  <c r="AS26" i="8"/>
  <c r="J26" i="8" s="1"/>
  <c r="AS25" i="8"/>
  <c r="J25" i="8" s="1"/>
  <c r="AS28" i="8"/>
  <c r="J28" i="8" s="1"/>
  <c r="AG39" i="8"/>
  <c r="AG41" i="8"/>
  <c r="AG42" i="8"/>
  <c r="AG40" i="8"/>
  <c r="AG38" i="8"/>
  <c r="AG36" i="8" s="1"/>
  <c r="AQ45" i="8"/>
  <c r="AQ46" i="8"/>
  <c r="AQ44" i="8"/>
  <c r="AQ38" i="8"/>
  <c r="AQ36" i="8" s="1"/>
  <c r="AQ39" i="8"/>
  <c r="AQ47" i="8"/>
  <c r="AQ42" i="8"/>
  <c r="AQ43" i="8"/>
  <c r="AQ41" i="8"/>
  <c r="AQ40" i="8"/>
  <c r="J37" i="10" l="1"/>
  <c r="AS37" i="10"/>
  <c r="AS36" i="10" s="1"/>
  <c r="H29" i="8"/>
  <c r="H28" i="8"/>
  <c r="H32" i="8"/>
  <c r="H33" i="8"/>
  <c r="H31" i="8"/>
  <c r="H34" i="8"/>
  <c r="Y36" i="8"/>
  <c r="J24" i="8"/>
  <c r="H25" i="8" s="1"/>
  <c r="AS48" i="8"/>
  <c r="J48" i="8" s="1"/>
  <c r="AS39" i="8"/>
  <c r="J39" i="8" s="1"/>
  <c r="AS40" i="8"/>
  <c r="J40" i="8" s="1"/>
  <c r="AS43" i="8"/>
  <c r="J43" i="8" s="1"/>
  <c r="AS45" i="8"/>
  <c r="J45" i="8" s="1"/>
  <c r="AS44" i="8"/>
  <c r="J44" i="8" s="1"/>
  <c r="AS47" i="8"/>
  <c r="AS46" i="8"/>
  <c r="J46" i="8" s="1"/>
  <c r="AS38" i="8"/>
  <c r="AS36" i="8" s="1"/>
  <c r="AS41" i="8"/>
  <c r="J41" i="8" s="1"/>
  <c r="AS42" i="8"/>
  <c r="J42" i="8" s="1"/>
  <c r="J47" i="8"/>
  <c r="H30" i="8"/>
  <c r="AS21" i="8"/>
  <c r="H44" i="8" l="1"/>
  <c r="BJ18" i="8" s="1"/>
  <c r="H45" i="8"/>
  <c r="BJ40" i="8" s="1"/>
  <c r="H43" i="8"/>
  <c r="BR36" i="8" s="1"/>
  <c r="H46" i="8"/>
  <c r="BJ20" i="8" s="1"/>
  <c r="BR38" i="8"/>
  <c r="BR37" i="8"/>
  <c r="BR30" i="8"/>
  <c r="BN11" i="8"/>
  <c r="BJ50" i="8"/>
  <c r="BN10" i="8"/>
  <c r="AS35" i="8"/>
  <c r="H26" i="8"/>
  <c r="H48" i="8"/>
  <c r="BJ58" i="8" s="1"/>
  <c r="H27" i="8"/>
  <c r="J38" i="8"/>
  <c r="H39" i="8" s="1"/>
  <c r="H42" i="8"/>
  <c r="BJ16" i="8" s="1"/>
  <c r="J22" i="8"/>
  <c r="H24" i="8"/>
  <c r="BJ44" i="8"/>
  <c r="BR18" i="8"/>
  <c r="BJ45" i="8"/>
  <c r="BJ48" i="8"/>
  <c r="H47" i="8"/>
  <c r="BJ47" i="8" s="1"/>
  <c r="BJ39" i="8"/>
  <c r="BJ59" i="8"/>
  <c r="BR45" i="8"/>
  <c r="BR43" i="8"/>
  <c r="BR46" i="8"/>
  <c r="BN8" i="8" l="1"/>
  <c r="BJ19" i="8"/>
  <c r="BR44" i="8"/>
  <c r="BJ52" i="8"/>
  <c r="BJ17" i="8"/>
  <c r="BR47" i="8"/>
  <c r="BN9" i="8"/>
  <c r="BR29" i="8"/>
  <c r="BJ42" i="8"/>
  <c r="BR23" i="8"/>
  <c r="BJ57" i="8"/>
  <c r="BJ22" i="8"/>
  <c r="BJ55" i="8"/>
  <c r="BR35" i="8"/>
  <c r="H41" i="8"/>
  <c r="BR17" i="8" s="1"/>
  <c r="BJ38" i="8"/>
  <c r="BN14" i="8"/>
  <c r="BR15" i="8"/>
  <c r="BR32" i="8"/>
  <c r="BR40" i="8"/>
  <c r="BR25" i="8"/>
  <c r="BR11" i="8"/>
  <c r="BN5" i="8"/>
  <c r="BR19" i="8"/>
  <c r="BR22" i="8"/>
  <c r="BR28" i="8"/>
  <c r="BN12" i="8"/>
  <c r="BJ21" i="8"/>
  <c r="BJ26" i="8"/>
  <c r="BJ24" i="8"/>
  <c r="BJ23" i="8"/>
  <c r="BJ30" i="8"/>
  <c r="BJ27" i="8"/>
  <c r="BJ25" i="8"/>
  <c r="BJ28" i="8"/>
  <c r="BJ29" i="8"/>
  <c r="BR6" i="8"/>
  <c r="BR5" i="8"/>
  <c r="BJ51" i="8"/>
  <c r="BJ41" i="8"/>
  <c r="BJ46" i="8"/>
  <c r="BJ53" i="8"/>
  <c r="BJ43" i="8"/>
  <c r="BJ54" i="8"/>
  <c r="BJ15" i="8"/>
  <c r="J36" i="8"/>
  <c r="H38" i="8"/>
  <c r="BN4" i="8" s="1"/>
  <c r="B37" i="8" s="1"/>
  <c r="B36" i="8" s="1"/>
  <c r="BJ56" i="8"/>
  <c r="BJ8" i="8"/>
  <c r="BJ12" i="8"/>
  <c r="H22" i="8"/>
  <c r="BJ4" i="8"/>
  <c r="B38" i="8" s="1"/>
  <c r="BJ7" i="8"/>
  <c r="BJ13" i="8"/>
  <c r="BJ10" i="8"/>
  <c r="BJ6" i="8"/>
  <c r="BJ11" i="8"/>
  <c r="BJ9" i="8"/>
  <c r="BN13" i="8"/>
  <c r="BJ34" i="8"/>
  <c r="BJ36" i="8"/>
  <c r="BJ35" i="8"/>
  <c r="BJ31" i="8"/>
  <c r="BJ32" i="8"/>
  <c r="BJ33" i="8"/>
  <c r="BJ37" i="8"/>
  <c r="BR8" i="8"/>
  <c r="BN7" i="8"/>
  <c r="BR7" i="8"/>
  <c r="H40" i="8"/>
  <c r="BN6" i="8" s="1"/>
  <c r="BR13" i="8" l="1"/>
  <c r="BR21" i="8"/>
  <c r="BR42" i="8"/>
  <c r="BR27" i="8"/>
  <c r="BR34" i="8"/>
  <c r="BR26" i="8"/>
  <c r="BR16" i="8"/>
  <c r="BJ14" i="8"/>
  <c r="BR33" i="8"/>
  <c r="BR12" i="8"/>
  <c r="BR20" i="8"/>
  <c r="BR41" i="8"/>
  <c r="BR9" i="8"/>
  <c r="BJ5" i="8"/>
  <c r="H36" i="8"/>
  <c r="BR24" i="8"/>
  <c r="BJ49" i="8"/>
  <c r="BR14" i="8"/>
  <c r="BR4" i="8"/>
  <c r="B39" i="8" s="1"/>
  <c r="BR39" i="8"/>
  <c r="BR10" i="8"/>
  <c r="BR31" i="8"/>
  <c r="R11" i="10" l="1"/>
  <c r="R14" i="10"/>
  <c r="R8" i="10"/>
  <c r="N2" i="10"/>
  <c r="R2" i="10" l="1"/>
  <c r="S5" i="10" s="1"/>
  <c r="S14" i="10" l="1"/>
  <c r="U14" i="10" s="1"/>
  <c r="Y14" i="10" s="1"/>
  <c r="AG14" i="10" s="1"/>
  <c r="S6" i="10"/>
  <c r="T6" i="10" s="1"/>
  <c r="X6" i="10" s="1"/>
  <c r="AA5" i="10" s="1"/>
  <c r="S4" i="10"/>
  <c r="S8" i="10"/>
  <c r="U8" i="10" s="1"/>
  <c r="Y8" i="10" s="1"/>
  <c r="AG8" i="10" s="1"/>
  <c r="S10" i="10"/>
  <c r="T10" i="10" s="1"/>
  <c r="X10" i="10" s="1"/>
  <c r="AA9" i="10" s="1"/>
  <c r="S7" i="10"/>
  <c r="T7" i="10" s="1"/>
  <c r="X7" i="10" s="1"/>
  <c r="AA6" i="10" s="1"/>
  <c r="S13" i="10"/>
  <c r="S12" i="10"/>
  <c r="T12" i="10" s="1"/>
  <c r="X12" i="10" s="1"/>
  <c r="AA11" i="10" s="1"/>
  <c r="S11" i="10"/>
  <c r="S9" i="10"/>
  <c r="T9" i="10" s="1"/>
  <c r="X9" i="10" s="1"/>
  <c r="AA8" i="10" s="1"/>
  <c r="S15" i="10"/>
  <c r="U5" i="10"/>
  <c r="Y5" i="10" s="1"/>
  <c r="AG5" i="10" s="1"/>
  <c r="AH5" i="10" s="1"/>
  <c r="T5" i="10"/>
  <c r="X5" i="10" s="1"/>
  <c r="AA4" i="10" s="1"/>
  <c r="AB4" i="10" s="1"/>
  <c r="T8" i="10" l="1"/>
  <c r="X8" i="10" s="1"/>
  <c r="AA7" i="10" s="1"/>
  <c r="T15" i="10"/>
  <c r="X15" i="10" s="1"/>
  <c r="AA14" i="10" s="1"/>
  <c r="AB14" i="10" s="1"/>
  <c r="U15" i="10"/>
  <c r="Y15" i="10" s="1"/>
  <c r="AG15" i="10" s="1"/>
  <c r="AH15" i="10" s="1"/>
  <c r="T13" i="10"/>
  <c r="X13" i="10" s="1"/>
  <c r="AA12" i="10" s="1"/>
  <c r="AB12" i="10" s="1"/>
  <c r="U13" i="10"/>
  <c r="U6" i="10"/>
  <c r="Y6" i="10" s="1"/>
  <c r="AG6" i="10" s="1"/>
  <c r="AH6" i="10" s="1"/>
  <c r="Y13" i="10"/>
  <c r="AG13" i="10" s="1"/>
  <c r="AH13" i="10" s="1"/>
  <c r="U7" i="10"/>
  <c r="Y7" i="10" s="1"/>
  <c r="AG7" i="10" s="1"/>
  <c r="AH7" i="10" s="1"/>
  <c r="U10" i="10"/>
  <c r="Y10" i="10" s="1"/>
  <c r="AG10" i="10" s="1"/>
  <c r="AH10" i="10" s="1"/>
  <c r="S2" i="10"/>
  <c r="T14" i="10"/>
  <c r="X14" i="10" s="1"/>
  <c r="AA13" i="10" s="1"/>
  <c r="AB13" i="10" s="1"/>
  <c r="U12" i="10"/>
  <c r="Y12" i="10" s="1"/>
  <c r="AG12" i="10" s="1"/>
  <c r="AH12" i="10" s="1"/>
  <c r="U11" i="10"/>
  <c r="T11" i="10"/>
  <c r="X11" i="10" s="1"/>
  <c r="AA10" i="10" s="1"/>
  <c r="AB10" i="10" s="1"/>
  <c r="T4" i="10"/>
  <c r="X4" i="10" s="1"/>
  <c r="U4" i="10"/>
  <c r="Y4" i="10" s="1"/>
  <c r="U9" i="10"/>
  <c r="Y9" i="10" s="1"/>
  <c r="AG9" i="10" s="1"/>
  <c r="AH9" i="10" s="1"/>
  <c r="AB9" i="10"/>
  <c r="AB6" i="10"/>
  <c r="AH14" i="10"/>
  <c r="AB11" i="10"/>
  <c r="AH8" i="10"/>
  <c r="AB8" i="10"/>
  <c r="AB5" i="10"/>
  <c r="AB7" i="10"/>
  <c r="U2" i="10" l="1"/>
  <c r="Y11" i="10"/>
  <c r="AG11" i="10" s="1"/>
  <c r="AH11" i="10" s="1"/>
  <c r="X2" i="10"/>
  <c r="T2" i="10"/>
  <c r="AC14" i="10"/>
  <c r="AD5" i="10"/>
  <c r="AD15" i="10"/>
  <c r="AD7" i="10"/>
  <c r="AC4" i="10"/>
  <c r="AD4" i="10"/>
  <c r="AC5" i="10"/>
  <c r="AC11" i="10"/>
  <c r="AB18" i="10"/>
  <c r="AD14" i="10"/>
  <c r="AC9" i="10"/>
  <c r="AC10" i="10"/>
  <c r="AC6" i="10"/>
  <c r="AD9" i="10"/>
  <c r="AG4" i="10"/>
  <c r="AC15" i="10"/>
  <c r="AD6" i="10"/>
  <c r="AC12" i="10"/>
  <c r="AC8" i="10"/>
  <c r="AC13" i="10"/>
  <c r="AD11" i="10"/>
  <c r="AD12" i="10"/>
  <c r="AC7" i="10"/>
  <c r="AD8" i="10"/>
  <c r="AD10" i="10"/>
  <c r="AD13" i="10"/>
  <c r="Y2" i="10" l="1"/>
  <c r="AD18" i="10"/>
  <c r="L27" i="10" s="1"/>
  <c r="AC18" i="10"/>
  <c r="L26" i="10" s="1"/>
  <c r="L25" i="10"/>
  <c r="AH4" i="10"/>
  <c r="AI4" i="10"/>
  <c r="AJ4" i="10"/>
  <c r="AE18" i="10" l="1"/>
  <c r="L28" i="10" s="1"/>
  <c r="H31" i="10" s="1"/>
  <c r="AH18" i="10"/>
  <c r="AI5" i="10"/>
  <c r="AI11" i="10"/>
  <c r="AJ11" i="10"/>
  <c r="AJ15" i="10"/>
  <c r="AJ14" i="10"/>
  <c r="AJ13" i="10"/>
  <c r="AI14" i="10"/>
  <c r="AI7" i="10"/>
  <c r="AI15" i="10"/>
  <c r="AI13" i="10"/>
  <c r="AJ7" i="10"/>
  <c r="AI9" i="10"/>
  <c r="AI6" i="10"/>
  <c r="AJ10" i="10"/>
  <c r="AJ12" i="10"/>
  <c r="AI10" i="10"/>
  <c r="AI8" i="10"/>
  <c r="AJ6" i="10"/>
  <c r="AJ9" i="10"/>
  <c r="AI12" i="10"/>
  <c r="AJ8" i="10"/>
  <c r="AJ5" i="10"/>
  <c r="H32" i="10"/>
  <c r="H26" i="10"/>
  <c r="H27" i="10"/>
  <c r="H25" i="10"/>
  <c r="H29" i="10" l="1"/>
  <c r="L23" i="10"/>
  <c r="H30" i="10"/>
  <c r="AJ18" i="10"/>
  <c r="L41" i="10" s="1"/>
  <c r="H33" i="10"/>
  <c r="H35" i="10"/>
  <c r="H28" i="10"/>
  <c r="H34" i="10"/>
  <c r="AI18" i="10"/>
  <c r="L40" i="10" s="1"/>
  <c r="L39" i="10"/>
  <c r="H23" i="10" l="1"/>
  <c r="AK18" i="10"/>
  <c r="L42" i="10" s="1"/>
  <c r="H42" i="10" s="1"/>
  <c r="H41" i="10"/>
  <c r="H39" i="10"/>
  <c r="H40" i="10"/>
  <c r="H48" i="10" l="1"/>
  <c r="BK55" i="10" s="1"/>
  <c r="H45" i="10"/>
  <c r="BS45" i="10" s="1"/>
  <c r="H43" i="10"/>
  <c r="BK31" i="10" s="1"/>
  <c r="H46" i="10"/>
  <c r="BS46" i="10" s="1"/>
  <c r="H44" i="10"/>
  <c r="BS23" i="10" s="1"/>
  <c r="L37" i="10"/>
  <c r="H47" i="10"/>
  <c r="BK41" i="10" s="1"/>
  <c r="H49" i="10"/>
  <c r="BK43" i="10" s="1"/>
  <c r="BS20" i="10"/>
  <c r="BK5" i="10"/>
  <c r="BS26" i="10"/>
  <c r="BS33" i="10"/>
  <c r="BS9" i="10"/>
  <c r="BS16" i="10"/>
  <c r="BK14" i="10"/>
  <c r="BS12" i="10"/>
  <c r="BS41" i="10"/>
  <c r="BO6" i="10"/>
  <c r="BS7" i="10"/>
  <c r="BS24" i="10"/>
  <c r="BO4" i="10"/>
  <c r="BS5" i="10"/>
  <c r="BS39" i="10"/>
  <c r="BS4" i="10"/>
  <c r="BS14" i="10"/>
  <c r="BK49" i="10"/>
  <c r="BS10" i="10"/>
  <c r="BS31" i="10"/>
  <c r="BK4" i="10"/>
  <c r="BS25" i="10"/>
  <c r="BS8" i="10"/>
  <c r="BS15" i="10"/>
  <c r="BS40" i="10"/>
  <c r="BS19" i="10"/>
  <c r="BO5" i="10"/>
  <c r="BS11" i="10"/>
  <c r="BS6" i="10"/>
  <c r="BS32" i="10"/>
  <c r="BS13" i="10"/>
  <c r="BS42" i="10"/>
  <c r="BS21" i="10"/>
  <c r="BO7" i="10"/>
  <c r="BK23" i="10"/>
  <c r="BK15" i="10"/>
  <c r="BS34" i="10"/>
  <c r="BS27" i="10"/>
  <c r="BK6" i="10"/>
  <c r="BS17" i="10"/>
  <c r="BS37" i="10"/>
  <c r="BK19" i="10" l="1"/>
  <c r="BK9" i="10"/>
  <c r="BK26" i="10"/>
  <c r="BK33" i="10"/>
  <c r="BK39" i="10"/>
  <c r="BO10" i="10"/>
  <c r="BK38" i="10"/>
  <c r="BK29" i="10"/>
  <c r="BS18" i="10"/>
  <c r="BK54" i="10"/>
  <c r="BK18" i="10"/>
  <c r="BK45" i="10"/>
  <c r="BS30" i="10"/>
  <c r="BK44" i="10"/>
  <c r="BO9" i="10"/>
  <c r="BK47" i="10"/>
  <c r="BS29" i="10"/>
  <c r="BK57" i="10"/>
  <c r="BK42" i="10"/>
  <c r="BS44" i="10"/>
  <c r="BK12" i="10"/>
  <c r="BO13" i="10"/>
  <c r="BS36" i="10"/>
  <c r="BK21" i="10"/>
  <c r="BK25" i="10"/>
  <c r="BK52" i="10"/>
  <c r="BK36" i="10"/>
  <c r="BK32" i="10"/>
  <c r="BK13" i="10"/>
  <c r="BK17" i="10"/>
  <c r="BK8" i="10"/>
  <c r="BK51" i="10"/>
  <c r="BK22" i="10"/>
  <c r="BK40" i="10"/>
  <c r="BK34" i="10"/>
  <c r="BK30" i="10"/>
  <c r="BS38" i="10"/>
  <c r="BK50" i="10"/>
  <c r="BO14" i="10"/>
  <c r="BO11" i="10"/>
  <c r="BK48" i="10"/>
  <c r="BK27" i="10"/>
  <c r="BK53" i="10"/>
  <c r="BK10" i="10"/>
  <c r="BK59" i="10"/>
  <c r="BK28" i="10"/>
  <c r="BK56" i="10"/>
  <c r="BK58" i="10"/>
  <c r="BK37" i="10"/>
  <c r="BK46" i="10"/>
  <c r="BO8" i="10"/>
  <c r="BS47" i="10"/>
  <c r="BO12" i="10"/>
  <c r="BS35" i="10"/>
  <c r="BK16" i="10"/>
  <c r="BK35" i="10"/>
  <c r="BS22" i="10"/>
  <c r="BK11" i="10"/>
  <c r="BK24" i="10"/>
  <c r="BS43" i="10"/>
  <c r="BK20" i="10"/>
  <c r="H37" i="10"/>
  <c r="BS28" i="10"/>
  <c r="BK7" i="10"/>
  <c r="B37" i="10" l="1"/>
  <c r="B38" i="10"/>
  <c r="B36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A17" authorId="0" shapeId="0" xr:uid="{9F34E7E4-63EA-4BBF-8304-15B2AA9BE3BA}">
      <text>
        <r>
          <rPr>
            <b/>
            <sz val="8"/>
            <rFont val="Tahoma"/>
            <family val="2"/>
          </rPr>
          <t>"Pres" "normal" "AOW" "AIM"</t>
        </r>
      </text>
    </comment>
    <comment ref="A20" authorId="0" shapeId="0" xr:uid="{24A5C94A-5ACA-4275-AEC4-E910244311A2}">
      <text>
        <r>
          <rPr>
            <b/>
            <sz val="8"/>
            <rFont val="Tahoma"/>
            <family val="2"/>
          </rPr>
          <t>Si Pression me cargo 2 ocaciones</t>
        </r>
      </text>
    </comment>
    <comment ref="A21" authorId="0" shapeId="0" xr:uid="{1BE02061-1F29-4878-9091-2D7CCEC142E3}">
      <text>
        <r>
          <rPr>
            <b/>
            <sz val="8"/>
            <rFont val="Tahoma"/>
            <family val="2"/>
          </rPr>
          <t>Solo para el calculo de efectividad, no cuenta para nada más. Las ocasiones se miran en otra parte en el simulador</t>
        </r>
      </text>
    </comment>
    <comment ref="U35" authorId="0" shapeId="0" xr:uid="{D5036193-BFD7-45C1-88B7-884A37CB7BA9}">
      <text>
        <r>
          <rPr>
            <b/>
            <sz val="8"/>
            <rFont val="Tahoma"/>
            <family val="2"/>
          </rPr>
          <t>Autor:</t>
        </r>
        <r>
          <rPr>
            <sz val="8"/>
            <rFont val="Tahoma"/>
            <family val="2"/>
          </rPr>
          <t xml:space="preserve">
10 o más</t>
        </r>
      </text>
    </comment>
    <comment ref="U49" authorId="0" shapeId="0" xr:uid="{58AF56D7-5F22-4F0C-B997-3D6B89921CF7}">
      <text>
        <r>
          <rPr>
            <b/>
            <sz val="8"/>
            <rFont val="Tahoma"/>
            <family val="2"/>
          </rPr>
          <t>Autor:</t>
        </r>
        <r>
          <rPr>
            <sz val="8"/>
            <rFont val="Tahoma"/>
            <family val="2"/>
          </rPr>
          <t xml:space="preserve">
10 o más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A17" authorId="0" shapeId="0" xr:uid="{B91A18E4-591F-44B5-BA99-170E7AB9084A}">
      <text>
        <r>
          <rPr>
            <b/>
            <sz val="8"/>
            <rFont val="Tahoma"/>
            <family val="2"/>
          </rPr>
          <t>"Pres" "normal" "AOW" "AIM"</t>
        </r>
      </text>
    </comment>
    <comment ref="A20" authorId="0" shapeId="0" xr:uid="{83A4C843-781A-4DAD-8B27-1B3504E9D830}">
      <text>
        <r>
          <rPr>
            <b/>
            <sz val="8"/>
            <rFont val="Tahoma"/>
            <family val="2"/>
          </rPr>
          <t>Si Pression me cargo 2 ocaciones</t>
        </r>
      </text>
    </comment>
    <comment ref="A21" authorId="0" shapeId="0" xr:uid="{9DAE3D21-3C9C-4320-AD92-A6645CC33A9E}">
      <text>
        <r>
          <rPr>
            <b/>
            <sz val="8"/>
            <rFont val="Tahoma"/>
            <family val="2"/>
          </rPr>
          <t>Solo para el calculo de efectividad, no cuenta para nada más. Las ocasiones se miran en otra parte en el simulador</t>
        </r>
      </text>
    </comment>
    <comment ref="U35" authorId="0" shapeId="0" xr:uid="{AC9149F0-F0F4-4354-B903-D109BB37025E}">
      <text>
        <r>
          <rPr>
            <b/>
            <sz val="8"/>
            <rFont val="Tahoma"/>
            <family val="2"/>
          </rPr>
          <t>Autor:</t>
        </r>
        <r>
          <rPr>
            <sz val="8"/>
            <rFont val="Tahoma"/>
            <family val="2"/>
          </rPr>
          <t xml:space="preserve">
10 o más</t>
        </r>
      </text>
    </comment>
    <comment ref="U49" authorId="0" shapeId="0" xr:uid="{4F06009D-10C7-4A32-8600-C0A77CAA4080}">
      <text>
        <r>
          <rPr>
            <b/>
            <sz val="8"/>
            <rFont val="Tahoma"/>
            <family val="2"/>
          </rPr>
          <t>Autor:</t>
        </r>
        <r>
          <rPr>
            <sz val="8"/>
            <rFont val="Tahoma"/>
            <family val="2"/>
          </rPr>
          <t xml:space="preserve">
10 o más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W5" authorId="0" shapeId="0" xr:uid="{00000000-0006-0000-0700-000001000000}">
      <text>
        <r>
          <rPr>
            <sz val="8"/>
            <rFont val="Tahoma"/>
            <family val="2"/>
          </rPr>
          <t>0,017
Aparicion según PASES
Conversión según ANOTACION receptor
Receptor Extremos y delanteros</t>
        </r>
      </text>
    </comment>
    <comment ref="W6" authorId="0" shapeId="0" xr:uid="{00000000-0006-0000-0700-000002000000}">
      <text>
        <r>
          <rPr>
            <b/>
            <sz val="8"/>
            <rFont val="Tahoma"/>
            <family val="2"/>
          </rPr>
          <t xml:space="preserve">0,028
</t>
        </r>
        <r>
          <rPr>
            <sz val="8"/>
            <rFont val="Tahoma"/>
            <family val="2"/>
          </rPr>
          <t>Solamente Extremos y Delanteros
Aparición solo por ser IMP
Conversión depende nivel anotación del IMP</t>
        </r>
      </text>
    </comment>
    <comment ref="O7" authorId="0" shapeId="0" xr:uid="{00000000-0006-0000-0700-000003000000}">
      <text>
        <r>
          <rPr>
            <b/>
            <sz val="9"/>
            <rFont val="Tahoma"/>
            <family val="2"/>
          </rPr>
          <t>Autor:</t>
        </r>
        <r>
          <rPr>
            <sz val="9"/>
            <rFont val="Tahoma"/>
            <family val="2"/>
          </rPr>
          <t xml:space="preserve">
Como distribución normal de un partdo, no evento</t>
        </r>
      </text>
    </comment>
    <comment ref="W7" authorId="0" shapeId="0" xr:uid="{00000000-0006-0000-0700-000004000000}">
      <text>
        <r>
          <rPr>
            <b/>
            <sz val="8"/>
            <rFont val="Tahoma"/>
            <family val="2"/>
          </rPr>
          <t xml:space="preserve">0,04 (no es conocido)
</t>
        </r>
        <r>
          <rPr>
            <sz val="8"/>
            <rFont val="Tahoma"/>
            <family val="2"/>
          </rPr>
          <t>Solamente si hay jugadores con ANOTACION+BP
Qualquier jugador de campo</t>
        </r>
      </text>
    </comment>
    <comment ref="Y7" authorId="0" shapeId="0" xr:uid="{00000000-0006-0000-0700-000005000000}">
      <text>
        <r>
          <rPr>
            <b/>
            <sz val="9"/>
            <rFont val="Tahoma"/>
            <family val="2"/>
          </rPr>
          <t>Autor:</t>
        </r>
        <r>
          <rPr>
            <sz val="9"/>
            <rFont val="Tahoma"/>
            <family val="2"/>
          </rPr>
          <t xml:space="preserve">
Como distribucion normal de un partido, no evento</t>
        </r>
      </text>
    </comment>
    <comment ref="W8" authorId="0" shapeId="0" xr:uid="{00000000-0006-0000-0700-000006000000}">
      <text>
        <r>
          <rPr>
            <b/>
            <sz val="8"/>
            <rFont val="Tahoma"/>
            <family val="2"/>
          </rPr>
          <t xml:space="preserve">0,018
</t>
        </r>
        <r>
          <rPr>
            <sz val="8"/>
            <rFont val="Tahoma"/>
            <family val="2"/>
          </rPr>
          <t>Aparicion solo por IMP
Conversión según ANOTACION receptor
Receptor Extremos y delanteros</t>
        </r>
      </text>
    </comment>
    <comment ref="W9" authorId="0" shapeId="0" xr:uid="{00000000-0006-0000-0700-000007000000}">
      <text>
        <r>
          <rPr>
            <b/>
            <sz val="8"/>
            <rFont val="Tahoma"/>
            <family val="2"/>
          </rPr>
          <t xml:space="preserve">Según nivel de defensa del IMP
</t>
        </r>
        <r>
          <rPr>
            <sz val="8"/>
            <rFont val="Tahoma"/>
            <family val="2"/>
          </rPr>
          <t>0,045 Medios
0,015 Defensas</t>
        </r>
        <r>
          <rPr>
            <b/>
            <sz val="8"/>
            <rFont val="Tahoma"/>
            <family val="2"/>
          </rPr>
          <t xml:space="preserve">
</t>
        </r>
      </text>
    </comment>
    <comment ref="W10" authorId="0" shapeId="0" xr:uid="{00000000-0006-0000-0700-000008000000}">
      <text>
        <r>
          <rPr>
            <b/>
            <sz val="8"/>
            <rFont val="Tahoma"/>
            <family val="2"/>
          </rPr>
          <t xml:space="preserve">0,075 lineal
</t>
        </r>
        <r>
          <rPr>
            <sz val="8"/>
            <rFont val="Tahoma"/>
            <family val="2"/>
          </rPr>
          <t>Se genera por ser RAP
Conversión según anotación RAP y Defensa DEF</t>
        </r>
      </text>
    </comment>
    <comment ref="W11" authorId="0" shapeId="0" xr:uid="{00000000-0006-0000-0700-000009000000}">
      <text>
        <r>
          <rPr>
            <b/>
            <sz val="8"/>
            <rFont val="Tahoma"/>
            <family val="2"/>
          </rPr>
          <t xml:space="preserve">0,075 lineal por ser RAP (puede de PASES pero no se sabe)
</t>
        </r>
        <r>
          <rPr>
            <sz val="8"/>
            <rFont val="Tahoma"/>
            <family val="2"/>
          </rPr>
          <t>Remata siempre un delantero y no depende del rival</t>
        </r>
      </text>
    </comment>
    <comment ref="W12" authorId="0" shapeId="0" xr:uid="{00000000-0006-0000-0700-00000A000000}">
      <text>
        <r>
          <rPr>
            <sz val="8"/>
            <rFont val="Tahoma"/>
            <family val="2"/>
          </rPr>
          <t xml:space="preserve">0,1
Defensa o Medio con Resistencia &gt;=debil
Conversión depende de la anotación del jugador rival
</t>
        </r>
      </text>
    </comment>
    <comment ref="W13" authorId="0" shapeId="0" xr:uid="{00000000-0006-0000-0700-00000B000000}">
      <text>
        <r>
          <rPr>
            <b/>
            <sz val="8"/>
            <rFont val="Tahoma"/>
            <family val="2"/>
          </rPr>
          <t xml:space="preserve">0,133
</t>
        </r>
        <r>
          <rPr>
            <sz val="8"/>
            <rFont val="Tahoma"/>
            <family val="2"/>
          </rPr>
          <t xml:space="preserve">alto BP del lanzador + Anotación del receptor (qualquier)
Conversión depende de la ANOTACION </t>
        </r>
      </text>
    </comment>
    <comment ref="W14" authorId="0" shapeId="0" xr:uid="{00000000-0006-0000-0700-00000C000000}">
      <text>
        <r>
          <rPr>
            <b/>
            <sz val="8"/>
            <rFont val="Tahoma"/>
            <family val="2"/>
          </rPr>
          <t xml:space="preserve">0,08 lineal
</t>
        </r>
        <r>
          <rPr>
            <sz val="8"/>
            <rFont val="Tahoma"/>
            <family val="2"/>
          </rPr>
          <t>Gran efectividad 90% según cabezones del rival, pero no baja hasta grandes diferencias</t>
        </r>
      </text>
    </comment>
    <comment ref="W15" authorId="0" shapeId="0" xr:uid="{00000000-0006-0000-0700-00000D000000}">
      <text>
        <r>
          <rPr>
            <b/>
            <sz val="8"/>
            <rFont val="Tahoma"/>
            <family val="2"/>
          </rPr>
          <t>0,03 (depende del XP de los jugadores)</t>
        </r>
        <r>
          <rPr>
            <sz val="8"/>
            <rFont val="Tahoma"/>
            <family val="2"/>
          </rPr>
          <t xml:space="preserve">
Evento que pueden provocar los delanteros y extremos con un nivel de experiencia alto. 
Lanzador BP nunca
De hecho es necesario un nivel de experiencia débil para conseguir el evento.</t>
        </r>
        <r>
          <rPr>
            <b/>
            <sz val="8"/>
            <rFont val="Tahoma"/>
            <family val="2"/>
          </rPr>
          <t xml:space="preserve">
</t>
        </r>
      </text>
    </comment>
    <comment ref="W16" authorId="0" shapeId="0" xr:uid="{00000000-0006-0000-0700-00000E000000}">
      <text>
        <r>
          <rPr>
            <b/>
            <sz val="8"/>
            <rFont val="Tahoma"/>
            <family val="2"/>
          </rPr>
          <t>0,3 (muy común si es posible)</t>
        </r>
        <r>
          <rPr>
            <sz val="8"/>
            <rFont val="Tahoma"/>
            <family val="2"/>
          </rPr>
          <t xml:space="preserve">
Evento negativo que pueden provocar los defensas o inner por tener un nivel bajo de experiencia (&lt;debil)</t>
        </r>
      </text>
    </comment>
    <comment ref="A17" authorId="0" shapeId="0" xr:uid="{00000000-0006-0000-0700-00000F000000}">
      <text>
        <r>
          <rPr>
            <b/>
            <sz val="8"/>
            <rFont val="Tahoma"/>
            <family val="2"/>
          </rPr>
          <t>"Pres" "normal" "AOW" "AIM"</t>
        </r>
      </text>
    </comment>
    <comment ref="W17" authorId="0" shapeId="0" xr:uid="{00000000-0006-0000-0700-000010000000}">
      <text>
        <r>
          <rPr>
            <b/>
            <sz val="8"/>
            <rFont val="Tahoma"/>
            <family val="2"/>
          </rPr>
          <t xml:space="preserve">0,04
</t>
        </r>
        <r>
          <rPr>
            <sz val="8"/>
            <rFont val="Tahoma"/>
            <family val="2"/>
          </rPr>
          <t>Si el rematador es cabezon efectividad 0,9 sino cuenta la anotación y baja mucho la conversión</t>
        </r>
      </text>
    </comment>
    <comment ref="W18" authorId="0" shapeId="0" xr:uid="{00000000-0006-0000-0700-000011000000}">
      <text>
        <r>
          <rPr>
            <b/>
            <sz val="8"/>
            <rFont val="Tahoma"/>
            <family val="2"/>
          </rPr>
          <t>Incluyo en el 19</t>
        </r>
      </text>
    </comment>
    <comment ref="W19" authorId="0" shapeId="0" xr:uid="{00000000-0006-0000-0700-000012000000}">
      <text>
        <r>
          <rPr>
            <b/>
            <sz val="8"/>
            <rFont val="Tahoma"/>
            <family val="2"/>
          </rPr>
          <t>0,045 lineal por TEC (extremos y delanteros)</t>
        </r>
        <r>
          <rPr>
            <sz val="8"/>
            <rFont val="Tahoma"/>
            <family val="2"/>
          </rPr>
          <t xml:space="preserve">
Si el rival tiene CAB en medios y defensas
Parece ser que depende de la anotacion y la defensa</t>
        </r>
      </text>
    </comment>
    <comment ref="A20" authorId="0" shapeId="0" xr:uid="{00000000-0006-0000-0700-000013000000}">
      <text>
        <r>
          <rPr>
            <b/>
            <sz val="8"/>
            <rFont val="Tahoma"/>
            <family val="2"/>
          </rPr>
          <t>Si Pression me cargo 2 ocaciones</t>
        </r>
      </text>
    </comment>
    <comment ref="A21" authorId="0" shapeId="0" xr:uid="{00000000-0006-0000-0700-000014000000}">
      <text>
        <r>
          <rPr>
            <b/>
            <sz val="8"/>
            <rFont val="Tahoma"/>
            <family val="2"/>
          </rPr>
          <t>Solo para el calculo de efectividad, no cuenta para nada más. Las ocasiones se miran en otra parte en el simulador</t>
        </r>
      </text>
    </comment>
    <comment ref="U34" authorId="0" shapeId="0" xr:uid="{00000000-0006-0000-0700-000015000000}">
      <text>
        <r>
          <rPr>
            <b/>
            <sz val="8"/>
            <rFont val="Tahoma"/>
            <family val="2"/>
          </rPr>
          <t>Autor:</t>
        </r>
        <r>
          <rPr>
            <sz val="8"/>
            <rFont val="Tahoma"/>
            <family val="2"/>
          </rPr>
          <t xml:space="preserve">
10 o más</t>
        </r>
      </text>
    </comment>
    <comment ref="U48" authorId="0" shapeId="0" xr:uid="{00000000-0006-0000-0700-000016000000}">
      <text>
        <r>
          <rPr>
            <b/>
            <sz val="8"/>
            <rFont val="Tahoma"/>
            <family val="2"/>
          </rPr>
          <t>Autor:</t>
        </r>
        <r>
          <rPr>
            <sz val="8"/>
            <rFont val="Tahoma"/>
            <family val="2"/>
          </rPr>
          <t xml:space="preserve">
10 o más</t>
        </r>
      </text>
    </comment>
  </commentList>
</comments>
</file>

<file path=xl/sharedStrings.xml><?xml version="1.0" encoding="utf-8"?>
<sst xmlns="http://schemas.openxmlformats.org/spreadsheetml/2006/main" count="685" uniqueCount="184">
  <si>
    <t>NEU</t>
  </si>
  <si>
    <t>RAP</t>
  </si>
  <si>
    <t>TEC</t>
  </si>
  <si>
    <t>All</t>
  </si>
  <si>
    <t>Clima</t>
  </si>
  <si>
    <t>Sol</t>
  </si>
  <si>
    <t>POT</t>
  </si>
  <si>
    <t>Ext+Del</t>
  </si>
  <si>
    <t>Del</t>
  </si>
  <si>
    <t>LOC</t>
  </si>
  <si>
    <t>VIS</t>
  </si>
  <si>
    <t>Loc</t>
  </si>
  <si>
    <t>HPrin</t>
  </si>
  <si>
    <t>Exp</t>
  </si>
  <si>
    <t>An</t>
  </si>
  <si>
    <t>Vis</t>
  </si>
  <si>
    <t>Pcrear</t>
  </si>
  <si>
    <t>Pconv</t>
  </si>
  <si>
    <t>p</t>
  </si>
  <si>
    <t>pLoc</t>
  </si>
  <si>
    <t>p(0)</t>
  </si>
  <si>
    <t>p(1)</t>
  </si>
  <si>
    <t>p(2)</t>
  </si>
  <si>
    <t>Ev</t>
  </si>
  <si>
    <t>pVis</t>
  </si>
  <si>
    <t>pbase</t>
  </si>
  <si>
    <t>FORMACION</t>
  </si>
  <si>
    <t>POR</t>
  </si>
  <si>
    <t>no</t>
  </si>
  <si>
    <t>Pase largo de imprevisible</t>
  </si>
  <si>
    <t>05</t>
  </si>
  <si>
    <t>Mediocampo</t>
  </si>
  <si>
    <t>LAT</t>
  </si>
  <si>
    <t>IMP</t>
  </si>
  <si>
    <t>Imprevisible recupera balón</t>
  </si>
  <si>
    <t>06</t>
  </si>
  <si>
    <t>Defensa derecha</t>
  </si>
  <si>
    <t>DC</t>
  </si>
  <si>
    <t>IMP Propia</t>
  </si>
  <si>
    <t>Defensa central</t>
  </si>
  <si>
    <t>Imprevisible crea ocasión</t>
  </si>
  <si>
    <t>08</t>
  </si>
  <si>
    <t>Defensa izquierda</t>
  </si>
  <si>
    <t>Pérdida de balón Imprev.</t>
  </si>
  <si>
    <t>09</t>
  </si>
  <si>
    <t>Ataque derecho</t>
  </si>
  <si>
    <t>Rápido dispara a gol</t>
  </si>
  <si>
    <t>15</t>
  </si>
  <si>
    <t>Ataque central</t>
  </si>
  <si>
    <t>MD</t>
  </si>
  <si>
    <t>Pase de un jugador rápido</t>
  </si>
  <si>
    <t>16</t>
  </si>
  <si>
    <t>Ataque izquierdo</t>
  </si>
  <si>
    <t>Cansancio</t>
  </si>
  <si>
    <t>17</t>
  </si>
  <si>
    <t>Faltas indirectas Def</t>
  </si>
  <si>
    <t>Córner</t>
  </si>
  <si>
    <t>18</t>
  </si>
  <si>
    <t>Faltas indirectas At</t>
  </si>
  <si>
    <t>EXT</t>
  </si>
  <si>
    <t>Córner + cabeceador</t>
  </si>
  <si>
    <t>19</t>
  </si>
  <si>
    <t>Experiencia Equipo</t>
  </si>
  <si>
    <t>Experiencia</t>
  </si>
  <si>
    <t>35</t>
  </si>
  <si>
    <t xml:space="preserve">Nivel medio HabPri </t>
  </si>
  <si>
    <t>DV</t>
  </si>
  <si>
    <t>Inexperiencia</t>
  </si>
  <si>
    <t>36</t>
  </si>
  <si>
    <t>Tactica</t>
  </si>
  <si>
    <t>Normal</t>
  </si>
  <si>
    <t>Extremo + anotación</t>
  </si>
  <si>
    <t>37</t>
  </si>
  <si>
    <t>Nivel Tactica</t>
  </si>
  <si>
    <t>Extremo + cabeceador</t>
  </si>
  <si>
    <t>38</t>
  </si>
  <si>
    <t>3 o más</t>
  </si>
  <si>
    <t>Técnivo vs. Cabeceador</t>
  </si>
  <si>
    <t>39</t>
  </si>
  <si>
    <t>Oca Destruidas Pression</t>
  </si>
  <si>
    <t>Ocasiones Compartidas</t>
  </si>
  <si>
    <t>Posesión HT</t>
  </si>
  <si>
    <t>Ocasiones Gol</t>
  </si>
  <si>
    <t>Posesión Real</t>
  </si>
  <si>
    <t>Local</t>
  </si>
  <si>
    <t>Visitante</t>
  </si>
  <si>
    <t>G</t>
  </si>
  <si>
    <t>GT</t>
  </si>
  <si>
    <t>p(x)</t>
  </si>
  <si>
    <t>EE(x)</t>
  </si>
  <si>
    <t>OcaS</t>
  </si>
  <si>
    <t>P</t>
  </si>
  <si>
    <t>O_CA</t>
  </si>
  <si>
    <t>TotalN</t>
  </si>
  <si>
    <t>OcaCA</t>
  </si>
  <si>
    <t>Total</t>
  </si>
  <si>
    <t>E(x)</t>
  </si>
  <si>
    <t>G0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</si>
  <si>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</si>
  <si>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</si>
  <si>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</si>
  <si>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</si>
  <si>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</si>
  <si>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</si>
  <si>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</si>
  <si>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</si>
  <si>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</si>
  <si>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</si>
  <si>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at-central</t>
  </si>
  <si>
    <t>at-derecha</t>
  </si>
  <si>
    <t>at-izquierda</t>
  </si>
  <si>
    <t>at-bp-d</t>
  </si>
  <si>
    <t>at-bp-i</t>
  </si>
  <si>
    <t>Tiro Lejano</t>
  </si>
  <si>
    <t>Efectividad</t>
  </si>
  <si>
    <t>Probabilidad de TL</t>
  </si>
  <si>
    <t>Probabilidad de CA</t>
  </si>
  <si>
    <t>Ocasiones Total Gol</t>
  </si>
  <si>
    <t>EMPATE</t>
  </si>
  <si>
    <t>VISITANT</t>
  </si>
  <si>
    <t>LOCAL</t>
  </si>
  <si>
    <t>Esp</t>
  </si>
  <si>
    <t>+/-</t>
  </si>
  <si>
    <t>Hab</t>
  </si>
  <si>
    <t>Tiempo</t>
  </si>
  <si>
    <t>Lluvia</t>
  </si>
  <si>
    <t>-</t>
  </si>
  <si>
    <t>-JUG-ANO</t>
  </si>
  <si>
    <t>1º+2º</t>
  </si>
  <si>
    <t>+</t>
  </si>
  <si>
    <t>+JUG+ANO</t>
  </si>
  <si>
    <t xml:space="preserve">POT </t>
  </si>
  <si>
    <t>+DF+JG+AN</t>
  </si>
  <si>
    <t>-ANO-RES</t>
  </si>
  <si>
    <t>2º</t>
  </si>
  <si>
    <t>-DEF-ANO</t>
  </si>
  <si>
    <t>-DEF</t>
  </si>
  <si>
    <t>Vader</t>
  </si>
  <si>
    <t>CAB</t>
  </si>
  <si>
    <t>Obiwan</t>
  </si>
  <si>
    <t>0,6</t>
  </si>
  <si>
    <t>0,72</t>
  </si>
  <si>
    <t>Tiro lejano</t>
  </si>
  <si>
    <t>07</t>
  </si>
  <si>
    <t>Ev.Clima</t>
  </si>
  <si>
    <t>&lt;debil</t>
  </si>
  <si>
    <t>Constantes Clima</t>
  </si>
  <si>
    <t>pLocal50</t>
  </si>
  <si>
    <t>pVis50</t>
  </si>
  <si>
    <t>FORM</t>
  </si>
  <si>
    <t>Nublado</t>
  </si>
  <si>
    <t>No</t>
  </si>
  <si>
    <t>Pos1</t>
  </si>
  <si>
    <t>Pos2</t>
  </si>
  <si>
    <t>E+D</t>
  </si>
  <si>
    <t>Evento</t>
  </si>
  <si>
    <t>Slots</t>
  </si>
  <si>
    <t>Descripcion</t>
  </si>
  <si>
    <t>Slots1</t>
  </si>
  <si>
    <t>Slots2</t>
  </si>
  <si>
    <t>pOK</t>
  </si>
  <si>
    <t>a1</t>
  </si>
  <si>
    <t>a2</t>
  </si>
  <si>
    <t>pConv1</t>
  </si>
  <si>
    <t>pConv2</t>
  </si>
  <si>
    <t>g1</t>
  </si>
  <si>
    <t>g2</t>
  </si>
  <si>
    <t>IMP+Pase</t>
  </si>
  <si>
    <t>IMP+Ano</t>
  </si>
  <si>
    <t>IMP Fallo</t>
  </si>
  <si>
    <t>RAP+Ano</t>
  </si>
  <si>
    <t>RAP+Pase</t>
  </si>
  <si>
    <t>pos</t>
  </si>
  <si>
    <t>Corner + Ano</t>
  </si>
  <si>
    <t>Corner + CAB</t>
  </si>
  <si>
    <t>Lat+CAB</t>
  </si>
  <si>
    <t>Lat+ANO</t>
  </si>
  <si>
    <t>TEC vs CAB</t>
  </si>
  <si>
    <t>p_por_slot</t>
  </si>
  <si>
    <t>WB</t>
  </si>
  <si>
    <t>CD</t>
  </si>
  <si>
    <t>INN</t>
  </si>
  <si>
    <t>DAV</t>
  </si>
  <si>
    <t>Del POT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</si>
</sst>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-* #,##0.00\ _€_-;\-* #,##0.00\ _€_-;_-* &quot;-&quot;??\ _€_-;_-@_-"/>
    <numFmt numFmtId="165" formatCode="0.0%"/>
    <numFmt numFmtId="166" formatCode="0.0000"/>
    <numFmt numFmtId="167" formatCode="_-* #,##0.000\ _€_-;\-* #,##0.000\ _€_-;_-* &quot;-&quot;??\ _€_-;_-@_-"/>
    <numFmt numFmtId="168" formatCode="0.000"/>
    <numFmt numFmtId="169" formatCode="0.0"/>
  </numFmts>
  <fonts count="27" x14ac:knownFonts="1">
    <font>
      <sz val="11"/>
      <color rgb="FF000000"/>
      <name val="Calibri"/>
      <family val="2"/>
    </font>
    <font>
      <sz val="11"/>
      <color rgb="FFFF0000"/>
      <name val="Calibri"/>
      <family val="2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</font>
    <font>
      <b/>
      <sz val="11"/>
      <color rgb="FF00B050"/>
      <name val="Calibri"/>
      <family val="2"/>
    </font>
    <font>
      <b/>
      <u/>
      <sz val="11"/>
      <color rgb="FF000000"/>
      <name val="Calibri"/>
      <family val="2"/>
    </font>
    <font>
      <u/>
      <sz val="11"/>
      <color rgb="FF000000"/>
      <name val="Calibri"/>
      <family val="2"/>
    </font>
    <font>
      <sz val="11"/>
      <color rgb="FF00B050"/>
      <name val="Calibri"/>
      <family val="2"/>
    </font>
    <font>
      <sz val="8"/>
      <color rgb="FF000000"/>
      <name val="Calibri"/>
      <family val="2"/>
    </font>
    <font>
      <sz val="8"/>
      <color rgb="FFFF0000"/>
      <name val="Calibri"/>
      <family val="2"/>
    </font>
    <font>
      <sz val="11"/>
      <color rgb="FFFFFFFF"/>
      <name val="Calibri"/>
      <family val="2"/>
    </font>
    <font>
      <sz val="8"/>
      <color rgb="FF000000"/>
      <name val="Verdana"/>
      <family val="2"/>
    </font>
    <font>
      <b/>
      <sz val="12"/>
      <color rgb="FF000000"/>
      <name val="Calibri"/>
      <family val="2"/>
    </font>
    <font>
      <sz val="11"/>
      <color rgb="FF000000"/>
      <name val="Calibri"/>
      <family val="2"/>
    </font>
    <font>
      <sz val="8"/>
      <name val="Tahoma"/>
      <family val="2"/>
    </font>
    <font>
      <b/>
      <sz val="8"/>
      <name val="Tahoma"/>
      <family val="2"/>
    </font>
    <font>
      <b/>
      <sz val="9"/>
      <name val="Tahoma"/>
      <family val="2"/>
    </font>
    <font>
      <sz val="9"/>
      <name val="Tahoma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2"/>
      <color rgb="FFFF0000"/>
      <name val="Calibri"/>
      <family val="2"/>
    </font>
    <font>
      <b/>
      <sz val="12"/>
      <color rgb="FF00B050"/>
      <name val="Calibri"/>
      <family val="2"/>
    </font>
    <font>
      <b/>
      <sz val="12"/>
      <color rgb="FFFF0000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4"/>
      <color rgb="FF000000"/>
      <name val="Calibri"/>
      <family val="2"/>
    </font>
  </fonts>
  <fills count="47">
    <fill>
      <patternFill patternType="none"/>
    </fill>
    <fill>
      <patternFill patternType="gray125"/>
    </fill>
    <fill>
      <patternFill patternType="solid">
        <fgColor rgb="FFCCC0DA"/>
        <bgColor rgb="FFFFFFFF"/>
      </patternFill>
    </fill>
    <fill>
      <patternFill patternType="solid">
        <fgColor rgb="FFFCD5B4"/>
        <bgColor rgb="FFFFFFFF"/>
      </patternFill>
    </fill>
    <fill>
      <patternFill patternType="solid">
        <fgColor rgb="FFC2D69A"/>
        <bgColor rgb="FFFFFFFF"/>
      </patternFill>
    </fill>
    <fill>
      <patternFill patternType="solid">
        <fgColor rgb="FFE6B8B7"/>
        <bgColor rgb="FFFFFFFF"/>
      </patternFill>
    </fill>
    <fill>
      <patternFill patternType="solid">
        <fgColor rgb="FFD7E3BB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D7E3BB"/>
        <bgColor rgb="FFFFFFFF"/>
      </patternFill>
    </fill>
    <fill>
      <patternFill patternType="solid">
        <fgColor rgb="FFE6B8B7"/>
        <bgColor rgb="FFFFFFFF"/>
      </patternFill>
    </fill>
    <fill>
      <patternFill patternType="solid">
        <fgColor rgb="FFC2D69A"/>
        <bgColor rgb="FFFFFFFF"/>
      </patternFill>
    </fill>
    <fill>
      <patternFill patternType="solid">
        <fgColor rgb="FFE6B8B7"/>
        <bgColor rgb="FFFFFFFF"/>
      </patternFill>
    </fill>
    <fill>
      <patternFill patternType="solid">
        <fgColor rgb="FFE6B8B7"/>
        <bgColor rgb="FFFFFFFF"/>
      </patternFill>
    </fill>
    <fill>
      <patternFill patternType="solid">
        <fgColor rgb="FFE6B8B7"/>
        <bgColor rgb="FFFFFFFF"/>
      </patternFill>
    </fill>
    <fill>
      <patternFill patternType="solid">
        <fgColor rgb="FFC2D69A"/>
        <bgColor rgb="FFFFFFFF"/>
      </patternFill>
    </fill>
    <fill>
      <patternFill patternType="solid">
        <fgColor rgb="FFC2D69A"/>
        <bgColor rgb="FFFFFFFF"/>
      </patternFill>
    </fill>
    <fill>
      <patternFill patternType="solid">
        <fgColor rgb="FFC2D69A"/>
        <bgColor rgb="FFFFFFFF"/>
      </patternFill>
    </fill>
    <fill>
      <patternFill patternType="solid">
        <fgColor rgb="FFC2D69A"/>
        <bgColor rgb="FFFFFFFF"/>
      </patternFill>
    </fill>
    <fill>
      <patternFill patternType="solid">
        <fgColor rgb="FF00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D7E3BB"/>
        <bgColor rgb="FFFFFFFF"/>
      </patternFill>
    </fill>
    <fill>
      <patternFill patternType="solid">
        <fgColor rgb="FFE6B8B7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CD5B4"/>
        <bgColor rgb="FFFFFFFF"/>
      </patternFill>
    </fill>
    <fill>
      <patternFill patternType="solid">
        <fgColor rgb="FFDAEEF3"/>
        <bgColor rgb="FFFFFFFF"/>
      </patternFill>
    </fill>
    <fill>
      <patternFill patternType="solid">
        <fgColor rgb="FFC4BD97"/>
        <bgColor rgb="FFFFFFFF"/>
      </patternFill>
    </fill>
    <fill>
      <patternFill patternType="solid">
        <fgColor rgb="FFE6B8B7"/>
        <bgColor rgb="FFFFFFFF"/>
      </patternFill>
    </fill>
    <fill>
      <patternFill patternType="solid">
        <fgColor rgb="FFE6B8B7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E6B8B7"/>
        <bgColor rgb="FFFFFFFF"/>
      </patternFill>
    </fill>
    <fill>
      <patternFill patternType="solid">
        <fgColor rgb="FFE6B8B7"/>
        <bgColor rgb="FFFFFFFF"/>
      </patternFill>
    </fill>
    <fill>
      <patternFill patternType="solid">
        <fgColor rgb="FFC2D69A"/>
        <bgColor rgb="FFFFFFFF"/>
      </patternFill>
    </fill>
    <fill>
      <patternFill patternType="solid">
        <fgColor rgb="FFC2D69A"/>
        <bgColor rgb="FFFFFFFF"/>
      </patternFill>
    </fill>
    <fill>
      <patternFill patternType="solid">
        <fgColor rgb="FFC2D69A"/>
        <bgColor rgb="FFFFFFFF"/>
      </patternFill>
    </fill>
    <fill>
      <patternFill patternType="solid">
        <fgColor rgb="FFFDE9D9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FDE9D9"/>
        <bgColor rgb="FFFFFFFF"/>
      </patternFill>
    </fill>
    <fill>
      <patternFill patternType="solid">
        <fgColor rgb="FFFDE9D9"/>
        <bgColor rgb="FFFFFFFF"/>
      </patternFill>
    </fill>
    <fill>
      <patternFill patternType="solid">
        <fgColor rgb="FFB7DEE8"/>
        <bgColor rgb="FFFFFFFF"/>
      </patternFill>
    </fill>
    <fill>
      <patternFill patternType="solid">
        <fgColor theme="0" tint="-4.9989318521683403E-2"/>
        <bgColor rgb="FFFFFFFF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rgb="FFFFFFFF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rgb="FFFFFFFF"/>
      </patternFill>
    </fill>
  </fills>
  <borders count="5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3">
    <xf numFmtId="0" fontId="0" fillId="0" borderId="0"/>
    <xf numFmtId="164" fontId="13" fillId="0" borderId="0" applyFont="0" applyFill="0" applyBorder="0" applyAlignment="0" applyProtection="0"/>
    <xf numFmtId="9" fontId="13" fillId="0" borderId="0" applyFont="0" applyFill="0" applyBorder="0" applyAlignment="0" applyProtection="0"/>
  </cellStyleXfs>
  <cellXfs count="238">
    <xf numFmtId="0" fontId="0" fillId="0" borderId="0" xfId="0"/>
    <xf numFmtId="0" fontId="0" fillId="0" borderId="0" xfId="0" applyAlignment="1">
      <alignment horizontal="right"/>
    </xf>
    <xf numFmtId="0" fontId="5" fillId="2" borderId="1" xfId="0" applyFont="1" applyFill="1" applyBorder="1" applyAlignment="1">
      <alignment horizontal="right"/>
    </xf>
    <xf numFmtId="2" fontId="3" fillId="0" borderId="2" xfId="0" applyNumberFormat="1" applyFont="1" applyBorder="1"/>
    <xf numFmtId="2" fontId="4" fillId="0" borderId="2" xfId="0" applyNumberFormat="1" applyFont="1" applyBorder="1"/>
    <xf numFmtId="0" fontId="5" fillId="3" borderId="3" xfId="0" applyFont="1" applyFill="1" applyBorder="1" applyAlignment="1">
      <alignment horizontal="right"/>
    </xf>
    <xf numFmtId="0" fontId="5" fillId="4" borderId="4" xfId="0" applyFont="1" applyFill="1" applyBorder="1" applyAlignment="1">
      <alignment horizontal="right"/>
    </xf>
    <xf numFmtId="0" fontId="5" fillId="5" borderId="5" xfId="0" applyFont="1" applyFill="1" applyBorder="1" applyAlignment="1">
      <alignment horizontal="right"/>
    </xf>
    <xf numFmtId="0" fontId="3" fillId="5" borderId="5" xfId="0" applyFont="1" applyFill="1" applyBorder="1" applyAlignment="1">
      <alignment horizontal="center"/>
    </xf>
    <xf numFmtId="0" fontId="4" fillId="6" borderId="6" xfId="0" applyFont="1" applyFill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  <xf numFmtId="49" fontId="0" fillId="0" borderId="2" xfId="0" applyNumberFormat="1" applyBorder="1" applyAlignment="1">
      <alignment horizontal="center"/>
    </xf>
    <xf numFmtId="49" fontId="3" fillId="0" borderId="2" xfId="0" applyNumberFormat="1" applyFont="1" applyBorder="1" applyAlignment="1">
      <alignment horizontal="center"/>
    </xf>
    <xf numFmtId="49" fontId="3" fillId="7" borderId="8" xfId="0" applyNumberFormat="1" applyFont="1" applyFill="1" applyBorder="1" applyAlignment="1">
      <alignment horizontal="center"/>
    </xf>
    <xf numFmtId="49" fontId="4" fillId="0" borderId="2" xfId="0" applyNumberFormat="1" applyFont="1" applyBorder="1" applyAlignment="1">
      <alignment horizontal="center"/>
    </xf>
    <xf numFmtId="49" fontId="4" fillId="7" borderId="8" xfId="0" applyNumberFormat="1" applyFont="1" applyFill="1" applyBorder="1" applyAlignment="1">
      <alignment horizontal="center"/>
    </xf>
    <xf numFmtId="49" fontId="0" fillId="0" borderId="0" xfId="0" applyNumberFormat="1"/>
    <xf numFmtId="0" fontId="2" fillId="7" borderId="8" xfId="0" applyFont="1" applyFill="1" applyBorder="1" applyAlignment="1">
      <alignment horizontal="right"/>
    </xf>
    <xf numFmtId="0" fontId="2" fillId="0" borderId="2" xfId="0" applyFont="1" applyBorder="1" applyAlignment="1">
      <alignment horizontal="right" wrapText="1"/>
    </xf>
    <xf numFmtId="0" fontId="2" fillId="5" borderId="5" xfId="0" applyFont="1" applyFill="1" applyBorder="1" applyAlignment="1">
      <alignment horizontal="center"/>
    </xf>
    <xf numFmtId="1" fontId="2" fillId="0" borderId="0" xfId="0" applyNumberFormat="1" applyFont="1"/>
    <xf numFmtId="0" fontId="2" fillId="4" borderId="4" xfId="0" applyFont="1" applyFill="1" applyBorder="1" applyAlignment="1">
      <alignment horizontal="center"/>
    </xf>
    <xf numFmtId="165" fontId="0" fillId="0" borderId="0" xfId="2" applyNumberFormat="1" applyFont="1"/>
    <xf numFmtId="0" fontId="2" fillId="0" borderId="0" xfId="0" applyFont="1" applyAlignment="1">
      <alignment horizontal="center"/>
    </xf>
    <xf numFmtId="9" fontId="0" fillId="0" borderId="0" xfId="0" applyNumberFormat="1"/>
    <xf numFmtId="2" fontId="0" fillId="0" borderId="0" xfId="0" applyNumberFormat="1"/>
    <xf numFmtId="164" fontId="0" fillId="0" borderId="0" xfId="1" applyFont="1"/>
    <xf numFmtId="165" fontId="0" fillId="0" borderId="2" xfId="2" applyNumberFormat="1" applyFont="1" applyBorder="1" applyAlignment="1">
      <alignment horizontal="center"/>
    </xf>
    <xf numFmtId="0" fontId="2" fillId="8" borderId="9" xfId="0" applyFont="1" applyFill="1" applyBorder="1" applyAlignment="1">
      <alignment horizontal="right"/>
    </xf>
    <xf numFmtId="0" fontId="0" fillId="8" borderId="9" xfId="0" applyFill="1" applyBorder="1" applyAlignment="1">
      <alignment horizontal="right"/>
    </xf>
    <xf numFmtId="0" fontId="2" fillId="0" borderId="2" xfId="0" applyFont="1" applyBorder="1" applyAlignment="1">
      <alignment horizontal="right"/>
    </xf>
    <xf numFmtId="166" fontId="0" fillId="7" borderId="8" xfId="0" applyNumberFormat="1" applyFill="1" applyBorder="1"/>
    <xf numFmtId="166" fontId="0" fillId="8" borderId="9" xfId="0" applyNumberFormat="1" applyFill="1" applyBorder="1"/>
    <xf numFmtId="165" fontId="3" fillId="7" borderId="8" xfId="2" applyNumberFormat="1" applyFont="1" applyFill="1" applyBorder="1"/>
    <xf numFmtId="165" fontId="2" fillId="7" borderId="8" xfId="2" applyNumberFormat="1" applyFont="1" applyFill="1" applyBorder="1"/>
    <xf numFmtId="165" fontId="4" fillId="7" borderId="8" xfId="2" applyNumberFormat="1" applyFont="1" applyFill="1" applyBorder="1"/>
    <xf numFmtId="0" fontId="8" fillId="7" borderId="8" xfId="0" applyFont="1" applyFill="1" applyBorder="1"/>
    <xf numFmtId="0" fontId="9" fillId="7" borderId="8" xfId="0" applyFont="1" applyFill="1" applyBorder="1"/>
    <xf numFmtId="0" fontId="2" fillId="7" borderId="8" xfId="0" applyFont="1" applyFill="1" applyBorder="1" applyAlignment="1">
      <alignment horizontal="center"/>
    </xf>
    <xf numFmtId="0" fontId="2" fillId="7" borderId="8" xfId="0" applyFont="1" applyFill="1" applyBorder="1" applyAlignment="1">
      <alignment horizontal="right" wrapText="1"/>
    </xf>
    <xf numFmtId="2" fontId="3" fillId="0" borderId="2" xfId="0" applyNumberFormat="1" applyFont="1" applyBorder="1" applyAlignment="1">
      <alignment wrapText="1"/>
    </xf>
    <xf numFmtId="0" fontId="1" fillId="0" borderId="2" xfId="0" applyFont="1" applyBorder="1" applyAlignment="1">
      <alignment horizontal="right"/>
    </xf>
    <xf numFmtId="2" fontId="4" fillId="0" borderId="2" xfId="0" applyNumberFormat="1" applyFont="1" applyBorder="1" applyAlignment="1">
      <alignment wrapText="1"/>
    </xf>
    <xf numFmtId="0" fontId="7" fillId="0" borderId="2" xfId="0" applyFont="1" applyBorder="1" applyAlignment="1">
      <alignment horizontal="right"/>
    </xf>
    <xf numFmtId="168" fontId="2" fillId="5" borderId="5" xfId="0" applyNumberFormat="1" applyFont="1" applyFill="1" applyBorder="1"/>
    <xf numFmtId="168" fontId="2" fillId="6" borderId="6" xfId="0" applyNumberFormat="1" applyFont="1" applyFill="1" applyBorder="1"/>
    <xf numFmtId="167" fontId="0" fillId="6" borderId="6" xfId="1" applyNumberFormat="1" applyFont="1" applyFill="1" applyBorder="1"/>
    <xf numFmtId="167" fontId="0" fillId="0" borderId="0" xfId="1" applyNumberFormat="1" applyFont="1"/>
    <xf numFmtId="165" fontId="2" fillId="5" borderId="5" xfId="2" applyNumberFormat="1" applyFont="1" applyFill="1" applyBorder="1"/>
    <xf numFmtId="165" fontId="2" fillId="6" borderId="6" xfId="2" applyNumberFormat="1" applyFont="1" applyFill="1" applyBorder="1"/>
    <xf numFmtId="9" fontId="0" fillId="5" borderId="5" xfId="2" applyFont="1" applyFill="1" applyBorder="1"/>
    <xf numFmtId="9" fontId="0" fillId="6" borderId="6" xfId="2" applyFont="1" applyFill="1" applyBorder="1"/>
    <xf numFmtId="9" fontId="2" fillId="5" borderId="5" xfId="2" applyFont="1" applyFill="1" applyBorder="1"/>
    <xf numFmtId="9" fontId="2" fillId="9" borderId="10" xfId="2" applyFont="1" applyFill="1" applyBorder="1"/>
    <xf numFmtId="168" fontId="3" fillId="7" borderId="8" xfId="0" applyNumberFormat="1" applyFont="1" applyFill="1" applyBorder="1" applyAlignment="1">
      <alignment horizontal="center"/>
    </xf>
    <xf numFmtId="168" fontId="3" fillId="0" borderId="2" xfId="0" applyNumberFormat="1" applyFont="1" applyBorder="1" applyAlignment="1">
      <alignment horizontal="center"/>
    </xf>
    <xf numFmtId="168" fontId="4" fillId="7" borderId="8" xfId="0" applyNumberFormat="1" applyFont="1" applyFill="1" applyBorder="1" applyAlignment="1">
      <alignment horizontal="center"/>
    </xf>
    <xf numFmtId="168" fontId="4" fillId="0" borderId="2" xfId="0" applyNumberFormat="1" applyFont="1" applyBorder="1" applyAlignment="1">
      <alignment horizontal="center"/>
    </xf>
    <xf numFmtId="0" fontId="0" fillId="0" borderId="2" xfId="0" applyBorder="1" applyAlignment="1">
      <alignment horizontal="center"/>
    </xf>
    <xf numFmtId="167" fontId="0" fillId="0" borderId="2" xfId="1" applyNumberFormat="1" applyFont="1" applyBorder="1" applyAlignment="1">
      <alignment horizontal="center"/>
    </xf>
    <xf numFmtId="167" fontId="0" fillId="0" borderId="0" xfId="1" applyNumberFormat="1" applyFont="1" applyAlignment="1">
      <alignment horizontal="center"/>
    </xf>
    <xf numFmtId="167" fontId="0" fillId="5" borderId="5" xfId="1" applyNumberFormat="1" applyFont="1" applyFill="1" applyBorder="1"/>
    <xf numFmtId="165" fontId="0" fillId="0" borderId="0" xfId="2" applyNumberFormat="1" applyFont="1" applyAlignment="1">
      <alignment horizontal="center"/>
    </xf>
    <xf numFmtId="9" fontId="0" fillId="0" borderId="0" xfId="0" applyNumberFormat="1" applyAlignment="1">
      <alignment horizontal="center"/>
    </xf>
    <xf numFmtId="164" fontId="0" fillId="0" borderId="2" xfId="1" applyFont="1" applyBorder="1" applyAlignment="1">
      <alignment horizontal="center"/>
    </xf>
    <xf numFmtId="164" fontId="0" fillId="0" borderId="0" xfId="0" applyNumberFormat="1"/>
    <xf numFmtId="167" fontId="0" fillId="0" borderId="0" xfId="0" applyNumberFormat="1"/>
    <xf numFmtId="0" fontId="2" fillId="10" borderId="11" xfId="0" applyFont="1" applyFill="1" applyBorder="1" applyAlignment="1">
      <alignment horizontal="center"/>
    </xf>
    <xf numFmtId="0" fontId="0" fillId="0" borderId="12" xfId="0" applyBorder="1" applyAlignment="1">
      <alignment horizontal="center"/>
    </xf>
    <xf numFmtId="165" fontId="2" fillId="0" borderId="13" xfId="2" applyNumberFormat="1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165" fontId="2" fillId="0" borderId="16" xfId="2" applyNumberFormat="1" applyFont="1" applyBorder="1" applyAlignment="1">
      <alignment horizontal="center"/>
    </xf>
    <xf numFmtId="0" fontId="2" fillId="11" borderId="17" xfId="0" applyFont="1" applyFill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165" fontId="2" fillId="0" borderId="20" xfId="2" applyNumberFormat="1" applyFont="1" applyBorder="1" applyAlignment="1">
      <alignment horizontal="center"/>
    </xf>
    <xf numFmtId="0" fontId="2" fillId="12" borderId="21" xfId="0" applyFont="1" applyFill="1" applyBorder="1" applyAlignment="1">
      <alignment horizontal="center"/>
    </xf>
    <xf numFmtId="0" fontId="2" fillId="13" borderId="22" xfId="0" applyFont="1" applyFill="1" applyBorder="1" applyAlignment="1">
      <alignment horizontal="center"/>
    </xf>
    <xf numFmtId="0" fontId="2" fillId="14" borderId="23" xfId="0" applyFont="1" applyFill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15" borderId="25" xfId="0" applyFont="1" applyFill="1" applyBorder="1" applyAlignment="1">
      <alignment horizontal="center"/>
    </xf>
    <xf numFmtId="0" fontId="2" fillId="16" borderId="26" xfId="0" applyFont="1" applyFill="1" applyBorder="1" applyAlignment="1">
      <alignment horizontal="center"/>
    </xf>
    <xf numFmtId="0" fontId="2" fillId="17" borderId="27" xfId="0" applyFont="1" applyFill="1" applyBorder="1" applyAlignment="1">
      <alignment horizontal="center"/>
    </xf>
    <xf numFmtId="0" fontId="2" fillId="18" borderId="28" xfId="0" applyFont="1" applyFill="1" applyBorder="1" applyAlignment="1">
      <alignment horizontal="center"/>
    </xf>
    <xf numFmtId="165" fontId="0" fillId="0" borderId="0" xfId="0" applyNumberFormat="1"/>
    <xf numFmtId="165" fontId="10" fillId="19" borderId="29" xfId="0" applyNumberFormat="1" applyFont="1" applyFill="1" applyBorder="1"/>
    <xf numFmtId="0" fontId="0" fillId="20" borderId="30" xfId="0" applyFill="1" applyBorder="1" applyAlignment="1">
      <alignment horizontal="right"/>
    </xf>
    <xf numFmtId="0" fontId="0" fillId="21" borderId="31" xfId="0" applyFill="1" applyBorder="1" applyAlignment="1">
      <alignment horizontal="right"/>
    </xf>
    <xf numFmtId="0" fontId="0" fillId="22" borderId="32" xfId="0" applyFill="1" applyBorder="1" applyAlignment="1">
      <alignment horizontal="right"/>
    </xf>
    <xf numFmtId="0" fontId="11" fillId="23" borderId="33" xfId="0" applyFont="1" applyFill="1" applyBorder="1" applyAlignment="1">
      <alignment horizontal="left" vertical="top" wrapText="1"/>
    </xf>
    <xf numFmtId="0" fontId="11" fillId="24" borderId="34" xfId="0" applyFont="1" applyFill="1" applyBorder="1" applyAlignment="1">
      <alignment horizontal="left" vertical="top" wrapText="1"/>
    </xf>
    <xf numFmtId="0" fontId="11" fillId="25" borderId="35" xfId="0" applyFont="1" applyFill="1" applyBorder="1" applyAlignment="1">
      <alignment horizontal="left" vertical="top" wrapText="1"/>
    </xf>
    <xf numFmtId="49" fontId="11" fillId="25" borderId="35" xfId="0" applyNumberFormat="1" applyFont="1" applyFill="1" applyBorder="1" applyAlignment="1">
      <alignment horizontal="left" vertical="top" wrapText="1"/>
    </xf>
    <xf numFmtId="0" fontId="11" fillId="26" borderId="36" xfId="0" applyFont="1" applyFill="1" applyBorder="1" applyAlignment="1">
      <alignment horizontal="left" vertical="top" wrapText="1"/>
    </xf>
    <xf numFmtId="9" fontId="0" fillId="27" borderId="37" xfId="2" applyFont="1" applyFill="1" applyBorder="1"/>
    <xf numFmtId="9" fontId="3" fillId="0" borderId="2" xfId="2" applyFont="1" applyBorder="1"/>
    <xf numFmtId="9" fontId="4" fillId="0" borderId="2" xfId="2" applyFont="1" applyBorder="1"/>
    <xf numFmtId="0" fontId="12" fillId="0" borderId="7" xfId="0" applyFont="1" applyBorder="1" applyAlignment="1">
      <alignment horizontal="right"/>
    </xf>
    <xf numFmtId="0" fontId="3" fillId="0" borderId="38" xfId="0" applyFont="1" applyBorder="1" applyAlignment="1">
      <alignment horizontal="center"/>
    </xf>
    <xf numFmtId="165" fontId="3" fillId="0" borderId="39" xfId="2" applyNumberFormat="1" applyFont="1" applyBorder="1" applyAlignment="1">
      <alignment horizontal="center"/>
    </xf>
    <xf numFmtId="165" fontId="3" fillId="0" borderId="13" xfId="2" applyNumberFormat="1" applyFont="1" applyBorder="1" applyAlignment="1">
      <alignment horizontal="center"/>
    </xf>
    <xf numFmtId="165" fontId="3" fillId="0" borderId="16" xfId="2" applyNumberFormat="1" applyFont="1" applyBorder="1" applyAlignment="1">
      <alignment horizontal="center"/>
    </xf>
    <xf numFmtId="0" fontId="4" fillId="0" borderId="38" xfId="0" applyFont="1" applyBorder="1" applyAlignment="1">
      <alignment horizontal="center"/>
    </xf>
    <xf numFmtId="165" fontId="4" fillId="0" borderId="39" xfId="2" applyNumberFormat="1" applyFont="1" applyBorder="1" applyAlignment="1">
      <alignment horizontal="center"/>
    </xf>
    <xf numFmtId="165" fontId="4" fillId="0" borderId="13" xfId="2" applyNumberFormat="1" applyFont="1" applyBorder="1" applyAlignment="1">
      <alignment horizontal="center"/>
    </xf>
    <xf numFmtId="165" fontId="4" fillId="0" borderId="16" xfId="2" applyNumberFormat="1" applyFont="1" applyBorder="1" applyAlignment="1">
      <alignment horizontal="center"/>
    </xf>
    <xf numFmtId="0" fontId="2" fillId="28" borderId="40" xfId="0" applyFont="1" applyFill="1" applyBorder="1" applyAlignment="1">
      <alignment horizontal="center"/>
    </xf>
    <xf numFmtId="167" fontId="0" fillId="0" borderId="41" xfId="1" applyNumberFormat="1" applyFont="1" applyBorder="1" applyAlignment="1">
      <alignment horizontal="center"/>
    </xf>
    <xf numFmtId="165" fontId="2" fillId="29" borderId="42" xfId="2" applyNumberFormat="1" applyFont="1" applyFill="1" applyBorder="1" applyAlignment="1">
      <alignment horizontal="center"/>
    </xf>
    <xf numFmtId="165" fontId="0" fillId="0" borderId="12" xfId="2" applyNumberFormat="1" applyFont="1" applyBorder="1" applyAlignment="1">
      <alignment horizontal="center"/>
    </xf>
    <xf numFmtId="0" fontId="2" fillId="30" borderId="43" xfId="0" applyFont="1" applyFill="1" applyBorder="1" applyAlignment="1">
      <alignment horizontal="center"/>
    </xf>
    <xf numFmtId="0" fontId="2" fillId="31" borderId="44" xfId="0" applyFont="1" applyFill="1" applyBorder="1" applyAlignment="1">
      <alignment horizontal="center"/>
    </xf>
    <xf numFmtId="0" fontId="2" fillId="32" borderId="45" xfId="0" applyFont="1" applyFill="1" applyBorder="1" applyAlignment="1">
      <alignment horizontal="center"/>
    </xf>
    <xf numFmtId="0" fontId="2" fillId="33" borderId="46" xfId="0" applyFont="1" applyFill="1" applyBorder="1" applyAlignment="1">
      <alignment horizontal="center"/>
    </xf>
    <xf numFmtId="0" fontId="2" fillId="34" borderId="47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7" borderId="8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7" borderId="8" xfId="0" applyFont="1" applyFill="1" applyBorder="1" applyAlignment="1">
      <alignment horizontal="center"/>
    </xf>
    <xf numFmtId="0" fontId="2" fillId="20" borderId="30" xfId="0" applyFont="1" applyFill="1" applyBorder="1" applyAlignment="1">
      <alignment horizontal="right"/>
    </xf>
    <xf numFmtId="0" fontId="0" fillId="20" borderId="30" xfId="0" applyFill="1" applyBorder="1" applyAlignment="1">
      <alignment horizontal="center"/>
    </xf>
    <xf numFmtId="0" fontId="0" fillId="0" borderId="2" xfId="0" applyBorder="1"/>
    <xf numFmtId="167" fontId="0" fillId="0" borderId="0" xfId="0" applyNumberFormat="1" applyAlignment="1">
      <alignment horizontal="right"/>
    </xf>
    <xf numFmtId="10" fontId="0" fillId="35" borderId="48" xfId="2" applyNumberFormat="1" applyFont="1" applyFill="1" applyBorder="1"/>
    <xf numFmtId="0" fontId="3" fillId="36" borderId="49" xfId="0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165" fontId="0" fillId="37" borderId="50" xfId="2" applyNumberFormat="1" applyFont="1" applyFill="1" applyBorder="1" applyAlignment="1">
      <alignment horizontal="center"/>
    </xf>
    <xf numFmtId="0" fontId="2" fillId="0" borderId="0" xfId="0" applyFont="1" applyAlignment="1">
      <alignment horizontal="right"/>
    </xf>
    <xf numFmtId="165" fontId="3" fillId="0" borderId="2" xfId="2" applyNumberFormat="1" applyFont="1" applyBorder="1"/>
    <xf numFmtId="165" fontId="2" fillId="0" borderId="2" xfId="2" applyNumberFormat="1" applyFont="1" applyBorder="1"/>
    <xf numFmtId="165" fontId="4" fillId="0" borderId="2" xfId="2" applyNumberFormat="1" applyFont="1" applyBorder="1"/>
    <xf numFmtId="0" fontId="2" fillId="37" borderId="50" xfId="0" applyFont="1" applyFill="1" applyBorder="1" applyAlignment="1">
      <alignment horizontal="right"/>
    </xf>
    <xf numFmtId="0" fontId="2" fillId="37" borderId="50" xfId="0" applyFont="1" applyFill="1" applyBorder="1" applyAlignment="1">
      <alignment horizontal="right" wrapText="1"/>
    </xf>
    <xf numFmtId="0" fontId="2" fillId="38" borderId="52" xfId="0" applyFont="1" applyFill="1" applyBorder="1" applyAlignment="1">
      <alignment horizontal="right"/>
    </xf>
    <xf numFmtId="0" fontId="0" fillId="38" borderId="52" xfId="0" applyFill="1" applyBorder="1" applyAlignment="1">
      <alignment horizontal="right"/>
    </xf>
    <xf numFmtId="168" fontId="0" fillId="0" borderId="0" xfId="0" applyNumberFormat="1" applyAlignment="1">
      <alignment horizontal="center"/>
    </xf>
    <xf numFmtId="168" fontId="0" fillId="0" borderId="0" xfId="0" applyNumberFormat="1"/>
    <xf numFmtId="165" fontId="12" fillId="0" borderId="0" xfId="0" applyNumberFormat="1" applyFont="1"/>
    <xf numFmtId="0" fontId="0" fillId="0" borderId="48" xfId="0" applyBorder="1"/>
    <xf numFmtId="0" fontId="0" fillId="0" borderId="48" xfId="0" applyBorder="1" applyAlignment="1">
      <alignment horizontal="center"/>
    </xf>
    <xf numFmtId="0" fontId="7" fillId="0" borderId="48" xfId="0" applyFont="1" applyBorder="1" applyAlignment="1">
      <alignment horizontal="center"/>
    </xf>
    <xf numFmtId="165" fontId="0" fillId="0" borderId="48" xfId="2" applyNumberFormat="1" applyFont="1" applyFill="1" applyBorder="1"/>
    <xf numFmtId="0" fontId="2" fillId="0" borderId="48" xfId="0" applyFont="1" applyBorder="1" applyAlignment="1">
      <alignment horizontal="right"/>
    </xf>
    <xf numFmtId="166" fontId="0" fillId="0" borderId="48" xfId="0" applyNumberFormat="1" applyBorder="1" applyAlignment="1">
      <alignment horizontal="center"/>
    </xf>
    <xf numFmtId="0" fontId="3" fillId="0" borderId="48" xfId="0" applyFont="1" applyBorder="1" applyAlignment="1">
      <alignment horizontal="center"/>
    </xf>
    <xf numFmtId="0" fontId="4" fillId="0" borderId="48" xfId="0" applyFont="1" applyBorder="1" applyAlignment="1">
      <alignment horizontal="center"/>
    </xf>
    <xf numFmtId="0" fontId="2" fillId="0" borderId="48" xfId="0" applyFont="1" applyBorder="1" applyAlignment="1">
      <alignment horizontal="center"/>
    </xf>
    <xf numFmtId="0" fontId="2" fillId="0" borderId="48" xfId="0" applyFont="1" applyBorder="1"/>
    <xf numFmtId="168" fontId="3" fillId="0" borderId="48" xfId="0" applyNumberFormat="1" applyFont="1" applyBorder="1" applyAlignment="1">
      <alignment horizontal="center"/>
    </xf>
    <xf numFmtId="168" fontId="3" fillId="0" borderId="48" xfId="1" applyNumberFormat="1" applyFont="1" applyFill="1" applyBorder="1" applyAlignment="1">
      <alignment horizontal="center"/>
    </xf>
    <xf numFmtId="166" fontId="3" fillId="0" borderId="48" xfId="0" applyNumberFormat="1" applyFont="1" applyBorder="1" applyAlignment="1">
      <alignment horizontal="center"/>
    </xf>
    <xf numFmtId="165" fontId="0" fillId="0" borderId="48" xfId="2" applyNumberFormat="1" applyFont="1" applyFill="1" applyBorder="1" applyAlignment="1">
      <alignment horizontal="center"/>
    </xf>
    <xf numFmtId="166" fontId="0" fillId="0" borderId="48" xfId="0" applyNumberFormat="1" applyBorder="1"/>
    <xf numFmtId="49" fontId="0" fillId="0" borderId="48" xfId="0" applyNumberFormat="1" applyBorder="1" applyAlignment="1">
      <alignment horizontal="center"/>
    </xf>
    <xf numFmtId="168" fontId="4" fillId="0" borderId="48" xfId="0" applyNumberFormat="1" applyFont="1" applyBorder="1" applyAlignment="1">
      <alignment horizontal="center"/>
    </xf>
    <xf numFmtId="168" fontId="0" fillId="0" borderId="48" xfId="0" applyNumberFormat="1" applyBorder="1" applyAlignment="1">
      <alignment horizontal="center"/>
    </xf>
    <xf numFmtId="168" fontId="2" fillId="0" borderId="48" xfId="0" applyNumberFormat="1" applyFont="1" applyBorder="1" applyAlignment="1">
      <alignment horizontal="center"/>
    </xf>
    <xf numFmtId="168" fontId="0" fillId="0" borderId="48" xfId="0" applyNumberFormat="1" applyBorder="1"/>
    <xf numFmtId="0" fontId="0" fillId="0" borderId="48" xfId="0" applyBorder="1" applyAlignment="1">
      <alignment horizontal="right"/>
    </xf>
    <xf numFmtId="49" fontId="0" fillId="0" borderId="48" xfId="0" applyNumberFormat="1" applyBorder="1"/>
    <xf numFmtId="165" fontId="3" fillId="0" borderId="48" xfId="2" applyNumberFormat="1" applyFont="1" applyFill="1" applyBorder="1"/>
    <xf numFmtId="165" fontId="2" fillId="0" borderId="48" xfId="2" applyNumberFormat="1" applyFont="1" applyFill="1" applyBorder="1"/>
    <xf numFmtId="165" fontId="4" fillId="0" borderId="48" xfId="2" applyNumberFormat="1" applyFont="1" applyFill="1" applyBorder="1"/>
    <xf numFmtId="0" fontId="0" fillId="0" borderId="48" xfId="0" applyBorder="1" applyAlignment="1">
      <alignment horizontal="center" vertical="center" wrapText="1"/>
    </xf>
    <xf numFmtId="0" fontId="1" fillId="0" borderId="48" xfId="0" applyFont="1" applyBorder="1" applyAlignment="1">
      <alignment horizontal="center"/>
    </xf>
    <xf numFmtId="0" fontId="1" fillId="0" borderId="48" xfId="0" applyFont="1" applyBorder="1" applyAlignment="1">
      <alignment horizontal="center" vertical="center" wrapText="1"/>
    </xf>
    <xf numFmtId="0" fontId="7" fillId="0" borderId="48" xfId="0" applyFont="1" applyBorder="1" applyAlignment="1">
      <alignment horizontal="center" vertical="center" wrapText="1"/>
    </xf>
    <xf numFmtId="9" fontId="7" fillId="0" borderId="48" xfId="0" applyNumberFormat="1" applyFont="1" applyBorder="1" applyAlignment="1">
      <alignment horizontal="center"/>
    </xf>
    <xf numFmtId="2" fontId="7" fillId="0" borderId="48" xfId="0" applyNumberFormat="1" applyFont="1" applyBorder="1" applyAlignment="1">
      <alignment horizontal="center"/>
    </xf>
    <xf numFmtId="9" fontId="1" fillId="0" borderId="48" xfId="0" applyNumberFormat="1" applyFont="1" applyBorder="1" applyAlignment="1">
      <alignment horizontal="center"/>
    </xf>
    <xf numFmtId="2" fontId="1" fillId="0" borderId="48" xfId="0" applyNumberFormat="1" applyFont="1" applyBorder="1" applyAlignment="1">
      <alignment horizontal="center"/>
    </xf>
    <xf numFmtId="2" fontId="0" fillId="0" borderId="0" xfId="0" applyNumberFormat="1" applyAlignment="1">
      <alignment horizontal="center"/>
    </xf>
    <xf numFmtId="0" fontId="18" fillId="0" borderId="48" xfId="0" applyFont="1" applyBorder="1" applyAlignment="1">
      <alignment horizontal="center" vertical="center" wrapText="1"/>
    </xf>
    <xf numFmtId="168" fontId="0" fillId="0" borderId="48" xfId="0" applyNumberFormat="1" applyBorder="1" applyAlignment="1">
      <alignment horizontal="center" vertical="center" wrapText="1"/>
    </xf>
    <xf numFmtId="165" fontId="0" fillId="0" borderId="48" xfId="2" applyNumberFormat="1" applyFont="1" applyBorder="1" applyAlignment="1">
      <alignment horizontal="center" vertical="center" wrapText="1"/>
    </xf>
    <xf numFmtId="0" fontId="20" fillId="0" borderId="48" xfId="0" applyFont="1" applyBorder="1" applyAlignment="1">
      <alignment horizontal="center" vertical="center" wrapText="1"/>
    </xf>
    <xf numFmtId="165" fontId="1" fillId="0" borderId="48" xfId="2" applyNumberFormat="1" applyFont="1" applyBorder="1" applyAlignment="1">
      <alignment horizontal="center"/>
    </xf>
    <xf numFmtId="0" fontId="21" fillId="0" borderId="48" xfId="0" applyFont="1" applyBorder="1" applyAlignment="1">
      <alignment horizontal="center" vertical="center" wrapText="1"/>
    </xf>
    <xf numFmtId="165" fontId="7" fillId="0" borderId="48" xfId="2" applyNumberFormat="1" applyFont="1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1" applyFont="1" applyAlignment="1">
      <alignment horizontal="center"/>
    </xf>
    <xf numFmtId="2" fontId="3" fillId="40" borderId="51" xfId="0" applyNumberFormat="1" applyFont="1" applyFill="1" applyBorder="1"/>
    <xf numFmtId="2" fontId="4" fillId="40" borderId="51" xfId="0" applyNumberFormat="1" applyFont="1" applyFill="1" applyBorder="1"/>
    <xf numFmtId="2" fontId="3" fillId="40" borderId="51" xfId="0" applyNumberFormat="1" applyFont="1" applyFill="1" applyBorder="1" applyAlignment="1">
      <alignment wrapText="1"/>
    </xf>
    <xf numFmtId="2" fontId="4" fillId="40" borderId="51" xfId="0" applyNumberFormat="1" applyFont="1" applyFill="1" applyBorder="1" applyAlignment="1">
      <alignment wrapText="1"/>
    </xf>
    <xf numFmtId="0" fontId="1" fillId="40" borderId="51" xfId="0" applyFont="1" applyFill="1" applyBorder="1" applyAlignment="1">
      <alignment horizontal="right"/>
    </xf>
    <xf numFmtId="0" fontId="7" fillId="40" borderId="51" xfId="0" applyFont="1" applyFill="1" applyBorder="1" applyAlignment="1">
      <alignment horizontal="right"/>
    </xf>
    <xf numFmtId="9" fontId="3" fillId="40" borderId="51" xfId="2" applyFont="1" applyFill="1" applyBorder="1"/>
    <xf numFmtId="9" fontId="4" fillId="40" borderId="51" xfId="2" applyFont="1" applyFill="1" applyBorder="1"/>
    <xf numFmtId="2" fontId="1" fillId="41" borderId="48" xfId="0" applyNumberFormat="1" applyFont="1" applyFill="1" applyBorder="1" applyAlignment="1">
      <alignment horizontal="center"/>
    </xf>
    <xf numFmtId="2" fontId="7" fillId="41" borderId="48" xfId="0" applyNumberFormat="1" applyFont="1" applyFill="1" applyBorder="1" applyAlignment="1">
      <alignment horizontal="center"/>
    </xf>
    <xf numFmtId="0" fontId="1" fillId="41" borderId="48" xfId="0" applyFont="1" applyFill="1" applyBorder="1" applyAlignment="1">
      <alignment horizontal="center"/>
    </xf>
    <xf numFmtId="0" fontId="7" fillId="41" borderId="48" xfId="0" applyFont="1" applyFill="1" applyBorder="1" applyAlignment="1">
      <alignment horizontal="center"/>
    </xf>
    <xf numFmtId="165" fontId="1" fillId="0" borderId="48" xfId="2" applyNumberFormat="1" applyFont="1" applyFill="1" applyBorder="1" applyAlignment="1">
      <alignment horizontal="center"/>
    </xf>
    <xf numFmtId="2" fontId="1" fillId="0" borderId="48" xfId="0" applyNumberFormat="1" applyFont="1" applyBorder="1"/>
    <xf numFmtId="165" fontId="7" fillId="0" borderId="48" xfId="2" applyNumberFormat="1" applyFont="1" applyFill="1" applyBorder="1" applyAlignment="1">
      <alignment horizontal="center"/>
    </xf>
    <xf numFmtId="0" fontId="19" fillId="0" borderId="48" xfId="0" applyFont="1" applyBorder="1" applyAlignment="1">
      <alignment horizontal="center"/>
    </xf>
    <xf numFmtId="0" fontId="24" fillId="0" borderId="48" xfId="0" applyFont="1" applyBorder="1" applyAlignment="1">
      <alignment horizontal="center" vertical="center" wrapText="1"/>
    </xf>
    <xf numFmtId="0" fontId="25" fillId="0" borderId="48" xfId="0" applyFont="1" applyBorder="1" applyAlignment="1">
      <alignment horizontal="center" vertical="center" wrapText="1"/>
    </xf>
    <xf numFmtId="165" fontId="22" fillId="0" borderId="48" xfId="2" applyNumberFormat="1" applyFont="1" applyBorder="1" applyAlignment="1">
      <alignment horizontal="center"/>
    </xf>
    <xf numFmtId="165" fontId="23" fillId="0" borderId="48" xfId="2" applyNumberFormat="1" applyFont="1" applyBorder="1" applyAlignment="1">
      <alignment horizontal="center"/>
    </xf>
    <xf numFmtId="164" fontId="22" fillId="0" borderId="0" xfId="1" applyFont="1" applyAlignment="1">
      <alignment horizontal="center"/>
    </xf>
    <xf numFmtId="164" fontId="23" fillId="0" borderId="0" xfId="1" applyFont="1" applyAlignment="1">
      <alignment horizontal="center"/>
    </xf>
    <xf numFmtId="167" fontId="0" fillId="42" borderId="5" xfId="1" applyNumberFormat="1" applyFont="1" applyFill="1" applyBorder="1"/>
    <xf numFmtId="167" fontId="0" fillId="42" borderId="6" xfId="1" applyNumberFormat="1" applyFont="1" applyFill="1" applyBorder="1"/>
    <xf numFmtId="1" fontId="0" fillId="0" borderId="0" xfId="0" applyNumberFormat="1" applyAlignment="1">
      <alignment horizontal="center"/>
    </xf>
    <xf numFmtId="169" fontId="0" fillId="0" borderId="0" xfId="0" applyNumberFormat="1"/>
    <xf numFmtId="2" fontId="26" fillId="43" borderId="0" xfId="0" applyNumberFormat="1" applyFont="1" applyFill="1" applyAlignment="1">
      <alignment horizontal="center"/>
    </xf>
    <xf numFmtId="2" fontId="26" fillId="44" borderId="0" xfId="0" applyNumberFormat="1" applyFont="1" applyFill="1" applyAlignment="1">
      <alignment horizontal="center"/>
    </xf>
    <xf numFmtId="2" fontId="3" fillId="29" borderId="51" xfId="0" applyNumberFormat="1" applyFont="1" applyFill="1" applyBorder="1"/>
    <xf numFmtId="2" fontId="4" fillId="29" borderId="51" xfId="0" applyNumberFormat="1" applyFont="1" applyFill="1" applyBorder="1"/>
    <xf numFmtId="2" fontId="3" fillId="29" borderId="51" xfId="0" applyNumberFormat="1" applyFont="1" applyFill="1" applyBorder="1" applyAlignment="1">
      <alignment wrapText="1"/>
    </xf>
    <xf numFmtId="2" fontId="4" fillId="29" borderId="51" xfId="0" applyNumberFormat="1" applyFont="1" applyFill="1" applyBorder="1" applyAlignment="1">
      <alignment wrapText="1"/>
    </xf>
    <xf numFmtId="0" fontId="1" fillId="29" borderId="51" xfId="0" applyFont="1" applyFill="1" applyBorder="1" applyAlignment="1">
      <alignment horizontal="right"/>
    </xf>
    <xf numFmtId="0" fontId="7" fillId="29" borderId="51" xfId="0" applyFont="1" applyFill="1" applyBorder="1" applyAlignment="1">
      <alignment horizontal="right"/>
    </xf>
    <xf numFmtId="9" fontId="3" fillId="29" borderId="51" xfId="2" applyFont="1" applyFill="1" applyBorder="1"/>
    <xf numFmtId="9" fontId="4" fillId="29" borderId="51" xfId="2" applyFont="1" applyFill="1" applyBorder="1"/>
    <xf numFmtId="167" fontId="0" fillId="29" borderId="5" xfId="1" applyNumberFormat="1" applyFont="1" applyFill="1" applyBorder="1"/>
    <xf numFmtId="167" fontId="0" fillId="29" borderId="6" xfId="1" applyNumberFormat="1" applyFont="1" applyFill="1" applyBorder="1"/>
    <xf numFmtId="2" fontId="1" fillId="45" borderId="48" xfId="0" applyNumberFormat="1" applyFont="1" applyFill="1" applyBorder="1" applyAlignment="1">
      <alignment horizontal="center"/>
    </xf>
    <xf numFmtId="2" fontId="7" fillId="45" borderId="48" xfId="0" applyNumberFormat="1" applyFont="1" applyFill="1" applyBorder="1" applyAlignment="1">
      <alignment horizontal="center"/>
    </xf>
    <xf numFmtId="0" fontId="1" fillId="45" borderId="48" xfId="0" applyFont="1" applyFill="1" applyBorder="1" applyAlignment="1">
      <alignment horizontal="center"/>
    </xf>
    <xf numFmtId="0" fontId="7" fillId="45" borderId="48" xfId="0" applyFont="1" applyFill="1" applyBorder="1" applyAlignment="1">
      <alignment horizontal="center"/>
    </xf>
    <xf numFmtId="0" fontId="0" fillId="46" borderId="30" xfId="0" applyFill="1" applyBorder="1" applyAlignment="1">
      <alignment horizontal="right"/>
    </xf>
    <xf numFmtId="0" fontId="0" fillId="39" borderId="53" xfId="0" applyFill="1" applyBorder="1" applyAlignment="1">
      <alignment horizontal="center"/>
    </xf>
    <xf numFmtId="0" fontId="2" fillId="0" borderId="48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54" xfId="0" applyBorder="1" applyAlignment="1">
      <alignment horizontal="center"/>
    </xf>
  </cellXfs>
  <cellStyles count="3">
    <cellStyle name="Millares" xfId="1" builtinId="3" customBuiltin="1"/>
    <cellStyle name="Normal" xfId="0" builtinId="0" customBuiltin="1"/>
    <cellStyle name="Porcentaje" xfId="2" builtinId="5" customBuiltin="1"/>
  </cellStyles>
  <dxfs count="12"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595253380" count="1">
        <pm:charStyle name="Normal" fontId="0" Id="1"/>
      </pm:charStyles>
      <pm:colors xmlns:pm="smNativeData" id="1595253380" count="16">
        <pm:color name="Color 24" rgb="00B050"/>
        <pm:color name="Color 25" rgb="E6B8B7"/>
        <pm:color name="Color 26" rgb="D7E3BB"/>
        <pm:color name="Color 27" rgb="CCC0DA"/>
        <pm:color name="Color 28" rgb="FCD5B4"/>
        <pm:color name="Color 29" rgb="C2D69A"/>
        <pm:color name="Color 30" rgb="D8D8D8"/>
        <pm:color name="Color 31" rgb="FDE9D9"/>
        <pm:color name="Color 32" rgb="DAEEF3"/>
        <pm:color name="Color 33" rgb="C4BD97"/>
        <pm:color name="Color 34" rgb="DCE6F1"/>
        <pm:color name="Color 35" rgb="B7DEE8"/>
        <pm:color name="Color 36" rgb="006100"/>
        <pm:color name="Color 37" rgb="C6EFCE"/>
        <pm:color name="Color 38" rgb="E26B0A"/>
        <pm:color name="Color 39" rgb="585858"/>
      </pm:color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Local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SIMULADOR_v5!$G$25:$G$35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SIMULADOR_v5!$H$25:$H$35</c:f>
              <c:numCache>
                <c:formatCode>0.0%</c:formatCode>
                <c:ptCount val="11"/>
                <c:pt idx="0">
                  <c:v>9.2071766589856011E-2</c:v>
                </c:pt>
                <c:pt idx="1">
                  <c:v>0.24376562314797023</c:v>
                </c:pt>
                <c:pt idx="2">
                  <c:v>0.29379370299188001</c:v>
                </c:pt>
                <c:pt idx="3">
                  <c:v>0.21451817056220904</c:v>
                </c:pt>
                <c:pt idx="4">
                  <c:v>0.10614567304601855</c:v>
                </c:pt>
                <c:pt idx="5">
                  <c:v>3.7631337481513621E-2</c:v>
                </c:pt>
                <c:pt idx="6">
                  <c:v>9.8393331969292182E-3</c:v>
                </c:pt>
                <c:pt idx="7">
                  <c:v>1.9214745644469404E-3</c:v>
                </c:pt>
                <c:pt idx="8">
                  <c:v>2.8029150609218271E-4</c:v>
                </c:pt>
                <c:pt idx="9">
                  <c:v>3.0170390609426122E-5</c:v>
                </c:pt>
                <c:pt idx="10">
                  <c:v>2.330165561819806E-6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FD-48A9-A509-63D9D82858DD}"/>
            </c:ext>
          </c:extLst>
        </c:ser>
        <c:ser>
          <c:idx val="1"/>
          <c:order val="1"/>
          <c:tx>
            <c:v>Vis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SIMULADOR_v5!$G$25:$G$35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SIMULADOR_v5!$H$39:$H$49</c:f>
              <c:numCache>
                <c:formatCode>0.0%</c:formatCode>
                <c:ptCount val="11"/>
                <c:pt idx="0">
                  <c:v>2.1376336076491765E-3</c:v>
                </c:pt>
                <c:pt idx="1">
                  <c:v>1.7721223169499527E-2</c:v>
                </c:pt>
                <c:pt idx="2">
                  <c:v>6.590096582686622E-2</c:v>
                </c:pt>
                <c:pt idx="3">
                  <c:v>0.14611272077291412</c:v>
                </c:pt>
                <c:pt idx="4">
                  <c:v>0.21621770160777629</c:v>
                </c:pt>
                <c:pt idx="5">
                  <c:v>0.22614770529691405</c:v>
                </c:pt>
                <c:pt idx="6">
                  <c:v>0.17240342403606884</c:v>
                </c:pt>
                <c:pt idx="7">
                  <c:v>9.7188888061299633E-2</c:v>
                </c:pt>
                <c:pt idx="8">
                  <c:v>4.0587522985162647E-2</c:v>
                </c:pt>
                <c:pt idx="9">
                  <c:v>1.2424796386266337E-2</c:v>
                </c:pt>
                <c:pt idx="10">
                  <c:v>2.7163112243589436E-3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FD-48A9-A509-63D9D82858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8550432"/>
        <c:axId val="805645408"/>
      </c:lineChart>
      <c:catAx>
        <c:axId val="958550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05645408"/>
        <c:crosses val="autoZero"/>
        <c:auto val="1"/>
        <c:lblAlgn val="ctr"/>
        <c:lblOffset val="100"/>
        <c:noMultiLvlLbl val="0"/>
      </c:catAx>
      <c:valAx>
        <c:axId val="80564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58550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Local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SIMULADOR_v4!$G$25:$G$35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SIMULADOR_v4!$H$25:$H$35</c:f>
              <c:numCache>
                <c:formatCode>0.0%</c:formatCode>
                <c:ptCount val="11"/>
                <c:pt idx="0">
                  <c:v>0.10351394127375854</c:v>
                </c:pt>
                <c:pt idx="1">
                  <c:v>0.26009886536504917</c:v>
                </c:pt>
                <c:pt idx="2">
                  <c:v>0.29625795730228921</c:v>
                </c:pt>
                <c:pt idx="3">
                  <c:v>0.20421060603863439</c:v>
                </c:pt>
                <c:pt idx="4">
                  <c:v>9.5106856760593855E-2</c:v>
                </c:pt>
                <c:pt idx="5">
                  <c:v>3.1560913233370999E-2</c:v>
                </c:pt>
                <c:pt idx="6">
                  <c:v>7.6676469160447845E-3</c:v>
                </c:pt>
                <c:pt idx="7">
                  <c:v>1.3799579664449944E-3</c:v>
                </c:pt>
                <c:pt idx="8">
                  <c:v>1.8398564152972876E-4</c:v>
                </c:pt>
                <c:pt idx="9">
                  <c:v>1.7959909194790075E-5</c:v>
                </c:pt>
                <c:pt idx="10">
                  <c:v>1.2491590594339113E-6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1E-40AD-9530-5FE04617192B}"/>
            </c:ext>
          </c:extLst>
        </c:ser>
        <c:ser>
          <c:idx val="1"/>
          <c:order val="1"/>
          <c:tx>
            <c:v>Vis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SIMULADOR_v4!$G$25:$G$35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SIMULADOR_v4!$H$39:$H$49</c:f>
              <c:numCache>
                <c:formatCode>0.0%</c:formatCode>
                <c:ptCount val="11"/>
                <c:pt idx="0">
                  <c:v>4.7351678982142141E-3</c:v>
                </c:pt>
                <c:pt idx="1">
                  <c:v>3.2004544504349974E-2</c:v>
                </c:pt>
                <c:pt idx="2">
                  <c:v>9.8933001168284379E-2</c:v>
                </c:pt>
                <c:pt idx="3">
                  <c:v>0.18504320155338355</c:v>
                </c:pt>
                <c:pt idx="4">
                  <c:v>0.23343814068609911</c:v>
                </c:pt>
                <c:pt idx="5">
                  <c:v>0.20956275213503461</c:v>
                </c:pt>
                <c:pt idx="6">
                  <c:v>0.13761978385310691</c:v>
                </c:pt>
                <c:pt idx="7">
                  <c:v>6.6898981139408897E-2</c:v>
                </c:pt>
                <c:pt idx="8">
                  <c:v>2.4072025495097484E-2</c:v>
                </c:pt>
                <c:pt idx="9">
                  <c:v>6.3383510841440172E-3</c:v>
                </c:pt>
                <c:pt idx="10">
                  <c:v>1.1901022597017457E-3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1E-40AD-9530-5FE0461719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8550432"/>
        <c:axId val="805645408"/>
      </c:lineChart>
      <c:catAx>
        <c:axId val="958550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05645408"/>
        <c:crosses val="autoZero"/>
        <c:auto val="1"/>
        <c:lblAlgn val="ctr"/>
        <c:lblOffset val="100"/>
        <c:noMultiLvlLbl val="0"/>
      </c:catAx>
      <c:valAx>
        <c:axId val="80564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58550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effectLst>
              <a:outerShdw blurRad="50800" dist="50800" dir="5400000" algn="ctr" rotWithShape="0">
                <a:srgbClr val="FF0000"/>
              </a:outerShdw>
            </a:effectLst>
          </c:spPr>
          <c:marker>
            <c:symbol val="square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cat>
            <c:numRef>
              <c:f>SIMULADOR_sinJC!$G$24:$G$34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SIMULADOR_sinJC!$H$24:$H$34</c:f>
              <c:numCache>
                <c:formatCode>0.0%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sm="smo" uri="smo">
              <sm:meanLine>
                <c:spPr>
                  <a:ln>
                    <a:noFill/>
                  </a:ln>
                </c:spPr>
              </sm:meanLine>
              <sm:minMaxLine>
                <c:spPr>
                  <a:ln>
                    <a:noFill/>
                  </a:ln>
                </c:spPr>
              </sm:minMaxLine>
              <sm:stDevLine>
                <c:spPr>
                  <a:ln>
                    <a:noFill/>
                  </a:ln>
                </c:spPr>
              </sm:stDevLine>
              <sm:trendLine>
                <c:spPr>
                  <a:ln>
                    <a:noFill/>
                  </a:ln>
                </c:spPr>
              </sm:trendLine>
            </c:ext>
            <c:ext xmlns:c16="http://schemas.microsoft.com/office/drawing/2014/chart" uri="{C3380CC4-5D6E-409C-BE32-E72D297353CC}">
              <c16:uniqueId val="{00000000-E4D6-47EE-BF97-A9D6F6D96B40}"/>
            </c:ext>
          </c:extLst>
        </c:ser>
        <c:ser>
          <c:idx val="1"/>
          <c:order val="1"/>
          <c:spPr>
            <a:ln w="9525">
              <a:solidFill>
                <a:srgbClr val="00B050"/>
              </a:solidFill>
            </a:ln>
            <a:effectLst>
              <a:outerShdw blurRad="50800" dist="50800" dir="5400000" algn="ctr" rotWithShape="0">
                <a:srgbClr val="00B050"/>
              </a:outerShdw>
            </a:effectLst>
          </c:spPr>
          <c:val>
            <c:numRef>
              <c:f>SIMULADOR_sinJC!$H$38:$H$48</c:f>
              <c:numCache>
                <c:formatCode>0.0%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sm="smo" uri="smo">
              <sm:meanLine>
                <c:spPr>
                  <a:ln>
                    <a:noFill/>
                  </a:ln>
                </c:spPr>
              </sm:meanLine>
              <sm:minMaxLine>
                <c:spPr>
                  <a:ln>
                    <a:noFill/>
                  </a:ln>
                </c:spPr>
              </sm:minMaxLine>
              <sm:stDevLine>
                <c:spPr>
                  <a:ln>
                    <a:noFill/>
                  </a:ln>
                </c:spPr>
              </sm:stDevLine>
              <sm:trendLine>
                <c:spPr>
                  <a:ln>
                    <a:noFill/>
                  </a:ln>
                </c:spPr>
              </sm:trendLine>
            </c:ext>
            <c:ext xmlns:c16="http://schemas.microsoft.com/office/drawing/2014/chart" uri="{C3380CC4-5D6E-409C-BE32-E72D297353CC}">
              <c16:uniqueId val="{00000001-E4D6-47EE-BF97-A9D6F6D96B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"/>
        <c:axId val="11"/>
        <c:extLst>
          <c:ext xmlns:sm="smo" uri="smo">
            <sm:boxPlot xmlns:sm="smo" val="0"/>
            <sm:turned xmlns:sm="smo" val="0"/>
          </c:ext>
        </c:extLst>
      </c:lineChart>
      <c:catAx>
        <c:axId val="1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"/>
        <c:crosses val="autoZero"/>
        <c:auto val="1"/>
        <c:lblAlgn val="l"/>
        <c:lblOffset val="100"/>
        <c:noMultiLvlLbl val="0"/>
      </c:catAx>
      <c:valAx>
        <c:axId val="11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10"/>
        <c:crosses val="autoZero"/>
        <c:crossBetween val="between"/>
      </c:valAx>
    </c:plotArea>
    <c:plotVisOnly val="1"/>
    <c:dispBlanksAs val="gap"/>
    <c:showDLblsOverMax val="0"/>
  </c:chart>
  <c:txPr>
    <a:bodyPr rot="0" anchor="t"/>
    <a:lstStyle/>
    <a:p>
      <a:pPr>
        <a:defRPr lang="es-es" sz="1000" b="0" i="0" u="none" strike="noStrike" kern="100">
          <a:solidFill>
            <a:srgbClr val="000000"/>
          </a:solidFill>
          <a:latin typeface="Calibri" charset="0"/>
        </a:defRPr>
      </a:pPr>
      <a:endParaRPr lang="es-ES"/>
    </a:p>
  </c:txPr>
  <c:printSettings>
    <c:headerFooter/>
    <c:pageMargins b="0.75" l="0.7" r="0.7" t="0.75" header="0.3" footer="0.3"/>
    <c:pageSetup/>
  </c:printSettings>
  <c:extLst>
    <c:ext xmlns:sm="smo" uri="smo">
      <sm:colorScheme xmlns:sm="smo" id="1595253380" val="15"/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ctr" anchorCtr="1"/>
          <a:lstStyle/>
          <a:p>
            <a:pPr>
              <a:defRPr lang="es-es" sz="1800" b="1" i="0" u="none" strike="noStrike" kern="100">
                <a:solidFill>
                  <a:srgbClr val="000000"/>
                </a:solidFill>
                <a:latin typeface="Calibri" charset="0"/>
              </a:defRPr>
            </a:pPr>
            <a:r>
              <a:rPr lang="es-ES"/>
              <a:t>Título del gráfico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1-2AAF-4476-90AE-74C5EE96A591}"/>
              </c:ext>
            </c:extLst>
          </c:dPt>
          <c:dPt>
            <c:idx val="1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3-2AAF-4476-90AE-74C5EE96A591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5-2AAF-4476-90AE-74C5EE96A591}"/>
              </c:ext>
            </c:extLst>
          </c:dPt>
          <c:val>
            <c:numRef>
              <c:f>SIMULADOR_sinJC!$B$37:$B$39</c:f>
              <c:numCache>
                <c:formatCode>0.0%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sm="smo" uri="smo">
              <sm:meanLine>
                <c:spPr>
                  <a:ln>
                    <a:noFill/>
                  </a:ln>
                </c:spPr>
              </sm:meanLine>
              <sm:minMaxLine>
                <c:spPr>
                  <a:ln>
                    <a:noFill/>
                  </a:ln>
                </c:spPr>
              </sm:minMaxLine>
              <sm:stDevLine>
                <c:spPr>
                  <a:ln>
                    <a:noFill/>
                  </a:ln>
                </c:spPr>
              </sm:stDevLine>
              <sm:trendLine>
                <c:spPr>
                  <a:ln>
                    <a:noFill/>
                  </a:ln>
                </c:spPr>
              </sm:trendLine>
            </c:ext>
            <c:ext xmlns:c16="http://schemas.microsoft.com/office/drawing/2014/chart" uri="{C3380CC4-5D6E-409C-BE32-E72D297353CC}">
              <c16:uniqueId val="{00000006-2AAF-4476-90AE-74C5EE96A5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txPr>
    <a:bodyPr rot="0" anchor="t"/>
    <a:lstStyle/>
    <a:p>
      <a:pPr>
        <a:defRPr lang="es-es" sz="1000" b="0" i="0" u="none" strike="noStrike" kern="100">
          <a:solidFill>
            <a:srgbClr val="000000"/>
          </a:solidFill>
          <a:latin typeface="Calibri" charset="0"/>
        </a:defRPr>
      </a:pPr>
      <a:endParaRPr lang="es-ES"/>
    </a:p>
  </c:txPr>
  <c:printSettings>
    <c:headerFooter/>
    <c:pageMargins b="0.75" l="0.7" r="0.7" t="0.75" header="0.3" footer="0.3"/>
    <c:pageSetup/>
  </c:printSettings>
  <c:extLst>
    <c:ext xmlns:sm="smo" uri="smo">
      <sm:colorScheme xmlns:sm="smo" id="1595253380" val="15"/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42337</xdr:colOff>
      <xdr:row>16</xdr:row>
      <xdr:rowOff>31749</xdr:rowOff>
    </xdr:from>
    <xdr:to>
      <xdr:col>26</xdr:col>
      <xdr:colOff>455085</xdr:colOff>
      <xdr:row>36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41D9513-FA69-43F1-9C6A-2A9B3565EB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169334</xdr:colOff>
      <xdr:row>15</xdr:row>
      <xdr:rowOff>99483</xdr:rowOff>
    </xdr:from>
    <xdr:to>
      <xdr:col>26</xdr:col>
      <xdr:colOff>232834</xdr:colOff>
      <xdr:row>36</xdr:row>
      <xdr:rowOff>74083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5946EE4-FA25-4566-9000-EB1409B445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24130</xdr:colOff>
      <xdr:row>21</xdr:row>
      <xdr:rowOff>24130</xdr:rowOff>
    </xdr:from>
    <xdr:to>
      <xdr:col>31</xdr:col>
      <xdr:colOff>535940</xdr:colOff>
      <xdr:row>47</xdr:row>
      <xdr:rowOff>78105</xdr:rowOff>
    </xdr:to>
    <xdr:graphicFrame macro="">
      <xdr:nvGraphicFramePr>
        <xdr:cNvPr id="25" name="Graphique 1">
          <a:extLst>
            <a:ext uri="{FF2B5EF4-FFF2-40B4-BE49-F238E27FC236}">
              <a16:creationId xmlns:a16="http://schemas.microsoft.com/office/drawing/2014/main" id="{00000000-0008-0000-0700-00001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163195</xdr:colOff>
      <xdr:row>34</xdr:row>
      <xdr:rowOff>177165</xdr:rowOff>
    </xdr:from>
    <xdr:to>
      <xdr:col>5</xdr:col>
      <xdr:colOff>299085</xdr:colOff>
      <xdr:row>43</xdr:row>
      <xdr:rowOff>13335</xdr:rowOff>
    </xdr:to>
    <xdr:graphicFrame macro="">
      <xdr:nvGraphicFramePr>
        <xdr:cNvPr id="24" name="Graphique 2">
          <a:extLst>
            <a:ext uri="{FF2B5EF4-FFF2-40B4-BE49-F238E27FC236}">
              <a16:creationId xmlns:a16="http://schemas.microsoft.com/office/drawing/2014/main" id="{00000000-0008-0000-0700-00001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EEECE1"/>
      </a:dk2>
      <a:lt2>
        <a:srgbClr val="1F497D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Basic Roman"/>
        <a:cs typeface="Basic Roma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>
        <a:prstTxWarp prst="textNoShape">
          <a:avLst/>
        </a:prstTxWarp>
        <a:noAutofit/>
      </a:bodyPr>
      <a:lstStyle>
        <a:defPPr>
          <a:defRPr/>
        </a:defPPr>
      </a:lstStyle>
      <a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E2E4B-9FF8-42E7-9FD7-FA9368502228}">
  <sheetPr>
    <tabColor rgb="FFFFFF00"/>
  </sheetPr>
  <dimension ref="A1:BS59"/>
  <sheetViews>
    <sheetView tabSelected="1" zoomScale="90" zoomScaleNormal="90" workbookViewId="0">
      <selection activeCell="M11" sqref="M11"/>
    </sheetView>
  </sheetViews>
  <sheetFormatPr baseColWidth="10" defaultColWidth="9.140625" defaultRowHeight="15" x14ac:dyDescent="0.25"/>
  <cols>
    <col min="1" max="1" width="22.42578125" bestFit="1" customWidth="1"/>
    <col min="2" max="3" width="8.85546875" bestFit="1" customWidth="1"/>
    <col min="4" max="4" width="11.28515625" customWidth="1"/>
    <col min="5" max="5" width="9" bestFit="1" customWidth="1"/>
    <col min="6" max="6" width="5.42578125" bestFit="1" customWidth="1"/>
    <col min="7" max="7" width="4.85546875" bestFit="1" customWidth="1"/>
    <col min="8" max="8" width="7.7109375" bestFit="1" customWidth="1"/>
    <col min="9" max="9" width="4.5703125" bestFit="1" customWidth="1"/>
    <col min="10" max="10" width="7.7109375" bestFit="1" customWidth="1"/>
    <col min="11" max="11" width="7.140625" bestFit="1" customWidth="1"/>
    <col min="12" max="12" width="7.7109375" bestFit="1" customWidth="1"/>
    <col min="13" max="13" width="6.28515625" bestFit="1" customWidth="1"/>
    <col min="14" max="15" width="12.42578125" bestFit="1" customWidth="1"/>
    <col min="16" max="16" width="8.85546875" bestFit="1" customWidth="1"/>
    <col min="17" max="17" width="6.85546875" bestFit="1" customWidth="1"/>
    <col min="18" max="18" width="7.7109375" bestFit="1" customWidth="1"/>
    <col min="19" max="19" width="6.7109375" bestFit="1" customWidth="1"/>
    <col min="20" max="20" width="8.85546875" bestFit="1" customWidth="1"/>
    <col min="21" max="21" width="7.85546875" bestFit="1" customWidth="1"/>
    <col min="22" max="22" width="8.85546875" bestFit="1" customWidth="1"/>
    <col min="23" max="23" width="7.5703125" bestFit="1" customWidth="1"/>
    <col min="24" max="25" width="8.140625" bestFit="1" customWidth="1"/>
    <col min="26" max="26" width="6.28515625" bestFit="1" customWidth="1"/>
    <col min="27" max="27" width="7.7109375" bestFit="1" customWidth="1"/>
    <col min="28" max="28" width="8.140625" bestFit="1" customWidth="1"/>
    <col min="29" max="29" width="7.7109375" bestFit="1" customWidth="1"/>
    <col min="30" max="30" width="9.42578125" bestFit="1" customWidth="1"/>
    <col min="31" max="31" width="7.7109375" bestFit="1" customWidth="1"/>
    <col min="32" max="32" width="3.42578125" bestFit="1" customWidth="1"/>
    <col min="33" max="33" width="7.7109375" bestFit="1" customWidth="1"/>
    <col min="34" max="34" width="6.28515625" bestFit="1" customWidth="1"/>
    <col min="35" max="35" width="7.7109375" bestFit="1" customWidth="1"/>
    <col min="36" max="36" width="6.28515625" bestFit="1" customWidth="1"/>
    <col min="37" max="37" width="7.7109375" bestFit="1" customWidth="1"/>
    <col min="38" max="38" width="5" bestFit="1" customWidth="1"/>
    <col min="39" max="39" width="8.5703125" bestFit="1" customWidth="1"/>
    <col min="40" max="40" width="7.7109375" bestFit="1" customWidth="1"/>
    <col min="41" max="41" width="14.85546875" bestFit="1" customWidth="1"/>
    <col min="42" max="42" width="5" bestFit="1" customWidth="1"/>
    <col min="43" max="43" width="8.5703125" bestFit="1" customWidth="1"/>
    <col min="44" max="44" width="5.42578125" customWidth="1"/>
    <col min="45" max="45" width="8.42578125" customWidth="1"/>
    <col min="46" max="46" width="2.28515625" customWidth="1"/>
    <col min="47" max="47" width="3.42578125" customWidth="1"/>
    <col min="48" max="48" width="4.28515625" customWidth="1"/>
    <col min="49" max="52" width="3" customWidth="1"/>
    <col min="53" max="56" width="3.42578125" customWidth="1"/>
    <col min="57" max="58" width="4.42578125" customWidth="1"/>
    <col min="60" max="60" width="2.42578125" customWidth="1"/>
    <col min="61" max="61" width="3.42578125" customWidth="1"/>
    <col min="62" max="62" width="6.140625" customWidth="1"/>
    <col min="63" max="63" width="5.28515625" bestFit="1" customWidth="1"/>
    <col min="64" max="65" width="3.42578125" customWidth="1"/>
    <col min="66" max="66" width="6.140625" customWidth="1"/>
    <col min="67" max="67" width="5.28515625" bestFit="1" customWidth="1"/>
    <col min="68" max="69" width="2.42578125" customWidth="1"/>
    <col min="70" max="70" width="5.28515625" customWidth="1"/>
  </cols>
  <sheetData>
    <row r="1" spans="1:71" x14ac:dyDescent="0.25">
      <c r="A1" s="27" t="s">
        <v>137</v>
      </c>
      <c r="B1" t="s">
        <v>0</v>
      </c>
      <c r="E1" s="206">
        <v>1.5</v>
      </c>
      <c r="F1" s="206">
        <v>2.5</v>
      </c>
      <c r="G1" s="206">
        <v>3.5</v>
      </c>
      <c r="H1" s="149"/>
      <c r="I1" s="148"/>
      <c r="J1" s="150"/>
      <c r="K1" s="149"/>
      <c r="L1" s="149"/>
      <c r="M1" s="149"/>
      <c r="N1" s="149">
        <f>COUNTIF(B17:C17,"JC")</f>
        <v>0</v>
      </c>
      <c r="O1" s="148"/>
      <c r="P1" s="149">
        <f>COUNTIF(F5:H5,"CAB")+COUNTIF(E4:I4,"CAB")</f>
        <v>3</v>
      </c>
      <c r="Q1" s="149">
        <f>COUNTIF(F10:H10,"CAB")+COUNTIF(E9:I9,"CAB")</f>
        <v>0</v>
      </c>
      <c r="R1" s="157"/>
      <c r="S1" s="151"/>
      <c r="T1" s="151"/>
      <c r="U1" s="148"/>
      <c r="V1" s="148"/>
      <c r="W1" s="148"/>
      <c r="X1" s="148"/>
      <c r="Y1" s="148"/>
      <c r="Z1" s="148"/>
      <c r="AA1" s="148"/>
      <c r="AB1" s="148">
        <v>0</v>
      </c>
      <c r="AC1" s="148">
        <v>1</v>
      </c>
      <c r="AD1" s="148">
        <v>2</v>
      </c>
      <c r="AE1" s="148"/>
      <c r="AF1" s="148"/>
      <c r="AG1" s="148"/>
      <c r="AH1" s="148"/>
      <c r="AI1" s="148">
        <v>1</v>
      </c>
      <c r="AJ1" s="152">
        <v>2</v>
      </c>
      <c r="AK1" s="148"/>
      <c r="AL1" s="148"/>
      <c r="AM1" s="148"/>
      <c r="AN1" s="148"/>
      <c r="AO1" s="148"/>
      <c r="AP1" s="148"/>
      <c r="AQ1" s="148"/>
      <c r="AR1" s="148"/>
      <c r="AS1" s="148"/>
      <c r="AT1" s="148"/>
      <c r="AU1" s="148"/>
      <c r="AV1" s="148"/>
      <c r="AW1" s="148"/>
      <c r="AX1" s="148"/>
      <c r="AY1" s="148"/>
      <c r="AZ1" s="148"/>
    </row>
    <row r="2" spans="1:71" ht="15.75" x14ac:dyDescent="0.25">
      <c r="A2" s="27" t="s">
        <v>139</v>
      </c>
      <c r="B2" t="s">
        <v>0</v>
      </c>
      <c r="E2" s="148"/>
      <c r="F2" s="148"/>
      <c r="G2" s="148"/>
      <c r="H2" s="148"/>
      <c r="I2" s="148"/>
      <c r="J2" s="148"/>
      <c r="K2" s="148"/>
      <c r="L2" s="148"/>
      <c r="M2" s="148"/>
      <c r="N2" s="165">
        <f>SUM(N4:N15)</f>
        <v>3.6800000000000006</v>
      </c>
      <c r="O2" s="148"/>
      <c r="P2" s="149"/>
      <c r="Q2" s="149"/>
      <c r="R2" s="146">
        <f>SUM(R4:R15)</f>
        <v>1.7499999999999998</v>
      </c>
      <c r="S2" s="146">
        <f>SUM(S4:S15)</f>
        <v>3.6800000000000015</v>
      </c>
      <c r="T2" s="181">
        <f>SUM(T4:T16)</f>
        <v>0.97916371882086195</v>
      </c>
      <c r="U2" s="181">
        <f>SUM(U4:U16)</f>
        <v>2.4918857142857154</v>
      </c>
      <c r="V2" s="13"/>
      <c r="W2" s="13"/>
      <c r="X2" s="211">
        <f>SUM(X4:X16)</f>
        <v>0.75052473469387782</v>
      </c>
      <c r="Y2" s="212">
        <f>SUM(Y4:Y16)</f>
        <v>1.3964022857142862</v>
      </c>
      <c r="Z2" s="148"/>
      <c r="AA2" s="154" t="s">
        <v>19</v>
      </c>
      <c r="AB2" s="154" t="s">
        <v>20</v>
      </c>
      <c r="AC2" s="154" t="s">
        <v>21</v>
      </c>
      <c r="AD2" s="154" t="s">
        <v>22</v>
      </c>
      <c r="AE2" s="156"/>
      <c r="AF2" s="148"/>
      <c r="AG2" s="155" t="s">
        <v>24</v>
      </c>
      <c r="AH2" s="155" t="s">
        <v>20</v>
      </c>
      <c r="AI2" s="155" t="s">
        <v>21</v>
      </c>
      <c r="AJ2" s="155" t="s">
        <v>22</v>
      </c>
      <c r="AK2" s="157"/>
      <c r="AL2" s="148"/>
      <c r="AM2" s="148"/>
      <c r="AN2" s="148"/>
      <c r="AO2" s="148"/>
      <c r="AP2" s="148"/>
      <c r="AQ2" s="148"/>
      <c r="AR2" s="148"/>
      <c r="AS2" s="148"/>
      <c r="AT2" s="148"/>
      <c r="AU2" s="148"/>
      <c r="AV2" s="148"/>
      <c r="AW2" s="148"/>
      <c r="AX2" s="148"/>
      <c r="AY2" s="148"/>
      <c r="AZ2" s="148"/>
    </row>
    <row r="3" spans="1:71" ht="15.75" x14ac:dyDescent="0.25">
      <c r="A3" s="137" t="s">
        <v>4</v>
      </c>
      <c r="B3" s="234" t="s">
        <v>5</v>
      </c>
      <c r="C3" s="234"/>
      <c r="D3" t="str">
        <f>IF(B3="Sol","SI",IF(B3="Lluvia","SI","NO"))</f>
        <v>SI</v>
      </c>
      <c r="E3" s="174"/>
      <c r="F3" s="175"/>
      <c r="G3" s="231" t="s">
        <v>151</v>
      </c>
      <c r="H3" s="174"/>
      <c r="I3" s="174"/>
      <c r="J3" s="148"/>
      <c r="K3" s="182" t="s">
        <v>155</v>
      </c>
      <c r="L3" s="182" t="s">
        <v>156</v>
      </c>
      <c r="M3" s="182" t="s">
        <v>25</v>
      </c>
      <c r="N3" s="182" t="s">
        <v>25</v>
      </c>
      <c r="O3" s="182" t="s">
        <v>157</v>
      </c>
      <c r="P3" s="185" t="s">
        <v>158</v>
      </c>
      <c r="Q3" s="187" t="s">
        <v>159</v>
      </c>
      <c r="R3" s="182" t="s">
        <v>25</v>
      </c>
      <c r="S3" s="182" t="s">
        <v>160</v>
      </c>
      <c r="T3" s="185" t="s">
        <v>161</v>
      </c>
      <c r="U3" s="187" t="s">
        <v>162</v>
      </c>
      <c r="V3" s="185" t="s">
        <v>163</v>
      </c>
      <c r="W3" s="187" t="s">
        <v>164</v>
      </c>
      <c r="X3" s="207" t="s">
        <v>165</v>
      </c>
      <c r="Y3" s="208" t="s">
        <v>166</v>
      </c>
      <c r="Z3" s="148"/>
      <c r="AA3" s="148"/>
      <c r="AB3" s="148"/>
      <c r="AC3" s="148"/>
      <c r="AD3" s="148"/>
      <c r="AE3" s="148"/>
      <c r="AF3" s="148"/>
      <c r="AG3" s="148"/>
      <c r="AH3" s="148"/>
      <c r="AI3" s="148"/>
      <c r="AJ3" s="148"/>
      <c r="AK3" s="148"/>
      <c r="AL3" s="148"/>
      <c r="AM3" s="148"/>
      <c r="AN3" s="153"/>
      <c r="AO3" s="153"/>
      <c r="AP3" s="148"/>
      <c r="AQ3" s="148"/>
      <c r="AR3" s="148"/>
      <c r="AS3" s="148"/>
      <c r="AT3" s="148"/>
      <c r="AU3" s="148"/>
      <c r="AV3" s="148"/>
      <c r="AW3" s="148"/>
      <c r="AX3" s="148"/>
      <c r="AY3" s="148"/>
      <c r="AZ3" s="148"/>
    </row>
    <row r="4" spans="1:71" ht="15.75" x14ac:dyDescent="0.25">
      <c r="A4" s="107"/>
      <c r="B4" s="8" t="s">
        <v>9</v>
      </c>
      <c r="C4" s="9" t="s">
        <v>10</v>
      </c>
      <c r="D4" s="13"/>
      <c r="E4" s="231" t="s">
        <v>151</v>
      </c>
      <c r="F4" s="231" t="s">
        <v>151</v>
      </c>
      <c r="G4" s="231" t="s">
        <v>151</v>
      </c>
      <c r="H4" s="231" t="s">
        <v>151</v>
      </c>
      <c r="I4" s="231" t="s">
        <v>151</v>
      </c>
      <c r="J4" s="148"/>
      <c r="K4" s="173">
        <v>5</v>
      </c>
      <c r="L4" s="173">
        <v>6</v>
      </c>
      <c r="M4" s="183">
        <v>0.45</v>
      </c>
      <c r="N4" s="183">
        <f>IF($N$1=2,M4*$G$1/$E$1,IF($N$1=1,M4*$F$1/$E$1,M4))</f>
        <v>0.45</v>
      </c>
      <c r="O4" s="173" t="s">
        <v>167</v>
      </c>
      <c r="P4" s="175">
        <f>COUNTIF(E3:I4,"IMP")</f>
        <v>0</v>
      </c>
      <c r="Q4" s="176">
        <f>COUNTIF(E8:I9,"IMP")</f>
        <v>0</v>
      </c>
      <c r="R4" s="167">
        <f t="shared" ref="R4:R14" si="0">IF(P4+Q4=0,0,N4)</f>
        <v>0</v>
      </c>
      <c r="S4" s="167">
        <f t="shared" ref="S4:S16" si="1">R4*$N$2/$R$2</f>
        <v>0</v>
      </c>
      <c r="T4" s="186">
        <f>IF(S4=0,0,S4*(P4^2.7/(P4^2.7+Q4^2.7))*P4/L4)</f>
        <v>0</v>
      </c>
      <c r="U4" s="188">
        <f>IF(S4=0,0,S4*Q4^2.7/(P4^2.7+Q4^2.7)*Q4/L4)</f>
        <v>0</v>
      </c>
      <c r="V4" s="180">
        <f>$G$17</f>
        <v>0.56999999999999995</v>
      </c>
      <c r="W4" s="178">
        <f>$H$17</f>
        <v>0.56999999999999995</v>
      </c>
      <c r="X4" s="209">
        <f>V4*T4</f>
        <v>0</v>
      </c>
      <c r="Y4" s="210">
        <f>W4*U4</f>
        <v>0</v>
      </c>
      <c r="Z4" s="155"/>
      <c r="AA4" s="203">
        <f>X4</f>
        <v>0</v>
      </c>
      <c r="AB4" s="204">
        <f>1-AA4</f>
        <v>1</v>
      </c>
      <c r="AC4" s="204">
        <f>PRODUCT(AB5:AB16)*AA4</f>
        <v>0</v>
      </c>
      <c r="AD4" s="204">
        <f>AA4*AA5*PRODUCT(AB6:AB17)*PRODUCT(AB3)+AA4*AA6*PRODUCT(AB7:AB17)*AB3*PRODUCT(AB5)+AA4*AA7*PRODUCT(AB8:AB17)*AB3*PRODUCT(AB5:AB6)+AA4*AA8*PRODUCT(AB9:AB17)*AB3*PRODUCT(AB5:AB7)+AA4*AA9*PRODUCT(AB10:AB17)*AB3*PRODUCT(AB5:AB8)+AA4*AA10*PRODUCT(AB11:AB17)*AB3*PRODUCT(AB5:AB9)+AA4*AA11*PRODUCT(AB12:AB17)*AB3*PRODUCT(AB5:AB10)+AA4*AA12*PRODUCT(AB13:AB17)*AB3*PRODUCT(AB5:AB11)+AA4*AA13*PRODUCT(AB14:AB17)*AB3*PRODUCT(AB5:AB12)+AA4*AA14*PRODUCT(AB15:AB17)*AB3*PRODUCT(AB5:AB13)+AA4*AA15*PRODUCT(AB16:AB17)*AB3*PRODUCT(AB5:AB14)+AA4*AA16*PRODUCT(AB17)*AB3*PRODUCT(AB5:AB15)+AA4*AA17*AB3*PRODUCT(AB5:AB16)</f>
        <v>0</v>
      </c>
      <c r="AE4" s="148"/>
      <c r="AF4" s="155"/>
      <c r="AG4" s="205">
        <f>Y4</f>
        <v>0</v>
      </c>
      <c r="AH4" s="178">
        <f t="shared" ref="AH4:AH16" si="2">(1-AG4)</f>
        <v>1</v>
      </c>
      <c r="AI4" s="178">
        <f>AG4*AH3*PRODUCT(AH5:AH17)</f>
        <v>0</v>
      </c>
      <c r="AJ4" s="178">
        <f>AG4*AG5*PRODUCT(AH6:AH17)*PRODUCT(AH3)+AG4*AG6*PRODUCT(AH7:AH17)*AH3*PRODUCT(AH5)+AG4*AG7*PRODUCT(AH8:AH17)*AH3*PRODUCT(AH5:AH6)+AG4*AG8*PRODUCT(AH9:AH17)*AH3*PRODUCT(AH5:AH7)+AG4*AG9*PRODUCT(AH10:AH17)*AH3*PRODUCT(AH5:AH8)+AG4*AG10*PRODUCT(AH11:AH17)*AH3*PRODUCT(AH5:AH9)+AG4*AG11*PRODUCT(AH12:AH17)*AH3*PRODUCT(AH5:AH10)+AG4*AG12*PRODUCT(AH13:AH17)*AH3*PRODUCT(AH5:AH11)+AG4*AG13*PRODUCT(AH14:AH17)*AH3*PRODUCT(AH5:AH12)+AG4*AG14*PRODUCT(AH15:AH17)*AH3*PRODUCT(AH5:AH13)+AG4*AG15*PRODUCT(AH16:AH17)*AH3*PRODUCT(AH5:AH14)+AG4*AG16*PRODUCT(AH17)*AH3*PRODUCT(AH5:AH15)+AG4*AG17*AH3*PRODUCT(AH5:AH16)</f>
        <v>0</v>
      </c>
      <c r="AK4" s="148"/>
      <c r="AL4" s="155"/>
      <c r="AM4" s="155"/>
      <c r="AN4" s="149"/>
      <c r="AO4" s="148"/>
      <c r="AP4" s="148"/>
      <c r="AQ4" s="148"/>
      <c r="AR4" s="148"/>
      <c r="AS4" s="148"/>
      <c r="AT4" s="148"/>
      <c r="AU4" s="148"/>
      <c r="AV4" s="148"/>
      <c r="AW4" s="148"/>
      <c r="AX4" s="148"/>
      <c r="AY4" s="148"/>
      <c r="AZ4" s="148"/>
      <c r="BI4">
        <v>0</v>
      </c>
      <c r="BJ4">
        <v>1</v>
      </c>
      <c r="BK4" s="94">
        <f t="shared" ref="BK4:BK13" si="3">$H$25*H40</f>
        <v>1.6316243233489088E-3</v>
      </c>
      <c r="BM4">
        <v>0</v>
      </c>
      <c r="BN4">
        <v>0</v>
      </c>
      <c r="BO4" s="94">
        <f>H25*H39</f>
        <v>1.9681570257810684E-4</v>
      </c>
      <c r="BQ4">
        <v>1</v>
      </c>
      <c r="BR4">
        <v>0</v>
      </c>
      <c r="BS4" s="94">
        <f>$H$26*H39</f>
        <v>5.210815884306452E-4</v>
      </c>
    </row>
    <row r="5" spans="1:71" ht="15.75" x14ac:dyDescent="0.25">
      <c r="A5" s="34" t="s">
        <v>26</v>
      </c>
      <c r="B5" s="135">
        <v>352</v>
      </c>
      <c r="C5" s="135">
        <v>352</v>
      </c>
      <c r="E5" s="231" t="s">
        <v>138</v>
      </c>
      <c r="F5" s="231" t="s">
        <v>138</v>
      </c>
      <c r="G5" s="231" t="s">
        <v>138</v>
      </c>
      <c r="H5" s="231" t="s">
        <v>138</v>
      </c>
      <c r="I5" s="231" t="s">
        <v>138</v>
      </c>
      <c r="J5" s="148"/>
      <c r="K5" s="173">
        <v>6</v>
      </c>
      <c r="L5" s="173">
        <v>8</v>
      </c>
      <c r="M5" s="183">
        <v>0.35</v>
      </c>
      <c r="N5" s="183">
        <f t="shared" ref="N5:N15" si="4">IF($N$1=2,M5*$G$1/$E$1,IF($N$1=1,M5*$F$1/$E$1,M5))</f>
        <v>0.35</v>
      </c>
      <c r="O5" s="173" t="s">
        <v>168</v>
      </c>
      <c r="P5" s="175">
        <f>COUNTIF(E5:I6,"IMP")</f>
        <v>0</v>
      </c>
      <c r="Q5" s="176">
        <f>COUNTIF(E10:I11,"IMP")</f>
        <v>0</v>
      </c>
      <c r="R5" s="167">
        <f t="shared" si="0"/>
        <v>0</v>
      </c>
      <c r="S5" s="167">
        <f t="shared" si="1"/>
        <v>0</v>
      </c>
      <c r="T5" s="186">
        <f t="shared" ref="T5:T9" si="5">IF(S5=0,0,S5*(P5^2.7/(P5^2.7+Q5^2.7))*P5/L5)</f>
        <v>0</v>
      </c>
      <c r="U5" s="188">
        <f t="shared" ref="U5:U9" si="6">IF(S5=0,0,S5*Q5^2.7/(P5^2.7+Q5^2.7)*Q5/L5)</f>
        <v>0</v>
      </c>
      <c r="V5" s="180">
        <f>$G$17</f>
        <v>0.56999999999999995</v>
      </c>
      <c r="W5" s="178">
        <f>$H$17</f>
        <v>0.56999999999999995</v>
      </c>
      <c r="X5" s="209">
        <f t="shared" ref="X5:Y15" si="7">V5*T5</f>
        <v>0</v>
      </c>
      <c r="Y5" s="210">
        <f t="shared" si="7"/>
        <v>0</v>
      </c>
      <c r="Z5" s="164"/>
      <c r="AA5" s="203">
        <f t="shared" ref="AA5:AA16" si="8">X5</f>
        <v>0</v>
      </c>
      <c r="AB5" s="204">
        <f t="shared" ref="AB5:AB16" si="9">1-AA5</f>
        <v>1</v>
      </c>
      <c r="AC5" s="204">
        <f>PRODUCT(AB6:AB16)*AA5*PRODUCT(AB4)</f>
        <v>0</v>
      </c>
      <c r="AD5" s="204">
        <f>AA5*AA6*PRODUCT(AB7:AB17)*PRODUCT(AB3:AB4)+AA5*AA7*PRODUCT(AB8:AB17)*PRODUCT(AB3:AB4)*PRODUCT(AB6)+AA5*AA8*PRODUCT(AB9:AB17)*PRODUCT(AB3:AB4)*PRODUCT(AB6:AB7)+AA5*AA9*PRODUCT(AB10:AB17)*PRODUCT(AB3:AB4)*PRODUCT(AB6:AB8)+AA5*AA10*PRODUCT(AB11:AB17)*PRODUCT(AB3:AB4)*PRODUCT(AB6:AB9)+AA5*AA11*PRODUCT(AB12:AB17)*PRODUCT(AB3:AB4)*PRODUCT(AB6:AB10)+AA5*AA12*PRODUCT(AB13:AB17)*PRODUCT(AB3:AB4)*PRODUCT(AB6:AB11)+AA5*AA13*PRODUCT(AB14:AB17)*PRODUCT(AB3:AB4)*PRODUCT(AB6:AB12)+AA5*AA14*PRODUCT(AB15:AB17)*PRODUCT(AB3:AB4)*PRODUCT(AB6:AB13)+AA5*AA15*PRODUCT(AB16:AB17)*PRODUCT(AB3:AB4)*PRODUCT(AB6:AB14)+AA5*AA16*PRODUCT(AB17)*PRODUCT(AB3:AB4)*PRODUCT(AB6:AB15)+AA5*AA17*PRODUCT(AB3:AB4)*PRODUCT(AB6:AB16)</f>
        <v>0</v>
      </c>
      <c r="AE5" s="148"/>
      <c r="AF5" s="162"/>
      <c r="AG5" s="205">
        <f t="shared" ref="AG5:AG16" si="10">Y5</f>
        <v>0</v>
      </c>
      <c r="AH5" s="178">
        <f t="shared" si="2"/>
        <v>1</v>
      </c>
      <c r="AI5" s="178">
        <f>AG5*PRODUCT(AH3:AH4)*PRODUCT(AH6:AH17)</f>
        <v>0</v>
      </c>
      <c r="AJ5" s="178">
        <f>AG5*AG6*PRODUCT(AH7:AH17)*PRODUCT(AH3:AH4)+AG5*AG7*PRODUCT(AH8:AH17)*PRODUCT(AH3:AH4)*PRODUCT(AH6)+AG5*AG8*PRODUCT(AH9:AH17)*PRODUCT(AH3:AH4)*PRODUCT(AH6:AH7)+AG5*AG9*PRODUCT(AH10:AH17)*PRODUCT(AH3:AH4)*PRODUCT(AH6:AH8)+AG5*AG10*PRODUCT(AH11:AH17)*PRODUCT(AH3:AH4)*PRODUCT(AH6:AH9)+AG5*AG11*PRODUCT(AH12:AH17)*PRODUCT(AH3:AH4)*PRODUCT(AH6:AH10)+AG5*AG12*PRODUCT(AH13:AH17)*PRODUCT(AH3:AH4)*PRODUCT(AH6:AH11)+AG5*AG13*PRODUCT(AH14:AH17)*PRODUCT(AH3:AH4)*PRODUCT(AH6:AH12)+AG5*AG14*PRODUCT(AH15:AH17)*PRODUCT(AH3:AH4)*PRODUCT(AH6:AH13)+AG5*AG15*PRODUCT(AH16:AH17)*PRODUCT(AH3:AH4)*PRODUCT(AH6:AH14)+AG5*AG16*PRODUCT(AH17)*PRODUCT(AH3:AH4)*PRODUCT(AH6:AH15)+AG5*AG17*PRODUCT(AH3:AH4)*PRODUCT(AH6:AH16)</f>
        <v>0</v>
      </c>
      <c r="AK5" s="148"/>
      <c r="AL5" s="165"/>
      <c r="AM5" s="148"/>
      <c r="AN5" s="153"/>
      <c r="AO5" s="167"/>
      <c r="AP5" s="148"/>
      <c r="AQ5" s="148"/>
      <c r="AR5" s="148"/>
      <c r="AS5" s="148"/>
      <c r="AT5" s="148"/>
      <c r="AU5" s="148"/>
      <c r="AV5" s="148"/>
      <c r="AW5" s="148"/>
      <c r="AX5" s="148"/>
      <c r="AY5" s="148"/>
      <c r="AZ5" s="148"/>
      <c r="BI5">
        <v>0</v>
      </c>
      <c r="BJ5">
        <v>2</v>
      </c>
      <c r="BK5" s="94">
        <f t="shared" si="3"/>
        <v>6.0676183436573043E-3</v>
      </c>
      <c r="BM5">
        <v>1</v>
      </c>
      <c r="BN5">
        <v>1</v>
      </c>
      <c r="BO5" s="94">
        <f>$H$26*H40</f>
        <v>4.3198250088573005E-3</v>
      </c>
      <c r="BQ5">
        <f>BQ4+1</f>
        <v>2</v>
      </c>
      <c r="BR5">
        <v>0</v>
      </c>
      <c r="BS5" s="94">
        <f>$H$27*H39</f>
        <v>6.2802329323114316E-4</v>
      </c>
    </row>
    <row r="6" spans="1:71" ht="15.75" x14ac:dyDescent="0.25">
      <c r="A6" s="2" t="s">
        <v>31</v>
      </c>
      <c r="B6" s="219">
        <v>10</v>
      </c>
      <c r="C6" s="220">
        <v>10</v>
      </c>
      <c r="E6" s="174"/>
      <c r="F6" s="231" t="s">
        <v>138</v>
      </c>
      <c r="G6" s="231" t="s">
        <v>138</v>
      </c>
      <c r="H6" s="231" t="s">
        <v>138</v>
      </c>
      <c r="I6" s="174"/>
      <c r="J6" s="148"/>
      <c r="K6" s="173">
        <v>8</v>
      </c>
      <c r="L6" s="173">
        <v>13</v>
      </c>
      <c r="M6" s="183">
        <v>0.45</v>
      </c>
      <c r="N6" s="183">
        <f t="shared" si="4"/>
        <v>0.45</v>
      </c>
      <c r="O6" s="173" t="s">
        <v>33</v>
      </c>
      <c r="P6" s="175">
        <f>COUNTIF(E4:I6,"IMP")</f>
        <v>0</v>
      </c>
      <c r="Q6" s="176">
        <f>COUNTIF(E9:I11,"IMP")</f>
        <v>0</v>
      </c>
      <c r="R6" s="167">
        <f t="shared" si="0"/>
        <v>0</v>
      </c>
      <c r="S6" s="167">
        <f t="shared" si="1"/>
        <v>0</v>
      </c>
      <c r="T6" s="186">
        <f t="shared" si="5"/>
        <v>0</v>
      </c>
      <c r="U6" s="188">
        <f t="shared" si="6"/>
        <v>0</v>
      </c>
      <c r="V6" s="180">
        <f>$G$18</f>
        <v>0.45</v>
      </c>
      <c r="W6" s="178">
        <f>$H$18</f>
        <v>0.45</v>
      </c>
      <c r="X6" s="209">
        <f t="shared" si="7"/>
        <v>0</v>
      </c>
      <c r="Y6" s="210">
        <f t="shared" si="7"/>
        <v>0</v>
      </c>
      <c r="Z6" s="164"/>
      <c r="AA6" s="203">
        <f t="shared" si="8"/>
        <v>0</v>
      </c>
      <c r="AB6" s="204">
        <f t="shared" si="9"/>
        <v>1</v>
      </c>
      <c r="AC6" s="204">
        <f>PRODUCT(AB7:AB16)*AA6*PRODUCT(AB4:AB5)</f>
        <v>0</v>
      </c>
      <c r="AD6" s="204">
        <f>AA6*AA7*PRODUCT(AB3:AB5)*PRODUCT(AB8:AB17)+AA6*AA8*PRODUCT(AB3:AB5)*PRODUCT(AB7)*PRODUCT(AB9:AB17)+AA6*AA9*PRODUCT(AB3:AB5)*PRODUCT(AB7:AB8)*PRODUCT(AB10:AB17)+AA6*AA10*PRODUCT(AB3:AB5)*PRODUCT(AB7:AB9)*PRODUCT(AB11:AB17)+AA6*AA11*PRODUCT(AB3:AB5)*PRODUCT(AB7:AB10)*PRODUCT(AB12:AB17)+AA6*AA12*PRODUCT(AB3:AB5)*PRODUCT(AB7:AB11)*PRODUCT(AB13:AB17)+AA6*AA13*PRODUCT(AB3:AB5)*PRODUCT(AB7:AB12)*PRODUCT(AB14:AB17)+AA6*AA14*PRODUCT(AB3:AB5)*PRODUCT(AB7:AB13)*PRODUCT(AB15:AB17)+AA6*AA15*PRODUCT(AB3:AB5)*PRODUCT(AB7:AB14)*PRODUCT(AB16:AB17)+AA6*AA16*PRODUCT(AB3:AB5)*PRODUCT(AB7:AB15)*PRODUCT(AB17)+AA6*AA17*PRODUCT(AB3:AB5)*PRODUCT(AB7:AB16)</f>
        <v>0</v>
      </c>
      <c r="AE6" s="148"/>
      <c r="AF6" s="162"/>
      <c r="AG6" s="205">
        <f t="shared" si="10"/>
        <v>0</v>
      </c>
      <c r="AH6" s="178">
        <f t="shared" si="2"/>
        <v>1</v>
      </c>
      <c r="AI6" s="178">
        <f>AG6*PRODUCT(AH3:AH5)*PRODUCT(AH7:AH17)</f>
        <v>0</v>
      </c>
      <c r="AJ6" s="178">
        <f>AG6*AG7*PRODUCT(AH3:AH5)*PRODUCT(AH8:AH17)+AG6*AG8*PRODUCT(AH3:AH5)*PRODUCT(AH7)*PRODUCT(AH9:AH17)+AG6*AG9*PRODUCT(AH3:AH5)*PRODUCT(AH7:AH8)*PRODUCT(AH10:AH17)+AG6*AG10*PRODUCT(AH3:AH5)*PRODUCT(AH7:AH9)*PRODUCT(AH11:AH17)+AG6*AG11*PRODUCT(AH3:AH5)*PRODUCT(AH7:AH10)*PRODUCT(AH12:AH17)+AG6*AG12*PRODUCT(AH3:AH5)*PRODUCT(AH7:AH11)*PRODUCT(AH13:AH17)+AG6*AG13*PRODUCT(AH3:AH5)*PRODUCT(AH7:AH12)*PRODUCT(AH14:AH17)+AG6*AG14*PRODUCT(AH3:AH5)*PRODUCT(AH7:AH13)*PRODUCT(AH15:AH17)+AG6*AG15*PRODUCT(AH3:AH5)*PRODUCT(AH7:AH14)*PRODUCT(AH16:AH17)+AG6*AG16*PRODUCT(AH3:AH5)*PRODUCT(AH7:AH15)*PRODUCT(AH17)+AG6*AG17*PRODUCT(AH3:AH5)*PRODUCT(AH7:AH16)</f>
        <v>0</v>
      </c>
      <c r="AK6" s="148"/>
      <c r="AL6" s="165"/>
      <c r="AM6" s="148"/>
      <c r="AN6" s="153"/>
      <c r="AO6" s="167"/>
      <c r="AP6" s="148"/>
      <c r="AQ6" s="148"/>
      <c r="AR6" s="148"/>
      <c r="AS6" s="148"/>
      <c r="AT6" s="148"/>
      <c r="AU6" s="148"/>
      <c r="AV6" s="148"/>
      <c r="AW6" s="148"/>
      <c r="AX6" s="148"/>
      <c r="AY6" s="148"/>
      <c r="AZ6" s="148"/>
      <c r="BI6">
        <v>0</v>
      </c>
      <c r="BJ6">
        <v>3</v>
      </c>
      <c r="BK6" s="94">
        <f t="shared" si="3"/>
        <v>1.3452856322812555E-2</v>
      </c>
      <c r="BM6">
        <f>BI14+1</f>
        <v>2</v>
      </c>
      <c r="BN6">
        <v>2</v>
      </c>
      <c r="BO6" s="94">
        <f>$H$27*H41</f>
        <v>1.9361288781016367E-2</v>
      </c>
      <c r="BQ6">
        <f>BM5+1</f>
        <v>2</v>
      </c>
      <c r="BR6">
        <v>1</v>
      </c>
      <c r="BS6" s="94">
        <f>$H$27*H40</f>
        <v>5.2063837765127666E-3</v>
      </c>
    </row>
    <row r="7" spans="1:71" ht="15.75" x14ac:dyDescent="0.25">
      <c r="A7" s="5" t="s">
        <v>36</v>
      </c>
      <c r="B7" s="219">
        <v>10</v>
      </c>
      <c r="C7" s="220">
        <v>12</v>
      </c>
      <c r="E7" s="149"/>
      <c r="F7" s="149"/>
      <c r="G7" s="149"/>
      <c r="H7" s="149"/>
      <c r="I7" s="149"/>
      <c r="J7" s="148"/>
      <c r="K7" s="173">
        <v>9</v>
      </c>
      <c r="L7" s="173">
        <v>8</v>
      </c>
      <c r="M7" s="183">
        <v>0.04</v>
      </c>
      <c r="N7" s="183">
        <f t="shared" si="4"/>
        <v>0.04</v>
      </c>
      <c r="O7" s="173" t="s">
        <v>169</v>
      </c>
      <c r="P7" s="175">
        <f>COUNTIF(E9:I9,"IMP")+COUNTIF(F10:H10,"IMP")</f>
        <v>0</v>
      </c>
      <c r="Q7" s="176">
        <f>COUNTIF(E4:I4,"IMP")+COUNTIF(F5:H5,"IMP")</f>
        <v>0</v>
      </c>
      <c r="R7" s="167">
        <f t="shared" si="0"/>
        <v>0</v>
      </c>
      <c r="S7" s="167">
        <f t="shared" si="1"/>
        <v>0</v>
      </c>
      <c r="T7" s="186">
        <f t="shared" si="5"/>
        <v>0</v>
      </c>
      <c r="U7" s="188">
        <f t="shared" si="6"/>
        <v>0</v>
      </c>
      <c r="V7" s="180">
        <f>$G$18</f>
        <v>0.45</v>
      </c>
      <c r="W7" s="178">
        <f>$H$18</f>
        <v>0.45</v>
      </c>
      <c r="X7" s="209">
        <f t="shared" si="7"/>
        <v>0</v>
      </c>
      <c r="Y7" s="210">
        <f t="shared" si="7"/>
        <v>0</v>
      </c>
      <c r="Z7" s="164"/>
      <c r="AA7" s="203">
        <f t="shared" si="8"/>
        <v>0</v>
      </c>
      <c r="AB7" s="204">
        <f t="shared" si="9"/>
        <v>1</v>
      </c>
      <c r="AC7" s="204">
        <f>PRODUCT(AB8:AB$16)*AA7*PRODUCT(AB$4:AB6)</f>
        <v>0</v>
      </c>
      <c r="AD7" s="204">
        <f>AA7*AA8*PRODUCT(AB3:AB6)*PRODUCT(AB9:AB17)+AA7*AA9*PRODUCT(AB3:AB6)*PRODUCT(AB8)*PRODUCT(AB10:AB17)+AA7*AA10*PRODUCT(AB3:AB6)*PRODUCT(AB8:AB9)*PRODUCT(AB11:AB17)+AA7*AA11*PRODUCT(AB3:AB6)*PRODUCT(AB8:AB10)*PRODUCT(AB12:AB17)+AA7*AA12*PRODUCT(AB3:AB6)*PRODUCT(AB8:AB11)*PRODUCT(AB13:AB17)+AA7*AA13*PRODUCT(AB3:AB6)*PRODUCT(AB8:AB12)*PRODUCT(AB14:AB17)+AA7*AA14*PRODUCT(AB3:AB6)*PRODUCT(AB8:AB13)*PRODUCT(AB15:AB17)+AA7*AA15*PRODUCT(AB3:AB6)*PRODUCT(AB8:AB14)*PRODUCT(AB16:AB17)+AA7*AA16*PRODUCT(AB3:AB6)*PRODUCT(AB8:AB15)*PRODUCT(AB17)+AA7*AA17*PRODUCT(AB3:AB6)*PRODUCT(AB8:AB16)</f>
        <v>0</v>
      </c>
      <c r="AE7" s="148"/>
      <c r="AF7" s="162"/>
      <c r="AG7" s="205">
        <f t="shared" si="10"/>
        <v>0</v>
      </c>
      <c r="AH7" s="178">
        <f t="shared" si="2"/>
        <v>1</v>
      </c>
      <c r="AI7" s="178">
        <f>AG7*PRODUCT(AH3:AH6)*PRODUCT(AH8:AH17)</f>
        <v>0</v>
      </c>
      <c r="AJ7" s="178">
        <f>AG7*AG8*PRODUCT(AH3:AH6)*PRODUCT(AH9:AH17)+AG7*AG9*PRODUCT(AH3:AH6)*PRODUCT(AH8)*PRODUCT(AH10:AH17)+AG7*AG10*PRODUCT(AH3:AH6)*PRODUCT(AH8:AH9)*PRODUCT(AH11:AH17)+AG7*AG11*PRODUCT(AH3:AH6)*PRODUCT(AH8:AH10)*PRODUCT(AH12:AH17)+AG7*AG12*PRODUCT(AH3:AH6)*PRODUCT(AH8:AH11)*PRODUCT(AH13:AH17)+AG7*AG13*PRODUCT(AH3:AH6)*PRODUCT(AH8:AH12)*PRODUCT(AH14:AH17)+AG7*AG14*PRODUCT(AH3:AH6)*PRODUCT(AH8:AH13)*PRODUCT(AH15:AH17)+AG7*AG15*PRODUCT(AH3:AH6)*PRODUCT(AH8:AH14)*PRODUCT(AH16:AH17)+AG7*AG16*PRODUCT(AH3:AH6)*PRODUCT(AH8:AH15)*PRODUCT(AH17)+AG7*AG17*PRODUCT(AH3:AH6)*PRODUCT(AH8:AH16)</f>
        <v>0</v>
      </c>
      <c r="AK7" s="148"/>
      <c r="AL7" s="165"/>
      <c r="AM7" s="148"/>
      <c r="AN7" s="153"/>
      <c r="AO7" s="167"/>
      <c r="AP7" s="148"/>
      <c r="AQ7" s="148"/>
      <c r="AR7" s="148"/>
      <c r="AS7" s="148"/>
      <c r="AT7" s="148"/>
      <c r="AU7" s="148"/>
      <c r="AV7" s="148"/>
      <c r="AW7" s="148"/>
      <c r="AX7" s="148"/>
      <c r="AY7" s="148"/>
      <c r="AZ7" s="148"/>
      <c r="BI7">
        <v>0</v>
      </c>
      <c r="BJ7">
        <v>4</v>
      </c>
      <c r="BK7" s="94">
        <f t="shared" si="3"/>
        <v>1.9907545755026314E-2</v>
      </c>
      <c r="BM7">
        <f>BI23+1</f>
        <v>3</v>
      </c>
      <c r="BN7">
        <v>3</v>
      </c>
      <c r="BO7" s="94">
        <f>$H$28*H42</f>
        <v>3.1343833556072419E-2</v>
      </c>
      <c r="BQ7">
        <f>BQ5+1</f>
        <v>3</v>
      </c>
      <c r="BR7">
        <v>0</v>
      </c>
      <c r="BS7" s="94">
        <f>$H$28*H39</f>
        <v>4.585612508451963E-4</v>
      </c>
    </row>
    <row r="8" spans="1:71" ht="15.75" x14ac:dyDescent="0.25">
      <c r="A8" s="5" t="s">
        <v>39</v>
      </c>
      <c r="B8" s="219">
        <v>10</v>
      </c>
      <c r="C8" s="220">
        <v>12</v>
      </c>
      <c r="E8" s="150"/>
      <c r="F8" s="176"/>
      <c r="G8" s="232" t="s">
        <v>151</v>
      </c>
      <c r="H8" s="150"/>
      <c r="I8" s="150"/>
      <c r="J8" s="148"/>
      <c r="K8" s="173">
        <v>15</v>
      </c>
      <c r="L8" s="173">
        <v>8</v>
      </c>
      <c r="M8" s="183">
        <v>0.5</v>
      </c>
      <c r="N8" s="183">
        <f t="shared" si="4"/>
        <v>0.5</v>
      </c>
      <c r="O8" s="173" t="s">
        <v>170</v>
      </c>
      <c r="P8" s="175">
        <f>COUNTIF(E5:I6,"RAP")</f>
        <v>0</v>
      </c>
      <c r="Q8" s="176">
        <f>COUNTIF(E10:I11,"RAP")</f>
        <v>8</v>
      </c>
      <c r="R8" s="167">
        <f t="shared" si="0"/>
        <v>0.5</v>
      </c>
      <c r="S8" s="167">
        <f t="shared" si="1"/>
        <v>1.0514285714285718</v>
      </c>
      <c r="T8" s="186">
        <f t="shared" si="5"/>
        <v>0</v>
      </c>
      <c r="U8" s="188">
        <f t="shared" si="6"/>
        <v>1.0514285714285718</v>
      </c>
      <c r="V8" s="180">
        <f>$G$17</f>
        <v>0.56999999999999995</v>
      </c>
      <c r="W8" s="178">
        <f>$H$17</f>
        <v>0.56999999999999995</v>
      </c>
      <c r="X8" s="209">
        <f t="shared" si="7"/>
        <v>0</v>
      </c>
      <c r="Y8" s="210">
        <f t="shared" si="7"/>
        <v>0.59931428571428591</v>
      </c>
      <c r="Z8" s="164"/>
      <c r="AA8" s="203">
        <f t="shared" si="8"/>
        <v>0</v>
      </c>
      <c r="AB8" s="204">
        <f t="shared" si="9"/>
        <v>1</v>
      </c>
      <c r="AC8" s="204">
        <f>PRODUCT(AB9:AB$16)*AA8*PRODUCT(AB$4:AB7)</f>
        <v>0</v>
      </c>
      <c r="AD8" s="204">
        <f>AA8*AA9*PRODUCT(AB3:AB7)*PRODUCT(AB10:AB17)+AA8*AA10*PRODUCT(AB3:AB7)*AB9*PRODUCT(AB11:AB17)+AA8*AA11*PRODUCT(AB3:AB7)*PRODUCT(AB9:AB10)*PRODUCT(AB12:AB17)+AA8*AA12*PRODUCT(AB3:AB7)*PRODUCT(AB9:AB11)*PRODUCT(AB13:AB17)+AA8*AA13*PRODUCT(AB3:AB7)*PRODUCT(AB9:AB12)*PRODUCT(AB14:AB17)+AA8*AA14*PRODUCT(AB3:AB7)*PRODUCT(AB9:AB13)*PRODUCT(AB15:AB17)+AA8*AA15*PRODUCT(AB3:AB7)*PRODUCT(AB9:AB14)*PRODUCT(AB16:AB17)+AA8*AA16*PRODUCT(AB3:AB7)*PRODUCT(AB9:AB15)*PRODUCT(AB17)+AA8*AA17*PRODUCT(AB3:AB7)*PRODUCT(AB9:AB16)</f>
        <v>0</v>
      </c>
      <c r="AE8" s="148"/>
      <c r="AF8" s="162"/>
      <c r="AG8" s="205">
        <f t="shared" si="10"/>
        <v>0.59931428571428591</v>
      </c>
      <c r="AH8" s="178">
        <f t="shared" si="2"/>
        <v>0.40068571428571409</v>
      </c>
      <c r="AI8" s="178">
        <f>AG8*PRODUCT(AH3:AH7)*PRODUCT(AH9:AH17)</f>
        <v>0.19497274732233633</v>
      </c>
      <c r="AJ8" s="178">
        <f>AG8*AG9*PRODUCT(AH3:AH7)*PRODUCT(AH10:AH17)+AG8*AG10*PRODUCT(AH3:AH7)*AH9*PRODUCT(AH11:AH17)+AG8*AG11*PRODUCT(AH3:AH7)*PRODUCT(AH9:AH10)*PRODUCT(AH12:AH17)+AG8*AG12*PRODUCT(AH3:AH7)*PRODUCT(AH9:AH11)*PRODUCT(AH13:AH17)+AG8*AG13*PRODUCT(AH3:AH7)*PRODUCT(AH9:AH12)*PRODUCT(AH14:AH17)+AG8*AG14*PRODUCT(AH3:AH7)*PRODUCT(AH9:AH13)*PRODUCT(AH15:AH17)+AG8*AG15*PRODUCT(AH3:AH7)*PRODUCT(AH9:AH14)*PRODUCT(AH16:AH17)+AG8*AG16*PRODUCT(AH3:AH7)*PRODUCT(AH9:AH15)*PRODUCT(AH17)+AG8*AG17*PRODUCT(AH3:AH7)*PRODUCT(AH9:AH16)</f>
        <v>0.33446008247102799</v>
      </c>
      <c r="AK8" s="148"/>
      <c r="AL8" s="165"/>
      <c r="AM8" s="148"/>
      <c r="AN8" s="153"/>
      <c r="AO8" s="167"/>
      <c r="AP8" s="148"/>
      <c r="AQ8" s="148"/>
      <c r="AR8" s="148"/>
      <c r="AS8" s="148"/>
      <c r="AT8" s="148"/>
      <c r="AU8" s="148"/>
      <c r="AV8" s="148"/>
      <c r="AW8" s="148"/>
      <c r="AX8" s="148"/>
      <c r="AY8" s="148"/>
      <c r="AZ8" s="148"/>
      <c r="BI8">
        <v>0</v>
      </c>
      <c r="BJ8">
        <v>5</v>
      </c>
      <c r="BK8" s="94">
        <f t="shared" si="3"/>
        <v>2.0821818736929013E-2</v>
      </c>
      <c r="BM8">
        <f>BI31+1</f>
        <v>4</v>
      </c>
      <c r="BN8">
        <v>4</v>
      </c>
      <c r="BO8" s="94">
        <f>$H$29*H43</f>
        <v>2.2950573461620619E-2</v>
      </c>
      <c r="BQ8">
        <f>BQ6+1</f>
        <v>3</v>
      </c>
      <c r="BR8">
        <v>1</v>
      </c>
      <c r="BS8" s="94">
        <f>$H$28*H40</f>
        <v>3.8015243744456699E-3</v>
      </c>
    </row>
    <row r="9" spans="1:71" ht="15.75" x14ac:dyDescent="0.25">
      <c r="A9" s="5" t="s">
        <v>42</v>
      </c>
      <c r="B9" s="219">
        <v>10</v>
      </c>
      <c r="C9" s="220">
        <v>12</v>
      </c>
      <c r="E9" s="232" t="s">
        <v>151</v>
      </c>
      <c r="F9" s="232" t="s">
        <v>151</v>
      </c>
      <c r="G9" s="232" t="s">
        <v>151</v>
      </c>
      <c r="H9" s="232" t="s">
        <v>151</v>
      </c>
      <c r="I9" s="232" t="s">
        <v>151</v>
      </c>
      <c r="J9" s="148"/>
      <c r="K9" s="173">
        <v>16</v>
      </c>
      <c r="L9" s="173">
        <v>8</v>
      </c>
      <c r="M9" s="183">
        <v>0.5</v>
      </c>
      <c r="N9" s="183">
        <f t="shared" si="4"/>
        <v>0.5</v>
      </c>
      <c r="O9" s="173" t="s">
        <v>171</v>
      </c>
      <c r="P9" s="175">
        <f>COUNTIF(E5:I6,"RAP")</f>
        <v>0</v>
      </c>
      <c r="Q9" s="176">
        <f>COUNTIF(E10:I11,"RAP")</f>
        <v>8</v>
      </c>
      <c r="R9" s="167">
        <f t="shared" si="0"/>
        <v>0.5</v>
      </c>
      <c r="S9" s="167">
        <f t="shared" si="1"/>
        <v>1.0514285714285718</v>
      </c>
      <c r="T9" s="186">
        <f t="shared" si="5"/>
        <v>0</v>
      </c>
      <c r="U9" s="188">
        <f t="shared" si="6"/>
        <v>1.0514285714285718</v>
      </c>
      <c r="V9" s="180">
        <f>$G$17</f>
        <v>0.56999999999999995</v>
      </c>
      <c r="W9" s="178">
        <f>$H$17</f>
        <v>0.56999999999999995</v>
      </c>
      <c r="X9" s="209">
        <f t="shared" si="7"/>
        <v>0</v>
      </c>
      <c r="Y9" s="210">
        <f t="shared" si="7"/>
        <v>0.59931428571428591</v>
      </c>
      <c r="Z9" s="164"/>
      <c r="AA9" s="203">
        <f t="shared" si="8"/>
        <v>0</v>
      </c>
      <c r="AB9" s="204">
        <f t="shared" si="9"/>
        <v>1</v>
      </c>
      <c r="AC9" s="204">
        <f>PRODUCT(AB10:AB$16)*AA9*PRODUCT(AB$4:AB8)</f>
        <v>0</v>
      </c>
      <c r="AD9" s="204">
        <f>AA9*AA10*PRODUCT(AB3:AB8)*PRODUCT(AB11:AB17)+AA9*AA11*PRODUCT(AB3:AB8)*AB10*PRODUCT(AB12:AB17)+AA9*AA12*PRODUCT(AB3:AB8)*PRODUCT(AB10:AB11)*PRODUCT(AB13:AB17)+AA9*AA13*PRODUCT(AB3:AB8)*PRODUCT(AB10:AB12)*PRODUCT(AB14:AB17)+AA9*AA14*PRODUCT(AB3:AB8)*PRODUCT(AB10:AB13)*PRODUCT(AB15:AB17)+AA9*AA15*PRODUCT(AB3:AB8)*PRODUCT(AB10:AB14)*PRODUCT(AB16:AB17)+AA9*AA16*PRODUCT(AB3:AB8)*PRODUCT(AB10:AB15)*PRODUCT(AB17)+AA9*AA17*PRODUCT(AB3:AB8)*PRODUCT(AB10:AB16)</f>
        <v>0</v>
      </c>
      <c r="AE9" s="148"/>
      <c r="AF9" s="162"/>
      <c r="AG9" s="205">
        <f t="shared" si="10"/>
        <v>0.59931428571428591</v>
      </c>
      <c r="AH9" s="178">
        <f t="shared" si="2"/>
        <v>0.40068571428571409</v>
      </c>
      <c r="AI9" s="178">
        <f>AG9*PRODUCT(AH3:AH8)*PRODUCT(AH10:AH17)</f>
        <v>0.1949727473223363</v>
      </c>
      <c r="AJ9" s="178">
        <f>AG9*AG10*PRODUCT(AH3:AH8)*PRODUCT(AH11:AH17)+AG9*AG11*PRODUCT(AH3:AH8)*AH10*PRODUCT(AH12:AH17)+AG9*AG12*PRODUCT(AH3:AH8)*PRODUCT(AH10:AH11)*PRODUCT(AH13:AH17)+AG9*AG13*PRODUCT(AH3:AH8)*PRODUCT(AH10:AH12)*PRODUCT(AH14:AH17)+AG9*AG14*PRODUCT(AH3:AH8)*PRODUCT(AH10:AH13)*PRODUCT(AH15:AH17)+AG9*AG15*PRODUCT(AH3:AH8)*PRODUCT(AH10:AH14)*PRODUCT(AH16:AH17)+AG9*AG16*PRODUCT(AH3:AH8)*PRODUCT(AH10:AH15)*PRODUCT(AH17)+AG9*AG17*PRODUCT(AH3:AH8)*PRODUCT(AH10:AH16)</f>
        <v>4.2835128974641111E-2</v>
      </c>
      <c r="AK9" s="148"/>
      <c r="AL9" s="165"/>
      <c r="AM9" s="148"/>
      <c r="AN9" s="153"/>
      <c r="AO9" s="167"/>
      <c r="AP9" s="148"/>
      <c r="AQ9" s="148"/>
      <c r="AR9" s="148"/>
      <c r="AS9" s="148"/>
      <c r="AT9" s="148"/>
      <c r="AU9" s="148"/>
      <c r="AV9" s="148"/>
      <c r="AW9" s="148"/>
      <c r="AX9" s="148"/>
      <c r="AY9" s="148"/>
      <c r="AZ9" s="148"/>
      <c r="BI9">
        <v>0</v>
      </c>
      <c r="BJ9">
        <v>6</v>
      </c>
      <c r="BK9" s="94">
        <f t="shared" si="3"/>
        <v>1.5873487817140902E-2</v>
      </c>
      <c r="BM9">
        <f>BI38+1</f>
        <v>5</v>
      </c>
      <c r="BN9">
        <v>5</v>
      </c>
      <c r="BO9" s="94">
        <f>$H$30*H44</f>
        <v>8.5102406186980586E-3</v>
      </c>
      <c r="BQ9">
        <f>BM6+1</f>
        <v>3</v>
      </c>
      <c r="BR9">
        <v>2</v>
      </c>
      <c r="BS9" s="94">
        <f>$H$28*H41</f>
        <v>1.4136954627461997E-2</v>
      </c>
    </row>
    <row r="10" spans="1:71" ht="15.75" x14ac:dyDescent="0.25">
      <c r="A10" s="6" t="s">
        <v>45</v>
      </c>
      <c r="B10" s="219">
        <v>9</v>
      </c>
      <c r="C10" s="220">
        <v>14</v>
      </c>
      <c r="E10" s="232" t="s">
        <v>1</v>
      </c>
      <c r="F10" s="232" t="s">
        <v>1</v>
      </c>
      <c r="G10" s="232" t="s">
        <v>1</v>
      </c>
      <c r="H10" s="232" t="s">
        <v>1</v>
      </c>
      <c r="I10" s="232" t="s">
        <v>1</v>
      </c>
      <c r="J10" s="148"/>
      <c r="K10" s="173">
        <v>18</v>
      </c>
      <c r="L10" s="173" t="s">
        <v>172</v>
      </c>
      <c r="M10" s="183">
        <v>0.19</v>
      </c>
      <c r="N10" s="183">
        <f t="shared" si="4"/>
        <v>0.19</v>
      </c>
      <c r="O10" s="173" t="s">
        <v>173</v>
      </c>
      <c r="P10" s="175">
        <v>1</v>
      </c>
      <c r="Q10" s="176">
        <v>1</v>
      </c>
      <c r="R10" s="167">
        <f t="shared" si="0"/>
        <v>0.19</v>
      </c>
      <c r="S10" s="167">
        <f t="shared" si="1"/>
        <v>0.39954285714285726</v>
      </c>
      <c r="T10" s="186">
        <f>S10*G13</f>
        <v>0.19977142857142863</v>
      </c>
      <c r="U10" s="188">
        <f>S10*G14</f>
        <v>0.19977142857142863</v>
      </c>
      <c r="V10" s="180">
        <f>$G$18</f>
        <v>0.45</v>
      </c>
      <c r="W10" s="178">
        <f>$H$18</f>
        <v>0.45</v>
      </c>
      <c r="X10" s="209">
        <f t="shared" si="7"/>
        <v>8.9897142857142884E-2</v>
      </c>
      <c r="Y10" s="210">
        <f t="shared" si="7"/>
        <v>8.9897142857142884E-2</v>
      </c>
      <c r="Z10" s="164"/>
      <c r="AA10" s="203">
        <f t="shared" si="8"/>
        <v>8.9897142857142884E-2</v>
      </c>
      <c r="AB10" s="204">
        <f t="shared" si="9"/>
        <v>0.9101028571428571</v>
      </c>
      <c r="AC10" s="204">
        <f>PRODUCT(AB11:AB$16)*AA10*PRODUCT(AB$4:AB9)</f>
        <v>4.1705473075525697E-2</v>
      </c>
      <c r="AD10" s="204">
        <f>AA10*AA11*PRODUCT(AB3:AB9)*PRODUCT(AB12:AB17)+AA10*AA12*PRODUCT(AB3:AB9)*AB11*PRODUCT(AB13:AB17)+AA10*AA13*PRODUCT(AB3:AB9)*PRODUCT(AB11:AB12)*PRODUCT(AB14:AB17)+AA10*AA14*PRODUCT(AB3:AB9)*PRODUCT(AB11:AB13)*PRODUCT(AB15:AB17)+AA10*AA15*PRODUCT(AB3:AB9)*PRODUCT(AB11:AB14)*PRODUCT(AB16:AB17)+AA10*AA16*PRODUCT(AB3:AB9)*PRODUCT(AB11:AB15)*PRODUCT(AB17)+AA10*AA17*PRODUCT(AB3:AB9)*PRODUCT(AB11:AB16)</f>
        <v>3.7700550253469071E-2</v>
      </c>
      <c r="AE10" s="148"/>
      <c r="AF10" s="162"/>
      <c r="AG10" s="205">
        <f t="shared" si="10"/>
        <v>8.9897142857142884E-2</v>
      </c>
      <c r="AH10" s="178">
        <f t="shared" si="2"/>
        <v>0.9101028571428571</v>
      </c>
      <c r="AI10" s="178">
        <f>AG10*PRODUCT(AH3:AH9)*PRODUCT(AH11:AH17)</f>
        <v>1.2875928349300125E-2</v>
      </c>
      <c r="AJ10" s="178">
        <f>AG10*AG11*PRODUCT(AH3:AH9)*PRODUCT(AH12:AH17)+AG10*AG12*PRODUCT(AH3:AH9)*AH11*PRODUCT(AH13:AH17)+AG10*AG13*PRODUCT(AH3:AH9)*PRODUCT(AH11:AH12)*PRODUCT(AH14:AH17)+AG10*AG14*PRODUCT(AH3:AH9)*PRODUCT(AH11:AH13)*PRODUCT(AH15:AH17)+AG10*AG15*PRODUCT(AH3:AH9)*PRODUCT(AH11:AH14)*PRODUCT(AH16:AH17)+AG10*AG16*PRODUCT(AH3:AH9)*PRODUCT(AH11:AH15)*PRODUCT(AH17)+AG10*AG17*PRODUCT(AH3:AH9)*PRODUCT(AH11:AH16)</f>
        <v>1.5569717819278531E-3</v>
      </c>
      <c r="AK10" s="148"/>
      <c r="AL10" s="165"/>
      <c r="AM10" s="148"/>
      <c r="AN10" s="153"/>
      <c r="AO10" s="167"/>
      <c r="AP10" s="148"/>
      <c r="AQ10" s="148"/>
      <c r="AR10" s="148"/>
      <c r="AS10" s="148"/>
      <c r="AT10" s="148"/>
      <c r="AU10" s="148"/>
      <c r="AV10" s="148"/>
      <c r="AW10" s="148"/>
      <c r="AX10" s="148"/>
      <c r="AY10" s="148"/>
      <c r="AZ10" s="148"/>
      <c r="BI10">
        <v>0</v>
      </c>
      <c r="BJ10">
        <v>7</v>
      </c>
      <c r="BK10" s="94">
        <f t="shared" si="3"/>
        <v>8.9483526167076239E-3</v>
      </c>
      <c r="BM10">
        <f>BI44+1</f>
        <v>6</v>
      </c>
      <c r="BN10">
        <v>6</v>
      </c>
      <c r="BO10" s="94">
        <f>$H$31*H45</f>
        <v>1.6963347333823569E-3</v>
      </c>
      <c r="BQ10">
        <f>BQ7+1</f>
        <v>4</v>
      </c>
      <c r="BR10">
        <v>0</v>
      </c>
      <c r="BS10" s="94">
        <f>$H$29*H39</f>
        <v>2.2690055800971058E-4</v>
      </c>
    </row>
    <row r="11" spans="1:71" ht="15.75" x14ac:dyDescent="0.25">
      <c r="A11" s="6" t="s">
        <v>48</v>
      </c>
      <c r="B11" s="219">
        <v>9</v>
      </c>
      <c r="C11" s="220">
        <v>14</v>
      </c>
      <c r="E11" s="150"/>
      <c r="F11" s="232" t="s">
        <v>1</v>
      </c>
      <c r="G11" s="232" t="s">
        <v>1</v>
      </c>
      <c r="H11" s="232" t="s">
        <v>1</v>
      </c>
      <c r="I11" s="150"/>
      <c r="J11" s="148"/>
      <c r="K11" s="173">
        <v>19</v>
      </c>
      <c r="L11" s="173">
        <v>9</v>
      </c>
      <c r="M11" s="183">
        <v>0.2</v>
      </c>
      <c r="N11" s="183">
        <f t="shared" si="4"/>
        <v>0.2</v>
      </c>
      <c r="O11" s="173" t="s">
        <v>174</v>
      </c>
      <c r="P11" s="175">
        <f>COUNTIF(E4:I6,"CAB")</f>
        <v>8</v>
      </c>
      <c r="Q11" s="176">
        <f>COUNTIF(E9:I11,"CAB")</f>
        <v>0</v>
      </c>
      <c r="R11" s="167">
        <f t="shared" si="0"/>
        <v>0.2</v>
      </c>
      <c r="S11" s="167">
        <f t="shared" si="1"/>
        <v>0.42057142857142876</v>
      </c>
      <c r="T11" s="186">
        <f>IF(P11&gt;0,IF(Q11&gt;0,G13^2.7/(G14^2.7+G13^2.7),1),0)*P11/L11*S11</f>
        <v>0.37384126984126997</v>
      </c>
      <c r="U11" s="188">
        <f>IF(Q11&gt;0,IF(P11&gt;0,G14^2.7/(G14^2.7+G13^2.7),1),0)*Q11/L11*S11</f>
        <v>0</v>
      </c>
      <c r="V11" s="180">
        <f>IF(P11-Q11&gt;3,0.9,IF(P11-Q11=3,0.83,IF(P11-Q11=2,0.75,IF(P11-Q11=1,0.65,IF(P11-Q11=0,0.44,IF(P11-Q11=-1,0.16,IF(P11-Q11&lt;-1,0.05,0.02)))))))</f>
        <v>0.9</v>
      </c>
      <c r="W11" s="178">
        <f>IF(Q11-P11&gt;3,0.9,IF(Q11-P11=3,0.83,IF(Q11-P11=2,0.75,IF(Q11-P11=1,0.65,IF(Q11-P11=0,0.44,IF(Q11-P11=-1,0.16,IF(Q11-P11&lt;-1,0.05,0.02)))))))</f>
        <v>0.05</v>
      </c>
      <c r="X11" s="209">
        <f t="shared" si="7"/>
        <v>0.33645714285714301</v>
      </c>
      <c r="Y11" s="210">
        <f t="shared" si="7"/>
        <v>0</v>
      </c>
      <c r="Z11" s="164"/>
      <c r="AA11" s="203">
        <f t="shared" si="8"/>
        <v>0.33645714285714301</v>
      </c>
      <c r="AB11" s="204">
        <f t="shared" si="9"/>
        <v>0.66354285714285699</v>
      </c>
      <c r="AC11" s="204">
        <f>PRODUCT(AB12:AB$16)*AA11*PRODUCT(AB$4:AB10)</f>
        <v>0.21409100199367312</v>
      </c>
      <c r="AD11" s="204">
        <f>AA11*AA12*PRODUCT(AB3:AB10)*PRODUCT(AB13:AB17)+AA11*AA13*PRODUCT(AB3:AB10)*AB12*PRODUCT(AB14:AB17)+AA11*AA14*PRODUCT(AB3:AB10)*PRODUCT(AB12:AB13)*PRODUCT(AB15:AB17)+AA11*AA15*PRODUCT(AB3:AB10)*PRODUCT(AB12:AB14)*PRODUCT(AB16:AB17)+AA11*AA16*PRODUCT(AB3:AB10)*PRODUCT(AB12:AB15)*PRODUCT(AB17)+AA11*AA17*PRODUCT(AB3:AB10)*PRODUCT(AB12:AB16)</f>
        <v>8.4974780093351202E-2</v>
      </c>
      <c r="AE11" s="148"/>
      <c r="AF11" s="162"/>
      <c r="AG11" s="205">
        <f t="shared" si="10"/>
        <v>0</v>
      </c>
      <c r="AH11" s="178">
        <f t="shared" si="2"/>
        <v>1</v>
      </c>
      <c r="AI11" s="178">
        <f>AG11*PRODUCT(AH3:AH10)*PRODUCT(AH12:AH17)</f>
        <v>0</v>
      </c>
      <c r="AJ11" s="178">
        <f>AG11*AG12*PRODUCT(AH3:AH10)*PRODUCT(AH13:AH17)+AG11*AG13*PRODUCT(AH3:AH10)*AH12*PRODUCT(AH14:AH17)+AG11*AG14*PRODUCT(AH3:AH10)*PRODUCT(AH12:AH13)*PRODUCT(AH15:AH17)+AG11*AG15*PRODUCT(AH3:AH10)*PRODUCT(AH12:AH14)*PRODUCT(AH16:AH17)+AG11*AG16*PRODUCT(AH3:AH10)*PRODUCT(AH12:AH15)*PRODUCT(AH17)+AG11*AG17*PRODUCT(AH3:AH10)*PRODUCT(AH12:AH16)</f>
        <v>0</v>
      </c>
      <c r="AK11" s="148"/>
      <c r="AL11" s="165"/>
      <c r="AM11" s="148"/>
      <c r="AN11" s="153"/>
      <c r="AO11" s="167"/>
      <c r="AP11" s="148"/>
      <c r="AQ11" s="148"/>
      <c r="AR11" s="148"/>
      <c r="AS11" s="148"/>
      <c r="AT11" s="148"/>
      <c r="AU11" s="148"/>
      <c r="AV11" s="148"/>
      <c r="AW11" s="148"/>
      <c r="AX11" s="148"/>
      <c r="AY11" s="148"/>
      <c r="AZ11" s="148"/>
      <c r="BI11">
        <v>0</v>
      </c>
      <c r="BJ11">
        <v>8</v>
      </c>
      <c r="BK11" s="94">
        <f t="shared" si="3"/>
        <v>3.7369649427503111E-3</v>
      </c>
      <c r="BM11">
        <f>BI50+1</f>
        <v>7</v>
      </c>
      <c r="BN11">
        <v>7</v>
      </c>
      <c r="BO11" s="94">
        <f>$H$32*H46</f>
        <v>1.8674597635666816E-4</v>
      </c>
      <c r="BQ11">
        <f>BQ8+1</f>
        <v>4</v>
      </c>
      <c r="BR11">
        <v>1</v>
      </c>
      <c r="BS11" s="94">
        <f>$H$29*H40</f>
        <v>1.8810311605252253E-3</v>
      </c>
    </row>
    <row r="12" spans="1:71" ht="15.75" x14ac:dyDescent="0.25">
      <c r="A12" s="6" t="s">
        <v>52</v>
      </c>
      <c r="B12" s="219">
        <v>9</v>
      </c>
      <c r="C12" s="220">
        <v>14</v>
      </c>
      <c r="E12" s="149"/>
      <c r="F12" s="149"/>
      <c r="G12" s="149"/>
      <c r="H12" s="149"/>
      <c r="I12" s="149"/>
      <c r="J12" s="148"/>
      <c r="K12" s="173">
        <v>25</v>
      </c>
      <c r="L12" s="173">
        <v>5</v>
      </c>
      <c r="M12" s="183">
        <v>0.04</v>
      </c>
      <c r="N12" s="183">
        <f t="shared" si="4"/>
        <v>0.04</v>
      </c>
      <c r="O12" s="173" t="s">
        <v>38</v>
      </c>
      <c r="P12" s="175">
        <f>COUNTIF(F6:H6,"IMP")+COUNTIF(E5,"IMP")+COUNTIF(I5,"IMP")</f>
        <v>0</v>
      </c>
      <c r="Q12" s="176">
        <f>COUNTIF(F11:H11,"IMP")+COUNTIF(E10,"IMP")+COUNTIF(I10,"IMP")</f>
        <v>0</v>
      </c>
      <c r="R12" s="167">
        <f t="shared" si="0"/>
        <v>0</v>
      </c>
      <c r="S12" s="167">
        <f t="shared" si="1"/>
        <v>0</v>
      </c>
      <c r="T12" s="186">
        <f t="shared" ref="T12" si="11">IF(S12=0,0,S12*(P12^2.7/(P12^2.7+Q12^2.7))*P12/L12)</f>
        <v>0</v>
      </c>
      <c r="U12" s="188">
        <f>IF(S12=0,0,S12*Q12^2.7/(P12^2.7+Q12^2.7)*Q12/L12)</f>
        <v>0</v>
      </c>
      <c r="V12" s="180">
        <f>$G$18</f>
        <v>0.45</v>
      </c>
      <c r="W12" s="178">
        <f>$H$18</f>
        <v>0.45</v>
      </c>
      <c r="X12" s="209">
        <f t="shared" si="7"/>
        <v>0</v>
      </c>
      <c r="Y12" s="210">
        <f t="shared" si="7"/>
        <v>0</v>
      </c>
      <c r="Z12" s="164"/>
      <c r="AA12" s="203">
        <f t="shared" si="8"/>
        <v>0</v>
      </c>
      <c r="AB12" s="204">
        <f t="shared" si="9"/>
        <v>1</v>
      </c>
      <c r="AC12" s="204">
        <f>PRODUCT(AB13:AB$16)*AA12*PRODUCT(AB$4:AB11)</f>
        <v>0</v>
      </c>
      <c r="AD12" s="204">
        <f>AA12*AA13*PRODUCT(AB3:AB11)*PRODUCT(AB14:AB17)+AA12*AA14*PRODUCT(AB3:AB11)*AB13*PRODUCT(AB15:AB17)+AA12*AA15*PRODUCT(AB3:AB11)*PRODUCT(AB13:AB14)*PRODUCT(AB16:AB17)+AA12*AA16*PRODUCT(AB3:AB11)*PRODUCT(AB13:AB15)*PRODUCT(AB17)+AA12*AA17*PRODUCT(AB3:AB11)*PRODUCT(AB13:AB16)</f>
        <v>0</v>
      </c>
      <c r="AE12" s="148"/>
      <c r="AF12" s="162"/>
      <c r="AG12" s="205">
        <f t="shared" si="10"/>
        <v>0</v>
      </c>
      <c r="AH12" s="178">
        <f t="shared" si="2"/>
        <v>1</v>
      </c>
      <c r="AI12" s="178">
        <f>AG12*PRODUCT(AH3:AH11)*PRODUCT(AH13:AH17)</f>
        <v>0</v>
      </c>
      <c r="AJ12" s="178">
        <f>AG12*AG13*PRODUCT(AH3:AH11)*PRODUCT(AH14:AH17)+AG12*AG14*PRODUCT(AH3:AH11)*AH13*PRODUCT(AH15:AH17)+AG12*AG15*PRODUCT(AH3:AH11)*PRODUCT(AH13:AH14)*PRODUCT(AH16:AH17)+AG12*AG16*PRODUCT(AH3:AH11)*PRODUCT(AH13:AH15)*PRODUCT(AH17)+AG12*AG17*PRODUCT(AH3:AH11)*PRODUCT(AH13:AH16)</f>
        <v>0</v>
      </c>
      <c r="AK12" s="148"/>
      <c r="AL12" s="165"/>
      <c r="AM12" s="148"/>
      <c r="AN12" s="153"/>
      <c r="AO12" s="167"/>
      <c r="AP12" s="148"/>
      <c r="AQ12" s="148"/>
      <c r="AR12" s="148"/>
      <c r="AS12" s="148"/>
      <c r="AT12" s="148"/>
      <c r="AU12" s="148"/>
      <c r="AV12" s="148"/>
      <c r="AW12" s="148"/>
      <c r="AX12" s="148"/>
      <c r="AY12" s="148"/>
      <c r="AZ12" s="148"/>
      <c r="BI12">
        <v>0</v>
      </c>
      <c r="BJ12">
        <v>9</v>
      </c>
      <c r="BK12" s="94">
        <f t="shared" si="3"/>
        <v>1.1439729528028007E-3</v>
      </c>
      <c r="BM12">
        <f>BI54+1</f>
        <v>8</v>
      </c>
      <c r="BN12">
        <v>8</v>
      </c>
      <c r="BO12" s="94">
        <f>$H$33*H47</f>
        <v>1.1376337946062321E-5</v>
      </c>
      <c r="BQ12">
        <f>BQ9+1</f>
        <v>4</v>
      </c>
      <c r="BR12">
        <v>2</v>
      </c>
      <c r="BS12" s="94">
        <f>$H$29*H41</f>
        <v>6.9951023720753831E-3</v>
      </c>
    </row>
    <row r="13" spans="1:71" ht="15.75" x14ac:dyDescent="0.25">
      <c r="A13" s="7" t="s">
        <v>55</v>
      </c>
      <c r="B13" s="219">
        <v>9</v>
      </c>
      <c r="C13" s="220">
        <v>9</v>
      </c>
      <c r="E13" s="149"/>
      <c r="F13" s="149" t="s">
        <v>152</v>
      </c>
      <c r="G13" s="179">
        <f>B22</f>
        <v>0.5</v>
      </c>
      <c r="H13" s="149"/>
      <c r="I13" s="149"/>
      <c r="J13" s="148"/>
      <c r="K13" s="173">
        <v>37</v>
      </c>
      <c r="L13" s="173">
        <v>7</v>
      </c>
      <c r="M13" s="183">
        <v>0.18</v>
      </c>
      <c r="N13" s="183">
        <f t="shared" si="4"/>
        <v>0.18</v>
      </c>
      <c r="O13" s="173" t="s">
        <v>175</v>
      </c>
      <c r="P13" s="175">
        <f>COUNTIF(E5:I6,"CAB")</f>
        <v>8</v>
      </c>
      <c r="Q13" s="176">
        <f>COUNTIF(E10:I11,"CAB")</f>
        <v>0</v>
      </c>
      <c r="R13" s="167">
        <f t="shared" si="0"/>
        <v>0.18</v>
      </c>
      <c r="S13" s="167">
        <f t="shared" si="1"/>
        <v>0.3785142857142858</v>
      </c>
      <c r="T13" s="186">
        <f>IF((Q13+P13)=0,0,S13*P14/4*P13/L13)</f>
        <v>0.21629387755102045</v>
      </c>
      <c r="U13" s="188">
        <f>IF(P13+Q13=0,0,S13*Q14/4*Q13/L13)</f>
        <v>0</v>
      </c>
      <c r="V13" s="180">
        <v>1</v>
      </c>
      <c r="W13" s="178">
        <v>1</v>
      </c>
      <c r="X13" s="209">
        <f t="shared" si="7"/>
        <v>0.21629387755102045</v>
      </c>
      <c r="Y13" s="210">
        <f t="shared" si="7"/>
        <v>0</v>
      </c>
      <c r="Z13" s="164"/>
      <c r="AA13" s="203">
        <f t="shared" si="8"/>
        <v>0.21629387755102045</v>
      </c>
      <c r="AB13" s="204">
        <f t="shared" si="9"/>
        <v>0.78370612244897953</v>
      </c>
      <c r="AC13" s="204">
        <f>PRODUCT(AB14:AB$16)*AA13*PRODUCT(AB$4:AB12)</f>
        <v>0.11652755320796417</v>
      </c>
      <c r="AD13" s="204">
        <f>AA13*AA14*PRODUCT(AB3:AB12)*PRODUCT(AB15:AB17)+AA13*AA15*PRODUCT(AB3:AB12)*AB14*PRODUCT(AB16:AB17)+AA13*AA16*PRODUCT(AB3:AB12)*AB14*AB15*AB17+AA13*AA17*PRODUCT(AB3:AB12)*AB14*AB15*AB16</f>
        <v>1.4090643194031005E-2</v>
      </c>
      <c r="AE13" s="148"/>
      <c r="AF13" s="162"/>
      <c r="AG13" s="205">
        <f t="shared" si="10"/>
        <v>0</v>
      </c>
      <c r="AH13" s="178">
        <f t="shared" si="2"/>
        <v>1</v>
      </c>
      <c r="AI13" s="178">
        <f>AG13*PRODUCT(AH3:AH12)*PRODUCT(AH14:AH17)</f>
        <v>0</v>
      </c>
      <c r="AJ13" s="178">
        <f>AG13*AG14*PRODUCT(AH3:AH12)*PRODUCT(AH15:AH17)+AG13*AG15*PRODUCT(AH3:AH12)*AH14*PRODUCT(AH16:AH17)+AG13*AG16*PRODUCT(AH3:AH12)*AH14*AH15*AH17+AG13*AG17*PRODUCT(AH3:AH12)*AH14*AH15*AH16</f>
        <v>0</v>
      </c>
      <c r="AK13" s="148"/>
      <c r="AL13" s="165"/>
      <c r="AM13" s="148"/>
      <c r="AN13" s="153"/>
      <c r="AO13" s="167"/>
      <c r="AP13" s="148"/>
      <c r="AQ13" s="148"/>
      <c r="AR13" s="148"/>
      <c r="AS13" s="148"/>
      <c r="AT13" s="148"/>
      <c r="AU13" s="148"/>
      <c r="AV13" s="148"/>
      <c r="AW13" s="148"/>
      <c r="AX13" s="148"/>
      <c r="AY13" s="148"/>
      <c r="AZ13" s="148"/>
      <c r="BI13">
        <v>0</v>
      </c>
      <c r="BJ13">
        <v>10</v>
      </c>
      <c r="BK13" s="94">
        <f t="shared" si="3"/>
        <v>2.5009557303458266E-4</v>
      </c>
      <c r="BM13">
        <f>BI57+1</f>
        <v>9</v>
      </c>
      <c r="BN13">
        <v>9</v>
      </c>
      <c r="BO13" s="94">
        <f>$H$34*H48</f>
        <v>3.7486096021624153E-7</v>
      </c>
      <c r="BQ13">
        <f>BM7+1</f>
        <v>4</v>
      </c>
      <c r="BR13">
        <v>3</v>
      </c>
      <c r="BS13" s="94">
        <f>$H$29*H42</f>
        <v>1.5509233087025944E-2</v>
      </c>
    </row>
    <row r="14" spans="1:71" ht="15.75" x14ac:dyDescent="0.25">
      <c r="A14" s="7" t="s">
        <v>58</v>
      </c>
      <c r="B14" s="219">
        <v>4</v>
      </c>
      <c r="C14" s="220">
        <v>4</v>
      </c>
      <c r="E14" s="149"/>
      <c r="F14" s="149" t="s">
        <v>153</v>
      </c>
      <c r="G14" s="177">
        <f>C22</f>
        <v>0.5</v>
      </c>
      <c r="H14" s="149"/>
      <c r="I14" s="149"/>
      <c r="J14" s="148"/>
      <c r="K14" s="173">
        <v>38</v>
      </c>
      <c r="L14" s="173">
        <v>2</v>
      </c>
      <c r="M14" s="183">
        <v>0.18</v>
      </c>
      <c r="N14" s="183">
        <f t="shared" si="4"/>
        <v>0.18</v>
      </c>
      <c r="O14" s="173" t="s">
        <v>176</v>
      </c>
      <c r="P14" s="175">
        <f>COUNTA(E5,I5)</f>
        <v>2</v>
      </c>
      <c r="Q14" s="176">
        <f>COUNTA(E10,I10)</f>
        <v>2</v>
      </c>
      <c r="R14" s="167">
        <f t="shared" si="0"/>
        <v>0.18</v>
      </c>
      <c r="S14" s="167">
        <f t="shared" si="1"/>
        <v>0.3785142857142858</v>
      </c>
      <c r="T14" s="186">
        <f>S14*P14^2.7/(Q14^2.7+P14^2.7)</f>
        <v>0.18925714285714287</v>
      </c>
      <c r="U14" s="188">
        <f>S14*Q14^2.7/(Q14^2.7+P14^2.7)</f>
        <v>0.18925714285714287</v>
      </c>
      <c r="V14" s="180">
        <f>$G$17</f>
        <v>0.56999999999999995</v>
      </c>
      <c r="W14" s="178">
        <f>$H$17</f>
        <v>0.56999999999999995</v>
      </c>
      <c r="X14" s="209">
        <f t="shared" si="7"/>
        <v>0.10787657142857143</v>
      </c>
      <c r="Y14" s="210">
        <f t="shared" si="7"/>
        <v>0.10787657142857143</v>
      </c>
      <c r="Z14" s="164"/>
      <c r="AA14" s="203">
        <f t="shared" si="8"/>
        <v>0.10787657142857143</v>
      </c>
      <c r="AB14" s="204">
        <f t="shared" si="9"/>
        <v>0.89212342857142857</v>
      </c>
      <c r="AC14" s="204">
        <f>PRODUCT(AB15:AB$16)*AA14*PRODUCT(AB$4:AB13)</f>
        <v>5.1055182261464077E-2</v>
      </c>
      <c r="AD14" s="204">
        <f>AA14*AA15*PRODUCT(AB3:AB13)*PRODUCT(AB16:AB17)+AA14*AA16*PRODUCT(AB3:AB13)*AB15*AB17+AA14*AA17*PRODUCT(AB3:AB13)*AB15*AB16</f>
        <v>0</v>
      </c>
      <c r="AE14" s="148"/>
      <c r="AF14" s="162"/>
      <c r="AG14" s="205">
        <f t="shared" si="10"/>
        <v>0.10787657142857143</v>
      </c>
      <c r="AH14" s="178">
        <f t="shared" si="2"/>
        <v>0.89212342857142857</v>
      </c>
      <c r="AI14" s="178">
        <f>AG14*PRODUCT(AH3:AH13)*PRODUCT(AH15:AH17)</f>
        <v>1.5762508375545718E-2</v>
      </c>
      <c r="AJ14" s="178">
        <f>AG14*AG15*PRODUCT(AH3:AH13)*PRODUCT(AH16:AH17)+AG14*AG16*PRODUCT(AH3:AH13)*AH15*AH17+AG14*AG17*PRODUCT(AH3:AH13)*AH15*AH16</f>
        <v>0</v>
      </c>
      <c r="AK14" s="148"/>
      <c r="AL14" s="165"/>
      <c r="AM14" s="148"/>
      <c r="AN14" s="153"/>
      <c r="AO14" s="167"/>
      <c r="AP14" s="148"/>
      <c r="AQ14" s="148"/>
      <c r="AR14" s="148"/>
      <c r="AS14" s="148"/>
      <c r="AT14" s="148"/>
      <c r="AU14" s="148"/>
      <c r="AV14" s="148"/>
      <c r="AW14" s="148"/>
      <c r="AX14" s="148"/>
      <c r="AY14" s="148"/>
      <c r="AZ14" s="148"/>
      <c r="BI14">
        <v>1</v>
      </c>
      <c r="BJ14">
        <v>2</v>
      </c>
      <c r="BK14" s="94">
        <f t="shared" ref="BK14:BK22" si="12">$H$26*H41</f>
        <v>1.6064390000839136E-2</v>
      </c>
      <c r="BM14">
        <f>BQ39+1</f>
        <v>10</v>
      </c>
      <c r="BN14">
        <v>10</v>
      </c>
      <c r="BO14" s="94">
        <f>$H$35*H49</f>
        <v>6.3294548701858028E-9</v>
      </c>
      <c r="BQ14">
        <f>BQ10+1</f>
        <v>5</v>
      </c>
      <c r="BR14">
        <v>0</v>
      </c>
      <c r="BS14" s="94">
        <f>$H$30*H39</f>
        <v>8.0442011701271638E-5</v>
      </c>
    </row>
    <row r="15" spans="1:71" ht="15.75" x14ac:dyDescent="0.25">
      <c r="A15" s="142" t="s">
        <v>62</v>
      </c>
      <c r="B15" s="221">
        <v>5</v>
      </c>
      <c r="C15" s="222">
        <v>5</v>
      </c>
      <c r="E15" s="149"/>
      <c r="F15" s="149"/>
      <c r="G15" s="149"/>
      <c r="H15" s="149"/>
      <c r="I15" s="149"/>
      <c r="J15" s="148"/>
      <c r="K15" s="173">
        <v>39</v>
      </c>
      <c r="L15" s="173">
        <v>8</v>
      </c>
      <c r="M15" s="183">
        <v>0.6</v>
      </c>
      <c r="N15" s="183">
        <f t="shared" si="4"/>
        <v>0.6</v>
      </c>
      <c r="O15" s="173" t="s">
        <v>177</v>
      </c>
      <c r="P15" s="175">
        <f>COUNTIF(E5:I6,"TEC")</f>
        <v>0</v>
      </c>
      <c r="Q15" s="176">
        <f>COUNTIF(E10:I11,"TEC")</f>
        <v>0</v>
      </c>
      <c r="R15" s="167">
        <f>IF(P15&lt;&gt;0,IF(Q1&lt;&gt;0,M15,IF(Q15&lt;&gt;0,IF(P1&lt;&gt;0,M15,0),0)),IF(Q15&lt;&gt;0,IF(P1&lt;&gt;0,M15,0),0))</f>
        <v>0</v>
      </c>
      <c r="S15" s="167">
        <f t="shared" si="1"/>
        <v>0</v>
      </c>
      <c r="T15" s="186">
        <f>IF(P15&lt;&gt;0,IF(Q1&lt;&gt;0,IF(Q15&lt;&gt;0,IF(P1&lt;&gt;0,S15*P15^2.7/(P15^2.7+Q15^2.7)*P15/L15,S15*P15/L15),S15*P15/L15),0),0)</f>
        <v>0</v>
      </c>
      <c r="U15" s="188">
        <f>IF(Q15&lt;&gt;0,IF(P1&lt;&gt;0,IF(P15&lt;&gt;0,IF(Q1&lt;&gt;0,S15*Q15^2.7/(P15^2.7+Q15^2.7)*Q15/L15,S15*Q15/L15),S15*Q15/L15),0),0)</f>
        <v>0</v>
      </c>
      <c r="V15" s="180">
        <f>$G$17</f>
        <v>0.56999999999999995</v>
      </c>
      <c r="W15" s="178">
        <f>$H$17</f>
        <v>0.56999999999999995</v>
      </c>
      <c r="X15" s="209">
        <f t="shared" si="7"/>
        <v>0</v>
      </c>
      <c r="Y15" s="210">
        <f t="shared" si="7"/>
        <v>0</v>
      </c>
      <c r="Z15" s="164"/>
      <c r="AA15" s="203">
        <f t="shared" si="8"/>
        <v>0</v>
      </c>
      <c r="AB15" s="204">
        <f t="shared" si="9"/>
        <v>1</v>
      </c>
      <c r="AC15" s="204">
        <f>PRODUCT(AB16:AB$16)*AA15*PRODUCT(AB$4:AB14)</f>
        <v>0</v>
      </c>
      <c r="AD15" s="204">
        <f>AA15*AA16*PRODUCT(AB3:AB14)*AB17+AA15*AA17*PRODUCT(AB3:AB14)*AB16</f>
        <v>0</v>
      </c>
      <c r="AE15" s="148"/>
      <c r="AF15" s="162"/>
      <c r="AG15" s="205">
        <f t="shared" si="10"/>
        <v>0</v>
      </c>
      <c r="AH15" s="178">
        <f t="shared" si="2"/>
        <v>1</v>
      </c>
      <c r="AI15" s="178">
        <f>AG15*PRODUCT(AH3:AH14)*PRODUCT(AH16:AH17)</f>
        <v>0</v>
      </c>
      <c r="AJ15" s="178">
        <f t="shared" ref="AJ15:AJ16" si="13">(FACT(2)/(FACT($AD$1)*FACT(2-$AD$1))*AG15^$AD$1*(1-AG15)^(2-$AD$1))</f>
        <v>0</v>
      </c>
      <c r="AK15" s="148"/>
      <c r="AL15" s="165"/>
      <c r="AM15" s="148"/>
      <c r="AN15" s="153"/>
      <c r="AO15" s="167"/>
      <c r="AP15" s="148"/>
      <c r="AQ15" s="148"/>
      <c r="AR15" s="148"/>
      <c r="AS15" s="148"/>
      <c r="AT15" s="148"/>
      <c r="AU15" s="148"/>
      <c r="AV15" s="148"/>
      <c r="AW15" s="148"/>
      <c r="AX15" s="148"/>
      <c r="AY15" s="148"/>
      <c r="AZ15" s="148"/>
      <c r="BI15">
        <v>1</v>
      </c>
      <c r="BJ15">
        <v>3</v>
      </c>
      <c r="BK15" s="94">
        <f t="shared" si="12"/>
        <v>3.5617258429054784E-2</v>
      </c>
      <c r="BQ15">
        <f>BQ11+1</f>
        <v>5</v>
      </c>
      <c r="BR15">
        <v>1</v>
      </c>
      <c r="BS15" s="94">
        <f>$H$30*H40</f>
        <v>6.6687332967665513E-4</v>
      </c>
    </row>
    <row r="16" spans="1:71" ht="15.75" x14ac:dyDescent="0.25">
      <c r="A16" s="142" t="s">
        <v>65</v>
      </c>
      <c r="B16" s="44">
        <v>12</v>
      </c>
      <c r="C16" s="46">
        <v>12</v>
      </c>
      <c r="E16" s="149"/>
      <c r="F16" s="149" t="s">
        <v>8</v>
      </c>
      <c r="G16" s="229">
        <v>0.7</v>
      </c>
      <c r="H16" s="230">
        <v>0.7</v>
      </c>
      <c r="I16" s="149"/>
      <c r="J16" s="148"/>
      <c r="K16" s="173">
        <v>90</v>
      </c>
      <c r="L16" s="173">
        <v>3</v>
      </c>
      <c r="M16" s="183">
        <v>0</v>
      </c>
      <c r="N16" s="183">
        <v>0</v>
      </c>
      <c r="O16" s="173" t="s">
        <v>183</v>
      </c>
      <c r="P16" s="175">
        <f>COUNTIF(F6:H6,"POT")</f>
        <v>0</v>
      </c>
      <c r="Q16" s="176">
        <f>COUNTIF(F11:H11,"POT")</f>
        <v>0</v>
      </c>
      <c r="R16" s="167">
        <f>M16</f>
        <v>0</v>
      </c>
      <c r="S16" s="167">
        <f t="shared" si="1"/>
        <v>0</v>
      </c>
      <c r="T16" s="186">
        <f>INT(B34*(1-B31))*IF(P16=0,0,IF(P16=1,0.1,IF(P16=2,0.16,IF(P16=3,0.2,0))))</f>
        <v>0</v>
      </c>
      <c r="U16" s="188">
        <f>INT(C34*(1-C31))*IF(Q16=0,0,IF(Q16=1,0.1,IF(Q16=2,0.16,IF(Q16=3,0.2,0))))</f>
        <v>0</v>
      </c>
      <c r="V16" s="180">
        <f>G17</f>
        <v>0.56999999999999995</v>
      </c>
      <c r="W16" s="178">
        <f>H17</f>
        <v>0.56999999999999995</v>
      </c>
      <c r="X16" s="209">
        <f t="shared" ref="X16" si="14">V16*T16</f>
        <v>0</v>
      </c>
      <c r="Y16" s="210">
        <f t="shared" ref="Y16" si="15">W16*U16</f>
        <v>0</v>
      </c>
      <c r="Z16" s="164"/>
      <c r="AA16" s="203">
        <f t="shared" si="8"/>
        <v>0</v>
      </c>
      <c r="AB16" s="204">
        <f t="shared" si="9"/>
        <v>1</v>
      </c>
      <c r="AC16" s="204">
        <f>AA16*PRODUCT(AB$4:AB15)</f>
        <v>0</v>
      </c>
      <c r="AD16" s="204">
        <f t="shared" ref="AD16" si="16">(FACT(2)/(FACT($AD$1)*FACT(2-$AD$1))*AA16^$AD$1*(1-AA16)^(2-$AD$1))</f>
        <v>0</v>
      </c>
      <c r="AE16" s="164"/>
      <c r="AF16" s="164"/>
      <c r="AG16" s="205">
        <f t="shared" si="10"/>
        <v>0</v>
      </c>
      <c r="AH16" s="178">
        <f t="shared" si="2"/>
        <v>1</v>
      </c>
      <c r="AI16" s="178">
        <f>AG16*PRODUCT(AH$4:AH15)</f>
        <v>0</v>
      </c>
      <c r="AJ16" s="178">
        <f t="shared" si="13"/>
        <v>0</v>
      </c>
      <c r="AK16" s="164"/>
      <c r="AL16" s="165"/>
      <c r="AM16" s="148"/>
      <c r="AN16" s="153"/>
      <c r="AO16" s="167"/>
      <c r="AP16" s="148"/>
      <c r="AQ16" s="148"/>
      <c r="AR16" s="148"/>
      <c r="AS16" s="148"/>
      <c r="AT16" s="148"/>
      <c r="AU16" s="148"/>
      <c r="AV16" s="148"/>
      <c r="AW16" s="148"/>
      <c r="AX16" s="148"/>
      <c r="AY16" s="148"/>
      <c r="AZ16" s="148"/>
      <c r="BI16">
        <v>1</v>
      </c>
      <c r="BJ16">
        <v>4</v>
      </c>
      <c r="BK16" s="94">
        <f t="shared" si="12"/>
        <v>5.270644276804147E-2</v>
      </c>
      <c r="BQ16">
        <f>BQ12+1</f>
        <v>5</v>
      </c>
      <c r="BR16">
        <v>2</v>
      </c>
      <c r="BS16" s="94">
        <f>$H$30*H41</f>
        <v>2.4799414853884992E-3</v>
      </c>
    </row>
    <row r="17" spans="1:71" x14ac:dyDescent="0.25">
      <c r="A17" s="141" t="s">
        <v>69</v>
      </c>
      <c r="B17" s="223" t="s">
        <v>70</v>
      </c>
      <c r="C17" s="224" t="s">
        <v>70</v>
      </c>
      <c r="E17" s="149"/>
      <c r="F17" s="149" t="s">
        <v>154</v>
      </c>
      <c r="G17" s="229">
        <v>0.56999999999999995</v>
      </c>
      <c r="H17" s="230">
        <v>0.56999999999999995</v>
      </c>
      <c r="I17" s="149"/>
      <c r="J17" s="148"/>
      <c r="K17" s="173"/>
      <c r="L17" s="173"/>
      <c r="M17" s="173"/>
      <c r="N17" s="173"/>
      <c r="O17" s="173"/>
      <c r="P17" s="173"/>
      <c r="Q17" s="149"/>
      <c r="V17" s="13"/>
      <c r="W17" s="13"/>
      <c r="X17" s="13"/>
      <c r="Y17" s="13"/>
      <c r="Z17" s="164"/>
      <c r="AA17" s="164"/>
      <c r="AB17" s="164"/>
      <c r="AC17" s="164"/>
      <c r="AD17" s="164"/>
      <c r="AE17" s="164"/>
      <c r="AF17" s="164"/>
      <c r="AG17" s="164"/>
      <c r="AH17" s="164"/>
      <c r="AI17" s="164"/>
      <c r="AJ17" s="164"/>
      <c r="AK17" s="164"/>
      <c r="AL17" s="165"/>
      <c r="AM17" s="148"/>
      <c r="AN17" s="153"/>
      <c r="AO17" s="167"/>
      <c r="AP17" s="148"/>
      <c r="AQ17" s="148"/>
      <c r="AR17" s="148"/>
      <c r="AS17" s="148"/>
      <c r="AT17" s="148"/>
      <c r="AU17" s="148"/>
      <c r="AV17" s="148"/>
      <c r="AW17" s="148"/>
      <c r="AX17" s="148"/>
      <c r="AY17" s="148"/>
      <c r="AZ17" s="148"/>
      <c r="BI17">
        <v>1</v>
      </c>
      <c r="BJ17">
        <v>5</v>
      </c>
      <c r="BK17" s="94">
        <f t="shared" si="12"/>
        <v>5.5127036305185784E-2</v>
      </c>
      <c r="BQ17">
        <f>BQ13+1</f>
        <v>5</v>
      </c>
      <c r="BR17">
        <v>3</v>
      </c>
      <c r="BS17" s="94">
        <f>$H$30*H42</f>
        <v>5.4984171057476973E-3</v>
      </c>
    </row>
    <row r="18" spans="1:71" x14ac:dyDescent="0.25">
      <c r="A18" s="141" t="s">
        <v>73</v>
      </c>
      <c r="B18" s="223">
        <v>20</v>
      </c>
      <c r="C18" s="224">
        <v>20</v>
      </c>
      <c r="E18" s="149"/>
      <c r="F18" s="173" t="s">
        <v>3</v>
      </c>
      <c r="G18" s="229">
        <v>0.45</v>
      </c>
      <c r="H18" s="230">
        <v>0.45</v>
      </c>
      <c r="I18" s="149"/>
      <c r="J18" s="148"/>
      <c r="K18" s="173"/>
      <c r="L18" s="173"/>
      <c r="M18" s="173"/>
      <c r="N18" s="173"/>
      <c r="O18" s="173"/>
      <c r="P18" s="184"/>
      <c r="Q18" s="149"/>
      <c r="V18" s="13"/>
      <c r="W18" s="13"/>
      <c r="X18" s="13"/>
      <c r="Y18" s="13"/>
      <c r="Z18" s="164"/>
      <c r="AB18" s="138">
        <f>PRODUCT(AB3:AB17)</f>
        <v>0.42221887145898962</v>
      </c>
      <c r="AC18" s="139">
        <f>SUM(AC4:AC16)</f>
        <v>0.42337921053862704</v>
      </c>
      <c r="AD18" s="139">
        <f>SUM(AD3:AD17)</f>
        <v>0.13676597354085127</v>
      </c>
      <c r="AE18" s="139">
        <f>IF((1-AB18-AC18-AD18)&lt;0,(1-AB18-AC18-AD18)-1,1-AB18-AC18-AD18)</f>
        <v>1.7635944461532077E-2</v>
      </c>
      <c r="AF18" s="162"/>
      <c r="AG18" s="13"/>
      <c r="AH18" s="140">
        <f>PRODUCT(AH3:AH17)</f>
        <v>0.13035363312587922</v>
      </c>
      <c r="AI18" s="139">
        <f>SUM(AI3:AI17)</f>
        <v>0.41858393136951849</v>
      </c>
      <c r="AJ18" s="139">
        <f>SUM(AJ3:AJ17)</f>
        <v>0.37885218322759695</v>
      </c>
      <c r="AK18" s="139">
        <f>IF((1-AH18-AI18-AJ18)&lt;0,(1-AH18-AI18-AJ18)-1,(1-AH18-AI18-AJ18))</f>
        <v>7.2210252277005338E-2</v>
      </c>
      <c r="AL18" s="165"/>
      <c r="AM18" s="148"/>
      <c r="AN18" s="153"/>
      <c r="AO18" s="167"/>
      <c r="AP18" s="148"/>
      <c r="AQ18" s="148"/>
      <c r="AR18" s="148"/>
      <c r="AS18" s="148"/>
      <c r="AT18" s="148"/>
      <c r="AU18" s="148"/>
      <c r="AV18" s="148"/>
      <c r="AW18" s="148"/>
      <c r="AX18" s="148"/>
      <c r="AY18" s="148"/>
      <c r="AZ18" s="148"/>
      <c r="BI18">
        <v>1</v>
      </c>
      <c r="BJ18">
        <v>6</v>
      </c>
      <c r="BK18" s="94">
        <f t="shared" si="12"/>
        <v>4.2026028092996069E-2</v>
      </c>
      <c r="BQ18">
        <f>BM8+1</f>
        <v>5</v>
      </c>
      <c r="BR18">
        <v>4</v>
      </c>
      <c r="BS18" s="94">
        <f>$H$30*H43</f>
        <v>8.1365612986794393E-3</v>
      </c>
    </row>
    <row r="19" spans="1:71" ht="9" customHeight="1" x14ac:dyDescent="0.25">
      <c r="E19" s="148"/>
      <c r="F19" s="148"/>
      <c r="G19" s="148"/>
      <c r="H19" s="149"/>
      <c r="I19" s="148"/>
      <c r="J19" s="148"/>
      <c r="K19" s="148"/>
      <c r="L19" s="149"/>
      <c r="M19" s="149"/>
      <c r="N19" s="148"/>
      <c r="O19" s="148"/>
      <c r="P19" s="158"/>
      <c r="Q19" s="159"/>
      <c r="R19" s="160"/>
      <c r="S19" s="161"/>
      <c r="T19" s="162"/>
      <c r="U19" s="162"/>
      <c r="V19" s="162"/>
      <c r="W19" s="168"/>
      <c r="X19" s="148"/>
      <c r="Y19" s="163"/>
      <c r="Z19" s="164"/>
      <c r="AA19" s="164"/>
      <c r="AB19" s="164"/>
      <c r="AC19" s="161"/>
      <c r="AD19" s="162"/>
      <c r="AE19" s="162"/>
      <c r="AF19" s="162"/>
      <c r="AG19" s="168"/>
      <c r="AH19" s="165"/>
      <c r="AI19" s="148"/>
      <c r="AJ19" s="166"/>
      <c r="AK19" s="148"/>
      <c r="AL19" s="165"/>
      <c r="AM19" s="148"/>
      <c r="AN19" s="153"/>
      <c r="AO19" s="167"/>
      <c r="AP19" s="148"/>
      <c r="AQ19" s="148"/>
      <c r="AR19" s="148"/>
      <c r="AS19" s="148"/>
      <c r="AT19" s="148"/>
      <c r="AU19" s="148"/>
      <c r="AV19" s="148"/>
      <c r="AW19" s="148"/>
      <c r="AX19" s="148"/>
      <c r="AY19" s="148"/>
      <c r="AZ19" s="148"/>
      <c r="BI19">
        <v>1</v>
      </c>
      <c r="BJ19">
        <v>7</v>
      </c>
      <c r="BK19" s="94">
        <f t="shared" si="12"/>
        <v>2.3691309861321029E-2</v>
      </c>
      <c r="BQ19">
        <f>BQ15+1</f>
        <v>6</v>
      </c>
      <c r="BR19">
        <v>1</v>
      </c>
      <c r="BS19" s="94">
        <f>$H$31*H40</f>
        <v>1.7436501942184792E-4</v>
      </c>
    </row>
    <row r="20" spans="1:71" x14ac:dyDescent="0.25">
      <c r="A20" s="143" t="s">
        <v>79</v>
      </c>
      <c r="B20">
        <f>IF(B17="Pres",IF(C17="Pres",2,1),IF(C17="Pres",1,0))</f>
        <v>0</v>
      </c>
      <c r="D20" s="30"/>
      <c r="E20" s="148"/>
      <c r="F20" s="148"/>
      <c r="G20" s="148"/>
      <c r="H20" s="148"/>
      <c r="I20" s="148"/>
      <c r="J20" s="148"/>
      <c r="K20" s="148"/>
      <c r="L20" s="148"/>
      <c r="M20" s="148"/>
      <c r="N20" s="148"/>
      <c r="O20" s="148"/>
      <c r="P20" s="169"/>
      <c r="Q20" s="169"/>
      <c r="R20" s="169"/>
      <c r="S20" s="148"/>
      <c r="T20" s="170"/>
      <c r="U20" s="171"/>
      <c r="V20" s="171"/>
      <c r="W20" s="171"/>
      <c r="X20" s="148"/>
      <c r="Y20" s="169"/>
      <c r="Z20" s="169"/>
      <c r="AA20" s="169"/>
      <c r="AB20" s="169"/>
      <c r="AC20" s="149"/>
      <c r="AD20" s="172"/>
      <c r="AE20" s="171"/>
      <c r="AF20" s="171"/>
      <c r="AG20" s="171"/>
      <c r="AH20" s="148"/>
      <c r="AI20" s="148"/>
      <c r="AJ20" s="148"/>
      <c r="AK20" s="148"/>
      <c r="AL20" s="148"/>
      <c r="AM20" s="148"/>
      <c r="AN20" s="148"/>
      <c r="AO20" s="148"/>
      <c r="AP20" s="148"/>
      <c r="AQ20" s="148"/>
      <c r="AR20" s="148"/>
      <c r="AS20" s="148"/>
      <c r="AT20" s="148"/>
      <c r="AU20" s="148"/>
      <c r="AV20" s="148"/>
      <c r="AW20" s="148"/>
      <c r="AX20" s="148"/>
      <c r="AY20" s="148"/>
      <c r="AZ20" s="148"/>
      <c r="BI20">
        <v>1</v>
      </c>
      <c r="BJ20">
        <v>8</v>
      </c>
      <c r="BK20" s="94">
        <f t="shared" si="12"/>
        <v>9.8938428325107373E-3</v>
      </c>
      <c r="BQ20">
        <f>BQ16+1</f>
        <v>6</v>
      </c>
      <c r="BR20">
        <v>2</v>
      </c>
      <c r="BS20" s="94">
        <f>$H$31*H41</f>
        <v>6.4842156076998279E-4</v>
      </c>
    </row>
    <row r="21" spans="1:71" x14ac:dyDescent="0.25">
      <c r="A21" s="143" t="s">
        <v>80</v>
      </c>
      <c r="B21" s="144">
        <f>5-B20</f>
        <v>5</v>
      </c>
      <c r="C21" s="29"/>
      <c r="P21" s="20"/>
      <c r="Q21" s="20"/>
      <c r="R21" s="20"/>
      <c r="BI21">
        <v>1</v>
      </c>
      <c r="BJ21">
        <v>9</v>
      </c>
      <c r="BK21" s="94">
        <f t="shared" si="12"/>
        <v>3.0287382335848624E-3</v>
      </c>
      <c r="BQ21">
        <f>BQ17+1</f>
        <v>6</v>
      </c>
      <c r="BR21">
        <v>3</v>
      </c>
      <c r="BS21" s="94">
        <f>$H$31*H42</f>
        <v>1.4376517439945832E-3</v>
      </c>
    </row>
    <row r="22" spans="1:71" x14ac:dyDescent="0.25">
      <c r="A22" s="22" t="s">
        <v>81</v>
      </c>
      <c r="B22" s="54">
        <f>(B6)/((B6)+(C6))</f>
        <v>0.5</v>
      </c>
      <c r="C22" s="55">
        <f>1-B22</f>
        <v>0.5</v>
      </c>
      <c r="V22" s="51">
        <f>SUM(V25:V35)</f>
        <v>1</v>
      </c>
      <c r="AS22" s="70">
        <f>Y23+AA23+AC23+AE23+AG23+AI23+AK23+AM23+AO23+AQ23+AS23</f>
        <v>0.99999999999999989</v>
      </c>
      <c r="BI22">
        <v>1</v>
      </c>
      <c r="BJ22">
        <v>10</v>
      </c>
      <c r="BK22" s="94">
        <f t="shared" si="12"/>
        <v>6.6214329826968393E-4</v>
      </c>
      <c r="BQ22">
        <f>BQ18+1</f>
        <v>6</v>
      </c>
      <c r="BR22">
        <v>4</v>
      </c>
      <c r="BS22" s="94">
        <f>$H$31*H43</f>
        <v>2.1274380091931291E-3</v>
      </c>
    </row>
    <row r="23" spans="1:71" ht="15.75" thickBot="1" x14ac:dyDescent="0.3">
      <c r="A23" s="34" t="s">
        <v>82</v>
      </c>
      <c r="B23" s="48">
        <f>((B22^2.8)/((B22^2.8)+(C22^2.8)))*B21</f>
        <v>2.5</v>
      </c>
      <c r="C23" s="49">
        <f>B21-B23</f>
        <v>2.5</v>
      </c>
      <c r="D23" s="132">
        <f>SUM(D25:D30)</f>
        <v>1</v>
      </c>
      <c r="E23" s="132">
        <f>SUM(E25:E30)</f>
        <v>1</v>
      </c>
      <c r="H23" s="30">
        <f>SUM(H25:H35)</f>
        <v>0.99999987364308685</v>
      </c>
      <c r="I23" s="69"/>
      <c r="J23" s="30">
        <f>SUM(J25:J35)</f>
        <v>0.99999999999999967</v>
      </c>
      <c r="K23" s="30"/>
      <c r="L23" s="30">
        <f>SUM(L25:L35)</f>
        <v>1</v>
      </c>
      <c r="M23" s="69"/>
      <c r="N23" s="30">
        <f>SUM(N25:N35)</f>
        <v>1</v>
      </c>
      <c r="O23" s="69"/>
      <c r="P23" s="30">
        <f>SUM(P25:P35)</f>
        <v>1</v>
      </c>
      <c r="Q23" s="69"/>
      <c r="R23" s="30">
        <f>SUM(R25:R35)</f>
        <v>1</v>
      </c>
      <c r="S23" s="69"/>
      <c r="T23" s="30">
        <f>SUM(T25:T35)</f>
        <v>1</v>
      </c>
      <c r="V23" s="51">
        <f>SUM(V25:V34)</f>
        <v>0.99897460937500004</v>
      </c>
      <c r="Y23" s="30">
        <f>SUM(Y25:Y35)</f>
        <v>9.716796875E-4</v>
      </c>
      <c r="Z23" s="69"/>
      <c r="AA23" s="30">
        <f>SUM(AA25:AA35)</f>
        <v>9.7216796875000001E-3</v>
      </c>
      <c r="AB23" s="69"/>
      <c r="AC23" s="30">
        <f>SUM(AC25:AC35)</f>
        <v>4.3774414062500003E-2</v>
      </c>
      <c r="AD23" s="69"/>
      <c r="AE23" s="30">
        <f>SUM(AE25:AE35)</f>
        <v>0.11682128906250001</v>
      </c>
      <c r="AF23" s="69"/>
      <c r="AG23" s="30">
        <f>SUM(AG25:AG35)</f>
        <v>0.20463867187499998</v>
      </c>
      <c r="AH23" s="69"/>
      <c r="AI23" s="30">
        <f>SUM(AI25:AI35)</f>
        <v>0.24588867187499996</v>
      </c>
      <c r="AJ23" s="69"/>
      <c r="AK23" s="30">
        <f>SUM(AK25:AK35)</f>
        <v>0.20528320312499998</v>
      </c>
      <c r="AL23" s="69"/>
      <c r="AM23" s="30">
        <f>SUM(AM25:AM35)</f>
        <v>0.11762695312499996</v>
      </c>
      <c r="AN23" s="69"/>
      <c r="AO23" s="30">
        <f>SUM(AO25:AO35)</f>
        <v>4.4311523437499993E-2</v>
      </c>
      <c r="AP23" s="69"/>
      <c r="AQ23" s="30">
        <f>SUM(AQ25:AQ35)</f>
        <v>9.9365234374999972E-3</v>
      </c>
      <c r="AR23" s="69"/>
      <c r="AS23" s="30">
        <f>SUM(AS25:AS35)</f>
        <v>1.0253906249999556E-3</v>
      </c>
      <c r="BI23">
        <f t="shared" ref="BI23:BI30" si="17">BI15+1</f>
        <v>2</v>
      </c>
      <c r="BJ23">
        <v>3</v>
      </c>
      <c r="BK23" s="94">
        <f t="shared" ref="BK23:BK30" si="18">$H$27*H42</f>
        <v>4.2926997290093027E-2</v>
      </c>
      <c r="BQ23">
        <f>BM9+1</f>
        <v>6</v>
      </c>
      <c r="BR23">
        <v>5</v>
      </c>
      <c r="BS23" s="94">
        <f>$H$31*H44</f>
        <v>2.225142624137292E-3</v>
      </c>
    </row>
    <row r="24" spans="1:71" ht="15.75" thickBot="1" x14ac:dyDescent="0.3">
      <c r="A24" s="22" t="s">
        <v>83</v>
      </c>
      <c r="B24" s="56">
        <f>B23/B21</f>
        <v>0.5</v>
      </c>
      <c r="C24" s="57">
        <f>C23/B21</f>
        <v>0.5</v>
      </c>
      <c r="D24" s="13" t="s">
        <v>84</v>
      </c>
      <c r="E24" s="13" t="s">
        <v>85</v>
      </c>
      <c r="G24" s="86" t="s">
        <v>86</v>
      </c>
      <c r="H24" s="87" t="s">
        <v>18</v>
      </c>
      <c r="I24" s="86" t="s">
        <v>87</v>
      </c>
      <c r="J24" s="88" t="s">
        <v>88</v>
      </c>
      <c r="K24" s="86" t="s">
        <v>89</v>
      </c>
      <c r="L24" s="88" t="s">
        <v>18</v>
      </c>
      <c r="M24" s="71" t="s">
        <v>90</v>
      </c>
      <c r="N24" s="23" t="s">
        <v>91</v>
      </c>
      <c r="O24" s="23" t="s">
        <v>92</v>
      </c>
      <c r="P24" s="23" t="s">
        <v>18</v>
      </c>
      <c r="Q24" s="23" t="s">
        <v>93</v>
      </c>
      <c r="R24" s="23" t="s">
        <v>18</v>
      </c>
      <c r="S24" s="23" t="s">
        <v>94</v>
      </c>
      <c r="T24" s="116" t="s">
        <v>18</v>
      </c>
      <c r="U24" s="120" t="s">
        <v>95</v>
      </c>
      <c r="V24" s="121" t="s">
        <v>91</v>
      </c>
      <c r="W24" s="71" t="s">
        <v>96</v>
      </c>
      <c r="X24" s="23" t="s">
        <v>97</v>
      </c>
      <c r="Y24" s="23" t="s">
        <v>18</v>
      </c>
      <c r="Z24" s="23" t="s">
        <v>98</v>
      </c>
      <c r="AA24" s="23" t="s">
        <v>18</v>
      </c>
      <c r="AB24" s="23" t="s">
        <v>99</v>
      </c>
      <c r="AC24" s="23" t="s">
        <v>18</v>
      </c>
      <c r="AD24" s="23" t="s">
        <v>100</v>
      </c>
      <c r="AE24" s="23" t="s">
        <v>18</v>
      </c>
      <c r="AF24" s="23" t="s">
        <v>101</v>
      </c>
      <c r="AG24" s="23" t="s">
        <v>18</v>
      </c>
      <c r="AH24" s="23" t="s">
        <v>102</v>
      </c>
      <c r="AI24" s="23" t="s">
        <v>18</v>
      </c>
      <c r="AJ24" s="23" t="s">
        <v>103</v>
      </c>
      <c r="AK24" s="23" t="s">
        <v>18</v>
      </c>
      <c r="AL24" s="23" t="s">
        <v>104</v>
      </c>
      <c r="AM24" s="23" t="s">
        <v>18</v>
      </c>
      <c r="AN24" s="23" t="s">
        <v>105</v>
      </c>
      <c r="AO24" s="23" t="s">
        <v>18</v>
      </c>
      <c r="AP24" s="23" t="s">
        <v>106</v>
      </c>
      <c r="AQ24" s="23" t="s">
        <v>18</v>
      </c>
      <c r="AR24" s="23" t="s">
        <v>107</v>
      </c>
      <c r="AS24" s="23" t="s">
        <v>18</v>
      </c>
      <c r="AV24" s="14">
        <v>0</v>
      </c>
      <c r="AW24" s="14">
        <v>1</v>
      </c>
      <c r="AX24" s="14">
        <v>2</v>
      </c>
      <c r="AY24" s="14">
        <v>3</v>
      </c>
      <c r="AZ24" s="14">
        <v>4</v>
      </c>
      <c r="BA24" s="14">
        <v>5</v>
      </c>
      <c r="BB24" s="14">
        <v>6</v>
      </c>
      <c r="BC24" s="14">
        <v>7</v>
      </c>
      <c r="BD24" s="14">
        <v>8</v>
      </c>
      <c r="BE24" s="14">
        <v>9</v>
      </c>
      <c r="BF24" s="14">
        <v>10</v>
      </c>
      <c r="BI24">
        <f t="shared" si="17"/>
        <v>2</v>
      </c>
      <c r="BJ24">
        <v>4</v>
      </c>
      <c r="BK24" s="94">
        <f t="shared" si="18"/>
        <v>6.3523399207741957E-2</v>
      </c>
      <c r="BQ24">
        <f>BI49+1</f>
        <v>7</v>
      </c>
      <c r="BR24">
        <v>0</v>
      </c>
      <c r="BS24" s="94">
        <f t="shared" ref="BS24:BS30" si="19">$H$32*H39</f>
        <v>4.1074086052048435E-6</v>
      </c>
    </row>
    <row r="25" spans="1:71" x14ac:dyDescent="0.25">
      <c r="A25" s="22" t="s">
        <v>108</v>
      </c>
      <c r="B25" s="104">
        <f>1/(1+EXP(-3.1416*4*((B11/(B11+C8))-(3.1416/6))))</f>
        <v>0.23251449252298675</v>
      </c>
      <c r="C25" s="55">
        <f>1/(1+EXP(-3.1416*4*((C11/(C11+B8))-(3.1416/6))))</f>
        <v>0.6793166023460353</v>
      </c>
      <c r="D25" s="26">
        <f>IF(B17="AOW",0.36-0.08,IF(B17="AIM",0.36+0.08,IF(B17="TL",(0.361)-(0.36*B32),0.36)))</f>
        <v>0.36</v>
      </c>
      <c r="E25" s="26">
        <f>IF(C17="AOW",0.36-0.08,IF(C17="AIM",0.36+0.08,IF(C17="TL",(0.361)-(0.36*C32),0.36)))</f>
        <v>0.36</v>
      </c>
      <c r="G25" s="108">
        <v>0</v>
      </c>
      <c r="H25" s="109">
        <f>L25*J25</f>
        <v>9.2071766589856011E-2</v>
      </c>
      <c r="I25" s="84">
        <v>0</v>
      </c>
      <c r="J25" s="85">
        <f t="shared" ref="J25:J35" si="20">Y25+AA25+AC25+AE25+AG25+AI25+AK25+AM25+AO25+AQ25+AS25</f>
        <v>0.21806644092363597</v>
      </c>
      <c r="K25" s="84">
        <v>0</v>
      </c>
      <c r="L25" s="85">
        <f>AB18</f>
        <v>0.42221887145898962</v>
      </c>
      <c r="M25" s="72">
        <v>0</v>
      </c>
      <c r="N25" s="63">
        <f>(1-$B$24)^$B$21</f>
        <v>3.125E-2</v>
      </c>
      <c r="O25" s="62">
        <v>0</v>
      </c>
      <c r="P25" s="63">
        <f t="shared" ref="P25:P30" si="21">N25</f>
        <v>3.125E-2</v>
      </c>
      <c r="Q25" s="12">
        <v>0</v>
      </c>
      <c r="R25" s="31">
        <f>P25*N25</f>
        <v>9.765625E-4</v>
      </c>
      <c r="S25" s="62">
        <v>0</v>
      </c>
      <c r="T25" s="117">
        <f>(1-$B$33)^(INT(C23*2*(1-C31)))</f>
        <v>0.995</v>
      </c>
      <c r="U25" s="80">
        <v>0</v>
      </c>
      <c r="V25" s="73">
        <f>R25*T25</f>
        <v>9.716796875E-4</v>
      </c>
      <c r="W25" s="118">
        <f>B31</f>
        <v>0.28228854946744131</v>
      </c>
      <c r="X25" s="12">
        <v>0</v>
      </c>
      <c r="Y25" s="68">
        <f>V25</f>
        <v>9.716796875E-4</v>
      </c>
      <c r="Z25" s="12">
        <v>0</v>
      </c>
      <c r="AA25" s="68">
        <f>((1-W25)^Z26)*V26</f>
        <v>6.9773608301285373E-3</v>
      </c>
      <c r="AB25" s="12">
        <v>0</v>
      </c>
      <c r="AC25" s="68">
        <f>(((1-$W$25)^AB27))*V27</f>
        <v>2.2548626443418214E-2</v>
      </c>
      <c r="AD25" s="12">
        <v>0</v>
      </c>
      <c r="AE25" s="68">
        <f>(((1-$W$25)^AB28))*V28</f>
        <v>4.3188847948569239E-2</v>
      </c>
      <c r="AF25" s="12">
        <v>0</v>
      </c>
      <c r="AG25" s="68">
        <f>(((1-$W$25)^AB29))*V29</f>
        <v>5.4298422067802943E-2</v>
      </c>
      <c r="AH25" s="12">
        <v>0</v>
      </c>
      <c r="AI25" s="68">
        <f>(((1-$W$25)^AB30))*V30</f>
        <v>4.68260901391572E-2</v>
      </c>
      <c r="AJ25" s="12">
        <v>0</v>
      </c>
      <c r="AK25" s="68">
        <f>(((1-$W$25)^AB31))*V31</f>
        <v>2.8057738696930269E-2</v>
      </c>
      <c r="AL25" s="12">
        <v>0</v>
      </c>
      <c r="AM25" s="68">
        <f>(((1-$W$25)^AB32))*V32</f>
        <v>1.153867586134321E-2</v>
      </c>
      <c r="AN25" s="12">
        <v>0</v>
      </c>
      <c r="AO25" s="68">
        <f>(((1-$W$25)^AB33))*V33</f>
        <v>3.1197204687111713E-3</v>
      </c>
      <c r="AP25" s="12">
        <v>0</v>
      </c>
      <c r="AQ25" s="68">
        <f>(((1-$W$25)^AB34))*V34</f>
        <v>5.0209204124622984E-4</v>
      </c>
      <c r="AR25" s="12">
        <v>0</v>
      </c>
      <c r="AS25" s="68">
        <f>(((1-$W$25)^AB35))*V35</f>
        <v>3.7186738828978154E-5</v>
      </c>
      <c r="AV25" s="14">
        <v>1</v>
      </c>
      <c r="AW25">
        <v>1</v>
      </c>
      <c r="AX25">
        <v>2</v>
      </c>
      <c r="AY25">
        <v>3</v>
      </c>
      <c r="AZ25">
        <v>4</v>
      </c>
      <c r="BA25">
        <v>5</v>
      </c>
      <c r="BB25">
        <v>6</v>
      </c>
      <c r="BC25">
        <f>7</f>
        <v>7</v>
      </c>
      <c r="BD25">
        <v>8</v>
      </c>
      <c r="BE25">
        <v>9</v>
      </c>
      <c r="BF25">
        <v>10</v>
      </c>
      <c r="BI25">
        <f t="shared" si="17"/>
        <v>2</v>
      </c>
      <c r="BJ25">
        <v>5</v>
      </c>
      <c r="BK25" s="94">
        <f t="shared" si="18"/>
        <v>6.6440771762296777E-2</v>
      </c>
      <c r="BQ25">
        <f>BQ19+1</f>
        <v>7</v>
      </c>
      <c r="BR25">
        <v>1</v>
      </c>
      <c r="BS25" s="94">
        <f t="shared" si="19"/>
        <v>3.4050879571081131E-5</v>
      </c>
    </row>
    <row r="26" spans="1:71" x14ac:dyDescent="0.25">
      <c r="A26" s="34" t="s">
        <v>109</v>
      </c>
      <c r="B26" s="54">
        <f>1/(1+EXP(-3.1416*4*((B10/(B10+C9))-(3.1416/6))))</f>
        <v>0.23251449252298675</v>
      </c>
      <c r="C26" s="55">
        <f>1/(1+EXP(-3.1416*4*((C10/(C10+B9))-(3.1416/6))))</f>
        <v>0.6793166023460353</v>
      </c>
      <c r="D26" s="26">
        <f>IF(B17="AOW",0.257+0.04,IF(B17="AIM",0.257-0.04,IF(B17="TL",(0.257)-(0.257*B32),0.257)))</f>
        <v>0.25700000000000001</v>
      </c>
      <c r="E26" s="26">
        <f>IF(C17="AOW",0.257+0.04,IF(C17="AIM",0.257-0.04,IF(C17="TL",(0.257)-(0.257*C32),0.257)))</f>
        <v>0.25700000000000001</v>
      </c>
      <c r="G26" s="74">
        <v>1</v>
      </c>
      <c r="H26" s="110">
        <f>L25*J26+L26*J25</f>
        <v>0.24376562314797023</v>
      </c>
      <c r="I26" s="80">
        <v>1</v>
      </c>
      <c r="J26" s="73">
        <f t="shared" si="20"/>
        <v>0.3586784859270854</v>
      </c>
      <c r="K26" s="80">
        <v>1</v>
      </c>
      <c r="L26" s="73">
        <f>AC18</f>
        <v>0.42337921053862704</v>
      </c>
      <c r="M26" s="72">
        <v>1</v>
      </c>
      <c r="N26" s="63">
        <f>(($B$24)^M26)*((1-($B$24))^($B$21-M26))*HLOOKUP($B$21,$AV$24:$BF$34,M26+1)</f>
        <v>0.15625</v>
      </c>
      <c r="O26" s="62">
        <v>1</v>
      </c>
      <c r="P26" s="63">
        <f t="shared" si="21"/>
        <v>0.15625</v>
      </c>
      <c r="Q26" s="12">
        <v>1</v>
      </c>
      <c r="R26" s="31">
        <f>N26*P25+P26*N25</f>
        <v>9.765625E-3</v>
      </c>
      <c r="S26" s="62">
        <v>1</v>
      </c>
      <c r="T26" s="117">
        <f t="shared" ref="T26:T35" si="22">(($B$33)^S26)*((1-($B$33))^(INT($C$23*2*(1-$C$31))-S26))*HLOOKUP(INT($C$23*2*(1-$C$31)),$AV$24:$BF$34,S26+1)</f>
        <v>5.0000000000000001E-3</v>
      </c>
      <c r="U26" s="80">
        <v>1</v>
      </c>
      <c r="V26" s="73">
        <f>R26*T25+T26*R25</f>
        <v>9.7216796875000001E-3</v>
      </c>
      <c r="W26" s="119"/>
      <c r="X26" s="12">
        <v>1</v>
      </c>
      <c r="Y26" s="31"/>
      <c r="Z26" s="12">
        <v>1</v>
      </c>
      <c r="AA26" s="68">
        <f>(1-((1-W25)^Z26))*V26</f>
        <v>2.7443188573714633E-3</v>
      </c>
      <c r="AB26" s="12">
        <v>1</v>
      </c>
      <c r="AC26" s="68">
        <f>((($W$25)^M26)*((1-($W$25))^($U$27-M26))*HLOOKUP($U$27,$AV$24:$BF$34,M26+1))*V27</f>
        <v>1.7737543539182988E-2</v>
      </c>
      <c r="AD26" s="12">
        <v>1</v>
      </c>
      <c r="AE26" s="68">
        <f>((($W$25)^M26)*((1-($W$25))^($U$28-M26))*HLOOKUP($U$28,$AV$24:$BF$34,M26+1))*V28</f>
        <v>5.0960802833192716E-2</v>
      </c>
      <c r="AF26" s="12">
        <v>1</v>
      </c>
      <c r="AG26" s="68">
        <f>((($W$25)^M26)*((1-($W$25))^($U$29-M26))*HLOOKUP($U$29,$AV$24:$BF$34,M26+1))*V29</f>
        <v>8.5426101492556084E-2</v>
      </c>
      <c r="AH26" s="12">
        <v>1</v>
      </c>
      <c r="AI26" s="68">
        <f>((($W$25)^M26)*((1-($W$25))^($U$30-M26))*HLOOKUP($U$30,$AV$24:$BF$34,M26+1))*V30</f>
        <v>9.2087628341486871E-2</v>
      </c>
      <c r="AJ26" s="12">
        <v>1</v>
      </c>
      <c r="AK26" s="68">
        <f>((($W$25)^M26)*((1-($W$25))^($U$31-M26))*HLOOKUP($U$31,$AV$24:$BF$34,M26+1))*V31</f>
        <v>6.6213615671444306E-2</v>
      </c>
      <c r="AL26" s="12">
        <v>1</v>
      </c>
      <c r="AM26" s="68">
        <f>((($W$25)^Q26)*((1-($W$25))^($U$32-Q26))*HLOOKUP($U$32,$AV$24:$BF$34,Q26+1))*V32</f>
        <v>3.1768550557185977E-2</v>
      </c>
      <c r="AN26" s="12">
        <v>1</v>
      </c>
      <c r="AO26" s="68">
        <f>((($W$25)^Q26)*((1-($W$25))^($U$33-Q26))*HLOOKUP($U$33,$AV$24:$BF$34,Q26+1))*V33</f>
        <v>9.8163278872353665E-3</v>
      </c>
      <c r="AP26" s="12">
        <v>1</v>
      </c>
      <c r="AQ26" s="68">
        <f>((($W$25)^Q26)*((1-($W$25))^($U$34-Q26))*HLOOKUP($U$34,$AV$24:$BF$34,Q26+1))*V34</f>
        <v>1.7773347565464774E-3</v>
      </c>
      <c r="AR26" s="12">
        <v>1</v>
      </c>
      <c r="AS26" s="68">
        <f>((($W$25)^Q26)*((1-($W$25))^($U$35-Q26))*HLOOKUP($U$35,$AV$24:$BF$34,Q26+1))*V35</f>
        <v>1.4626199088320959E-4</v>
      </c>
      <c r="AV26" s="14">
        <v>2</v>
      </c>
      <c r="AX26">
        <v>1</v>
      </c>
      <c r="AY26">
        <v>3</v>
      </c>
      <c r="AZ26">
        <v>6</v>
      </c>
      <c r="BA26">
        <v>10</v>
      </c>
      <c r="BB26">
        <v>15</v>
      </c>
      <c r="BC26">
        <f>6+15</f>
        <v>21</v>
      </c>
      <c r="BD26">
        <f>21+7</f>
        <v>28</v>
      </c>
      <c r="BE26">
        <f>28+8</f>
        <v>36</v>
      </c>
      <c r="BF26">
        <f>36+9</f>
        <v>45</v>
      </c>
      <c r="BI26">
        <f t="shared" si="17"/>
        <v>2</v>
      </c>
      <c r="BJ26">
        <v>6</v>
      </c>
      <c r="BK26" s="94">
        <f t="shared" si="18"/>
        <v>5.0651040356035959E-2</v>
      </c>
      <c r="BQ26">
        <f>BQ20+1</f>
        <v>7</v>
      </c>
      <c r="BR26">
        <v>2</v>
      </c>
      <c r="BS26" s="94">
        <f t="shared" si="19"/>
        <v>1.2662702960881047E-4</v>
      </c>
    </row>
    <row r="27" spans="1:71" x14ac:dyDescent="0.25">
      <c r="A27" s="22" t="s">
        <v>110</v>
      </c>
      <c r="B27" s="54">
        <f>1/(1+EXP(-3.1416*4*((B12/(B12+C7))-(3.1416/6))))</f>
        <v>0.23251449252298675</v>
      </c>
      <c r="C27" s="55">
        <f>1/(1+EXP(-3.1416*4*((C12/(C12+B7))-(3.1416/6))))</f>
        <v>0.6793166023460353</v>
      </c>
      <c r="D27" s="26">
        <f>D26</f>
        <v>0.25700000000000001</v>
      </c>
      <c r="E27" s="26">
        <f>E26</f>
        <v>0.25700000000000001</v>
      </c>
      <c r="G27" s="74">
        <v>2</v>
      </c>
      <c r="H27" s="110">
        <f>L25*J27+J26*L26+J25*L27</f>
        <v>0.29379370299188001</v>
      </c>
      <c r="I27" s="80">
        <v>2</v>
      </c>
      <c r="J27" s="73">
        <f t="shared" si="20"/>
        <v>0.26553199601420585</v>
      </c>
      <c r="K27" s="80">
        <v>2</v>
      </c>
      <c r="L27" s="73">
        <f>AD18</f>
        <v>0.13676597354085127</v>
      </c>
      <c r="M27" s="72">
        <v>2</v>
      </c>
      <c r="N27" s="63">
        <f>(($B$24)^M27)*((1-($B$24))^($B$21-M27))*HLOOKUP($B$21,$AV$24:$BF$34,M27+1)</f>
        <v>0.3125</v>
      </c>
      <c r="O27" s="62">
        <v>2</v>
      </c>
      <c r="P27" s="63">
        <f t="shared" si="21"/>
        <v>0.3125</v>
      </c>
      <c r="Q27" s="12">
        <v>2</v>
      </c>
      <c r="R27" s="31">
        <f>P25*N27+P26*N26+P27*N25</f>
        <v>4.39453125E-2</v>
      </c>
      <c r="S27" s="62">
        <v>2</v>
      </c>
      <c r="T27" s="117">
        <f t="shared" si="22"/>
        <v>0</v>
      </c>
      <c r="U27" s="80">
        <v>2</v>
      </c>
      <c r="V27" s="73">
        <f>R27*T25+T26*R26+R25*T27</f>
        <v>4.3774414062499996E-2</v>
      </c>
      <c r="W27" s="119"/>
      <c r="X27" s="12">
        <v>2</v>
      </c>
      <c r="Y27" s="31"/>
      <c r="Z27" s="12">
        <v>2</v>
      </c>
      <c r="AA27" s="68"/>
      <c r="AB27" s="12">
        <v>2</v>
      </c>
      <c r="AC27" s="68">
        <f>((($W$25)^M27)*((1-($W$25))^($U$27-M27))*HLOOKUP($U$27,$AV$24:$BF$34,M27+1))*V27</f>
        <v>3.4882440798987956E-3</v>
      </c>
      <c r="AD27" s="12">
        <v>2</v>
      </c>
      <c r="AE27" s="68">
        <f>((($W$25)^M27)*((1-($W$25))^($U$28-M27))*HLOOKUP($U$28,$AV$24:$BF$34,M27+1))*V28</f>
        <v>2.0043780966297466E-2</v>
      </c>
      <c r="AF27" s="12">
        <v>2</v>
      </c>
      <c r="AG27" s="68">
        <f>((($W$25)^M27)*((1-($W$25))^($U$29-M27))*HLOOKUP($U$29,$AV$24:$BF$34,M27+1))*V29</f>
        <v>5.0399384583661708E-2</v>
      </c>
      <c r="AH27" s="12">
        <v>2</v>
      </c>
      <c r="AI27" s="68">
        <f>((($W$25)^M27)*((1-($W$25))^($U$30-M27))*HLOOKUP($U$30,$AV$24:$BF$34,M27+1))*V30</f>
        <v>7.2439371028917163E-2</v>
      </c>
      <c r="AJ27" s="12">
        <v>2</v>
      </c>
      <c r="AK27" s="68">
        <f>((($W$25)^M27)*((1-($W$25))^($U$31-M27))*HLOOKUP($U$31,$AV$24:$BF$34,M27+1))*V31</f>
        <v>6.5107451988599449E-2</v>
      </c>
      <c r="AL27" s="12">
        <v>2</v>
      </c>
      <c r="AM27" s="68">
        <f>((($W$25)^Q27)*((1-($W$25))^($U$32-Q27))*HLOOKUP($U$32,$AV$24:$BF$34,Q27+1))*V32</f>
        <v>3.7485390746448508E-2</v>
      </c>
      <c r="AN27" s="12">
        <v>2</v>
      </c>
      <c r="AO27" s="68">
        <f>((($W$25)^Q27)*((1-($W$25))^($U$33-Q27))*HLOOKUP($U$33,$AV$24:$BF$34,Q27+1))*V33</f>
        <v>1.3513271042490706E-2</v>
      </c>
      <c r="AP27" s="12">
        <v>2</v>
      </c>
      <c r="AQ27" s="68">
        <f>((($W$25)^Q27)*((1-($W$25))^($U$34-Q27))*HLOOKUP($U$34,$AV$24:$BF$34,Q27+1))*V34</f>
        <v>2.7962282054788687E-3</v>
      </c>
      <c r="AR27" s="12">
        <v>2</v>
      </c>
      <c r="AS27" s="68">
        <f>((($W$25)^Q27)*((1-($W$25))^($U$35-Q27))*HLOOKUP($U$35,$AV$24:$BF$34,Q27+1))*V35</f>
        <v>2.5887337241313463E-4</v>
      </c>
      <c r="AV27" s="14">
        <v>3</v>
      </c>
      <c r="AY27">
        <v>1</v>
      </c>
      <c r="AZ27">
        <v>4</v>
      </c>
      <c r="BA27">
        <v>10</v>
      </c>
      <c r="BB27">
        <v>20</v>
      </c>
      <c r="BC27">
        <f>15+20</f>
        <v>35</v>
      </c>
      <c r="BD27">
        <f>21+35</f>
        <v>56</v>
      </c>
      <c r="BE27">
        <f>28+56</f>
        <v>84</v>
      </c>
      <c r="BF27">
        <f>36+84</f>
        <v>120</v>
      </c>
      <c r="BI27">
        <f t="shared" si="17"/>
        <v>2</v>
      </c>
      <c r="BJ27">
        <v>7</v>
      </c>
      <c r="BK27" s="94">
        <f t="shared" si="18"/>
        <v>2.8553483313192539E-2</v>
      </c>
      <c r="BQ27">
        <f>BQ21+1</f>
        <v>7</v>
      </c>
      <c r="BR27">
        <v>3</v>
      </c>
      <c r="BS27" s="94">
        <f t="shared" si="19"/>
        <v>2.8075187650729256E-4</v>
      </c>
    </row>
    <row r="28" spans="1:71" x14ac:dyDescent="0.25">
      <c r="A28" s="22" t="s">
        <v>111</v>
      </c>
      <c r="B28" s="225">
        <v>0.9</v>
      </c>
      <c r="C28" s="226">
        <v>0.9</v>
      </c>
      <c r="D28" s="26">
        <v>8.5000000000000006E-2</v>
      </c>
      <c r="E28" s="26">
        <v>8.5000000000000006E-2</v>
      </c>
      <c r="G28" s="74">
        <v>3</v>
      </c>
      <c r="H28" s="110">
        <f>J28*L25+J27*L26+L28*J25+L27*J26</f>
        <v>0.21451817056220904</v>
      </c>
      <c r="I28" s="80">
        <v>3</v>
      </c>
      <c r="J28" s="73">
        <f t="shared" si="20"/>
        <v>0.11651924413027481</v>
      </c>
      <c r="K28" s="80">
        <v>3</v>
      </c>
      <c r="L28" s="73">
        <f>AE18</f>
        <v>1.7635944461532077E-2</v>
      </c>
      <c r="M28" s="72">
        <v>3</v>
      </c>
      <c r="N28" s="63">
        <f>(($B$24)^M28)*((1-($B$24))^($B$21-M28))*HLOOKUP($B$21,$AV$24:$BF$34,M28+1)</f>
        <v>0.3125</v>
      </c>
      <c r="O28" s="62">
        <v>3</v>
      </c>
      <c r="P28" s="63">
        <f t="shared" si="21"/>
        <v>0.3125</v>
      </c>
      <c r="Q28" s="12">
        <v>3</v>
      </c>
      <c r="R28" s="31">
        <f>P25*N28+P26*N27+P27*N26+P28*N25</f>
        <v>0.1171875</v>
      </c>
      <c r="S28" s="62">
        <v>3</v>
      </c>
      <c r="T28" s="117">
        <f t="shared" si="22"/>
        <v>0</v>
      </c>
      <c r="U28" s="80">
        <v>3</v>
      </c>
      <c r="V28" s="73">
        <f>R28*T25+R27*T26+R26*T27+R25*T28</f>
        <v>0.1168212890625</v>
      </c>
      <c r="W28" s="119"/>
      <c r="X28" s="12">
        <v>3</v>
      </c>
      <c r="Y28" s="31"/>
      <c r="Z28" s="12">
        <v>3</v>
      </c>
      <c r="AA28" s="68"/>
      <c r="AB28" s="12">
        <v>3</v>
      </c>
      <c r="AC28" s="68"/>
      <c r="AD28" s="12">
        <v>3</v>
      </c>
      <c r="AE28" s="68">
        <f>((($W$25)^M28)*((1-($W$25))^($U$28-M28))*HLOOKUP($U$28,$AV$24:$BF$34,M28+1))*V28</f>
        <v>2.6278573144405764E-3</v>
      </c>
      <c r="AF28" s="12">
        <v>3</v>
      </c>
      <c r="AG28" s="68">
        <f>((($W$25)^M28)*((1-($W$25))^($U$29-M28))*HLOOKUP($U$29,$AV$24:$BF$34,M28+1))*V29</f>
        <v>1.3215310189646728E-2</v>
      </c>
      <c r="AH28" s="12">
        <v>3</v>
      </c>
      <c r="AI28" s="68">
        <f>((($W$25)^M28)*((1-($W$25))^($U$30-M28))*HLOOKUP($U$30,$AV$24:$BF$34,M28+1))*V30</f>
        <v>2.8491679987707214E-2</v>
      </c>
      <c r="AJ28" s="12">
        <v>3</v>
      </c>
      <c r="AK28" s="68">
        <f>((($W$25)^M28)*((1-($W$25))^($U$31-M28))*HLOOKUP($U$31,$AV$24:$BF$34,M28+1))*V31</f>
        <v>3.4143876191924771E-2</v>
      </c>
      <c r="AL28" s="12">
        <v>3</v>
      </c>
      <c r="AM28" s="68">
        <f>((($W$25)^Q28)*((1-($W$25))^($U$32-Q28))*HLOOKUP($U$32,$AV$24:$BF$34,Q28+1))*V32</f>
        <v>2.4572773575841499E-2</v>
      </c>
      <c r="AN28" s="12">
        <v>3</v>
      </c>
      <c r="AO28" s="68">
        <f>((($W$25)^Q28)*((1-($W$25))^($U$33-Q28))*HLOOKUP($U$33,$AV$24:$BF$34,Q28+1))*V33</f>
        <v>1.0630014829259102E-2</v>
      </c>
      <c r="AP28" s="12">
        <v>3</v>
      </c>
      <c r="AQ28" s="68">
        <f>((($W$25)^Q28)*((1-($W$25))^($U$34-Q28))*HLOOKUP($U$34,$AV$24:$BF$34,Q28+1))*V34</f>
        <v>2.5662134945885081E-3</v>
      </c>
      <c r="AR28" s="12">
        <v>3</v>
      </c>
      <c r="AS28" s="68">
        <f>((($W$25)^Q28)*((1-($W$25))^($U$35-Q28))*HLOOKUP($U$35,$AV$24:$BF$34,Q28+1))*V35</f>
        <v>2.7151854686642725E-4</v>
      </c>
      <c r="AV28" s="14">
        <v>4</v>
      </c>
      <c r="AZ28">
        <v>1</v>
      </c>
      <c r="BA28">
        <v>5</v>
      </c>
      <c r="BB28">
        <v>15</v>
      </c>
      <c r="BC28">
        <f>20+15</f>
        <v>35</v>
      </c>
      <c r="BD28">
        <f>35+35</f>
        <v>70</v>
      </c>
      <c r="BE28">
        <f>56+70</f>
        <v>126</v>
      </c>
      <c r="BF28">
        <f t="shared" ref="BF28:BF34" si="23">BE27+BE28</f>
        <v>210</v>
      </c>
      <c r="BI28">
        <f t="shared" si="17"/>
        <v>2</v>
      </c>
      <c r="BJ28">
        <v>8</v>
      </c>
      <c r="BK28" s="94">
        <f t="shared" si="18"/>
        <v>1.1924358673078977E-2</v>
      </c>
      <c r="BQ28">
        <f>BQ22+1</f>
        <v>7</v>
      </c>
      <c r="BR28">
        <v>4</v>
      </c>
      <c r="BS28" s="94">
        <f t="shared" si="19"/>
        <v>4.1545681402252048E-4</v>
      </c>
    </row>
    <row r="29" spans="1:71" x14ac:dyDescent="0.25">
      <c r="A29" s="22" t="s">
        <v>112</v>
      </c>
      <c r="B29" s="54">
        <f>1/(1+EXP(-3.1416*4*((B14/(B14+C13))-(3.1416/6))))</f>
        <v>6.2199958135446112E-2</v>
      </c>
      <c r="C29" s="55">
        <f>1/(1+EXP(-3.1416*4*((C14/(C14+B13))-(3.1416/6))))</f>
        <v>6.2199958135446112E-2</v>
      </c>
      <c r="D29" s="26">
        <v>0.04</v>
      </c>
      <c r="E29" s="26">
        <v>0.04</v>
      </c>
      <c r="G29" s="74">
        <v>4</v>
      </c>
      <c r="H29" s="110">
        <f>J29*L25+J28*L26+J27*L27+J26*L28</f>
        <v>0.10614567304601855</v>
      </c>
      <c r="I29" s="80">
        <v>4</v>
      </c>
      <c r="J29" s="73">
        <f t="shared" si="20"/>
        <v>3.3566646621282149E-2</v>
      </c>
      <c r="K29" s="80">
        <v>4</v>
      </c>
      <c r="L29" s="73"/>
      <c r="M29" s="72">
        <v>4</v>
      </c>
      <c r="N29" s="63">
        <f>(($B$24)^M29)*((1-($B$24))^($B$21-M29))*HLOOKUP($B$21,$AV$24:$BF$34,M29+1)</f>
        <v>0.15625</v>
      </c>
      <c r="O29" s="62">
        <v>4</v>
      </c>
      <c r="P29" s="63">
        <f t="shared" si="21"/>
        <v>0.15625</v>
      </c>
      <c r="Q29" s="12">
        <v>4</v>
      </c>
      <c r="R29" s="31">
        <f>P25*N29+P26*N28+P27*N27+P28*N26+P29*N25</f>
        <v>0.205078125</v>
      </c>
      <c r="S29" s="62">
        <v>4</v>
      </c>
      <c r="T29" s="117">
        <f t="shared" si="22"/>
        <v>0</v>
      </c>
      <c r="U29" s="80">
        <v>4</v>
      </c>
      <c r="V29" s="73">
        <f>T29*R25+T28*R26+T27*R27+T26*R28+T25*R29</f>
        <v>0.20463867187499998</v>
      </c>
      <c r="W29" s="119"/>
      <c r="X29" s="12">
        <v>4</v>
      </c>
      <c r="Y29" s="31"/>
      <c r="Z29" s="12">
        <v>4</v>
      </c>
      <c r="AA29" s="68"/>
      <c r="AB29" s="12">
        <v>4</v>
      </c>
      <c r="AC29" s="68"/>
      <c r="AD29" s="12">
        <v>4</v>
      </c>
      <c r="AE29" s="68"/>
      <c r="AF29" s="12">
        <v>4</v>
      </c>
      <c r="AG29" s="68">
        <f>((($W$25)^M29)*((1-($W$25))^($U$29-M29))*HLOOKUP($U$29,$AV$24:$BF$34,M29+1))*V29</f>
        <v>1.2994535413324991E-3</v>
      </c>
      <c r="AH29" s="12">
        <v>4</v>
      </c>
      <c r="AI29" s="68">
        <f>((($W$25)^M29)*((1-($W$25))^($U$30-M29))*HLOOKUP($U$30,$AV$24:$BF$34,M29+1))*V30</f>
        <v>5.6031396807535916E-3</v>
      </c>
      <c r="AJ29" s="12">
        <v>4</v>
      </c>
      <c r="AK29" s="68">
        <f>((($W$25)^M29)*((1-($W$25))^($U$31-M29))*HLOOKUP($U$31,$AV$24:$BF$34,M29+1))*V31</f>
        <v>1.0072040730570494E-2</v>
      </c>
      <c r="AL29" s="12">
        <v>4</v>
      </c>
      <c r="AM29" s="68">
        <f>((($W$25)^Q29)*((1-($W$25))^($U$32-Q29))*HLOOKUP($U$32,$AV$24:$BF$34,Q29+1))*V32</f>
        <v>9.6649044737533978E-3</v>
      </c>
      <c r="AN29" s="12">
        <v>4</v>
      </c>
      <c r="AO29" s="68">
        <f>((($W$25)^Q29)*((1-($W$25))^($U$33-Q29))*HLOOKUP($U$33,$AV$24:$BF$34,Q29+1))*V33</f>
        <v>5.2262149794710857E-3</v>
      </c>
      <c r="AP29" s="12">
        <v>4</v>
      </c>
      <c r="AQ29" s="68">
        <f>((($W$25)^Q29)*((1-($W$25))^($U$34-Q29))*HLOOKUP($U$34,$AV$24:$BF$34,Q29+1))*V34</f>
        <v>1.5140054219706935E-3</v>
      </c>
      <c r="AR29" s="12">
        <v>4</v>
      </c>
      <c r="AS29" s="68">
        <f>((($W$25)^Q29)*((1-($W$25))^($U$35-Q29))*HLOOKUP($U$35,$AV$24:$BF$34,Q29+1))*V35</f>
        <v>1.8688779343039037E-4</v>
      </c>
      <c r="AV29" s="14">
        <v>5</v>
      </c>
      <c r="BA29">
        <v>1</v>
      </c>
      <c r="BB29">
        <v>6</v>
      </c>
      <c r="BC29">
        <f>15+6</f>
        <v>21</v>
      </c>
      <c r="BD29">
        <f>35+21</f>
        <v>56</v>
      </c>
      <c r="BE29">
        <f>70+56</f>
        <v>126</v>
      </c>
      <c r="BF29">
        <f t="shared" si="23"/>
        <v>252</v>
      </c>
      <c r="BI29">
        <f t="shared" si="17"/>
        <v>2</v>
      </c>
      <c r="BJ29">
        <v>9</v>
      </c>
      <c r="BK29" s="94">
        <f t="shared" si="18"/>
        <v>3.6503269392413164E-3</v>
      </c>
      <c r="BQ29">
        <f>BQ23+1</f>
        <v>7</v>
      </c>
      <c r="BR29">
        <v>5</v>
      </c>
      <c r="BS29" s="94">
        <f t="shared" si="19"/>
        <v>4.3453706353606294E-4</v>
      </c>
    </row>
    <row r="30" spans="1:71" x14ac:dyDescent="0.25">
      <c r="A30" s="22" t="s">
        <v>113</v>
      </c>
      <c r="B30" s="225">
        <f>IF(B17="TL",0.55,0.15)</f>
        <v>0.15</v>
      </c>
      <c r="C30" s="226">
        <f>IF(C17="TL",0.55,0.15)</f>
        <v>0.15</v>
      </c>
      <c r="D30" s="26">
        <f>IF(B17="TL",0.875*B32,0.001)</f>
        <v>1E-3</v>
      </c>
      <c r="E30" s="26">
        <f>IF(C17="TL",0.875*C32,0.001)</f>
        <v>1E-3</v>
      </c>
      <c r="G30" s="74">
        <v>5</v>
      </c>
      <c r="H30" s="110">
        <f>J30*L25+J29*L26+J28*L27+J27*L28</f>
        <v>3.7631337481513621E-2</v>
      </c>
      <c r="I30" s="80">
        <v>5</v>
      </c>
      <c r="J30" s="73">
        <f t="shared" si="20"/>
        <v>6.6343357195268009E-3</v>
      </c>
      <c r="K30" s="80">
        <v>5</v>
      </c>
      <c r="L30" s="73"/>
      <c r="M30" s="72">
        <v>5</v>
      </c>
      <c r="N30" s="63">
        <f>(($B$24)^M30)*((1-($B$24))^($B$21-M30))*HLOOKUP($B$21,$AV$24:$BF$34,M30+1)</f>
        <v>3.125E-2</v>
      </c>
      <c r="O30" s="62">
        <v>5</v>
      </c>
      <c r="P30" s="63">
        <f t="shared" si="21"/>
        <v>3.125E-2</v>
      </c>
      <c r="Q30" s="12">
        <v>5</v>
      </c>
      <c r="R30" s="31">
        <f>P25*N30+P26*N29+P27*N28+P28*N27+P29*N26+P30*N25</f>
        <v>0.24609375</v>
      </c>
      <c r="S30" s="62">
        <v>5</v>
      </c>
      <c r="T30" s="117">
        <f t="shared" si="22"/>
        <v>0</v>
      </c>
      <c r="U30" s="80">
        <v>5</v>
      </c>
      <c r="V30" s="73">
        <f>T30*R25+T29*R26+T28*R27+T27*R28+T26*R29+T25*R30</f>
        <v>0.24588867187500002</v>
      </c>
      <c r="W30" s="119"/>
      <c r="X30" s="12">
        <v>5</v>
      </c>
      <c r="Y30" s="31"/>
      <c r="Z30" s="12">
        <v>5</v>
      </c>
      <c r="AA30" s="68"/>
      <c r="AB30" s="12">
        <v>5</v>
      </c>
      <c r="AC30" s="68"/>
      <c r="AD30" s="12">
        <v>5</v>
      </c>
      <c r="AE30" s="68"/>
      <c r="AF30" s="12">
        <v>5</v>
      </c>
      <c r="AG30" s="68"/>
      <c r="AH30" s="12">
        <v>5</v>
      </c>
      <c r="AI30" s="68">
        <f>((($W$25)^M30)*((1-($W$25))^($U$30-M30))*HLOOKUP($U$30,$AV$24:$BF$34,M30+1))*V30</f>
        <v>4.4076269697793829E-4</v>
      </c>
      <c r="AJ30" s="12">
        <v>5</v>
      </c>
      <c r="AK30" s="68">
        <f>((($W$25)^M30)*((1-($W$25))^($U$31-M30))*HLOOKUP($U$31,$AV$24:$BF$34,M30+1))*V31</f>
        <v>1.5846043787653078E-3</v>
      </c>
      <c r="AL30" s="12">
        <v>5</v>
      </c>
      <c r="AM30" s="68">
        <f>((($W$25)^Q30)*((1-($W$25))^($U$32-Q30))*HLOOKUP($U$32,$AV$24:$BF$34,Q30+1))*V32</f>
        <v>2.2808262534583569E-3</v>
      </c>
      <c r="AN30" s="12">
        <v>5</v>
      </c>
      <c r="AO30" s="68">
        <f>((($W$25)^Q30)*((1-($W$25))^($U$33-Q30))*HLOOKUP($U$33,$AV$24:$BF$34,Q30+1))*V33</f>
        <v>1.6444498910142215E-3</v>
      </c>
      <c r="AP30" s="12">
        <v>5</v>
      </c>
      <c r="AQ30" s="68">
        <f>((($W$25)^Q30)*((1-($W$25))^($U$34-Q30))*HLOOKUP($U$34,$AV$24:$BF$34,Q30+1))*V34</f>
        <v>5.9548498792490743E-4</v>
      </c>
      <c r="AR30" s="12">
        <v>5</v>
      </c>
      <c r="AS30" s="68">
        <f>((($W$25)^Q30)*((1-($W$25))^($U$35-Q30))*HLOOKUP($U$35,$AV$24:$BF$34,Q30+1))*V35</f>
        <v>8.8207511386069115E-5</v>
      </c>
      <c r="AV30" s="24">
        <v>6</v>
      </c>
      <c r="BB30">
        <v>1</v>
      </c>
      <c r="BC30">
        <v>7</v>
      </c>
      <c r="BD30">
        <f>28</f>
        <v>28</v>
      </c>
      <c r="BE30">
        <f>56+28</f>
        <v>84</v>
      </c>
      <c r="BF30">
        <f t="shared" si="23"/>
        <v>210</v>
      </c>
      <c r="BI30">
        <f t="shared" si="17"/>
        <v>2</v>
      </c>
      <c r="BJ30">
        <v>10</v>
      </c>
      <c r="BK30" s="94">
        <f t="shared" si="18"/>
        <v>7.9803513308282145E-4</v>
      </c>
      <c r="BQ30">
        <f>BM10+1</f>
        <v>7</v>
      </c>
      <c r="BR30">
        <v>6</v>
      </c>
      <c r="BS30" s="94">
        <f t="shared" si="19"/>
        <v>3.3126879410886657E-4</v>
      </c>
    </row>
    <row r="31" spans="1:71" x14ac:dyDescent="0.25">
      <c r="A31" s="142" t="s">
        <v>114</v>
      </c>
      <c r="B31" s="52">
        <f>(B25*D25)+(B26*D26)+(B27*D27)+(B28*D28)+(B29*D29)+(B30*D30)/(B25+B26+B27+B28+B29+B30)</f>
        <v>0.28228854946744131</v>
      </c>
      <c r="C31" s="53">
        <f>(C25*E25)+(C26*E26)+(C27*E27)+(C28*E28)+(C29*E29)+(C30*E30)/(C25+C26+C27+C28+C29+C30)</f>
        <v>0.67275832555955561</v>
      </c>
      <c r="G31" s="74">
        <v>6</v>
      </c>
      <c r="H31" s="110">
        <f>J31*L25+J30*L26+J29*L27+J28*L28</f>
        <v>9.8393331969292182E-3</v>
      </c>
      <c r="I31" s="80">
        <v>6</v>
      </c>
      <c r="J31" s="73">
        <f t="shared" si="20"/>
        <v>9.1135518025398804E-4</v>
      </c>
      <c r="K31" s="80">
        <v>6</v>
      </c>
      <c r="L31" s="73"/>
      <c r="M31" s="72"/>
      <c r="N31" s="31"/>
      <c r="O31" s="31"/>
      <c r="P31" s="31"/>
      <c r="Q31" s="12">
        <v>6</v>
      </c>
      <c r="R31" s="31">
        <f>P26*N30+P27*N29+P28*N28+P29*N27+P30*N26</f>
        <v>0.205078125</v>
      </c>
      <c r="S31" s="62">
        <v>6</v>
      </c>
      <c r="T31" s="117">
        <f t="shared" si="22"/>
        <v>0</v>
      </c>
      <c r="U31" s="80">
        <v>6</v>
      </c>
      <c r="V31" s="73">
        <f>T31*R25+T30*R26+T29*R27+T28*R28+T27*R29+T26*R30+T25*R31</f>
        <v>0.20528320312499998</v>
      </c>
      <c r="W31" s="119"/>
      <c r="X31" s="12">
        <v>6</v>
      </c>
      <c r="Y31" s="31"/>
      <c r="Z31" s="12">
        <v>6</v>
      </c>
      <c r="AA31" s="68"/>
      <c r="AB31" s="12">
        <v>6</v>
      </c>
      <c r="AC31" s="68"/>
      <c r="AD31" s="12">
        <v>6</v>
      </c>
      <c r="AE31" s="68"/>
      <c r="AF31" s="12">
        <v>6</v>
      </c>
      <c r="AG31" s="68"/>
      <c r="AH31" s="12">
        <v>6</v>
      </c>
      <c r="AI31" s="68"/>
      <c r="AJ31" s="12">
        <v>6</v>
      </c>
      <c r="AK31" s="68">
        <f>((($W$25)^Q31)*((1-($W$25))^($U$31-Q31))*HLOOKUP($U$31,$AV$24:$BF$34,Q31+1))*V31</f>
        <v>1.0387546676534513E-4</v>
      </c>
      <c r="AL31" s="12">
        <v>6</v>
      </c>
      <c r="AM31" s="68">
        <f>((($W$25)^Q31)*((1-($W$25))^($U$32-Q31))*HLOOKUP($U$32,$AV$24:$BF$34,Q31+1))*V32</f>
        <v>2.99029707179334E-4</v>
      </c>
      <c r="AN31" s="12">
        <v>6</v>
      </c>
      <c r="AO31" s="68">
        <f>((($W$25)^Q31)*((1-($W$25))^($U$33-Q31))*HLOOKUP($U$33,$AV$24:$BF$34,Q31+1))*V33</f>
        <v>3.2339554709754341E-4</v>
      </c>
      <c r="AP31" s="12">
        <v>6</v>
      </c>
      <c r="AQ31" s="68">
        <f>((($W$25)^Q31)*((1-($W$25))^($U$34-Q31))*HLOOKUP($U$34,$AV$24:$BF$34,Q31+1))*V34</f>
        <v>1.5614315320939062E-4</v>
      </c>
      <c r="AR31" s="12">
        <v>6</v>
      </c>
      <c r="AS31" s="68">
        <f>((($W$25)^Q31)*((1-($W$25))^($U$35-Q31))*HLOOKUP($U$35,$AV$24:$BF$34,Q31+1))*V35</f>
        <v>2.8911306002374981E-5</v>
      </c>
      <c r="AV31" s="14">
        <v>7</v>
      </c>
      <c r="BC31">
        <v>1</v>
      </c>
      <c r="BD31">
        <v>8</v>
      </c>
      <c r="BE31">
        <f>28+8</f>
        <v>36</v>
      </c>
      <c r="BF31">
        <f t="shared" si="23"/>
        <v>120</v>
      </c>
      <c r="BI31">
        <f t="shared" ref="BI31:BI37" si="24">BI24+1</f>
        <v>3</v>
      </c>
      <c r="BJ31">
        <v>4</v>
      </c>
      <c r="BK31" s="94">
        <f t="shared" ref="BK31:BK37" si="25">$H$28*H43</f>
        <v>4.6382625792065771E-2</v>
      </c>
      <c r="BQ31">
        <f t="shared" ref="BQ31:BQ37" si="26">BQ24+1</f>
        <v>8</v>
      </c>
      <c r="BR31">
        <v>0</v>
      </c>
      <c r="BS31" s="94">
        <f t="shared" ref="BS31:BS38" si="27">$H$33*H39</f>
        <v>5.9916054336125366E-7</v>
      </c>
    </row>
    <row r="32" spans="1:71" x14ac:dyDescent="0.25">
      <c r="A32" s="22" t="s">
        <v>115</v>
      </c>
      <c r="B32" s="227">
        <f>IF(B17&lt;&gt;"TL",0.001,IF(B18&lt;5,0.1,IF(B18&lt;10,0.2,IF(B18&lt;14,0.3,0.35))))</f>
        <v>1E-3</v>
      </c>
      <c r="C32" s="228">
        <f>IF(C17&lt;&gt;"TL",0.001,IF(C18&lt;5,0.1,IF(C18&lt;10,0.2,IF(C18&lt;14,0.3,0.35))))</f>
        <v>1E-3</v>
      </c>
      <c r="G32" s="74">
        <v>7</v>
      </c>
      <c r="H32" s="110">
        <f>J32*L25+J31*L26+J30*L27+J29*L28</f>
        <v>1.9214745644469404E-3</v>
      </c>
      <c r="I32" s="80">
        <v>7</v>
      </c>
      <c r="J32" s="73">
        <f t="shared" si="20"/>
        <v>8.596211849690371E-5</v>
      </c>
      <c r="K32" s="80">
        <v>7</v>
      </c>
      <c r="L32" s="73"/>
      <c r="M32" s="72"/>
      <c r="N32" s="31"/>
      <c r="O32" s="31"/>
      <c r="P32" s="31"/>
      <c r="Q32" s="12">
        <v>7</v>
      </c>
      <c r="R32" s="31">
        <f>P27*N30+P28*N29+P29*N28+P30*N27</f>
        <v>0.1171875</v>
      </c>
      <c r="S32" s="62">
        <v>7</v>
      </c>
      <c r="T32" s="117">
        <f t="shared" si="22"/>
        <v>0</v>
      </c>
      <c r="U32" s="80">
        <v>7</v>
      </c>
      <c r="V32" s="73">
        <f>T32*R25+T31*R26+T30*R27+T29*R28+T28*R29+T27*R30+T26*R31+T25*R32</f>
        <v>0.117626953125</v>
      </c>
      <c r="W32" s="119"/>
      <c r="X32" s="12">
        <v>7</v>
      </c>
      <c r="Y32" s="31"/>
      <c r="Z32" s="12">
        <v>7</v>
      </c>
      <c r="AA32" s="68"/>
      <c r="AB32" s="12">
        <v>7</v>
      </c>
      <c r="AC32" s="68"/>
      <c r="AD32" s="12">
        <v>7</v>
      </c>
      <c r="AE32" s="68"/>
      <c r="AF32" s="12">
        <v>7</v>
      </c>
      <c r="AG32" s="68"/>
      <c r="AH32" s="12">
        <v>7</v>
      </c>
      <c r="AI32" s="68"/>
      <c r="AJ32" s="12">
        <v>7</v>
      </c>
      <c r="AK32" s="68"/>
      <c r="AL32" s="12">
        <v>7</v>
      </c>
      <c r="AM32" s="68">
        <f>((($W$25)^Q32)*((1-($W$25))^($U$32-Q32))*HLOOKUP($U$32,$AV$24:$BF$34,Q32+1))*V32</f>
        <v>1.6801949789688508E-5</v>
      </c>
      <c r="AN32" s="12">
        <v>7</v>
      </c>
      <c r="AO32" s="68">
        <f>((($W$25)^Q32)*((1-($W$25))^($U$33-Q32))*HLOOKUP($U$33,$AV$24:$BF$34,Q32+1))*V33</f>
        <v>3.6342046385933742E-5</v>
      </c>
      <c r="AP32" s="12">
        <v>7</v>
      </c>
      <c r="AQ32" s="68">
        <f>((($W$25)^Q32)*((1-($W$25))^($U$34-Q32))*HLOOKUP($U$34,$AV$24:$BF$34,Q32+1))*V34</f>
        <v>2.632022194357885E-5</v>
      </c>
      <c r="AR32" s="12">
        <v>7</v>
      </c>
      <c r="AS32" s="68">
        <f>((($W$25)^Q32)*((1-($W$25))^($U$35-Q32))*HLOOKUP($U$35,$AV$24:$BF$34,Q32+1))*V35</f>
        <v>6.497900377702619E-6</v>
      </c>
      <c r="AV32" s="14">
        <v>8</v>
      </c>
      <c r="BD32">
        <v>1</v>
      </c>
      <c r="BE32">
        <v>9</v>
      </c>
      <c r="BF32">
        <f t="shared" si="23"/>
        <v>45</v>
      </c>
      <c r="BI32">
        <f t="shared" si="24"/>
        <v>3</v>
      </c>
      <c r="BJ32">
        <v>5</v>
      </c>
      <c r="BK32" s="94">
        <f t="shared" si="25"/>
        <v>4.8512792017135591E-2</v>
      </c>
      <c r="BQ32">
        <f t="shared" si="26"/>
        <v>8</v>
      </c>
      <c r="BR32">
        <v>1</v>
      </c>
      <c r="BS32" s="94">
        <f t="shared" si="27"/>
        <v>4.9671083319747063E-6</v>
      </c>
    </row>
    <row r="33" spans="1:71" x14ac:dyDescent="0.25">
      <c r="A33" s="22" t="s">
        <v>116</v>
      </c>
      <c r="B33" s="227">
        <f>IF(B17&lt;&gt;"CA",0.005,IF((B18-B16)&lt;0,0.1,0.1+0.048*(B18-B16)))</f>
        <v>5.0000000000000001E-3</v>
      </c>
      <c r="C33" s="228">
        <f>IF(C17&lt;&gt;"CA",0.005,IF((C18-C16)&lt;0,0.1,0.1+0.048*(C18-C16)))</f>
        <v>5.0000000000000001E-3</v>
      </c>
      <c r="G33" s="74">
        <v>8</v>
      </c>
      <c r="H33" s="110">
        <f>J33*L25+J32*L26+J31*L27+J30*L28</f>
        <v>2.8029150609218271E-4</v>
      </c>
      <c r="I33" s="80">
        <v>8</v>
      </c>
      <c r="J33" s="73">
        <f t="shared" si="20"/>
        <v>5.3331994879499605E-6</v>
      </c>
      <c r="K33" s="80">
        <v>8</v>
      </c>
      <c r="L33" s="73"/>
      <c r="M33" s="72"/>
      <c r="N33" s="31"/>
      <c r="O33" s="31"/>
      <c r="P33" s="31"/>
      <c r="Q33" s="12">
        <v>8</v>
      </c>
      <c r="R33" s="31">
        <f>P28*N30+P29*N29+P30*N28</f>
        <v>4.39453125E-2</v>
      </c>
      <c r="S33" s="62">
        <v>8</v>
      </c>
      <c r="T33" s="117">
        <f t="shared" si="22"/>
        <v>0</v>
      </c>
      <c r="U33" s="80">
        <v>8</v>
      </c>
      <c r="V33" s="73">
        <f>T33*R25+T32*R26+T31*R27+T30*R28+T29*R29+T28*R30+T27*R31+T26*R32+T25*R33</f>
        <v>4.43115234375E-2</v>
      </c>
      <c r="W33" s="119"/>
      <c r="X33" s="12">
        <v>8</v>
      </c>
      <c r="Y33" s="31"/>
      <c r="Z33" s="12">
        <v>8</v>
      </c>
      <c r="AA33" s="68"/>
      <c r="AB33" s="12">
        <v>8</v>
      </c>
      <c r="AC33" s="68"/>
      <c r="AD33" s="12">
        <v>8</v>
      </c>
      <c r="AE33" s="68"/>
      <c r="AF33" s="12">
        <v>8</v>
      </c>
      <c r="AG33" s="68"/>
      <c r="AH33" s="12">
        <v>8</v>
      </c>
      <c r="AI33" s="68"/>
      <c r="AJ33" s="12">
        <v>8</v>
      </c>
      <c r="AK33" s="68"/>
      <c r="AL33" s="12">
        <v>8</v>
      </c>
      <c r="AM33" s="68"/>
      <c r="AN33" s="12">
        <v>8</v>
      </c>
      <c r="AO33" s="68">
        <f>((($W$25)^Q33)*((1-($W$25))^($U$33-Q33))*HLOOKUP($U$33,$AV$24:$BF$34,Q33+1))*V33</f>
        <v>1.7867458348601181E-6</v>
      </c>
      <c r="AP33" s="12">
        <v>8</v>
      </c>
      <c r="AQ33" s="68">
        <f>((($W$25)^Q33)*((1-($W$25))^($U$34-Q33))*HLOOKUP($U$34,$AV$24:$BF$34,Q33+1))*V34</f>
        <v>2.5880516705567523E-6</v>
      </c>
      <c r="AR33" s="12">
        <v>8</v>
      </c>
      <c r="AS33" s="68">
        <f>((($W$25)^Q33)*((1-($W$25))^($U$35-Q33))*HLOOKUP($U$35,$AV$24:$BF$34,Q33+1))*V35</f>
        <v>9.5840198253309035E-7</v>
      </c>
      <c r="AV33" s="24">
        <v>9</v>
      </c>
      <c r="BE33">
        <v>1</v>
      </c>
      <c r="BF33">
        <f t="shared" si="23"/>
        <v>10</v>
      </c>
      <c r="BI33">
        <f t="shared" si="24"/>
        <v>3</v>
      </c>
      <c r="BJ33">
        <v>6</v>
      </c>
      <c r="BK33" s="94">
        <f t="shared" si="25"/>
        <v>3.6983667122878268E-2</v>
      </c>
      <c r="BQ33">
        <f t="shared" si="26"/>
        <v>8</v>
      </c>
      <c r="BR33">
        <v>2</v>
      </c>
      <c r="BS33" s="94">
        <f t="shared" si="27"/>
        <v>1.8471480964541797E-5</v>
      </c>
    </row>
    <row r="34" spans="1:71" x14ac:dyDescent="0.25">
      <c r="A34" s="34" t="s">
        <v>117</v>
      </c>
      <c r="B34" s="48">
        <f>B23*2</f>
        <v>5</v>
      </c>
      <c r="C34" s="49">
        <f>C23*2</f>
        <v>5</v>
      </c>
      <c r="G34" s="74">
        <v>9</v>
      </c>
      <c r="H34" s="110">
        <f>J34*L25+J33*L26+J32*L27+J31*L28</f>
        <v>3.0170390609426122E-5</v>
      </c>
      <c r="I34" s="80">
        <v>9</v>
      </c>
      <c r="J34" s="73">
        <f t="shared" si="20"/>
        <v>1.9687100373719795E-7</v>
      </c>
      <c r="K34" s="80">
        <v>9</v>
      </c>
      <c r="L34" s="73"/>
      <c r="M34" s="72"/>
      <c r="N34" s="31"/>
      <c r="O34" s="31"/>
      <c r="P34" s="31"/>
      <c r="Q34" s="12">
        <v>9</v>
      </c>
      <c r="R34" s="31">
        <f>P29*N30+P30*N29</f>
        <v>9.765625E-3</v>
      </c>
      <c r="S34" s="62">
        <v>9</v>
      </c>
      <c r="T34" s="117">
        <f t="shared" si="22"/>
        <v>0</v>
      </c>
      <c r="U34" s="80">
        <v>9</v>
      </c>
      <c r="V34" s="73">
        <f>T34*R25+T33*R26+T32*R27+T31*R28+T30*R29+T29*R30+T28*R31+T27*R32+T26*R33+T25*R34</f>
        <v>9.936523437499999E-3</v>
      </c>
      <c r="W34" s="119"/>
      <c r="X34" s="12">
        <v>9</v>
      </c>
      <c r="Y34" s="31"/>
      <c r="Z34" s="12">
        <v>9</v>
      </c>
      <c r="AA34" s="68"/>
      <c r="AB34" s="12">
        <v>9</v>
      </c>
      <c r="AC34" s="68"/>
      <c r="AD34" s="12">
        <v>9</v>
      </c>
      <c r="AE34" s="68"/>
      <c r="AF34" s="12">
        <v>9</v>
      </c>
      <c r="AG34" s="68"/>
      <c r="AH34" s="12">
        <v>9</v>
      </c>
      <c r="AI34" s="68"/>
      <c r="AJ34" s="12">
        <v>9</v>
      </c>
      <c r="AK34" s="68"/>
      <c r="AL34" s="12">
        <v>9</v>
      </c>
      <c r="AM34" s="68"/>
      <c r="AN34" s="12">
        <v>9</v>
      </c>
      <c r="AO34" s="68"/>
      <c r="AP34" s="12">
        <v>9</v>
      </c>
      <c r="AQ34" s="68">
        <f>((($W$25)^Q34)*((1-($W$25))^($U$34-Q34))*HLOOKUP($U$34,$AV$24:$BF$34,Q34+1))*V34</f>
        <v>1.1310292078555903E-7</v>
      </c>
      <c r="AR34" s="12">
        <v>9</v>
      </c>
      <c r="AS34" s="68">
        <f>((($W$25)^Q34)*((1-($W$25))^($U$35-Q34))*HLOOKUP($U$35,$AV$24:$BF$34,Q34+1))*V35</f>
        <v>8.3768082951638928E-8</v>
      </c>
      <c r="AV34" s="14">
        <v>10</v>
      </c>
      <c r="BF34">
        <f t="shared" si="23"/>
        <v>1</v>
      </c>
      <c r="BI34">
        <f t="shared" si="24"/>
        <v>3</v>
      </c>
      <c r="BJ34">
        <v>7</v>
      </c>
      <c r="BK34" s="94">
        <f t="shared" si="25"/>
        <v>2.0848782465885316E-2</v>
      </c>
      <c r="BQ34">
        <f t="shared" si="26"/>
        <v>8</v>
      </c>
      <c r="BR34">
        <v>3</v>
      </c>
      <c r="BS34" s="94">
        <f t="shared" si="27"/>
        <v>4.095415456466665E-5</v>
      </c>
    </row>
    <row r="35" spans="1:71" ht="15.75" thickBot="1" x14ac:dyDescent="0.3">
      <c r="G35" s="75">
        <v>10</v>
      </c>
      <c r="H35" s="111">
        <f>J35*L25+J34*L26+J33*L27+J32*L28</f>
        <v>2.330165561819806E-6</v>
      </c>
      <c r="I35" s="81">
        <v>10</v>
      </c>
      <c r="J35" s="76">
        <f t="shared" si="20"/>
        <v>3.2947461839350611E-9</v>
      </c>
      <c r="K35" s="81">
        <v>10</v>
      </c>
      <c r="L35" s="76"/>
      <c r="M35" s="72"/>
      <c r="N35" s="31"/>
      <c r="O35" s="31"/>
      <c r="P35" s="31"/>
      <c r="Q35" s="12">
        <v>10</v>
      </c>
      <c r="R35" s="31">
        <f>P30*N30</f>
        <v>9.765625E-4</v>
      </c>
      <c r="S35" s="62">
        <v>10</v>
      </c>
      <c r="T35" s="117">
        <f t="shared" si="22"/>
        <v>0</v>
      </c>
      <c r="U35" s="81">
        <v>10</v>
      </c>
      <c r="V35" s="76">
        <f>IF(((T35*R25+T34*R26+T33*R27+T32*R28+T31*R29+T30*R30+T29*R31+T28*R32+T27*R33+T26*R34+T25*R35)+V23)&lt;&gt;1,1-V23,(T35*R25+T34*R26+T33*R27+T32*R28+T31*R29+T30*R30+T29*R31+T28*R32+T27*R33+T26*R34+T25*R35))</f>
        <v>1.0253906249999556E-3</v>
      </c>
      <c r="W35" s="119"/>
      <c r="X35" s="12">
        <v>10</v>
      </c>
      <c r="Y35" s="31"/>
      <c r="Z35" s="12">
        <v>10</v>
      </c>
      <c r="AA35" s="68"/>
      <c r="AB35" s="12">
        <v>10</v>
      </c>
      <c r="AC35" s="68"/>
      <c r="AD35" s="12">
        <v>10</v>
      </c>
      <c r="AE35" s="68"/>
      <c r="AF35" s="12">
        <v>10</v>
      </c>
      <c r="AG35" s="68"/>
      <c r="AH35" s="12">
        <v>10</v>
      </c>
      <c r="AI35" s="68"/>
      <c r="AJ35" s="12">
        <v>10</v>
      </c>
      <c r="AK35" s="68"/>
      <c r="AL35" s="12">
        <v>10</v>
      </c>
      <c r="AM35" s="68"/>
      <c r="AN35" s="12">
        <v>10</v>
      </c>
      <c r="AO35" s="68"/>
      <c r="AP35" s="12">
        <v>10</v>
      </c>
      <c r="AQ35" s="68"/>
      <c r="AR35" s="12">
        <v>10</v>
      </c>
      <c r="AS35" s="68">
        <f>((($W$25)^Q35)*((1-($W$25))^($U$35-Q35))*HLOOKUP($U$35,$AV$24:$BF$34,Q35+1))*V35</f>
        <v>3.2947461839350611E-9</v>
      </c>
      <c r="BI35">
        <f t="shared" si="24"/>
        <v>3</v>
      </c>
      <c r="BJ35">
        <v>8</v>
      </c>
      <c r="BK35" s="94">
        <f t="shared" si="25"/>
        <v>8.706761178428701E-3</v>
      </c>
      <c r="BQ35">
        <f t="shared" si="26"/>
        <v>8</v>
      </c>
      <c r="BR35">
        <v>4</v>
      </c>
      <c r="BS35" s="94">
        <f t="shared" si="27"/>
        <v>6.0603985227433771E-5</v>
      </c>
    </row>
    <row r="36" spans="1:71" ht="15.75" x14ac:dyDescent="0.25">
      <c r="A36" s="233" t="s">
        <v>118</v>
      </c>
      <c r="B36" s="147">
        <f>SUM(BO4:BO14)</f>
        <v>8.8577415366943052E-2</v>
      </c>
      <c r="C36" s="1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51">
        <f>SUM(V39:V49)</f>
        <v>1</v>
      </c>
      <c r="W36" s="13"/>
      <c r="X36" s="13"/>
      <c r="AS36" s="70">
        <f>Y37+AA37+AC37+AE37+AG37+AI37+AK37+AM37+AO37+AQ37+AS37</f>
        <v>1</v>
      </c>
      <c r="BI36">
        <f t="shared" si="24"/>
        <v>3</v>
      </c>
      <c r="BJ36">
        <v>9</v>
      </c>
      <c r="BK36" s="94">
        <f t="shared" si="25"/>
        <v>2.6653445903898005E-3</v>
      </c>
      <c r="BQ36">
        <f t="shared" si="26"/>
        <v>8</v>
      </c>
      <c r="BR36">
        <v>5</v>
      </c>
      <c r="BS36" s="94">
        <f t="shared" si="27"/>
        <v>6.3387280916963121E-5</v>
      </c>
    </row>
    <row r="37" spans="1:71" ht="16.5" thickBot="1" x14ac:dyDescent="0.3">
      <c r="A37" s="97" t="s">
        <v>119</v>
      </c>
      <c r="B37" s="147">
        <f>SUM(BK4:BK59)</f>
        <v>0.83621793048032322</v>
      </c>
      <c r="G37" s="13"/>
      <c r="H37" s="30">
        <f>SUM(H39:H49)</f>
        <v>0.99955889297477574</v>
      </c>
      <c r="I37" s="189"/>
      <c r="J37" s="30">
        <f>SUM(J39:J49)</f>
        <v>1.0000000000000002</v>
      </c>
      <c r="K37" s="30"/>
      <c r="L37" s="30">
        <f>SUM(L39:L49)</f>
        <v>1</v>
      </c>
      <c r="M37" s="189"/>
      <c r="N37" s="190">
        <f>SUM(N39:N49)</f>
        <v>1</v>
      </c>
      <c r="O37" s="189"/>
      <c r="P37" s="190">
        <f>SUM(P39:P49)</f>
        <v>1</v>
      </c>
      <c r="Q37" s="189"/>
      <c r="R37" s="30">
        <f>SUM(R39:R49)</f>
        <v>1</v>
      </c>
      <c r="S37" s="189"/>
      <c r="T37" s="30">
        <f>SUM(T39:T49)</f>
        <v>1</v>
      </c>
      <c r="U37" s="189"/>
      <c r="V37" s="51">
        <f>SUM(V39:V48)</f>
        <v>0.99887438476562496</v>
      </c>
      <c r="W37" s="13"/>
      <c r="X37" s="13"/>
      <c r="Y37" s="30">
        <f>SUM(Y39:Y49)</f>
        <v>9.6198718261718752E-4</v>
      </c>
      <c r="Z37" s="69"/>
      <c r="AA37" s="30">
        <f>SUM(AA39:AA49)</f>
        <v>9.6343741455078135E-3</v>
      </c>
      <c r="AB37" s="69"/>
      <c r="AC37" s="30">
        <f>SUM(AC39:AC49)</f>
        <v>4.3434519287109383E-2</v>
      </c>
      <c r="AD37" s="69"/>
      <c r="AE37" s="30">
        <f>SUM(AE39:AE49)</f>
        <v>0.11609179516601563</v>
      </c>
      <c r="AF37" s="69"/>
      <c r="AG37" s="30">
        <f>SUM(AG39:AG49)</f>
        <v>0.20376086730957033</v>
      </c>
      <c r="AH37" s="69"/>
      <c r="AI37" s="30">
        <f>SUM(AI39:AI49)</f>
        <v>0.24547500769042968</v>
      </c>
      <c r="AJ37" s="69"/>
      <c r="AK37" s="30">
        <f>SUM(AK39:AK49)</f>
        <v>0.20568721142578125</v>
      </c>
      <c r="AL37" s="69"/>
      <c r="AM37" s="30">
        <f>SUM(AM39:AM49)</f>
        <v>0.11850233935546876</v>
      </c>
      <c r="AN37" s="69"/>
      <c r="AO37" s="30">
        <f>SUM(AO39:AO49)</f>
        <v>4.504503625488282E-2</v>
      </c>
      <c r="AP37" s="69"/>
      <c r="AQ37" s="30">
        <f>SUM(AQ39:AQ49)</f>
        <v>1.0281246948242189E-2</v>
      </c>
      <c r="AR37" s="69"/>
      <c r="AS37" s="30">
        <f>SUM(AS39:AS49)</f>
        <v>1.1256152343750436E-3</v>
      </c>
      <c r="BI37">
        <f t="shared" si="24"/>
        <v>3</v>
      </c>
      <c r="BJ37">
        <v>10</v>
      </c>
      <c r="BK37" s="94">
        <f t="shared" si="25"/>
        <v>5.8269811452707476E-4</v>
      </c>
      <c r="BQ37">
        <f t="shared" si="26"/>
        <v>8</v>
      </c>
      <c r="BR37">
        <v>6</v>
      </c>
      <c r="BS37" s="94">
        <f t="shared" si="27"/>
        <v>4.8323215378518946E-5</v>
      </c>
    </row>
    <row r="38" spans="1:71" ht="16.5" thickBot="1" x14ac:dyDescent="0.3">
      <c r="A38" s="98" t="s">
        <v>120</v>
      </c>
      <c r="B38" s="147">
        <f>SUM(BS4:BS47)</f>
        <v>7.4761098018078814E-2</v>
      </c>
      <c r="G38" s="90" t="str">
        <f t="shared" ref="G38:AS38" si="28">G24</f>
        <v>G</v>
      </c>
      <c r="H38" s="91" t="str">
        <f t="shared" si="28"/>
        <v>p</v>
      </c>
      <c r="I38" s="90" t="str">
        <f t="shared" si="28"/>
        <v>GT</v>
      </c>
      <c r="J38" s="92" t="str">
        <f t="shared" si="28"/>
        <v>p(x)</v>
      </c>
      <c r="K38" s="93" t="str">
        <f t="shared" si="28"/>
        <v>EE(x)</v>
      </c>
      <c r="L38" s="92" t="str">
        <f t="shared" si="28"/>
        <v>p</v>
      </c>
      <c r="M38" s="77" t="str">
        <f t="shared" si="28"/>
        <v>OcaS</v>
      </c>
      <c r="N38" s="25" t="str">
        <f t="shared" si="28"/>
        <v>P</v>
      </c>
      <c r="O38" s="25" t="str">
        <f t="shared" si="28"/>
        <v>O_CA</v>
      </c>
      <c r="P38" s="25" t="str">
        <f t="shared" si="28"/>
        <v>p</v>
      </c>
      <c r="Q38" s="25" t="str">
        <f t="shared" si="28"/>
        <v>TotalN</v>
      </c>
      <c r="R38" s="25" t="str">
        <f t="shared" si="28"/>
        <v>p</v>
      </c>
      <c r="S38" s="25" t="str">
        <f t="shared" si="28"/>
        <v>OcaCA</v>
      </c>
      <c r="T38" s="122" t="str">
        <f t="shared" si="28"/>
        <v>p</v>
      </c>
      <c r="U38" s="123" t="str">
        <f t="shared" si="28"/>
        <v>Total</v>
      </c>
      <c r="V38" s="124" t="str">
        <f t="shared" si="28"/>
        <v>P</v>
      </c>
      <c r="W38" s="77" t="str">
        <f t="shared" si="28"/>
        <v>E(x)</v>
      </c>
      <c r="X38" s="25" t="str">
        <f t="shared" si="28"/>
        <v>G0</v>
      </c>
      <c r="Y38" s="25" t="str">
        <f t="shared" si="28"/>
        <v>p</v>
      </c>
      <c r="Z38" s="25" t="str">
        <f t="shared" si="28"/>
        <v>G1</v>
      </c>
      <c r="AA38" s="25" t="str">
        <f t="shared" si="28"/>
        <v>p</v>
      </c>
      <c r="AB38" s="25" t="str">
        <f t="shared" si="28"/>
        <v>G2</v>
      </c>
      <c r="AC38" s="25" t="str">
        <f t="shared" si="28"/>
        <v>p</v>
      </c>
      <c r="AD38" s="25" t="str">
        <f t="shared" si="28"/>
        <v>G3</v>
      </c>
      <c r="AE38" s="25" t="str">
        <f t="shared" si="28"/>
        <v>p</v>
      </c>
      <c r="AF38" s="25" t="str">
        <f t="shared" si="28"/>
        <v>G4</v>
      </c>
      <c r="AG38" s="25" t="str">
        <f t="shared" si="28"/>
        <v>p</v>
      </c>
      <c r="AH38" s="25" t="str">
        <f t="shared" si="28"/>
        <v>G5</v>
      </c>
      <c r="AI38" s="25" t="str">
        <f t="shared" si="28"/>
        <v>p</v>
      </c>
      <c r="AJ38" s="25" t="str">
        <f t="shared" si="28"/>
        <v>G6</v>
      </c>
      <c r="AK38" s="25" t="str">
        <f t="shared" si="28"/>
        <v>p</v>
      </c>
      <c r="AL38" s="25" t="str">
        <f t="shared" si="28"/>
        <v>G7</v>
      </c>
      <c r="AM38" s="25" t="str">
        <f t="shared" si="28"/>
        <v>p</v>
      </c>
      <c r="AN38" s="25" t="str">
        <f t="shared" si="28"/>
        <v>G8</v>
      </c>
      <c r="AO38" s="25" t="str">
        <f t="shared" si="28"/>
        <v>p</v>
      </c>
      <c r="AP38" s="25" t="str">
        <f t="shared" si="28"/>
        <v>G9</v>
      </c>
      <c r="AQ38" s="25" t="str">
        <f t="shared" si="28"/>
        <v>p</v>
      </c>
      <c r="AR38" s="25" t="str">
        <f t="shared" si="28"/>
        <v>G10</v>
      </c>
      <c r="AS38" s="25" t="str">
        <f t="shared" si="28"/>
        <v>p</v>
      </c>
      <c r="AV38" s="14">
        <v>0</v>
      </c>
      <c r="AW38" s="14">
        <v>1</v>
      </c>
      <c r="AX38" s="14">
        <v>2</v>
      </c>
      <c r="AY38" s="14">
        <v>3</v>
      </c>
      <c r="AZ38" s="14">
        <v>4</v>
      </c>
      <c r="BA38" s="14">
        <v>5</v>
      </c>
      <c r="BB38" s="14">
        <v>6</v>
      </c>
      <c r="BC38" s="14">
        <v>7</v>
      </c>
      <c r="BD38" s="14">
        <v>8</v>
      </c>
      <c r="BE38" s="14">
        <v>9</v>
      </c>
      <c r="BF38" s="14">
        <v>10</v>
      </c>
      <c r="BI38">
        <f t="shared" ref="BI38:BI43" si="29">BI32+1</f>
        <v>4</v>
      </c>
      <c r="BJ38">
        <v>5</v>
      </c>
      <c r="BK38" s="94">
        <f t="shared" ref="BK38:BK43" si="30">$H$29*H44</f>
        <v>2.4004600386553596E-2</v>
      </c>
      <c r="BQ38">
        <f>BM11+1</f>
        <v>8</v>
      </c>
      <c r="BR38">
        <v>7</v>
      </c>
      <c r="BS38" s="94">
        <f t="shared" si="27"/>
        <v>2.7241219810126229E-5</v>
      </c>
    </row>
    <row r="39" spans="1:71" x14ac:dyDescent="0.25">
      <c r="G39" s="112">
        <v>0</v>
      </c>
      <c r="H39" s="113">
        <f>L39*J39</f>
        <v>2.1376336076491765E-3</v>
      </c>
      <c r="I39" s="84">
        <v>0</v>
      </c>
      <c r="J39" s="85">
        <f t="shared" ref="J39:J49" si="31">Y39+AA39+AC39+AE39+AG39+AI39+AK39+AM39+AO39+AQ39+AS39</f>
        <v>1.6398726728122089E-2</v>
      </c>
      <c r="K39" s="89">
        <v>0</v>
      </c>
      <c r="L39" s="85">
        <f>AH18</f>
        <v>0.13035363312587922</v>
      </c>
      <c r="M39" s="72">
        <v>0</v>
      </c>
      <c r="N39" s="63">
        <f>(1-$C$24)^$B$21</f>
        <v>3.125E-2</v>
      </c>
      <c r="O39" s="62">
        <v>0</v>
      </c>
      <c r="P39" s="63">
        <f t="shared" ref="P39:P44" si="32">N39</f>
        <v>3.125E-2</v>
      </c>
      <c r="Q39" s="12">
        <v>0</v>
      </c>
      <c r="R39" s="31">
        <f>P39*N39</f>
        <v>9.765625E-4</v>
      </c>
      <c r="S39" s="62">
        <v>0</v>
      </c>
      <c r="T39" s="117">
        <f>(1-$C$33)^(INT(B23*2*(1-B31)))</f>
        <v>0.98507487500000002</v>
      </c>
      <c r="U39" s="80">
        <v>0</v>
      </c>
      <c r="V39" s="73">
        <f>R39*T39</f>
        <v>9.6198718261718752E-4</v>
      </c>
      <c r="W39" s="118">
        <f>C31</f>
        <v>0.67275832555955561</v>
      </c>
      <c r="X39" s="12">
        <v>0</v>
      </c>
      <c r="Y39" s="68">
        <f>V39</f>
        <v>9.6198718261718752E-4</v>
      </c>
      <c r="Z39" s="12">
        <v>0</v>
      </c>
      <c r="AA39" s="68">
        <f>((1-W39)^Z40)*V40</f>
        <v>3.1527687275617025E-3</v>
      </c>
      <c r="AB39" s="12">
        <v>0</v>
      </c>
      <c r="AC39" s="68">
        <f>(((1-$W$39)^AB41))*V41</f>
        <v>4.6512772963077202E-3</v>
      </c>
      <c r="AD39" s="12">
        <v>0</v>
      </c>
      <c r="AE39" s="68">
        <f>(((1-$W$39)^AB42))*V42</f>
        <v>4.0682473058697476E-3</v>
      </c>
      <c r="AF39" s="12">
        <v>0</v>
      </c>
      <c r="AG39" s="68">
        <f>(((1-$W$39)^AB43))*V43</f>
        <v>2.3366582846844099E-3</v>
      </c>
      <c r="AH39" s="12">
        <v>0</v>
      </c>
      <c r="AI39" s="68">
        <f>(((1-$W$39)^AB44))*V44</f>
        <v>9.2119233008251561E-4</v>
      </c>
      <c r="AJ39" s="12">
        <v>0</v>
      </c>
      <c r="AK39" s="68">
        <f>(((1-$W$39)^AB45))*V45</f>
        <v>2.5259161377901013E-4</v>
      </c>
      <c r="AL39" s="12">
        <v>0</v>
      </c>
      <c r="AM39" s="68">
        <f>(((1-$W$39)^AB46))*V46</f>
        <v>4.7621949186226034E-5</v>
      </c>
      <c r="AN39" s="12">
        <v>0</v>
      </c>
      <c r="AO39" s="68">
        <f>(((1-$W$39)^AB47))*V47</f>
        <v>5.9237372977568796E-6</v>
      </c>
      <c r="AP39" s="12">
        <v>0</v>
      </c>
      <c r="AQ39" s="68">
        <f>(((1-$W$39)^AB48))*V48</f>
        <v>4.4244902924754704E-7</v>
      </c>
      <c r="AR39" s="12">
        <v>0</v>
      </c>
      <c r="AS39" s="68">
        <f>(((1-$W$39)^AB49))*V49</f>
        <v>1.5851706564575541E-8</v>
      </c>
      <c r="AV39" s="14">
        <v>1</v>
      </c>
      <c r="AW39">
        <v>1</v>
      </c>
      <c r="AX39">
        <v>2</v>
      </c>
      <c r="AY39">
        <v>3</v>
      </c>
      <c r="AZ39">
        <v>4</v>
      </c>
      <c r="BA39">
        <v>5</v>
      </c>
      <c r="BB39">
        <v>6</v>
      </c>
      <c r="BC39">
        <f>7</f>
        <v>7</v>
      </c>
      <c r="BD39">
        <v>8</v>
      </c>
      <c r="BE39">
        <v>9</v>
      </c>
      <c r="BF39">
        <v>10</v>
      </c>
      <c r="BI39">
        <f t="shared" si="29"/>
        <v>4</v>
      </c>
      <c r="BJ39">
        <v>6</v>
      </c>
      <c r="BK39" s="94">
        <f t="shared" si="30"/>
        <v>1.8299877479746658E-2</v>
      </c>
      <c r="BQ39">
        <f t="shared" ref="BQ39:BQ46" si="33">BQ31+1</f>
        <v>9</v>
      </c>
      <c r="BR39">
        <v>0</v>
      </c>
      <c r="BS39" s="94">
        <f t="shared" ref="BS39:BS47" si="34">$H$34*H39</f>
        <v>6.4493240922612404E-8</v>
      </c>
    </row>
    <row r="40" spans="1:71" x14ac:dyDescent="0.25">
      <c r="G40" s="78">
        <v>1</v>
      </c>
      <c r="H40" s="114">
        <f>L39*J40+L40*J39</f>
        <v>1.7721223169499527E-2</v>
      </c>
      <c r="I40" s="80">
        <v>1</v>
      </c>
      <c r="J40" s="73">
        <f t="shared" si="31"/>
        <v>8.3288661818144122E-2</v>
      </c>
      <c r="K40" s="82">
        <v>1</v>
      </c>
      <c r="L40" s="73">
        <f>AI18</f>
        <v>0.41858393136951849</v>
      </c>
      <c r="M40" s="72">
        <v>1</v>
      </c>
      <c r="N40" s="63">
        <f>(($C$24)^M26)*((1-($C$24))^($B$21-M26))*HLOOKUP($B$21,$AV$24:$BF$34,M26+1)</f>
        <v>0.15625</v>
      </c>
      <c r="O40" s="62">
        <v>1</v>
      </c>
      <c r="P40" s="63">
        <f t="shared" si="32"/>
        <v>0.15625</v>
      </c>
      <c r="Q40" s="12">
        <v>1</v>
      </c>
      <c r="R40" s="31">
        <f>P40*N39+P39*N40</f>
        <v>9.765625E-3</v>
      </c>
      <c r="S40" s="62">
        <v>1</v>
      </c>
      <c r="T40" s="117">
        <f t="shared" ref="T40:T49" si="35">(($C$33)^S40)*((1-($C$33))^(INT($B$23*2*(1-$B$31))-S40))*HLOOKUP(INT($B$23*2*(1-$B$31)),$AV$24:$BF$34,S40+1)</f>
        <v>1.4850375000000002E-2</v>
      </c>
      <c r="U40" s="80">
        <v>1</v>
      </c>
      <c r="V40" s="73">
        <f>R40*T39+T40*R39</f>
        <v>9.6343741455078135E-3</v>
      </c>
      <c r="W40" s="119"/>
      <c r="X40" s="12">
        <v>1</v>
      </c>
      <c r="Y40" s="31"/>
      <c r="Z40" s="12">
        <v>1</v>
      </c>
      <c r="AA40" s="68">
        <f>(1-((1-W39)^Z40))*V40</f>
        <v>6.4816054179461114E-3</v>
      </c>
      <c r="AB40" s="12">
        <v>1</v>
      </c>
      <c r="AC40" s="68">
        <f>((($W$39)^M40)*((1-($W$39))^($U$27-M40))*HLOOKUP($U$27,$AV$24:$BF$34,M40+1))*V41</f>
        <v>1.912461504744346E-2</v>
      </c>
      <c r="AD40" s="12">
        <v>1</v>
      </c>
      <c r="AE40" s="68">
        <f>((($W$39)^M40)*((1-($W$39))^($U$28-M40))*HLOOKUP($U$28,$AV$24:$BF$34,M40+1))*V42</f>
        <v>2.5091063815197618E-2</v>
      </c>
      <c r="AF40" s="12">
        <v>1</v>
      </c>
      <c r="AG40" s="68">
        <f>((($W$39)^M40)*((1-($W$39))^($U$29-M40))*HLOOKUP($U$29,$AV$24:$BF$34,M40+1))*V43</f>
        <v>1.9215233728370876E-2</v>
      </c>
      <c r="AH40" s="12">
        <v>1</v>
      </c>
      <c r="AI40" s="68">
        <f>((($W$39)^M40)*((1-($W$39))^($U$30-M40))*HLOOKUP($U$30,$AV$24:$BF$34,M40+1))*V44</f>
        <v>9.4691455567864537E-3</v>
      </c>
      <c r="AJ40" s="12">
        <v>1</v>
      </c>
      <c r="AK40" s="68">
        <f>((($W$39)^M40)*((1-($W$39))^($U$31-M40))*HLOOKUP($U$31,$AV$24:$BF$34,M40+1))*V45</f>
        <v>3.1157360032506394E-3</v>
      </c>
      <c r="AL40" s="12">
        <v>1</v>
      </c>
      <c r="AM40" s="68">
        <f>((($W$39)^Q40)*((1-($W$39))^($U$32-Q40))*HLOOKUP($U$32,$AV$24:$BF$34,Q40+1))*V46</f>
        <v>6.8532359133148416E-4</v>
      </c>
      <c r="AN40" s="12">
        <v>1</v>
      </c>
      <c r="AO40" s="68">
        <f>((($W$39)^Q40)*((1-($W$39))^($U$33-Q40))*HLOOKUP($U$33,$AV$24:$BF$34,Q40+1))*V47</f>
        <v>9.7426309587445657E-5</v>
      </c>
      <c r="AP40" s="12">
        <v>1</v>
      </c>
      <c r="AQ40" s="68">
        <f>((($W$39)^Q40)*((1-($W$39))^($U$34-Q40))*HLOOKUP($U$34,$AV$24:$BF$34,Q40+1))*V48</f>
        <v>8.1864616331005381E-6</v>
      </c>
      <c r="AR40" s="12">
        <v>1</v>
      </c>
      <c r="AS40" s="68">
        <f>((($W$39)^Q40)*((1-($W$39))^($U$35-Q40))*HLOOKUP($U$35,$AV$24:$BF$34,Q40+1))*V49</f>
        <v>3.2588659692810904E-7</v>
      </c>
      <c r="AV40" s="14">
        <v>2</v>
      </c>
      <c r="AX40">
        <v>1</v>
      </c>
      <c r="AY40">
        <v>3</v>
      </c>
      <c r="AZ40">
        <v>6</v>
      </c>
      <c r="BA40">
        <v>10</v>
      </c>
      <c r="BB40">
        <v>15</v>
      </c>
      <c r="BC40">
        <f>6+15</f>
        <v>21</v>
      </c>
      <c r="BD40">
        <f>21+7</f>
        <v>28</v>
      </c>
      <c r="BE40">
        <f>28+8</f>
        <v>36</v>
      </c>
      <c r="BF40">
        <f>36+9</f>
        <v>45</v>
      </c>
      <c r="BI40">
        <f t="shared" si="29"/>
        <v>4</v>
      </c>
      <c r="BJ40">
        <v>7</v>
      </c>
      <c r="BK40" s="94">
        <f t="shared" si="30"/>
        <v>1.0316179935860805E-2</v>
      </c>
      <c r="BQ40">
        <f t="shared" si="33"/>
        <v>9</v>
      </c>
      <c r="BR40">
        <v>1</v>
      </c>
      <c r="BS40" s="94">
        <f t="shared" si="34"/>
        <v>5.3465622510061318E-7</v>
      </c>
    </row>
    <row r="41" spans="1:71" x14ac:dyDescent="0.25">
      <c r="G41" s="78">
        <v>2</v>
      </c>
      <c r="H41" s="114">
        <f>L39*J41+J40*L40+J39*L41</f>
        <v>6.590096582686622E-2</v>
      </c>
      <c r="I41" s="80">
        <v>2</v>
      </c>
      <c r="J41" s="73">
        <f t="shared" si="31"/>
        <v>0.19044330645887322</v>
      </c>
      <c r="K41" s="82">
        <v>2</v>
      </c>
      <c r="L41" s="73">
        <f>AJ18</f>
        <v>0.37885218322759695</v>
      </c>
      <c r="M41" s="72">
        <v>2</v>
      </c>
      <c r="N41" s="63">
        <f>(($C$24)^M27)*((1-($C$24))^($B$21-M27))*HLOOKUP($B$21,$AV$24:$BF$34,M27+1)</f>
        <v>0.3125</v>
      </c>
      <c r="O41" s="62">
        <v>2</v>
      </c>
      <c r="P41" s="63">
        <f t="shared" si="32"/>
        <v>0.3125</v>
      </c>
      <c r="Q41" s="12">
        <v>2</v>
      </c>
      <c r="R41" s="31">
        <f>P41*N39+P40*N40+P39*N41</f>
        <v>4.39453125E-2</v>
      </c>
      <c r="S41" s="62">
        <v>2</v>
      </c>
      <c r="T41" s="117">
        <f t="shared" si="35"/>
        <v>7.4625000000000011E-5</v>
      </c>
      <c r="U41" s="80">
        <v>2</v>
      </c>
      <c r="V41" s="73">
        <f>R41*T39+T40*R40+R39*T41</f>
        <v>4.3434519287109383E-2</v>
      </c>
      <c r="W41" s="119"/>
      <c r="X41" s="12">
        <v>2</v>
      </c>
      <c r="Y41" s="31"/>
      <c r="Z41" s="12">
        <v>2</v>
      </c>
      <c r="AA41" s="68"/>
      <c r="AB41" s="12">
        <v>2</v>
      </c>
      <c r="AC41" s="68">
        <f>((($W$39)^M41)*((1-($W$39))^($U$27-M41))*HLOOKUP($U$27,$AV$24:$BF$34,M41+1))*V41</f>
        <v>1.9658626943358203E-2</v>
      </c>
      <c r="AD41" s="12">
        <v>2</v>
      </c>
      <c r="AE41" s="68">
        <f>((($W$39)^M41)*((1-($W$39))^($U$28-M41))*HLOOKUP($U$28,$AV$24:$BF$34,M41+1))*V42</f>
        <v>5.158335076876764E-2</v>
      </c>
      <c r="AF41" s="12">
        <v>2</v>
      </c>
      <c r="AG41" s="68">
        <f>((($W$39)^M41)*((1-($W$39))^($U$29-M41))*HLOOKUP($U$29,$AV$24:$BF$34,M41+1))*V43</f>
        <v>5.9255327841901816E-2</v>
      </c>
      <c r="AH41" s="12">
        <v>2</v>
      </c>
      <c r="AI41" s="68">
        <f>((($W$39)^M41)*((1-($W$39))^($U$30-M41))*HLOOKUP($U$30,$AV$24:$BF$34,M41+1))*V44</f>
        <v>3.8934200664730655E-2</v>
      </c>
      <c r="AJ41" s="12">
        <v>2</v>
      </c>
      <c r="AK41" s="68">
        <f>((($W$39)^M41)*((1-($W$39))^($U$31-M41))*HLOOKUP($U$31,$AV$24:$BF$34,M41+1))*V45</f>
        <v>1.6013679645301444E-2</v>
      </c>
      <c r="AL41" s="12">
        <v>2</v>
      </c>
      <c r="AM41" s="68">
        <f>((($W$39)^Q41)*((1-($W$39))^($U$32-Q41))*HLOOKUP($U$32,$AV$24:$BF$34,Q41+1))*V46</f>
        <v>4.2267582748346392E-3</v>
      </c>
      <c r="AN41" s="12">
        <v>2</v>
      </c>
      <c r="AO41" s="68">
        <f>((($W$39)^Q41)*((1-($W$39))^($U$33-Q41))*HLOOKUP($U$33,$AV$24:$BF$34,Q41+1))*V47</f>
        <v>7.0102704233653153E-4</v>
      </c>
      <c r="AP41" s="12">
        <v>2</v>
      </c>
      <c r="AQ41" s="68">
        <f>((($W$39)^Q41)*((1-($W$39))^($U$34-Q41))*HLOOKUP($U$34,$AV$24:$BF$34,Q41+1))*V48</f>
        <v>6.732040141231574E-5</v>
      </c>
      <c r="AR41" s="12">
        <v>2</v>
      </c>
      <c r="AS41" s="68">
        <f>((($W$39)^Q41)*((1-($W$39))^($U$35-Q41))*HLOOKUP($U$35,$AV$24:$BF$34,Q41+1))*V49</f>
        <v>3.0148762299589279E-6</v>
      </c>
      <c r="AV41" s="14">
        <v>3</v>
      </c>
      <c r="AY41">
        <v>1</v>
      </c>
      <c r="AZ41">
        <v>4</v>
      </c>
      <c r="BA41">
        <v>10</v>
      </c>
      <c r="BB41">
        <v>20</v>
      </c>
      <c r="BC41">
        <f>15+20</f>
        <v>35</v>
      </c>
      <c r="BD41">
        <f>21+35</f>
        <v>56</v>
      </c>
      <c r="BE41">
        <f>28+56</f>
        <v>84</v>
      </c>
      <c r="BF41">
        <f>36+84</f>
        <v>120</v>
      </c>
      <c r="BI41">
        <f t="shared" si="29"/>
        <v>4</v>
      </c>
      <c r="BJ41">
        <v>8</v>
      </c>
      <c r="BK41" s="94">
        <f t="shared" si="30"/>
        <v>4.3081899445308368E-3</v>
      </c>
      <c r="BQ41">
        <f t="shared" si="33"/>
        <v>9</v>
      </c>
      <c r="BR41">
        <v>2</v>
      </c>
      <c r="BS41" s="94">
        <f t="shared" si="34"/>
        <v>1.9882578805349964E-6</v>
      </c>
    </row>
    <row r="42" spans="1:71" ht="15" customHeight="1" x14ac:dyDescent="0.25">
      <c r="G42" s="78">
        <v>3</v>
      </c>
      <c r="H42" s="114">
        <f>J42*L39+J41*L40+L42*J39+L41*J40</f>
        <v>0.14611272077291412</v>
      </c>
      <c r="I42" s="80">
        <v>3</v>
      </c>
      <c r="J42" s="73">
        <f t="shared" si="31"/>
        <v>0.2582050418025405</v>
      </c>
      <c r="K42" s="82">
        <v>3</v>
      </c>
      <c r="L42" s="73">
        <f>AK18</f>
        <v>7.2210252277005338E-2</v>
      </c>
      <c r="M42" s="72">
        <v>3</v>
      </c>
      <c r="N42" s="63">
        <f>(($C$24)^M28)*((1-($C$24))^($B$21-M28))*HLOOKUP($B$21,$AV$24:$BF$34,M28+1)</f>
        <v>0.3125</v>
      </c>
      <c r="O42" s="62">
        <v>3</v>
      </c>
      <c r="P42" s="63">
        <f t="shared" si="32"/>
        <v>0.3125</v>
      </c>
      <c r="Q42" s="12">
        <v>3</v>
      </c>
      <c r="R42" s="31">
        <f>P42*N39+P41*N40+P40*N41+P39*N42</f>
        <v>0.1171875</v>
      </c>
      <c r="S42" s="62">
        <v>3</v>
      </c>
      <c r="T42" s="117">
        <f t="shared" si="35"/>
        <v>1.2500000000000002E-7</v>
      </c>
      <c r="U42" s="80">
        <v>3</v>
      </c>
      <c r="V42" s="73">
        <f>R42*T39+R41*T40+R40*T41+R39*T42</f>
        <v>0.11609179516601563</v>
      </c>
      <c r="W42" s="119"/>
      <c r="X42" s="12">
        <v>3</v>
      </c>
      <c r="Y42" s="31"/>
      <c r="Z42" s="12">
        <v>3</v>
      </c>
      <c r="AA42" s="68"/>
      <c r="AB42" s="12">
        <v>3</v>
      </c>
      <c r="AC42" s="68"/>
      <c r="AD42" s="12">
        <v>3</v>
      </c>
      <c r="AE42" s="68">
        <f>((($W$39)^M42)*((1-($W$39))^($U$28-M42))*HLOOKUP($U$28,$AV$24:$BF$34,M42+1))*V42</f>
        <v>3.5349133276180625E-2</v>
      </c>
      <c r="AF42" s="12">
        <v>3</v>
      </c>
      <c r="AG42" s="68">
        <f>((($W$39)^M42)*((1-($W$39))^($U$29-M42))*HLOOKUP($U$29,$AV$24:$BF$34,M42+1))*V43</f>
        <v>8.1213199607630113E-2</v>
      </c>
      <c r="AH42" s="12">
        <v>3</v>
      </c>
      <c r="AI42" s="68">
        <f>((($W$39)^M42)*((1-($W$39))^($U$30-M42))*HLOOKUP($U$30,$AV$24:$BF$34,M42+1))*V44</f>
        <v>8.00427014407388E-2</v>
      </c>
      <c r="AJ42" s="12">
        <v>3</v>
      </c>
      <c r="AK42" s="68">
        <f>((($W$39)^M42)*((1-($W$39))^($U$31-M42))*HLOOKUP($U$31,$AV$24:$BF$34,M42+1))*V45</f>
        <v>4.3895535097077241E-2</v>
      </c>
      <c r="AL42" s="12">
        <v>3</v>
      </c>
      <c r="AM42" s="68">
        <f>((($W$39)^Q42)*((1-($W$39))^($U$32-Q42))*HLOOKUP($U$32,$AV$24:$BF$34,Q42+1))*V46</f>
        <v>1.4482603335822276E-2</v>
      </c>
      <c r="AN42" s="12">
        <v>3</v>
      </c>
      <c r="AO42" s="68">
        <f>((($W$39)^Q42)*((1-($W$39))^($U$33-Q42))*HLOOKUP($U$33,$AV$24:$BF$34,Q42+1))*V47</f>
        <v>2.8824065882239857E-3</v>
      </c>
      <c r="AP42" s="12">
        <v>3</v>
      </c>
      <c r="AQ42" s="68">
        <f>((($W$39)^Q42)*((1-($W$39))^($U$34-Q42))*HLOOKUP($U$34,$AV$24:$BF$34,Q42+1))*V48</f>
        <v>3.2293413754337739E-4</v>
      </c>
      <c r="AR42" s="12">
        <v>3</v>
      </c>
      <c r="AS42" s="68">
        <f>((($W$39)^Q42)*((1-($W$39))^($U$35-Q42))*HLOOKUP($U$35,$AV$24:$BF$34,Q42+1))*V49</f>
        <v>1.652831932407686E-5</v>
      </c>
      <c r="AV42" s="14">
        <v>4</v>
      </c>
      <c r="AZ42">
        <v>1</v>
      </c>
      <c r="BA42">
        <v>5</v>
      </c>
      <c r="BB42">
        <v>15</v>
      </c>
      <c r="BC42">
        <f>20+15</f>
        <v>35</v>
      </c>
      <c r="BD42">
        <f>35+35</f>
        <v>70</v>
      </c>
      <c r="BE42">
        <f>56+70</f>
        <v>126</v>
      </c>
      <c r="BF42">
        <f t="shared" ref="BF42:BF48" si="36">BE41+BE42</f>
        <v>210</v>
      </c>
      <c r="BI42">
        <f t="shared" si="29"/>
        <v>4</v>
      </c>
      <c r="BJ42">
        <v>9</v>
      </c>
      <c r="BK42" s="94">
        <f t="shared" si="30"/>
        <v>1.3188383748799794E-3</v>
      </c>
      <c r="BQ42">
        <f t="shared" si="33"/>
        <v>9</v>
      </c>
      <c r="BR42">
        <v>3</v>
      </c>
      <c r="BS42" s="94">
        <f t="shared" si="34"/>
        <v>4.4082778587248295E-6</v>
      </c>
    </row>
    <row r="43" spans="1:71" ht="15" customHeight="1" x14ac:dyDescent="0.25">
      <c r="G43" s="78">
        <v>4</v>
      </c>
      <c r="H43" s="114">
        <f>J43*L39+J42*L40+J41*L41+J40*L42</f>
        <v>0.21621770160777629</v>
      </c>
      <c r="I43" s="80">
        <v>4</v>
      </c>
      <c r="J43" s="73">
        <f t="shared" si="31"/>
        <v>0.22993653247059839</v>
      </c>
      <c r="K43" s="82">
        <v>4</v>
      </c>
      <c r="L43" s="73"/>
      <c r="M43" s="72">
        <v>4</v>
      </c>
      <c r="N43" s="63">
        <f>(($C$24)^M29)*((1-($C$24))^($B$21-M29))*HLOOKUP($B$21,$AV$24:$BF$34,M29+1)</f>
        <v>0.15625</v>
      </c>
      <c r="O43" s="62">
        <v>4</v>
      </c>
      <c r="P43" s="63">
        <f t="shared" si="32"/>
        <v>0.15625</v>
      </c>
      <c r="Q43" s="12">
        <v>4</v>
      </c>
      <c r="R43" s="31">
        <f>P43*N39+P42*N40+P41*N41+P40*N42+P39*N43</f>
        <v>0.205078125</v>
      </c>
      <c r="S43" s="62">
        <v>4</v>
      </c>
      <c r="T43" s="117">
        <f t="shared" si="35"/>
        <v>0</v>
      </c>
      <c r="U43" s="80">
        <v>4</v>
      </c>
      <c r="V43" s="73">
        <f>T43*R39+T42*R40+T41*R41+T40*R42+T39*R43</f>
        <v>0.20376086730957033</v>
      </c>
      <c r="W43" s="119"/>
      <c r="X43" s="12">
        <v>4</v>
      </c>
      <c r="Y43" s="31"/>
      <c r="Z43" s="12">
        <v>4</v>
      </c>
      <c r="AA43" s="68"/>
      <c r="AB43" s="12">
        <v>4</v>
      </c>
      <c r="AC43" s="68"/>
      <c r="AD43" s="12">
        <v>4</v>
      </c>
      <c r="AE43" s="68"/>
      <c r="AF43" s="12">
        <v>4</v>
      </c>
      <c r="AG43" s="68">
        <f>((($W$39)^M43)*((1-($W$39))^($U$29-M43))*HLOOKUP($U$29,$AV$24:$BF$34,M43+1))*V43</f>
        <v>4.1740447846983122E-2</v>
      </c>
      <c r="AH43" s="12">
        <v>4</v>
      </c>
      <c r="AI43" s="68">
        <f>((($W$39)^M43)*((1-($W$39))^($U$30-M43))*HLOOKUP($U$30,$AV$24:$BF$34,M43+1))*V44</f>
        <v>8.2277713996257926E-2</v>
      </c>
      <c r="AJ43" s="12">
        <v>4</v>
      </c>
      <c r="AK43" s="68">
        <f>((($W$39)^M43)*((1-($W$39))^($U$31-M43))*HLOOKUP($U$31,$AV$24:$BF$34,M43+1))*V45</f>
        <v>6.7681828900489349E-2</v>
      </c>
      <c r="AL43" s="12">
        <v>4</v>
      </c>
      <c r="AM43" s="68">
        <f>((($W$39)^Q43)*((1-($W$39))^($U$32-Q43))*HLOOKUP($U$32,$AV$24:$BF$34,Q43+1))*V46</f>
        <v>2.9773994973626861E-2</v>
      </c>
      <c r="AN43" s="12">
        <v>4</v>
      </c>
      <c r="AO43" s="68">
        <f>((($W$39)^Q43)*((1-($W$39))^($U$33-Q43))*HLOOKUP($U$33,$AV$24:$BF$34,Q43+1))*V47</f>
        <v>7.407228286216927E-3</v>
      </c>
      <c r="AP43" s="12">
        <v>4</v>
      </c>
      <c r="AQ43" s="68">
        <f>((($W$39)^Q43)*((1-($W$39))^($U$34-Q43))*HLOOKUP($U$34,$AV$24:$BF$34,Q43+1))*V48</f>
        <v>9.9585404278592694E-4</v>
      </c>
      <c r="AR43" s="12">
        <v>4</v>
      </c>
      <c r="AS43" s="68">
        <f>((($W$39)^Q43)*((1-($W$39))^($U$35-Q43))*HLOOKUP($U$35,$AV$24:$BF$34,Q43+1))*V49</f>
        <v>5.9464424238257363E-5</v>
      </c>
      <c r="AV43" s="14">
        <v>5</v>
      </c>
      <c r="BA43">
        <v>1</v>
      </c>
      <c r="BB43">
        <v>6</v>
      </c>
      <c r="BC43">
        <f>15+6</f>
        <v>21</v>
      </c>
      <c r="BD43">
        <f>35+21</f>
        <v>56</v>
      </c>
      <c r="BE43">
        <f>70+56</f>
        <v>126</v>
      </c>
      <c r="BF43">
        <f t="shared" si="36"/>
        <v>252</v>
      </c>
      <c r="BI43">
        <f t="shared" si="29"/>
        <v>4</v>
      </c>
      <c r="BJ43">
        <v>10</v>
      </c>
      <c r="BK43" s="94">
        <f t="shared" si="30"/>
        <v>2.8832468311203478E-4</v>
      </c>
      <c r="BQ43">
        <f t="shared" si="33"/>
        <v>9</v>
      </c>
      <c r="BR43">
        <v>4</v>
      </c>
      <c r="BS43" s="94">
        <f t="shared" si="34"/>
        <v>6.5233725141789528E-6</v>
      </c>
    </row>
    <row r="44" spans="1:71" ht="15" customHeight="1" thickBot="1" x14ac:dyDescent="0.3">
      <c r="G44" s="78">
        <v>5</v>
      </c>
      <c r="H44" s="114">
        <f>J44*L39+J43*L40+J42*L41+J41*L42</f>
        <v>0.22614770529691405</v>
      </c>
      <c r="I44" s="80">
        <v>5</v>
      </c>
      <c r="J44" s="73">
        <f t="shared" si="31"/>
        <v>0.14059036268725228</v>
      </c>
      <c r="K44" s="82">
        <v>5</v>
      </c>
      <c r="L44" s="73"/>
      <c r="M44" s="72">
        <v>5</v>
      </c>
      <c r="N44" s="63">
        <f>(($C$24)^M30)*((1-($C$24))^($B$21-M30))*HLOOKUP($B$21,$AV$24:$BF$34,M30+1)</f>
        <v>3.125E-2</v>
      </c>
      <c r="O44" s="62">
        <v>5</v>
      </c>
      <c r="P44" s="63">
        <f t="shared" si="32"/>
        <v>3.125E-2</v>
      </c>
      <c r="Q44" s="12">
        <v>5</v>
      </c>
      <c r="R44" s="31">
        <f>P44*N39+P43*N40+P42*N41+P41*N42+P40*N43+P39*N44</f>
        <v>0.24609375</v>
      </c>
      <c r="S44" s="62">
        <v>5</v>
      </c>
      <c r="T44" s="117">
        <f t="shared" si="35"/>
        <v>0</v>
      </c>
      <c r="U44" s="80">
        <v>5</v>
      </c>
      <c r="V44" s="73">
        <f>T44*R39+T43*R40+T42*R41+T41*R42+T40*R43+T39*R44</f>
        <v>0.24547500769042968</v>
      </c>
      <c r="W44" s="119"/>
      <c r="X44" s="12">
        <v>5</v>
      </c>
      <c r="Y44" s="31"/>
      <c r="Z44" s="12">
        <v>5</v>
      </c>
      <c r="AA44" s="68"/>
      <c r="AB44" s="12">
        <v>5</v>
      </c>
      <c r="AC44" s="68"/>
      <c r="AD44" s="12">
        <v>5</v>
      </c>
      <c r="AE44" s="68"/>
      <c r="AF44" s="12">
        <v>5</v>
      </c>
      <c r="AG44" s="68"/>
      <c r="AH44" s="12">
        <v>5</v>
      </c>
      <c r="AI44" s="68">
        <f>((($W$39)^M44)*((1-($W$39))^($U$30-M44))*HLOOKUP($U$30,$AV$24:$BF$34,M44+1))*V44</f>
        <v>3.3830053701833347E-2</v>
      </c>
      <c r="AJ44" s="12">
        <v>5</v>
      </c>
      <c r="AK44" s="68">
        <f>((($W$39)^M44)*((1-($W$39))^($U$31-M44))*HLOOKUP($U$31,$AV$24:$BF$34,M44+1))*V45</f>
        <v>5.5657353495406743E-2</v>
      </c>
      <c r="AL44" s="12">
        <v>5</v>
      </c>
      <c r="AM44" s="68">
        <f>((($W$39)^Q44)*((1-($W$39))^($U$32-Q44))*HLOOKUP($U$32,$AV$24:$BF$34,Q44+1))*V46</f>
        <v>3.672644024559521E-2</v>
      </c>
      <c r="AN44" s="12">
        <v>5</v>
      </c>
      <c r="AO44" s="68">
        <f>((($W$39)^Q44)*((1-($W$39))^($U$33-Q44))*HLOOKUP($U$33,$AV$24:$BF$34,Q44+1))*V47</f>
        <v>1.2182493583419421E-2</v>
      </c>
      <c r="AP44" s="12">
        <v>5</v>
      </c>
      <c r="AQ44" s="68">
        <f>((($W$39)^Q44)*((1-($W$39))^($U$34-Q44))*HLOOKUP($U$34,$AV$24:$BF$34,Q44+1))*V48</f>
        <v>2.0473220578398669E-3</v>
      </c>
      <c r="AR44" s="12">
        <v>5</v>
      </c>
      <c r="AS44" s="68">
        <f>((($W$39)^Q44)*((1-($W$39))^($U$35-Q44))*HLOOKUP($U$35,$AV$24:$BF$34,Q44+1))*V49</f>
        <v>1.466996031576916E-4</v>
      </c>
      <c r="AV44" s="24">
        <v>6</v>
      </c>
      <c r="BB44">
        <v>1</v>
      </c>
      <c r="BC44">
        <v>7</v>
      </c>
      <c r="BD44">
        <f>28</f>
        <v>28</v>
      </c>
      <c r="BE44">
        <f>56+28</f>
        <v>84</v>
      </c>
      <c r="BF44">
        <f t="shared" si="36"/>
        <v>210</v>
      </c>
      <c r="BI44">
        <f>BI39+1</f>
        <v>5</v>
      </c>
      <c r="BJ44">
        <v>6</v>
      </c>
      <c r="BK44" s="94">
        <f>$H$30*H45</f>
        <v>6.4877714328698041E-3</v>
      </c>
      <c r="BQ44">
        <f t="shared" si="33"/>
        <v>9</v>
      </c>
      <c r="BR44">
        <v>5</v>
      </c>
      <c r="BS44" s="94">
        <f t="shared" si="34"/>
        <v>6.8229646042332818E-6</v>
      </c>
    </row>
    <row r="45" spans="1:71" ht="15" customHeight="1" thickBot="1" x14ac:dyDescent="0.3">
      <c r="A45" s="99" t="s">
        <v>4</v>
      </c>
      <c r="B45" s="99" t="s">
        <v>121</v>
      </c>
      <c r="C45" s="99" t="s">
        <v>122</v>
      </c>
      <c r="D45" s="99" t="s">
        <v>123</v>
      </c>
      <c r="E45" s="99" t="s">
        <v>124</v>
      </c>
      <c r="G45" s="78">
        <v>6</v>
      </c>
      <c r="H45" s="114">
        <f>J45*L39+J44*L40+J43*L41+J42*L42</f>
        <v>0.17240342403606884</v>
      </c>
      <c r="I45" s="80">
        <v>6</v>
      </c>
      <c r="J45" s="73">
        <f t="shared" si="31"/>
        <v>5.9818423044771037E-2</v>
      </c>
      <c r="K45" s="82">
        <v>6</v>
      </c>
      <c r="L45" s="73"/>
      <c r="M45" s="72"/>
      <c r="N45" s="31"/>
      <c r="O45" s="31"/>
      <c r="P45" s="31"/>
      <c r="Q45" s="12">
        <v>6</v>
      </c>
      <c r="R45" s="31">
        <f>P44*N40+P43*N41+P42*N42+P41*N43+P40*N44</f>
        <v>0.205078125</v>
      </c>
      <c r="S45" s="62">
        <v>6</v>
      </c>
      <c r="T45" s="117">
        <f t="shared" si="35"/>
        <v>0</v>
      </c>
      <c r="U45" s="80">
        <v>6</v>
      </c>
      <c r="V45" s="73">
        <f>T45*R39+T44*R40+T43*R41+T42*R42+T41*R43+T40*R44+T39*R45</f>
        <v>0.20568721142578125</v>
      </c>
      <c r="W45" s="119"/>
      <c r="X45" s="12">
        <v>6</v>
      </c>
      <c r="Y45" s="31"/>
      <c r="Z45" s="12">
        <v>6</v>
      </c>
      <c r="AA45" s="68"/>
      <c r="AB45" s="12">
        <v>6</v>
      </c>
      <c r="AC45" s="68"/>
      <c r="AD45" s="12">
        <v>6</v>
      </c>
      <c r="AE45" s="68"/>
      <c r="AF45" s="12">
        <v>6</v>
      </c>
      <c r="AG45" s="68"/>
      <c r="AH45" s="12">
        <v>6</v>
      </c>
      <c r="AI45" s="68"/>
      <c r="AJ45" s="12">
        <v>6</v>
      </c>
      <c r="AK45" s="68">
        <f>((($W$39)^Q45)*((1-($W$39))^($U$31-Q45))*HLOOKUP($U$31,$AV$24:$BF$34,Q45+1))*V45</f>
        <v>1.9070486670476849E-2</v>
      </c>
      <c r="AL45" s="12">
        <v>6</v>
      </c>
      <c r="AM45" s="68">
        <f>((($W$39)^Q45)*((1-($W$39))^($U$32-Q45))*HLOOKUP($U$32,$AV$24:$BF$34,Q45+1))*V46</f>
        <v>2.5167962368727769E-2</v>
      </c>
      <c r="AN45" s="12">
        <v>6</v>
      </c>
      <c r="AO45" s="68">
        <f>((($W$39)^Q45)*((1-($W$39))^($U$33-Q45))*HLOOKUP($U$33,$AV$24:$BF$34,Q45+1))*V47</f>
        <v>1.2522662338676046E-2</v>
      </c>
      <c r="AP45" s="12">
        <v>6</v>
      </c>
      <c r="AQ45" s="68">
        <f>((($W$39)^Q45)*((1-($W$39))^($U$34-Q45))*HLOOKUP($U$34,$AV$24:$BF$34,Q45+1))*V48</f>
        <v>2.8059852337341601E-3</v>
      </c>
      <c r="AR45" s="12">
        <v>6</v>
      </c>
      <c r="AS45" s="68">
        <f>((($W$39)^Q45)*((1-($W$39))^($U$35-Q45))*HLOOKUP($U$35,$AV$24:$BF$34,Q45+1))*V49</f>
        <v>2.5132643315621203E-4</v>
      </c>
      <c r="AV45" s="14">
        <v>7</v>
      </c>
      <c r="BC45">
        <v>1</v>
      </c>
      <c r="BD45">
        <v>8</v>
      </c>
      <c r="BE45">
        <f>28+8</f>
        <v>36</v>
      </c>
      <c r="BF45">
        <f t="shared" si="36"/>
        <v>120</v>
      </c>
      <c r="BI45">
        <f>BI40+1</f>
        <v>5</v>
      </c>
      <c r="BJ45">
        <v>7</v>
      </c>
      <c r="BK45" s="94">
        <f>$H$30*H46</f>
        <v>3.6573478460878166E-3</v>
      </c>
      <c r="BQ45">
        <f t="shared" si="33"/>
        <v>9</v>
      </c>
      <c r="BR45">
        <v>6</v>
      </c>
      <c r="BS45" s="94">
        <f t="shared" si="34"/>
        <v>5.2014786455707211E-6</v>
      </c>
    </row>
    <row r="46" spans="1:71" ht="15" customHeight="1" thickBot="1" x14ac:dyDescent="0.3">
      <c r="A46" s="100" t="s">
        <v>125</v>
      </c>
      <c r="B46" s="100" t="s">
        <v>2</v>
      </c>
      <c r="C46" s="100" t="s">
        <v>126</v>
      </c>
      <c r="D46" s="100" t="s">
        <v>127</v>
      </c>
      <c r="E46" s="100" t="s">
        <v>128</v>
      </c>
      <c r="G46" s="78">
        <v>7</v>
      </c>
      <c r="H46" s="114">
        <f>J46*L39+J45*L40+J44*L41+J43*L42</f>
        <v>9.7188888061299633E-2</v>
      </c>
      <c r="I46" s="80">
        <v>7</v>
      </c>
      <c r="J46" s="73">
        <f t="shared" si="31"/>
        <v>1.7514790020947545E-2</v>
      </c>
      <c r="K46" s="82">
        <v>7</v>
      </c>
      <c r="L46" s="73"/>
      <c r="M46" s="72"/>
      <c r="N46" s="31"/>
      <c r="O46" s="31"/>
      <c r="P46" s="31"/>
      <c r="Q46" s="12">
        <v>7</v>
      </c>
      <c r="R46" s="31">
        <f>P44*N41+P43*N42+P42*N43+P41*N44</f>
        <v>0.1171875</v>
      </c>
      <c r="S46" s="62">
        <v>7</v>
      </c>
      <c r="T46" s="117">
        <f t="shared" si="35"/>
        <v>0</v>
      </c>
      <c r="U46" s="80">
        <v>7</v>
      </c>
      <c r="V46" s="73">
        <f>T46*R39+T45*R40+T44*R41+T43*R42+T42*R43+T41*R44+T40*R45+T39*R46</f>
        <v>0.11850233935546875</v>
      </c>
      <c r="W46" s="119"/>
      <c r="X46" s="12">
        <v>7</v>
      </c>
      <c r="Y46" s="31"/>
      <c r="Z46" s="12">
        <v>7</v>
      </c>
      <c r="AA46" s="68"/>
      <c r="AB46" s="12">
        <v>7</v>
      </c>
      <c r="AC46" s="68"/>
      <c r="AD46" s="12">
        <v>7</v>
      </c>
      <c r="AE46" s="68"/>
      <c r="AF46" s="12">
        <v>7</v>
      </c>
      <c r="AG46" s="68"/>
      <c r="AH46" s="12">
        <v>7</v>
      </c>
      <c r="AI46" s="68"/>
      <c r="AJ46" s="12">
        <v>7</v>
      </c>
      <c r="AK46" s="68"/>
      <c r="AL46" s="12">
        <v>7</v>
      </c>
      <c r="AM46" s="68">
        <f>((($W$39)^Q46)*((1-($W$39))^($U$32-Q46))*HLOOKUP($U$32,$AV$24:$BF$34,Q46+1))*V46</f>
        <v>7.3916346163442909E-3</v>
      </c>
      <c r="AN46" s="12">
        <v>7</v>
      </c>
      <c r="AO46" s="68">
        <f>((($W$39)^Q46)*((1-($W$39))^($U$33-Q46))*HLOOKUP($U$33,$AV$24:$BF$34,Q46+1))*V47</f>
        <v>7.3556168811156585E-3</v>
      </c>
      <c r="AP46" s="12">
        <v>7</v>
      </c>
      <c r="AQ46" s="68">
        <f>((($W$39)^Q46)*((1-($W$39))^($U$34-Q46))*HLOOKUP($U$34,$AV$24:$BF$34,Q46+1))*V48</f>
        <v>2.4722880560714361E-3</v>
      </c>
      <c r="AR46" s="12">
        <v>7</v>
      </c>
      <c r="AS46" s="68">
        <f>((($W$39)^Q46)*((1-($W$39))^($U$35-Q46))*HLOOKUP($U$35,$AV$24:$BF$34,Q46+1))*V49</f>
        <v>2.9525046741615943E-4</v>
      </c>
      <c r="AV46" s="14">
        <v>8</v>
      </c>
      <c r="BD46">
        <v>1</v>
      </c>
      <c r="BE46">
        <v>9</v>
      </c>
      <c r="BF46">
        <f t="shared" si="36"/>
        <v>45</v>
      </c>
      <c r="BI46">
        <f>BI41+1</f>
        <v>5</v>
      </c>
      <c r="BJ46">
        <v>8</v>
      </c>
      <c r="BK46" s="94">
        <f>$H$30*H47</f>
        <v>1.5273627749933468E-3</v>
      </c>
      <c r="BQ46">
        <f t="shared" si="33"/>
        <v>9</v>
      </c>
      <c r="BR46">
        <v>7</v>
      </c>
      <c r="BS46" s="94">
        <f t="shared" si="34"/>
        <v>2.9322267157052012E-6</v>
      </c>
    </row>
    <row r="47" spans="1:71" ht="15" customHeight="1" thickBot="1" x14ac:dyDescent="0.3">
      <c r="A47" s="100" t="s">
        <v>5</v>
      </c>
      <c r="B47" s="100" t="s">
        <v>2</v>
      </c>
      <c r="C47" s="100" t="s">
        <v>129</v>
      </c>
      <c r="D47" s="100" t="s">
        <v>130</v>
      </c>
      <c r="E47" s="100" t="s">
        <v>128</v>
      </c>
      <c r="G47" s="78">
        <v>8</v>
      </c>
      <c r="H47" s="114">
        <f>J47*L39+J46*L40+J45*L41+J44*L42</f>
        <v>4.0587522985162647E-2</v>
      </c>
      <c r="I47" s="80">
        <v>8</v>
      </c>
      <c r="J47" s="73">
        <f t="shared" si="31"/>
        <v>3.3885330649019887E-3</v>
      </c>
      <c r="K47" s="82">
        <v>8</v>
      </c>
      <c r="L47" s="73"/>
      <c r="M47" s="72"/>
      <c r="N47" s="31"/>
      <c r="O47" s="31"/>
      <c r="P47" s="31"/>
      <c r="Q47" s="12">
        <v>8</v>
      </c>
      <c r="R47" s="31">
        <f>P44*N42+P43*N43+P42*N44</f>
        <v>4.39453125E-2</v>
      </c>
      <c r="S47" s="62">
        <v>8</v>
      </c>
      <c r="T47" s="117">
        <f t="shared" si="35"/>
        <v>0</v>
      </c>
      <c r="U47" s="80">
        <v>8</v>
      </c>
      <c r="V47" s="73">
        <f>T47*R39+T46*R40+T45*R41+T44*R42+T43*R43+T42*R44+T41*R45+T40*R46+T39*R47</f>
        <v>4.5045036254882813E-2</v>
      </c>
      <c r="W47" s="119"/>
      <c r="X47" s="12">
        <v>8</v>
      </c>
      <c r="Y47" s="31"/>
      <c r="Z47" s="12">
        <v>8</v>
      </c>
      <c r="AA47" s="68"/>
      <c r="AB47" s="12">
        <v>8</v>
      </c>
      <c r="AC47" s="68"/>
      <c r="AD47" s="12">
        <v>8</v>
      </c>
      <c r="AE47" s="68"/>
      <c r="AF47" s="12">
        <v>8</v>
      </c>
      <c r="AG47" s="68"/>
      <c r="AH47" s="12">
        <v>8</v>
      </c>
      <c r="AI47" s="68"/>
      <c r="AJ47" s="12">
        <v>8</v>
      </c>
      <c r="AK47" s="68"/>
      <c r="AL47" s="12">
        <v>8</v>
      </c>
      <c r="AM47" s="68"/>
      <c r="AN47" s="12">
        <v>8</v>
      </c>
      <c r="AO47" s="68">
        <f>((($W$39)^Q47)*((1-($W$39))^($U$33-Q47))*HLOOKUP($U$33,$AV$24:$BF$34,Q47+1))*V47</f>
        <v>1.890251488009045E-3</v>
      </c>
      <c r="AP47" s="12">
        <v>8</v>
      </c>
      <c r="AQ47" s="68">
        <f>((($W$39)^Q47)*((1-($W$39))^($U$34-Q47))*HLOOKUP($U$34,$AV$24:$BF$34,Q47+1))*V48</f>
        <v>1.2706605719973848E-3</v>
      </c>
      <c r="AR47" s="12">
        <v>8</v>
      </c>
      <c r="AS47" s="68">
        <f>((($W$39)^Q47)*((1-($W$39))^($U$35-Q47))*HLOOKUP($U$35,$AV$24:$BF$34,Q47+1))*V49</f>
        <v>2.2762100489555909E-4</v>
      </c>
      <c r="AV47" s="24">
        <v>9</v>
      </c>
      <c r="BE47">
        <v>1</v>
      </c>
      <c r="BF47">
        <f t="shared" si="36"/>
        <v>10</v>
      </c>
      <c r="BI47">
        <f>BI42+1</f>
        <v>5</v>
      </c>
      <c r="BJ47">
        <v>9</v>
      </c>
      <c r="BK47" s="94">
        <f>$H$30*H48</f>
        <v>4.6756170595067939E-4</v>
      </c>
      <c r="BQ47">
        <f>BM12+1</f>
        <v>9</v>
      </c>
      <c r="BR47">
        <v>8</v>
      </c>
      <c r="BS47" s="94">
        <f t="shared" si="34"/>
        <v>1.2245414223314179E-6</v>
      </c>
    </row>
    <row r="48" spans="1:71" ht="15" customHeight="1" thickBot="1" x14ac:dyDescent="0.3">
      <c r="A48" s="101" t="s">
        <v>125</v>
      </c>
      <c r="B48" s="101" t="s">
        <v>131</v>
      </c>
      <c r="C48" s="101" t="s">
        <v>129</v>
      </c>
      <c r="D48" s="102" t="s">
        <v>132</v>
      </c>
      <c r="E48" s="101" t="s">
        <v>128</v>
      </c>
      <c r="G48" s="78">
        <v>9</v>
      </c>
      <c r="H48" s="114">
        <f>J48*L39+J47*L40+J46*L41+J45*L42</f>
        <v>1.2424796386266337E-2</v>
      </c>
      <c r="I48" s="80">
        <v>9</v>
      </c>
      <c r="J48" s="73">
        <f t="shared" si="31"/>
        <v>3.9424322949234403E-4</v>
      </c>
      <c r="K48" s="82">
        <v>9</v>
      </c>
      <c r="L48" s="73"/>
      <c r="M48" s="72"/>
      <c r="N48" s="31"/>
      <c r="O48" s="31"/>
      <c r="P48" s="31"/>
      <c r="Q48" s="12">
        <v>9</v>
      </c>
      <c r="R48" s="31">
        <f>P44*N43+P43*N44</f>
        <v>9.765625E-3</v>
      </c>
      <c r="S48" s="62">
        <v>9</v>
      </c>
      <c r="T48" s="117">
        <f t="shared" si="35"/>
        <v>0</v>
      </c>
      <c r="U48" s="80">
        <v>9</v>
      </c>
      <c r="V48" s="73">
        <f>T48*R39+T47*R40+T46*R41+T45*R42+T44*R43+T43*R44+T42*R45+T41*R46+T40*R47+T39*R48</f>
        <v>1.0281246948242189E-2</v>
      </c>
      <c r="W48" s="119"/>
      <c r="X48" s="12">
        <v>9</v>
      </c>
      <c r="Y48" s="31"/>
      <c r="Z48" s="12">
        <v>9</v>
      </c>
      <c r="AA48" s="68"/>
      <c r="AB48" s="12">
        <v>9</v>
      </c>
      <c r="AC48" s="68"/>
      <c r="AD48" s="12">
        <v>9</v>
      </c>
      <c r="AE48" s="68"/>
      <c r="AF48" s="12">
        <v>9</v>
      </c>
      <c r="AG48" s="68"/>
      <c r="AH48" s="12">
        <v>9</v>
      </c>
      <c r="AI48" s="68"/>
      <c r="AJ48" s="12">
        <v>9</v>
      </c>
      <c r="AK48" s="68"/>
      <c r="AL48" s="12">
        <v>9</v>
      </c>
      <c r="AM48" s="68"/>
      <c r="AN48" s="12">
        <v>9</v>
      </c>
      <c r="AO48" s="68"/>
      <c r="AP48" s="12">
        <v>9</v>
      </c>
      <c r="AQ48" s="68">
        <f>((($W$39)^Q48)*((1-($W$39))^($U$34-Q48))*HLOOKUP($U$34,$AV$24:$BF$34,Q48+1))*V48</f>
        <v>2.9025353619537367E-4</v>
      </c>
      <c r="AR48" s="12">
        <v>9</v>
      </c>
      <c r="AS48" s="68">
        <f>((($W$39)^Q48)*((1-($W$39))^($U$35-Q48))*HLOOKUP($U$35,$AV$24:$BF$34,Q48+1))*V49</f>
        <v>1.0398969329697035E-4</v>
      </c>
      <c r="AV48" s="14">
        <v>10</v>
      </c>
      <c r="BF48">
        <f t="shared" si="36"/>
        <v>1</v>
      </c>
      <c r="BI48">
        <f>BI43+1</f>
        <v>5</v>
      </c>
      <c r="BJ48">
        <v>10</v>
      </c>
      <c r="BK48" s="94">
        <f>$H$30*H49</f>
        <v>1.0221842438867487E-4</v>
      </c>
    </row>
    <row r="49" spans="1:63" ht="15" customHeight="1" thickBot="1" x14ac:dyDescent="0.3">
      <c r="A49" s="101" t="s">
        <v>5</v>
      </c>
      <c r="B49" s="101" t="s">
        <v>131</v>
      </c>
      <c r="C49" s="101" t="s">
        <v>126</v>
      </c>
      <c r="D49" s="101" t="s">
        <v>133</v>
      </c>
      <c r="E49" s="101" t="s">
        <v>134</v>
      </c>
      <c r="G49" s="79">
        <v>10</v>
      </c>
      <c r="H49" s="115">
        <f>J49*L39+J48*L40+J47*L41+J46*L42</f>
        <v>2.7163112243589436E-3</v>
      </c>
      <c r="I49" s="81">
        <v>10</v>
      </c>
      <c r="J49" s="76">
        <f t="shared" si="31"/>
        <v>2.1378674356665328E-5</v>
      </c>
      <c r="K49" s="83">
        <v>10</v>
      </c>
      <c r="L49" s="76"/>
      <c r="M49" s="72"/>
      <c r="N49" s="31"/>
      <c r="O49" s="31"/>
      <c r="P49" s="31"/>
      <c r="Q49" s="12">
        <v>10</v>
      </c>
      <c r="R49" s="31">
        <f>P44*N44</f>
        <v>9.765625E-4</v>
      </c>
      <c r="S49" s="62">
        <v>10</v>
      </c>
      <c r="T49" s="117">
        <f t="shared" si="35"/>
        <v>0</v>
      </c>
      <c r="U49" s="81">
        <v>10</v>
      </c>
      <c r="V49" s="76">
        <f>IF(((T49*R39+T48*R40+T47*R41+T46*R42+T45*R43+T44*R44+T43*R45+T42*R46+T41*R47+T40*R48+T39*R49)+V37)&lt;&gt;1,1-V37,(T49*R39+T48*R40+T47*R41+T46*R42+T45*R43+T44*R44+T43*R45+T42*R46+T41*R47+T40*R48+T39*R49))</f>
        <v>1.1256152343750436E-3</v>
      </c>
      <c r="W49" s="119"/>
      <c r="X49" s="12">
        <v>10</v>
      </c>
      <c r="Y49" s="31"/>
      <c r="Z49" s="12">
        <v>10</v>
      </c>
      <c r="AA49" s="68"/>
      <c r="AB49" s="12">
        <v>10</v>
      </c>
      <c r="AC49" s="68"/>
      <c r="AD49" s="12">
        <v>10</v>
      </c>
      <c r="AE49" s="68"/>
      <c r="AF49" s="12">
        <v>10</v>
      </c>
      <c r="AG49" s="68"/>
      <c r="AH49" s="12">
        <v>10</v>
      </c>
      <c r="AI49" s="68"/>
      <c r="AJ49" s="12">
        <v>10</v>
      </c>
      <c r="AK49" s="68"/>
      <c r="AL49" s="12">
        <v>10</v>
      </c>
      <c r="AM49" s="68"/>
      <c r="AN49" s="12">
        <v>10</v>
      </c>
      <c r="AO49" s="68"/>
      <c r="AP49" s="12">
        <v>10</v>
      </c>
      <c r="AQ49" s="68"/>
      <c r="AR49" s="12">
        <v>10</v>
      </c>
      <c r="AS49" s="68">
        <f>((($W$39)^Q49)*((1-($W$39))^($U$35-Q49))*HLOOKUP($U$35,$AV$24:$BF$34,Q49+1))*V49</f>
        <v>2.1378674356665328E-5</v>
      </c>
      <c r="BI49">
        <f>BQ14+1</f>
        <v>6</v>
      </c>
      <c r="BJ49">
        <v>0</v>
      </c>
      <c r="BK49" s="94">
        <f>$H$31*H39</f>
        <v>2.1032889318614109E-5</v>
      </c>
    </row>
    <row r="50" spans="1:63" ht="15.75" thickBot="1" x14ac:dyDescent="0.3">
      <c r="A50" s="103" t="s">
        <v>125</v>
      </c>
      <c r="B50" s="103" t="s">
        <v>1</v>
      </c>
      <c r="C50" s="103" t="s">
        <v>126</v>
      </c>
      <c r="D50" s="103" t="s">
        <v>135</v>
      </c>
      <c r="E50" s="103" t="s">
        <v>128</v>
      </c>
      <c r="G50" s="66"/>
      <c r="H50" s="67"/>
      <c r="I50" s="27"/>
      <c r="J50" s="27"/>
      <c r="K50" s="67"/>
      <c r="L50" s="67"/>
      <c r="O50" s="26"/>
      <c r="P50" s="26"/>
      <c r="Q50" s="26"/>
      <c r="R50" s="26"/>
      <c r="S50" s="66"/>
      <c r="T50" s="66"/>
      <c r="U50" s="66"/>
      <c r="V50" s="67"/>
      <c r="W50" s="27"/>
      <c r="X50" s="13"/>
      <c r="Y50" s="13"/>
      <c r="BI50">
        <f>BI45+1</f>
        <v>6</v>
      </c>
      <c r="BJ50">
        <v>7</v>
      </c>
      <c r="BK50" s="94">
        <f>$H$31*H46</f>
        <v>9.5627385267418321E-4</v>
      </c>
    </row>
    <row r="51" spans="1:63" ht="15.75" thickBot="1" x14ac:dyDescent="0.3">
      <c r="A51" s="103" t="s">
        <v>5</v>
      </c>
      <c r="B51" s="103" t="s">
        <v>1</v>
      </c>
      <c r="C51" s="103" t="s">
        <v>126</v>
      </c>
      <c r="D51" s="103" t="s">
        <v>136</v>
      </c>
      <c r="E51" s="103" t="s">
        <v>134</v>
      </c>
      <c r="BI51">
        <f>BI46+1</f>
        <v>6</v>
      </c>
      <c r="BJ51">
        <v>8</v>
      </c>
      <c r="BK51" s="94">
        <f>$H$31*H47</f>
        <v>3.9935416228903853E-4</v>
      </c>
    </row>
    <row r="52" spans="1:63" x14ac:dyDescent="0.25">
      <c r="H52" s="94"/>
      <c r="BI52">
        <f>BI47+1</f>
        <v>6</v>
      </c>
      <c r="BJ52">
        <v>9</v>
      </c>
      <c r="BK52" s="94">
        <f>$H$31*H48</f>
        <v>1.2225171154847656E-4</v>
      </c>
    </row>
    <row r="53" spans="1:63" x14ac:dyDescent="0.25">
      <c r="BI53">
        <f>BI48+1</f>
        <v>6</v>
      </c>
      <c r="BJ53">
        <v>10</v>
      </c>
      <c r="BK53" s="94">
        <f>$H$31*H49</f>
        <v>2.6726691203026403E-5</v>
      </c>
    </row>
    <row r="54" spans="1:63" x14ac:dyDescent="0.25">
      <c r="BI54">
        <f>BI51+1</f>
        <v>7</v>
      </c>
      <c r="BJ54">
        <v>8</v>
      </c>
      <c r="BK54" s="94">
        <f>$H$32*H47</f>
        <v>7.7987893049895574E-5</v>
      </c>
    </row>
    <row r="55" spans="1:63" x14ac:dyDescent="0.25">
      <c r="BI55">
        <f>BI52+1</f>
        <v>7</v>
      </c>
      <c r="BJ55">
        <v>9</v>
      </c>
      <c r="BK55" s="94">
        <f>$H$32*H48</f>
        <v>2.3873930224643028E-5</v>
      </c>
    </row>
    <row r="56" spans="1:63" x14ac:dyDescent="0.25">
      <c r="BI56">
        <f>BI53+1</f>
        <v>7</v>
      </c>
      <c r="BJ56">
        <v>10</v>
      </c>
      <c r="BK56" s="94">
        <f>$H$32*H49</f>
        <v>5.2193229267274367E-6</v>
      </c>
    </row>
    <row r="57" spans="1:63" x14ac:dyDescent="0.25">
      <c r="BI57">
        <f>BI55+1</f>
        <v>8</v>
      </c>
      <c r="BJ57">
        <v>9</v>
      </c>
      <c r="BK57" s="94">
        <f>$H$33*H48</f>
        <v>3.4825648919953007E-6</v>
      </c>
    </row>
    <row r="58" spans="1:63" x14ac:dyDescent="0.25">
      <c r="BI58">
        <f>BI56+1</f>
        <v>8</v>
      </c>
      <c r="BJ58">
        <v>10</v>
      </c>
      <c r="BK58" s="94">
        <f>$H$33*H49</f>
        <v>7.6135896409066909E-7</v>
      </c>
    </row>
    <row r="59" spans="1:63" x14ac:dyDescent="0.25">
      <c r="BI59">
        <f>BI58+1</f>
        <v>9</v>
      </c>
      <c r="BJ59">
        <v>10</v>
      </c>
      <c r="BK59" s="94">
        <f>$H$34*H49</f>
        <v>8.1952170655677841E-8</v>
      </c>
    </row>
  </sheetData>
  <mergeCells count="1">
    <mergeCell ref="B3:C3"/>
  </mergeCells>
  <conditionalFormatting sqref="H25:H35">
    <cfRule type="cellIs" dxfId="11" priority="5" operator="greaterThan">
      <formula>0.15</formula>
    </cfRule>
  </conditionalFormatting>
  <conditionalFormatting sqref="H39:H49">
    <cfRule type="cellIs" dxfId="10" priority="1" operator="greaterThan">
      <formula>0.15</formula>
    </cfRule>
  </conditionalFormatting>
  <conditionalFormatting sqref="V25:V35">
    <cfRule type="cellIs" dxfId="9" priority="10" operator="greaterThan">
      <formula>0.15</formula>
    </cfRule>
  </conditionalFormatting>
  <conditionalFormatting sqref="V39:V49">
    <cfRule type="cellIs" dxfId="8" priority="9" operator="greaterThan">
      <formula>0.15</formula>
    </cfRule>
  </conditionalFormatting>
  <pageMargins left="0.7" right="0.7" top="0.75" bottom="0.75" header="0.3" footer="0.3"/>
  <pageSetup paperSize="9" fitToWidth="0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1DF29-E2DE-4384-B127-BB7731412739}">
  <sheetPr>
    <tabColor rgb="FFFFFF00"/>
  </sheetPr>
  <dimension ref="A1:BS59"/>
  <sheetViews>
    <sheetView zoomScale="90" zoomScaleNormal="90" workbookViewId="0">
      <selection activeCell="AJ4" sqref="AJ4:AJ14"/>
    </sheetView>
  </sheetViews>
  <sheetFormatPr baseColWidth="10" defaultColWidth="9.140625" defaultRowHeight="15" x14ac:dyDescent="0.25"/>
  <cols>
    <col min="1" max="1" width="22.42578125" bestFit="1" customWidth="1"/>
    <col min="2" max="3" width="8.85546875" bestFit="1" customWidth="1"/>
    <col min="4" max="4" width="11.28515625" customWidth="1"/>
    <col min="5" max="5" width="9" bestFit="1" customWidth="1"/>
    <col min="6" max="6" width="5.42578125" bestFit="1" customWidth="1"/>
    <col min="7" max="7" width="4.85546875" bestFit="1" customWidth="1"/>
    <col min="8" max="8" width="7.7109375" bestFit="1" customWidth="1"/>
    <col min="9" max="9" width="4.5703125" bestFit="1" customWidth="1"/>
    <col min="10" max="10" width="7.7109375" bestFit="1" customWidth="1"/>
    <col min="11" max="11" width="7.140625" bestFit="1" customWidth="1"/>
    <col min="12" max="12" width="7.7109375" bestFit="1" customWidth="1"/>
    <col min="13" max="13" width="6.28515625" bestFit="1" customWidth="1"/>
    <col min="14" max="15" width="12.42578125" bestFit="1" customWidth="1"/>
    <col min="16" max="16" width="8.85546875" bestFit="1" customWidth="1"/>
    <col min="17" max="17" width="6.85546875" bestFit="1" customWidth="1"/>
    <col min="18" max="18" width="7.7109375" bestFit="1" customWidth="1"/>
    <col min="19" max="19" width="6.7109375" bestFit="1" customWidth="1"/>
    <col min="20" max="20" width="8.85546875" bestFit="1" customWidth="1"/>
    <col min="21" max="21" width="7.5703125" bestFit="1" customWidth="1"/>
    <col min="22" max="22" width="8.85546875" bestFit="1" customWidth="1"/>
    <col min="23" max="23" width="7.5703125" bestFit="1" customWidth="1"/>
    <col min="24" max="25" width="8.140625" bestFit="1" customWidth="1"/>
    <col min="26" max="26" width="6.28515625" bestFit="1" customWidth="1"/>
    <col min="27" max="27" width="7.7109375" bestFit="1" customWidth="1"/>
    <col min="28" max="28" width="6.28515625" bestFit="1" customWidth="1"/>
    <col min="29" max="29" width="7.7109375" bestFit="1" customWidth="1"/>
    <col min="30" max="30" width="6.28515625" bestFit="1" customWidth="1"/>
    <col min="31" max="31" width="7.7109375" bestFit="1" customWidth="1"/>
    <col min="32" max="32" width="3.42578125" bestFit="1" customWidth="1"/>
    <col min="33" max="33" width="7.7109375" bestFit="1" customWidth="1"/>
    <col min="34" max="34" width="6.28515625" bestFit="1" customWidth="1"/>
    <col min="35" max="35" width="7.7109375" bestFit="1" customWidth="1"/>
    <col min="36" max="36" width="6.28515625" bestFit="1" customWidth="1"/>
    <col min="37" max="37" width="7.7109375" bestFit="1" customWidth="1"/>
    <col min="38" max="38" width="5" bestFit="1" customWidth="1"/>
    <col min="39" max="39" width="8.5703125" bestFit="1" customWidth="1"/>
    <col min="40" max="40" width="7.7109375" bestFit="1" customWidth="1"/>
    <col min="41" max="41" width="14.85546875" bestFit="1" customWidth="1"/>
    <col min="42" max="42" width="5" bestFit="1" customWidth="1"/>
    <col min="43" max="43" width="8.5703125" bestFit="1" customWidth="1"/>
    <col min="44" max="44" width="5.42578125" customWidth="1"/>
    <col min="45" max="45" width="8.42578125" customWidth="1"/>
    <col min="46" max="46" width="2.28515625" customWidth="1"/>
    <col min="47" max="47" width="3.42578125" customWidth="1"/>
    <col min="48" max="48" width="4.28515625" customWidth="1"/>
    <col min="49" max="52" width="3" customWidth="1"/>
    <col min="53" max="56" width="3.42578125" customWidth="1"/>
    <col min="57" max="58" width="4.42578125" customWidth="1"/>
    <col min="60" max="60" width="2.42578125" customWidth="1"/>
    <col min="61" max="61" width="3.42578125" customWidth="1"/>
    <col min="62" max="62" width="6.140625" customWidth="1"/>
    <col min="63" max="63" width="5.28515625" bestFit="1" customWidth="1"/>
    <col min="64" max="65" width="3.42578125" customWidth="1"/>
    <col min="66" max="66" width="6.140625" customWidth="1"/>
    <col min="67" max="67" width="5.28515625" bestFit="1" customWidth="1"/>
    <col min="68" max="69" width="2.42578125" customWidth="1"/>
    <col min="70" max="70" width="5.28515625" customWidth="1"/>
  </cols>
  <sheetData>
    <row r="1" spans="1:71" x14ac:dyDescent="0.25">
      <c r="A1" s="27" t="s">
        <v>137</v>
      </c>
      <c r="B1" t="s">
        <v>0</v>
      </c>
      <c r="E1" s="206">
        <v>1.5</v>
      </c>
      <c r="F1" s="206">
        <v>2.5</v>
      </c>
      <c r="G1" s="206">
        <v>3.5</v>
      </c>
      <c r="H1" s="149"/>
      <c r="I1" s="148"/>
      <c r="J1" s="150"/>
      <c r="K1" s="149"/>
      <c r="L1" s="149"/>
      <c r="M1" s="149"/>
      <c r="N1" s="149">
        <f>COUNTIF(B17:C17,"JC")</f>
        <v>0</v>
      </c>
      <c r="O1" s="148"/>
      <c r="P1" s="148"/>
      <c r="Q1" s="235"/>
      <c r="R1" s="235"/>
      <c r="S1" s="151"/>
      <c r="T1" s="151"/>
      <c r="U1" s="148"/>
      <c r="V1" s="148"/>
      <c r="W1" s="148"/>
      <c r="X1" s="148"/>
      <c r="Y1" s="148"/>
      <c r="Z1" s="148"/>
      <c r="AA1" s="148"/>
      <c r="AB1" s="148"/>
      <c r="AC1" s="148"/>
      <c r="AD1" s="148"/>
      <c r="AE1" s="148"/>
      <c r="AF1" s="148"/>
      <c r="AG1" s="148"/>
      <c r="AH1" s="148"/>
      <c r="AI1" s="148"/>
      <c r="AJ1" s="152"/>
      <c r="AK1" s="148"/>
      <c r="AL1" s="148"/>
      <c r="AM1" s="148"/>
      <c r="AN1" s="148"/>
      <c r="AO1" s="148"/>
      <c r="AP1" s="148"/>
      <c r="AQ1" s="148"/>
      <c r="AR1" s="148"/>
      <c r="AS1" s="148"/>
      <c r="AT1" s="148"/>
      <c r="AU1" s="148"/>
      <c r="AV1" s="148"/>
      <c r="AW1" s="148"/>
      <c r="AX1" s="148"/>
      <c r="AY1" s="148"/>
      <c r="AZ1" s="148"/>
    </row>
    <row r="2" spans="1:71" ht="15.75" x14ac:dyDescent="0.25">
      <c r="A2" s="27" t="s">
        <v>139</v>
      </c>
      <c r="B2" t="s">
        <v>0</v>
      </c>
      <c r="E2" s="148"/>
      <c r="F2" s="148"/>
      <c r="G2" s="148"/>
      <c r="H2" s="148"/>
      <c r="I2" s="148"/>
      <c r="J2" s="148"/>
      <c r="K2" s="148"/>
      <c r="L2" s="148"/>
      <c r="M2" s="148"/>
      <c r="N2" s="165">
        <f>SUM(N4:N15)</f>
        <v>3.5750000000000002</v>
      </c>
      <c r="O2" s="148"/>
      <c r="P2" s="149"/>
      <c r="Q2" s="149"/>
      <c r="R2" s="146">
        <f>SUM(R4:R15)</f>
        <v>1.6799999999999997</v>
      </c>
      <c r="S2" s="146">
        <f>SUM(S4:S15)</f>
        <v>3.5750000000000006</v>
      </c>
      <c r="T2" s="181">
        <f t="shared" ref="T2:U2" si="0">SUM(T4:T15)</f>
        <v>1.6724879535147399</v>
      </c>
      <c r="U2" s="181">
        <f t="shared" si="0"/>
        <v>0.83852395124716561</v>
      </c>
      <c r="V2" s="13"/>
      <c r="W2" s="13"/>
      <c r="X2" s="211">
        <f t="shared" ref="X2:Y2" si="1">SUM(X4:X15)</f>
        <v>0.83719143282312936</v>
      </c>
      <c r="Y2" s="212">
        <f t="shared" si="1"/>
        <v>0.50404156037414971</v>
      </c>
      <c r="Z2" s="148"/>
      <c r="AA2" s="154" t="s">
        <v>19</v>
      </c>
      <c r="AB2" s="154" t="s">
        <v>20</v>
      </c>
      <c r="AC2" s="154" t="s">
        <v>21</v>
      </c>
      <c r="AD2" s="154" t="s">
        <v>22</v>
      </c>
      <c r="AE2" s="156"/>
      <c r="AF2" s="148"/>
      <c r="AG2" s="155" t="s">
        <v>24</v>
      </c>
      <c r="AH2" s="155" t="s">
        <v>20</v>
      </c>
      <c r="AI2" s="155" t="s">
        <v>21</v>
      </c>
      <c r="AJ2" s="155" t="s">
        <v>22</v>
      </c>
      <c r="AK2" s="157"/>
      <c r="AL2" s="148"/>
      <c r="AM2" s="148"/>
      <c r="AN2" s="148"/>
      <c r="AO2" s="148"/>
      <c r="AP2" s="148"/>
      <c r="AQ2" s="148"/>
      <c r="AR2" s="148"/>
      <c r="AS2" s="148"/>
      <c r="AT2" s="148"/>
      <c r="AU2" s="148"/>
      <c r="AV2" s="148"/>
      <c r="AW2" s="148"/>
      <c r="AX2" s="148"/>
      <c r="AY2" s="148"/>
      <c r="AZ2" s="148"/>
    </row>
    <row r="3" spans="1:71" ht="15.75" x14ac:dyDescent="0.25">
      <c r="A3" s="137" t="s">
        <v>4</v>
      </c>
      <c r="B3" s="234" t="s">
        <v>5</v>
      </c>
      <c r="C3" s="234"/>
      <c r="D3" t="str">
        <f>IF(B3="Sol","SI",IF(B3="Lluvia","SI","NO"))</f>
        <v>SI</v>
      </c>
      <c r="E3" s="174"/>
      <c r="F3" s="175"/>
      <c r="G3" s="201" t="s">
        <v>151</v>
      </c>
      <c r="H3" s="174"/>
      <c r="I3" s="174"/>
      <c r="J3" s="148"/>
      <c r="K3" s="182" t="s">
        <v>155</v>
      </c>
      <c r="L3" s="182" t="s">
        <v>156</v>
      </c>
      <c r="M3" s="182" t="s">
        <v>25</v>
      </c>
      <c r="N3" s="182" t="s">
        <v>25</v>
      </c>
      <c r="O3" s="182" t="s">
        <v>157</v>
      </c>
      <c r="P3" s="185" t="s">
        <v>158</v>
      </c>
      <c r="Q3" s="187" t="s">
        <v>159</v>
      </c>
      <c r="R3" s="182" t="s">
        <v>25</v>
      </c>
      <c r="S3" s="182" t="s">
        <v>160</v>
      </c>
      <c r="T3" s="185" t="s">
        <v>161</v>
      </c>
      <c r="U3" s="187" t="s">
        <v>162</v>
      </c>
      <c r="V3" s="185" t="s">
        <v>163</v>
      </c>
      <c r="W3" s="187" t="s">
        <v>164</v>
      </c>
      <c r="X3" s="207" t="s">
        <v>165</v>
      </c>
      <c r="Y3" s="208" t="s">
        <v>166</v>
      </c>
      <c r="Z3" s="148"/>
      <c r="AA3" s="148"/>
      <c r="AB3" s="148"/>
      <c r="AC3" s="148"/>
      <c r="AD3" s="148"/>
      <c r="AE3" s="148"/>
      <c r="AF3" s="148"/>
      <c r="AG3" s="148"/>
      <c r="AH3" s="148"/>
      <c r="AI3" s="148"/>
      <c r="AJ3" s="148"/>
      <c r="AK3" s="148"/>
      <c r="AL3" s="148"/>
      <c r="AM3" s="148"/>
      <c r="AN3" s="153"/>
      <c r="AO3" s="153"/>
      <c r="AP3" s="148"/>
      <c r="AQ3" s="148"/>
      <c r="AR3" s="148"/>
      <c r="AS3" s="148"/>
      <c r="AT3" s="148"/>
      <c r="AU3" s="148"/>
      <c r="AV3" s="148"/>
      <c r="AW3" s="148"/>
      <c r="AX3" s="148"/>
      <c r="AY3" s="148"/>
      <c r="AZ3" s="148"/>
    </row>
    <row r="4" spans="1:71" ht="15.75" x14ac:dyDescent="0.25">
      <c r="A4" s="107"/>
      <c r="B4" s="8" t="s">
        <v>9</v>
      </c>
      <c r="C4" s="9" t="s">
        <v>10</v>
      </c>
      <c r="D4" s="13"/>
      <c r="E4" s="201" t="s">
        <v>151</v>
      </c>
      <c r="F4" s="201" t="s">
        <v>151</v>
      </c>
      <c r="G4" s="201" t="s">
        <v>151</v>
      </c>
      <c r="H4" s="201" t="s">
        <v>151</v>
      </c>
      <c r="I4" s="201" t="s">
        <v>151</v>
      </c>
      <c r="J4" s="148"/>
      <c r="K4" s="173">
        <v>5</v>
      </c>
      <c r="L4" s="173">
        <v>6</v>
      </c>
      <c r="M4" s="183">
        <v>0.45</v>
      </c>
      <c r="N4" s="183">
        <f>IF($N$1=2,M4*$G$1/$E$1,IF($N$1=1,M4*$F$1/$E$1,M4))</f>
        <v>0.45</v>
      </c>
      <c r="O4" s="173" t="s">
        <v>167</v>
      </c>
      <c r="P4" s="175">
        <f>COUNTIF(E3:I4,"IMP")</f>
        <v>0</v>
      </c>
      <c r="Q4" s="176">
        <f>COUNTIF(E8:I9,"IMP")</f>
        <v>0</v>
      </c>
      <c r="R4" s="167">
        <f t="shared" ref="R4:R15" si="2">IF(P4+Q4=0,0,N4)</f>
        <v>0</v>
      </c>
      <c r="S4" s="167">
        <f t="shared" ref="S4:S15" si="3">R4*$N$2/$R$2</f>
        <v>0</v>
      </c>
      <c r="T4" s="186">
        <f t="shared" ref="T4:T9" si="4">IF(S4=0,0,IF(Q4=0,S4*P4/L4,S4*P4/(L4*2)))</f>
        <v>0</v>
      </c>
      <c r="U4" s="188">
        <f t="shared" ref="U4:U9" si="5">IF(S4=0,0,IF(P4=0,S4*Q4/L4,S4*Q4/(L4*2)))</f>
        <v>0</v>
      </c>
      <c r="V4" s="180">
        <f>$G$17</f>
        <v>0.56999999999999995</v>
      </c>
      <c r="W4" s="178">
        <f>$H$17</f>
        <v>0.56999999999999995</v>
      </c>
      <c r="X4" s="209">
        <f>V4*T4</f>
        <v>0</v>
      </c>
      <c r="Y4" s="210">
        <f>W4*U4</f>
        <v>0</v>
      </c>
      <c r="Z4" s="155"/>
      <c r="AA4" s="203">
        <f t="shared" ref="AA4:AA14" si="6">X5</f>
        <v>0</v>
      </c>
      <c r="AB4" s="204">
        <f t="shared" ref="AB4:AB15" si="7">(1-AA4)</f>
        <v>1</v>
      </c>
      <c r="AC4" s="204">
        <f>AA4*AB3*PRODUCT(AB5:AB17)</f>
        <v>0</v>
      </c>
      <c r="AD4" s="204">
        <f>AA4*AA5*PRODUCT(AB6:AB17)*PRODUCT(AB3)+AA4*AA6*PRODUCT(AB7:AB17)*AB3*PRODUCT(AB5)+AA4*AA7*PRODUCT(AB8:AB17)*AB3*PRODUCT(AB5:AB6)+AA4*AA8*PRODUCT(AB9:AB17)*AB3*PRODUCT(AB5:AB7)+AA4*AA9*PRODUCT(AB10:AB17)*AB3*PRODUCT(AB5:AB8)+AA4*AA10*PRODUCT(AB11:AB17)*AB3*PRODUCT(AB5:AB9)+AA4*AA11*PRODUCT(AB12:AB17)*AB3*PRODUCT(AB5:AB10)+AA4*AA12*PRODUCT(AB13:AB17)*AB3*PRODUCT(AB5:AB11)+AA4*AA13*PRODUCT(AB14:AB17)*AB3*PRODUCT(AB5:AB12)+AA4*AA14*PRODUCT(AB15:AB17)*AB3*PRODUCT(AB5:AB13)+AA4*AA15*PRODUCT(AB16:AB17)*AB3*PRODUCT(AB5:AB14)+AA4*AA16*PRODUCT(AB17)*AB3*PRODUCT(AB5:AB15)+AA4*AA17*AB3*PRODUCT(AB5:AB16)</f>
        <v>0</v>
      </c>
      <c r="AE4" s="148"/>
      <c r="AF4" s="155"/>
      <c r="AG4" s="205">
        <f>Y4</f>
        <v>0</v>
      </c>
      <c r="AH4" s="178">
        <f t="shared" ref="AH4:AH15" si="8">(1-AG4)</f>
        <v>1</v>
      </c>
      <c r="AI4" s="178">
        <f>AG4*AH3*PRODUCT(AH5:AH17)</f>
        <v>0</v>
      </c>
      <c r="AJ4" s="178">
        <f>AG4*AG5*PRODUCT(AH6:AH17)*PRODUCT(AH3)+AG4*AG6*PRODUCT(AH7:AH17)*AH3*PRODUCT(AH5)+AG4*AG7*PRODUCT(AH8:AH17)*AH3*PRODUCT(AH5:AH6)+AG4*AG8*PRODUCT(AH9:AH17)*AH3*PRODUCT(AH5:AH7)+AG4*AG9*PRODUCT(AH10:AH17)*AH3*PRODUCT(AH5:AH8)+AG4*AG10*PRODUCT(AH11:AH17)*AH3*PRODUCT(AH5:AH9)+AG4*AG11*PRODUCT(AH12:AH17)*AH3*PRODUCT(AH5:AH10)+AG4*AG12*PRODUCT(AH13:AH17)*AH3*PRODUCT(AH5:AH11)+AG4*AG13*PRODUCT(AH14:AH17)*AH3*PRODUCT(AH5:AH12)+AG4*AG14*PRODUCT(AH15:AH17)*AH3*PRODUCT(AH5:AH13)+AG4*AG15*PRODUCT(AH16:AH17)*AH3*PRODUCT(AH5:AH14)+AG4*AG16*PRODUCT(AH17)*AH3*PRODUCT(AH5:AH15)+AG4*AG17*AH3*PRODUCT(AH5:AH16)</f>
        <v>0</v>
      </c>
      <c r="AK4" s="148"/>
      <c r="AL4" s="155"/>
      <c r="AM4" s="155"/>
      <c r="AN4" s="149"/>
      <c r="AO4" s="148"/>
      <c r="AP4" s="148"/>
      <c r="AQ4" s="148"/>
      <c r="AR4" s="148"/>
      <c r="AS4" s="148"/>
      <c r="AT4" s="148"/>
      <c r="AU4" s="148"/>
      <c r="AV4" s="148"/>
      <c r="AW4" s="148"/>
      <c r="AX4" s="148"/>
      <c r="AY4" s="148"/>
      <c r="AZ4" s="148"/>
      <c r="BI4">
        <v>0</v>
      </c>
      <c r="BJ4">
        <v>1</v>
      </c>
      <c r="BK4" s="94">
        <f t="shared" ref="BK4:BK13" si="9">$H$25*H40</f>
        <v>3.312916540316675E-3</v>
      </c>
      <c r="BM4">
        <v>0</v>
      </c>
      <c r="BN4">
        <v>0</v>
      </c>
      <c r="BO4" s="94">
        <f>H25*H39</f>
        <v>4.9015589173713285E-4</v>
      </c>
      <c r="BQ4">
        <v>1</v>
      </c>
      <c r="BR4">
        <v>0</v>
      </c>
      <c r="BS4" s="94">
        <f>$H$26*H39</f>
        <v>1.2316117976385217E-3</v>
      </c>
    </row>
    <row r="5" spans="1:71" ht="15.75" x14ac:dyDescent="0.25">
      <c r="A5" s="34" t="s">
        <v>26</v>
      </c>
      <c r="B5" s="135">
        <v>352</v>
      </c>
      <c r="C5" s="135">
        <v>352</v>
      </c>
      <c r="E5" s="201" t="s">
        <v>1</v>
      </c>
      <c r="F5" s="201" t="s">
        <v>151</v>
      </c>
      <c r="G5" s="201" t="s">
        <v>138</v>
      </c>
      <c r="H5" s="201" t="s">
        <v>151</v>
      </c>
      <c r="I5" s="201" t="s">
        <v>1</v>
      </c>
      <c r="J5" s="148"/>
      <c r="K5" s="173">
        <v>6</v>
      </c>
      <c r="L5" s="173">
        <v>8</v>
      </c>
      <c r="M5" s="183">
        <v>0.35</v>
      </c>
      <c r="N5" s="183">
        <f t="shared" ref="N5:N15" si="10">IF($N$1=2,M5*$G$1/$E$1,IF($N$1=1,M5*$F$1/$E$1,M5))</f>
        <v>0.35</v>
      </c>
      <c r="O5" s="173" t="s">
        <v>168</v>
      </c>
      <c r="P5" s="175">
        <f>COUNTIF(E5:I6,"IMP")</f>
        <v>0</v>
      </c>
      <c r="Q5" s="176">
        <f>COUNTIF(E10:I11,"IMP")</f>
        <v>0</v>
      </c>
      <c r="R5" s="167">
        <f t="shared" si="2"/>
        <v>0</v>
      </c>
      <c r="S5" s="167">
        <f t="shared" si="3"/>
        <v>0</v>
      </c>
      <c r="T5" s="186">
        <f t="shared" si="4"/>
        <v>0</v>
      </c>
      <c r="U5" s="188">
        <f t="shared" si="5"/>
        <v>0</v>
      </c>
      <c r="V5" s="180">
        <f>$G$17</f>
        <v>0.56999999999999995</v>
      </c>
      <c r="W5" s="178">
        <f>$H$17</f>
        <v>0.56999999999999995</v>
      </c>
      <c r="X5" s="209">
        <f t="shared" ref="X5:Y15" si="11">V5*T5</f>
        <v>0</v>
      </c>
      <c r="Y5" s="210">
        <f t="shared" si="11"/>
        <v>0</v>
      </c>
      <c r="Z5" s="164"/>
      <c r="AA5" s="203">
        <f t="shared" si="6"/>
        <v>0</v>
      </c>
      <c r="AB5" s="204">
        <f t="shared" si="7"/>
        <v>1</v>
      </c>
      <c r="AC5" s="204">
        <f>AA5*PRODUCT(AB3:AB4)*PRODUCT(AB6:AB17)</f>
        <v>0</v>
      </c>
      <c r="AD5" s="204">
        <f>AA5*AA6*PRODUCT(AB7:AB17)*PRODUCT(AB3:AB4)+AA5*AA7*PRODUCT(AB8:AB17)*PRODUCT(AB3:AB4)*PRODUCT(AB6)+AA5*AA8*PRODUCT(AB9:AB17)*PRODUCT(AB3:AB4)*PRODUCT(AB6:AB7)+AA5*AA9*PRODUCT(AB10:AB17)*PRODUCT(AB3:AB4)*PRODUCT(AB6:AB8)+AA5*AA10*PRODUCT(AB11:AB17)*PRODUCT(AB3:AB4)*PRODUCT(AB6:AB9)+AA5*AA11*PRODUCT(AB12:AB17)*PRODUCT(AB3:AB4)*PRODUCT(AB6:AB10)+AA5*AA12*PRODUCT(AB13:AB17)*PRODUCT(AB3:AB4)*PRODUCT(AB6:AB11)+AA5*AA13*PRODUCT(AB14:AB17)*PRODUCT(AB3:AB4)*PRODUCT(AB6:AB12)+AA5*AA14*PRODUCT(AB15:AB17)*PRODUCT(AB3:AB4)*PRODUCT(AB6:AB13)+AA5*AA15*PRODUCT(AB16:AB17)*PRODUCT(AB3:AB4)*PRODUCT(AB6:AB14)+AA5*AA16*PRODUCT(AB17)*PRODUCT(AB3:AB4)*PRODUCT(AB6:AB15)+AA5*AA17*PRODUCT(AB3:AB4)*PRODUCT(AB6:AB16)</f>
        <v>0</v>
      </c>
      <c r="AE5" s="148"/>
      <c r="AF5" s="162"/>
      <c r="AG5" s="205">
        <f t="shared" ref="AG5:AG15" si="12">Y5</f>
        <v>0</v>
      </c>
      <c r="AH5" s="178">
        <f t="shared" si="8"/>
        <v>1</v>
      </c>
      <c r="AI5" s="178">
        <f>AG5*PRODUCT(AH3:AH4)*PRODUCT(AH6:AH17)</f>
        <v>0</v>
      </c>
      <c r="AJ5" s="178">
        <f>AG5*AG6*PRODUCT(AH7:AH17)*PRODUCT(AH3:AH4)+AG5*AG7*PRODUCT(AH8:AH17)*PRODUCT(AH3:AH4)*PRODUCT(AH6)+AG5*AG8*PRODUCT(AH9:AH17)*PRODUCT(AH3:AH4)*PRODUCT(AH6:AH7)+AG5*AG9*PRODUCT(AH10:AH17)*PRODUCT(AH3:AH4)*PRODUCT(AH6:AH8)+AG5*AG10*PRODUCT(AH11:AH17)*PRODUCT(AH3:AH4)*PRODUCT(AH6:AH9)+AG5*AG11*PRODUCT(AH12:AH17)*PRODUCT(AH3:AH4)*PRODUCT(AH6:AH10)+AG5*AG12*PRODUCT(AH13:AH17)*PRODUCT(AH3:AH4)*PRODUCT(AH6:AH11)+AG5*AG13*PRODUCT(AH14:AH17)*PRODUCT(AH3:AH4)*PRODUCT(AH6:AH12)+AG5*AG14*PRODUCT(AH15:AH17)*PRODUCT(AH3:AH4)*PRODUCT(AH6:AH13)+AG5*AG15*PRODUCT(AH16:AH17)*PRODUCT(AH3:AH4)*PRODUCT(AH6:AH14)+AG5*AG16*PRODUCT(AH17)*PRODUCT(AH3:AH4)*PRODUCT(AH6:AH15)+AG5*AG17*PRODUCT(AH3:AH4)*PRODUCT(AH6:AH16)</f>
        <v>0</v>
      </c>
      <c r="AK5" s="148"/>
      <c r="AL5" s="165"/>
      <c r="AM5" s="148"/>
      <c r="AN5" s="153"/>
      <c r="AO5" s="167"/>
      <c r="AP5" s="148"/>
      <c r="AQ5" s="148"/>
      <c r="AR5" s="148"/>
      <c r="AS5" s="148"/>
      <c r="AT5" s="148"/>
      <c r="AU5" s="148"/>
      <c r="AV5" s="148"/>
      <c r="AW5" s="148"/>
      <c r="AX5" s="148"/>
      <c r="AY5" s="148"/>
      <c r="AZ5" s="148"/>
      <c r="BI5">
        <v>0</v>
      </c>
      <c r="BJ5">
        <v>2</v>
      </c>
      <c r="BK5" s="94">
        <f t="shared" si="9"/>
        <v>1.0240944872970474E-2</v>
      </c>
      <c r="BM5">
        <v>1</v>
      </c>
      <c r="BN5">
        <v>1</v>
      </c>
      <c r="BO5" s="94">
        <f>$H$26*H40</f>
        <v>8.3243457121066483E-3</v>
      </c>
      <c r="BQ5">
        <f>BQ4+1</f>
        <v>2</v>
      </c>
      <c r="BR5">
        <v>0</v>
      </c>
      <c r="BS5" s="94">
        <f>$H$27*H39</f>
        <v>1.4028311690083171E-3</v>
      </c>
    </row>
    <row r="6" spans="1:71" ht="15.75" x14ac:dyDescent="0.25">
      <c r="A6" s="2" t="s">
        <v>31</v>
      </c>
      <c r="B6" s="191">
        <v>10</v>
      </c>
      <c r="C6" s="192">
        <v>11</v>
      </c>
      <c r="E6" s="174"/>
      <c r="F6" s="201" t="s">
        <v>1</v>
      </c>
      <c r="G6" s="201" t="s">
        <v>151</v>
      </c>
      <c r="H6" s="201" t="s">
        <v>1</v>
      </c>
      <c r="I6" s="174"/>
      <c r="J6" s="148"/>
      <c r="K6" s="173">
        <v>8</v>
      </c>
      <c r="L6" s="173">
        <v>13</v>
      </c>
      <c r="M6" s="183">
        <v>0.45</v>
      </c>
      <c r="N6" s="183">
        <f t="shared" si="10"/>
        <v>0.45</v>
      </c>
      <c r="O6" s="173" t="s">
        <v>33</v>
      </c>
      <c r="P6" s="175">
        <f>COUNTIF(E4:I6,"IMP")</f>
        <v>0</v>
      </c>
      <c r="Q6" s="176">
        <f>COUNTIF(E9:I11,"IMP")</f>
        <v>0</v>
      </c>
      <c r="R6" s="167">
        <f t="shared" si="2"/>
        <v>0</v>
      </c>
      <c r="S6" s="167">
        <f t="shared" si="3"/>
        <v>0</v>
      </c>
      <c r="T6" s="186">
        <f t="shared" si="4"/>
        <v>0</v>
      </c>
      <c r="U6" s="188">
        <f t="shared" si="5"/>
        <v>0</v>
      </c>
      <c r="V6" s="180">
        <f>$G$18</f>
        <v>0.45</v>
      </c>
      <c r="W6" s="178">
        <f>$H$18</f>
        <v>0.45</v>
      </c>
      <c r="X6" s="209">
        <f t="shared" si="11"/>
        <v>0</v>
      </c>
      <c r="Y6" s="210">
        <f t="shared" si="11"/>
        <v>0</v>
      </c>
      <c r="Z6" s="164"/>
      <c r="AA6" s="203">
        <f t="shared" si="6"/>
        <v>0</v>
      </c>
      <c r="AB6" s="204">
        <f t="shared" si="7"/>
        <v>1</v>
      </c>
      <c r="AC6" s="204">
        <f>AA6*PRODUCT(AB3:AB5)*PRODUCT(AB7:AB17)</f>
        <v>0</v>
      </c>
      <c r="AD6" s="204">
        <f>AA6*AA7*PRODUCT(AB3:AB5)*PRODUCT(AB8:AB17)+AA6*AA8*PRODUCT(AB3:AB5)*PRODUCT(AB7)*PRODUCT(AB9:AB17)+AA6*AA9*PRODUCT(AB3:AB5)*PRODUCT(AB7:AB8)*PRODUCT(AB10:AB17)+AA6*AA10*PRODUCT(AB3:AB5)*PRODUCT(AB7:AB9)*PRODUCT(AB11:AB17)+AA6*AA11*PRODUCT(AB3:AB5)*PRODUCT(AB7:AB10)*PRODUCT(AB12:AB17)+AA6*AA12*PRODUCT(AB3:AB5)*PRODUCT(AB7:AB11)*PRODUCT(AB13:AB17)+AA6*AA13*PRODUCT(AB3:AB5)*PRODUCT(AB7:AB12)*PRODUCT(AB14:AB17)+AA6*AA14*PRODUCT(AB3:AB5)*PRODUCT(AB7:AB13)*PRODUCT(AB15:AB17)+AA6*AA15*PRODUCT(AB3:AB5)*PRODUCT(AB7:AB14)*PRODUCT(AB16:AB17)+AA6*AA16*PRODUCT(AB3:AB5)*PRODUCT(AB7:AB15)*PRODUCT(AB17)+AA6*AA17*PRODUCT(AB3:AB5)*PRODUCT(AB7:AB16)</f>
        <v>0</v>
      </c>
      <c r="AE6" s="148"/>
      <c r="AF6" s="162"/>
      <c r="AG6" s="205">
        <f t="shared" si="12"/>
        <v>0</v>
      </c>
      <c r="AH6" s="178">
        <f t="shared" si="8"/>
        <v>1</v>
      </c>
      <c r="AI6" s="178">
        <f>AG6*PRODUCT(AH3:AH5)*PRODUCT(AH7:AH17)</f>
        <v>0</v>
      </c>
      <c r="AJ6" s="178">
        <f>AG6*AG7*PRODUCT(AH3:AH5)*PRODUCT(AH8:AH17)+AG6*AG8*PRODUCT(AH3:AH5)*PRODUCT(AH7)*PRODUCT(AH9:AH17)+AG6*AG9*PRODUCT(AH3:AH5)*PRODUCT(AH7:AH8)*PRODUCT(AH10:AH17)+AG6*AG10*PRODUCT(AH3:AH5)*PRODUCT(AH7:AH9)*PRODUCT(AH11:AH17)+AG6*AG11*PRODUCT(AH3:AH5)*PRODUCT(AH7:AH10)*PRODUCT(AH12:AH17)+AG6*AG12*PRODUCT(AH3:AH5)*PRODUCT(AH7:AH11)*PRODUCT(AH13:AH17)+AG6*AG13*PRODUCT(AH3:AH5)*PRODUCT(AH7:AH12)*PRODUCT(AH14:AH17)+AG6*AG14*PRODUCT(AH3:AH5)*PRODUCT(AH7:AH13)*PRODUCT(AH15:AH17)+AG6*AG15*PRODUCT(AH3:AH5)*PRODUCT(AH7:AH14)*PRODUCT(AH16:AH17)+AG6*AG16*PRODUCT(AH3:AH5)*PRODUCT(AH7:AH15)*PRODUCT(AH17)+AG6*AG17*PRODUCT(AH3:AH5)*PRODUCT(AH7:AH16)</f>
        <v>0</v>
      </c>
      <c r="AK6" s="148"/>
      <c r="AL6" s="165"/>
      <c r="AM6" s="148"/>
      <c r="AN6" s="153"/>
      <c r="AO6" s="167"/>
      <c r="AP6" s="148"/>
      <c r="AQ6" s="148"/>
      <c r="AR6" s="148"/>
      <c r="AS6" s="148"/>
      <c r="AT6" s="148"/>
      <c r="AU6" s="148"/>
      <c r="AV6" s="148"/>
      <c r="AW6" s="148"/>
      <c r="AX6" s="148"/>
      <c r="AY6" s="148"/>
      <c r="AZ6" s="148"/>
      <c r="BI6">
        <v>0</v>
      </c>
      <c r="BJ6">
        <v>3</v>
      </c>
      <c r="BK6" s="94">
        <f t="shared" si="9"/>
        <v>1.9154551098705209E-2</v>
      </c>
      <c r="BM6">
        <f>BI14+1</f>
        <v>2</v>
      </c>
      <c r="BN6">
        <v>2</v>
      </c>
      <c r="BO6" s="94">
        <f>$H$27*H41</f>
        <v>2.9309688835900922E-2</v>
      </c>
      <c r="BQ6">
        <f>BM5+1</f>
        <v>2</v>
      </c>
      <c r="BR6">
        <v>1</v>
      </c>
      <c r="BS6" s="94">
        <f>$H$27*H40</f>
        <v>9.48160097924893E-3</v>
      </c>
    </row>
    <row r="7" spans="1:71" ht="15.75" x14ac:dyDescent="0.25">
      <c r="A7" s="5" t="s">
        <v>36</v>
      </c>
      <c r="B7" s="191">
        <v>10</v>
      </c>
      <c r="C7" s="192">
        <v>12</v>
      </c>
      <c r="E7" s="149"/>
      <c r="F7" s="149"/>
      <c r="G7" s="149"/>
      <c r="H7" s="149"/>
      <c r="I7" s="149"/>
      <c r="J7" s="148"/>
      <c r="K7" s="173">
        <v>9</v>
      </c>
      <c r="L7" s="173">
        <v>8</v>
      </c>
      <c r="M7" s="183">
        <v>0.02</v>
      </c>
      <c r="N7" s="183">
        <f t="shared" si="10"/>
        <v>0.02</v>
      </c>
      <c r="O7" s="173" t="s">
        <v>169</v>
      </c>
      <c r="P7" s="175">
        <f>COUNTIF(E9:I9,"IMP")+COUNTIF(F10:H10,"IMP")</f>
        <v>0</v>
      </c>
      <c r="Q7" s="176">
        <f>COUNTIF(E4:I4,"IMP")+COUNTIF(F5:H5,"IMP")</f>
        <v>0</v>
      </c>
      <c r="R7" s="167">
        <f t="shared" si="2"/>
        <v>0</v>
      </c>
      <c r="S7" s="167">
        <f t="shared" si="3"/>
        <v>0</v>
      </c>
      <c r="T7" s="186">
        <f t="shared" si="4"/>
        <v>0</v>
      </c>
      <c r="U7" s="188">
        <f t="shared" si="5"/>
        <v>0</v>
      </c>
      <c r="V7" s="180">
        <f>$G$18</f>
        <v>0.45</v>
      </c>
      <c r="W7" s="178">
        <f>$H$18</f>
        <v>0.45</v>
      </c>
      <c r="X7" s="209">
        <f t="shared" si="11"/>
        <v>0</v>
      </c>
      <c r="Y7" s="210">
        <f t="shared" si="11"/>
        <v>0</v>
      </c>
      <c r="Z7" s="164"/>
      <c r="AA7" s="203">
        <f t="shared" si="6"/>
        <v>0.30323660714285722</v>
      </c>
      <c r="AB7" s="204">
        <f t="shared" si="7"/>
        <v>0.69676339285714284</v>
      </c>
      <c r="AC7" s="204">
        <f>AA7*PRODUCT(AB3:AB6)*PRODUCT(AB8:AB17)</f>
        <v>0.16651377767806427</v>
      </c>
      <c r="AD7" s="204">
        <f>AA7*AA8*PRODUCT(AB3:AB6)*PRODUCT(AB9:AB17)+AA7*AA9*PRODUCT(AB3:AB6)*PRODUCT(AB8)*PRODUCT(AB10:AB17)+AA7*AA10*PRODUCT(AB3:AB6)*PRODUCT(AB8:AB9)*PRODUCT(AB11:AB17)+AA7*AA11*PRODUCT(AB3:AB6)*PRODUCT(AB8:AB10)*PRODUCT(AB12:AB17)+AA7*AA12*PRODUCT(AB3:AB6)*PRODUCT(AB8:AB11)*PRODUCT(AB13:AB17)+AA7*AA13*PRODUCT(AB3:AB6)*PRODUCT(AB8:AB12)*PRODUCT(AB14:AB17)+AA7*AA14*PRODUCT(AB3:AB6)*PRODUCT(AB8:AB13)*PRODUCT(AB15:AB17)+AA7*AA15*PRODUCT(AB3:AB6)*PRODUCT(AB8:AB14)*PRODUCT(AB16:AB17)+AA7*AA16*PRODUCT(AB3:AB6)*PRODUCT(AB8:AB15)*PRODUCT(AB17)+AA7*AA17*PRODUCT(AB3:AB6)*PRODUCT(AB8:AB16)</f>
        <v>0.11340878576683398</v>
      </c>
      <c r="AE7" s="148"/>
      <c r="AF7" s="162"/>
      <c r="AG7" s="205">
        <f t="shared" si="12"/>
        <v>0</v>
      </c>
      <c r="AH7" s="178">
        <f t="shared" si="8"/>
        <v>1</v>
      </c>
      <c r="AI7" s="178">
        <f>AG7*PRODUCT(AH3:AH6)*PRODUCT(AH8:AH17)</f>
        <v>0</v>
      </c>
      <c r="AJ7" s="178">
        <f>AG7*AG8*PRODUCT(AH3:AH6)*PRODUCT(AH9:AH17)+AG7*AG9*PRODUCT(AH3:AH6)*PRODUCT(AH8)*PRODUCT(AH10:AH17)+AG7*AG10*PRODUCT(AH3:AH6)*PRODUCT(AH8:AH9)*PRODUCT(AH11:AH17)+AG7*AG11*PRODUCT(AH3:AH6)*PRODUCT(AH8:AH10)*PRODUCT(AH12:AH17)+AG7*AG12*PRODUCT(AH3:AH6)*PRODUCT(AH8:AH11)*PRODUCT(AH13:AH17)+AG7*AG13*PRODUCT(AH3:AH6)*PRODUCT(AH8:AH12)*PRODUCT(AH14:AH17)+AG7*AG14*PRODUCT(AH3:AH6)*PRODUCT(AH8:AH13)*PRODUCT(AH15:AH17)+AG7*AG15*PRODUCT(AH3:AH6)*PRODUCT(AH8:AH14)*PRODUCT(AH16:AH17)+AG7*AG16*PRODUCT(AH3:AH6)*PRODUCT(AH8:AH15)*PRODUCT(AH17)+AG7*AG17*PRODUCT(AH3:AH6)*PRODUCT(AH8:AH16)</f>
        <v>0</v>
      </c>
      <c r="AK7" s="148"/>
      <c r="AL7" s="165"/>
      <c r="AM7" s="148"/>
      <c r="AN7" s="153"/>
      <c r="AO7" s="167"/>
      <c r="AP7" s="148"/>
      <c r="AQ7" s="148"/>
      <c r="AR7" s="148"/>
      <c r="AS7" s="148"/>
      <c r="AT7" s="148"/>
      <c r="AU7" s="148"/>
      <c r="AV7" s="148"/>
      <c r="AW7" s="148"/>
      <c r="AX7" s="148"/>
      <c r="AY7" s="148"/>
      <c r="AZ7" s="148"/>
      <c r="BI7">
        <v>0</v>
      </c>
      <c r="BJ7">
        <v>4</v>
      </c>
      <c r="BK7" s="94">
        <f t="shared" si="9"/>
        <v>2.416410198603625E-2</v>
      </c>
      <c r="BM7">
        <f>BI23+1</f>
        <v>3</v>
      </c>
      <c r="BN7">
        <v>3</v>
      </c>
      <c r="BO7" s="94">
        <f>$H$28*H42</f>
        <v>3.7787784332545628E-2</v>
      </c>
      <c r="BQ7">
        <f>BQ5+1</f>
        <v>3</v>
      </c>
      <c r="BR7">
        <v>0</v>
      </c>
      <c r="BS7" s="94">
        <f>$H$28*H39</f>
        <v>9.6697150618901134E-4</v>
      </c>
    </row>
    <row r="8" spans="1:71" ht="15.75" x14ac:dyDescent="0.25">
      <c r="A8" s="5" t="s">
        <v>39</v>
      </c>
      <c r="B8" s="191">
        <v>10</v>
      </c>
      <c r="C8" s="192">
        <v>12</v>
      </c>
      <c r="E8" s="150"/>
      <c r="F8" s="176"/>
      <c r="G8" s="202" t="s">
        <v>151</v>
      </c>
      <c r="H8" s="150"/>
      <c r="I8" s="150"/>
      <c r="J8" s="148"/>
      <c r="K8" s="173">
        <v>15</v>
      </c>
      <c r="L8" s="173">
        <v>8</v>
      </c>
      <c r="M8" s="183">
        <v>0.5</v>
      </c>
      <c r="N8" s="183">
        <f t="shared" si="10"/>
        <v>0.5</v>
      </c>
      <c r="O8" s="173" t="s">
        <v>170</v>
      </c>
      <c r="P8" s="175">
        <f>COUNTIF(E5:I6,"RAP")</f>
        <v>4</v>
      </c>
      <c r="Q8" s="176">
        <f>COUNTIF(E10:I11,"RAP")</f>
        <v>0</v>
      </c>
      <c r="R8" s="167">
        <f t="shared" si="2"/>
        <v>0.5</v>
      </c>
      <c r="S8" s="167">
        <f t="shared" si="3"/>
        <v>1.0639880952380956</v>
      </c>
      <c r="T8" s="186">
        <f t="shared" si="4"/>
        <v>0.53199404761904778</v>
      </c>
      <c r="U8" s="188">
        <f t="shared" si="5"/>
        <v>0</v>
      </c>
      <c r="V8" s="180">
        <f>$G$17</f>
        <v>0.56999999999999995</v>
      </c>
      <c r="W8" s="178">
        <f>$H$17</f>
        <v>0.56999999999999995</v>
      </c>
      <c r="X8" s="209">
        <f t="shared" si="11"/>
        <v>0.30323660714285722</v>
      </c>
      <c r="Y8" s="210">
        <f t="shared" si="11"/>
        <v>0</v>
      </c>
      <c r="Z8" s="164"/>
      <c r="AA8" s="203">
        <f t="shared" si="6"/>
        <v>0.30323660714285722</v>
      </c>
      <c r="AB8" s="204">
        <f t="shared" si="7"/>
        <v>0.69676339285714284</v>
      </c>
      <c r="AC8" s="204">
        <f>AA8*PRODUCT(AB3:AB7)*PRODUCT(AB9:AB17)</f>
        <v>0.16651377767806425</v>
      </c>
      <c r="AD8" s="204">
        <f>AA8*AA9*PRODUCT(AB3:AB7)*PRODUCT(AB10:AB17)+AA8*AA10*PRODUCT(AB3:AB7)*AB9*PRODUCT(AB11:AB17)+AA8*AA11*PRODUCT(AB3:AB7)*PRODUCT(AB9:AB10)*PRODUCT(AB12:AB17)+AA8*AA12*PRODUCT(AB3:AB7)*PRODUCT(AB9:AB11)*PRODUCT(AB13:AB17)+AA8*AA13*PRODUCT(AB3:AB7)*PRODUCT(AB9:AB12)*PRODUCT(AB14:AB17)+AA8*AA14*PRODUCT(AB3:AB7)*PRODUCT(AB9:AB13)*PRODUCT(AB15:AB17)+AA8*AA15*PRODUCT(AB3:AB7)*PRODUCT(AB9:AB14)*PRODUCT(AB16:AB17)+AA8*AA16*PRODUCT(AB3:AB7)*PRODUCT(AB9:AB15)*PRODUCT(AB17)+AA8*AA17*PRODUCT(AB3:AB7)*PRODUCT(AB9:AB16)</f>
        <v>4.0940752136960419E-2</v>
      </c>
      <c r="AE8" s="148"/>
      <c r="AF8" s="162"/>
      <c r="AG8" s="205">
        <f t="shared" si="12"/>
        <v>0</v>
      </c>
      <c r="AH8" s="178">
        <f t="shared" si="8"/>
        <v>1</v>
      </c>
      <c r="AI8" s="178">
        <f>AG8*PRODUCT(AH3:AH7)*PRODUCT(AH9:AH17)</f>
        <v>0</v>
      </c>
      <c r="AJ8" s="178">
        <f>AG8*AG9*PRODUCT(AH3:AH7)*PRODUCT(AH10:AH17)+AG8*AG10*PRODUCT(AH3:AH7)*AH9*PRODUCT(AH11:AH17)+AG8*AG11*PRODUCT(AH3:AH7)*PRODUCT(AH9:AH10)*PRODUCT(AH12:AH17)+AG8*AG12*PRODUCT(AH3:AH7)*PRODUCT(AH9:AH11)*PRODUCT(AH13:AH17)+AG8*AG13*PRODUCT(AH3:AH7)*PRODUCT(AH9:AH12)*PRODUCT(AH14:AH17)+AG8*AG14*PRODUCT(AH3:AH7)*PRODUCT(AH9:AH13)*PRODUCT(AH15:AH17)+AG8*AG15*PRODUCT(AH3:AH7)*PRODUCT(AH9:AH14)*PRODUCT(AH16:AH17)+AG8*AG16*PRODUCT(AH3:AH7)*PRODUCT(AH9:AH15)*PRODUCT(AH17)+AG8*AG17*PRODUCT(AH3:AH7)*PRODUCT(AH9:AH16)</f>
        <v>0</v>
      </c>
      <c r="AK8" s="148"/>
      <c r="AL8" s="165"/>
      <c r="AM8" s="148"/>
      <c r="AN8" s="153"/>
      <c r="AO8" s="167"/>
      <c r="AP8" s="148"/>
      <c r="AQ8" s="148"/>
      <c r="AR8" s="148"/>
      <c r="AS8" s="148"/>
      <c r="AT8" s="148"/>
      <c r="AU8" s="148"/>
      <c r="AV8" s="148"/>
      <c r="AW8" s="148"/>
      <c r="AX8" s="148"/>
      <c r="AY8" s="148"/>
      <c r="AZ8" s="148"/>
      <c r="BI8">
        <v>0</v>
      </c>
      <c r="BJ8">
        <v>5</v>
      </c>
      <c r="BK8" s="94">
        <f t="shared" si="9"/>
        <v>2.1692666417673191E-2</v>
      </c>
      <c r="BM8">
        <f>BI31+1</f>
        <v>4</v>
      </c>
      <c r="BN8">
        <v>4</v>
      </c>
      <c r="BO8" s="94">
        <f>$H$29*H43</f>
        <v>2.2201567808692185E-2</v>
      </c>
      <c r="BQ8">
        <f>BQ6+1</f>
        <v>3</v>
      </c>
      <c r="BR8">
        <v>1</v>
      </c>
      <c r="BS8" s="94">
        <f>$H$28*H40</f>
        <v>6.535667429223754E-3</v>
      </c>
    </row>
    <row r="9" spans="1:71" ht="15.75" x14ac:dyDescent="0.25">
      <c r="A9" s="5" t="s">
        <v>42</v>
      </c>
      <c r="B9" s="191">
        <v>10</v>
      </c>
      <c r="C9" s="192">
        <v>12</v>
      </c>
      <c r="E9" s="202" t="s">
        <v>151</v>
      </c>
      <c r="F9" s="202" t="s">
        <v>151</v>
      </c>
      <c r="G9" s="202" t="s">
        <v>151</v>
      </c>
      <c r="H9" s="202" t="s">
        <v>151</v>
      </c>
      <c r="I9" s="202" t="s">
        <v>151</v>
      </c>
      <c r="J9" s="148"/>
      <c r="K9" s="173">
        <v>16</v>
      </c>
      <c r="L9" s="173">
        <v>8</v>
      </c>
      <c r="M9" s="183">
        <v>0.5</v>
      </c>
      <c r="N9" s="183">
        <f t="shared" si="10"/>
        <v>0.5</v>
      </c>
      <c r="O9" s="173" t="s">
        <v>171</v>
      </c>
      <c r="P9" s="175">
        <f>COUNTIF(E5:I6,"RAP")</f>
        <v>4</v>
      </c>
      <c r="Q9" s="176">
        <f>COUNTIF(E10:I11,"RAP")</f>
        <v>0</v>
      </c>
      <c r="R9" s="167">
        <f t="shared" si="2"/>
        <v>0.5</v>
      </c>
      <c r="S9" s="167">
        <f t="shared" si="3"/>
        <v>1.0639880952380956</v>
      </c>
      <c r="T9" s="186">
        <f t="shared" si="4"/>
        <v>0.53199404761904778</v>
      </c>
      <c r="U9" s="188">
        <f t="shared" si="5"/>
        <v>0</v>
      </c>
      <c r="V9" s="180">
        <f>$G$17</f>
        <v>0.56999999999999995</v>
      </c>
      <c r="W9" s="178">
        <f>$H$17</f>
        <v>0.56999999999999995</v>
      </c>
      <c r="X9" s="209">
        <f t="shared" si="11"/>
        <v>0.30323660714285722</v>
      </c>
      <c r="Y9" s="210">
        <f t="shared" si="11"/>
        <v>0</v>
      </c>
      <c r="Z9" s="164"/>
      <c r="AA9" s="203">
        <f t="shared" si="6"/>
        <v>6.8399234693877556E-2</v>
      </c>
      <c r="AB9" s="204">
        <f t="shared" si="7"/>
        <v>0.93160076530612246</v>
      </c>
      <c r="AC9" s="204">
        <f>AA9*PRODUCT(AB3:AB8)*PRODUCT(AB10:AB17)</f>
        <v>2.8091522398663849E-2</v>
      </c>
      <c r="AD9" s="204">
        <f>AA9*AA10*PRODUCT(AB3:AB8)*PRODUCT(AB11:AB17)+AA9*AA11*PRODUCT(AB3:AB8)*AB10*PRODUCT(AB12:AB17)+AA9*AA12*PRODUCT(AB3:AB8)*PRODUCT(AB10:AB11)*PRODUCT(AB13:AB17)+AA9*AA13*PRODUCT(AB3:AB8)*PRODUCT(AB10:AB12)*PRODUCT(AB14:AB17)+AA9*AA14*PRODUCT(AB3:AB8)*PRODUCT(AB10:AB13)*PRODUCT(AB15:AB17)+AA9*AA15*PRODUCT(AB3:AB8)*PRODUCT(AB10:AB14)*PRODUCT(AB16:AB17)+AA9*AA16*PRODUCT(AB3:AB8)*PRODUCT(AB10:AB15)*PRODUCT(AB17)+AA9*AA17*PRODUCT(AB3:AB8)*PRODUCT(AB10:AB16)</f>
        <v>4.8443512948613508E-3</v>
      </c>
      <c r="AE9" s="148"/>
      <c r="AF9" s="162"/>
      <c r="AG9" s="205">
        <f t="shared" si="12"/>
        <v>0</v>
      </c>
      <c r="AH9" s="178">
        <f t="shared" si="8"/>
        <v>1</v>
      </c>
      <c r="AI9" s="178">
        <f>AG9*PRODUCT(AH3:AH8)*PRODUCT(AH10:AH17)</f>
        <v>0</v>
      </c>
      <c r="AJ9" s="178">
        <f>AG9*AG10*PRODUCT(AH3:AH8)*PRODUCT(AH11:AH17)+AG9*AG11*PRODUCT(AH3:AH8)*AH10*PRODUCT(AH12:AH17)+AG9*AG12*PRODUCT(AH3:AH8)*PRODUCT(AH10:AH11)*PRODUCT(AH13:AH17)+AG9*AG13*PRODUCT(AH3:AH8)*PRODUCT(AH10:AH12)*PRODUCT(AH14:AH17)+AG9*AG14*PRODUCT(AH3:AH8)*PRODUCT(AH10:AH13)*PRODUCT(AH15:AH17)+AG9*AG15*PRODUCT(AH3:AH8)*PRODUCT(AH10:AH14)*PRODUCT(AH16:AH17)+AG9*AG16*PRODUCT(AH3:AH8)*PRODUCT(AH10:AH15)*PRODUCT(AH17)+AG9*AG17*PRODUCT(AH3:AH8)*PRODUCT(AH10:AH16)</f>
        <v>0</v>
      </c>
      <c r="AK9" s="148"/>
      <c r="AL9" s="165"/>
      <c r="AM9" s="148"/>
      <c r="AN9" s="153"/>
      <c r="AO9" s="167"/>
      <c r="AP9" s="148"/>
      <c r="AQ9" s="148"/>
      <c r="AR9" s="148"/>
      <c r="AS9" s="148"/>
      <c r="AT9" s="148"/>
      <c r="AU9" s="148"/>
      <c r="AV9" s="148"/>
      <c r="AW9" s="148"/>
      <c r="AX9" s="148"/>
      <c r="AY9" s="148"/>
      <c r="AZ9" s="148"/>
      <c r="BI9">
        <v>0</v>
      </c>
      <c r="BJ9">
        <v>6</v>
      </c>
      <c r="BK9" s="94">
        <f t="shared" si="9"/>
        <v>1.4245566223877853E-2</v>
      </c>
      <c r="BM9">
        <f>BI38+1</f>
        <v>5</v>
      </c>
      <c r="BN9">
        <v>5</v>
      </c>
      <c r="BO9" s="94">
        <f>$H$30*H44</f>
        <v>6.6139918370802606E-3</v>
      </c>
      <c r="BQ9">
        <f>BM6+1</f>
        <v>3</v>
      </c>
      <c r="BR9">
        <v>2</v>
      </c>
      <c r="BS9" s="94">
        <f>$H$28*H41</f>
        <v>2.0203168125796277E-2</v>
      </c>
    </row>
    <row r="10" spans="1:71" ht="15.75" x14ac:dyDescent="0.25">
      <c r="A10" s="6" t="s">
        <v>45</v>
      </c>
      <c r="B10" s="191">
        <v>9</v>
      </c>
      <c r="C10" s="192">
        <v>14</v>
      </c>
      <c r="E10" s="202" t="s">
        <v>151</v>
      </c>
      <c r="F10" s="202" t="s">
        <v>138</v>
      </c>
      <c r="G10" s="202" t="s">
        <v>151</v>
      </c>
      <c r="H10" s="202" t="s">
        <v>138</v>
      </c>
      <c r="I10" s="202" t="s">
        <v>151</v>
      </c>
      <c r="J10" s="148"/>
      <c r="K10" s="173">
        <v>18</v>
      </c>
      <c r="L10" s="173" t="s">
        <v>172</v>
      </c>
      <c r="M10" s="183">
        <v>0.15</v>
      </c>
      <c r="N10" s="183">
        <f t="shared" si="10"/>
        <v>0.15</v>
      </c>
      <c r="O10" s="173" t="s">
        <v>173</v>
      </c>
      <c r="P10" s="175">
        <v>1</v>
      </c>
      <c r="Q10" s="176">
        <v>1</v>
      </c>
      <c r="R10" s="167">
        <f t="shared" si="2"/>
        <v>0.15</v>
      </c>
      <c r="S10" s="167">
        <f t="shared" si="3"/>
        <v>0.3191964285714286</v>
      </c>
      <c r="T10" s="186">
        <f>S10*G13</f>
        <v>0.15199829931972789</v>
      </c>
      <c r="U10" s="188">
        <f>S10*G14</f>
        <v>0.16719812925170072</v>
      </c>
      <c r="V10" s="180">
        <f>$G$18</f>
        <v>0.45</v>
      </c>
      <c r="W10" s="178">
        <f>$H$18</f>
        <v>0.45</v>
      </c>
      <c r="X10" s="209">
        <f t="shared" si="11"/>
        <v>6.8399234693877556E-2</v>
      </c>
      <c r="Y10" s="210">
        <f t="shared" si="11"/>
        <v>7.5239158163265318E-2</v>
      </c>
      <c r="Z10" s="164"/>
      <c r="AA10" s="203">
        <f t="shared" si="6"/>
        <v>3.4959608843537417E-2</v>
      </c>
      <c r="AB10" s="204">
        <f t="shared" si="7"/>
        <v>0.96504039115646256</v>
      </c>
      <c r="AC10" s="204">
        <f>AA10*PRODUCT(AB3:AB9)*PRODUCT(AB11:AB17)</f>
        <v>1.3860373838941585E-2</v>
      </c>
      <c r="AD10" s="204">
        <f>AA10*AA11*PRODUCT(AB3:AB9)*PRODUCT(AB12:AB17)+AA10*AA12*PRODUCT(AB3:AB9)*AB11*PRODUCT(AB13:AB17)+AA10*AA13*PRODUCT(AB3:AB9)*PRODUCT(AB11:AB12)*PRODUCT(AB14:AB17)+AA10*AA14*PRODUCT(AB3:AB9)*PRODUCT(AB11:AB13)*PRODUCT(AB15:AB17)+AA10*AA15*PRODUCT(AB3:AB9)*PRODUCT(AB11:AB14)*PRODUCT(AB16:AB17)+AA10*AA16*PRODUCT(AB3:AB9)*PRODUCT(AB11:AB15)*PRODUCT(AB17)+AA10*AA17*PRODUCT(AB3:AB9)*PRODUCT(AB11:AB16)</f>
        <v>1.888099104890299E-3</v>
      </c>
      <c r="AE10" s="148"/>
      <c r="AF10" s="162"/>
      <c r="AG10" s="205">
        <f t="shared" si="12"/>
        <v>7.5239158163265318E-2</v>
      </c>
      <c r="AH10" s="178">
        <f t="shared" si="8"/>
        <v>0.92476084183673468</v>
      </c>
      <c r="AI10" s="178">
        <f>AG10*PRODUCT(AH3:AH9)*PRODUCT(AH11:AH17)</f>
        <v>4.7122411477524759E-2</v>
      </c>
      <c r="AJ10" s="178">
        <f>AG10*AG11*PRODUCT(AH3:AH9)*PRODUCT(AH12:AH17)+AG10*AG12*PRODUCT(AH3:AH9)*AH11*PRODUCT(AH13:AH17)+AG10*AG13*PRODUCT(AH3:AH9)*PRODUCT(AH11:AH12)*PRODUCT(AH14:AH17)+AG10*AG14*PRODUCT(AH3:AH9)*PRODUCT(AH11:AH13)*PRODUCT(AH15:AH17)+AG10*AG15*PRODUCT(AH3:AH9)*PRODUCT(AH11:AH14)*PRODUCT(AH16:AH17)+AG10*AG16*PRODUCT(AH3:AH9)*PRODUCT(AH11:AH15)*PRODUCT(AH17)+AG10*AG17*PRODUCT(AH3:AH9)*PRODUCT(AH11:AH16)</f>
        <v>2.4143163269861885E-2</v>
      </c>
      <c r="AK10" s="148"/>
      <c r="AL10" s="165"/>
      <c r="AM10" s="148"/>
      <c r="AN10" s="153"/>
      <c r="AO10" s="167"/>
      <c r="AP10" s="148"/>
      <c r="AQ10" s="148"/>
      <c r="AR10" s="148"/>
      <c r="AS10" s="148"/>
      <c r="AT10" s="148"/>
      <c r="AU10" s="148"/>
      <c r="AV10" s="148"/>
      <c r="AW10" s="148"/>
      <c r="AX10" s="148"/>
      <c r="AY10" s="148"/>
      <c r="AZ10" s="148"/>
      <c r="BI10">
        <v>0</v>
      </c>
      <c r="BJ10">
        <v>7</v>
      </c>
      <c r="BK10" s="94">
        <f t="shared" si="9"/>
        <v>6.9249772049390533E-3</v>
      </c>
      <c r="BM10">
        <f>BI44+1</f>
        <v>6</v>
      </c>
      <c r="BN10">
        <v>6</v>
      </c>
      <c r="BO10" s="94">
        <f>$H$31*H45</f>
        <v>1.055219911248025E-3</v>
      </c>
      <c r="BQ10">
        <f>BQ7+1</f>
        <v>4</v>
      </c>
      <c r="BR10">
        <v>0</v>
      </c>
      <c r="BS10" s="94">
        <f>$H$29*H39</f>
        <v>4.5034693503282153E-4</v>
      </c>
    </row>
    <row r="11" spans="1:71" ht="15.75" x14ac:dyDescent="0.25">
      <c r="A11" s="6" t="s">
        <v>48</v>
      </c>
      <c r="B11" s="191">
        <v>9</v>
      </c>
      <c r="C11" s="192">
        <v>14</v>
      </c>
      <c r="E11" s="150"/>
      <c r="F11" s="202" t="s">
        <v>138</v>
      </c>
      <c r="G11" s="202" t="s">
        <v>151</v>
      </c>
      <c r="H11" s="202" t="s">
        <v>151</v>
      </c>
      <c r="I11" s="150"/>
      <c r="J11" s="148"/>
      <c r="K11" s="173">
        <v>19</v>
      </c>
      <c r="L11" s="173" t="s">
        <v>172</v>
      </c>
      <c r="M11" s="183">
        <v>0.23</v>
      </c>
      <c r="N11" s="183">
        <f t="shared" si="10"/>
        <v>0.23</v>
      </c>
      <c r="O11" s="173" t="s">
        <v>174</v>
      </c>
      <c r="P11" s="175">
        <f>COUNTIF(E4:I6,"CAB")</f>
        <v>1</v>
      </c>
      <c r="Q11" s="176">
        <f>COUNTIF(E9:I11,"CAB")</f>
        <v>3</v>
      </c>
      <c r="R11" s="167">
        <f t="shared" si="2"/>
        <v>0.23</v>
      </c>
      <c r="S11" s="167">
        <f t="shared" si="3"/>
        <v>0.4894345238095239</v>
      </c>
      <c r="T11" s="186">
        <f>IF(P11&gt;0,S11*G13,0)</f>
        <v>0.23306405895691612</v>
      </c>
      <c r="U11" s="188">
        <f>IF(Q11&gt;0,S11*G14,0)</f>
        <v>0.25637046485260778</v>
      </c>
      <c r="V11" s="180">
        <f>IF(P11-Q11&gt;2,0.9,IF(P11-Q11&gt;1,0.75,IF(P11-Q11&gt;0,0.5,0.15)))</f>
        <v>0.15</v>
      </c>
      <c r="W11" s="178">
        <f>IF(Q11-P11&gt;2,0.9,IF(Q11-P11&gt;1,0.75,IF(Q11-P11&gt;0,0.5,0.15)))</f>
        <v>0.75</v>
      </c>
      <c r="X11" s="209">
        <f t="shared" si="11"/>
        <v>3.4959608843537417E-2</v>
      </c>
      <c r="Y11" s="210">
        <f t="shared" si="11"/>
        <v>0.19227784863945585</v>
      </c>
      <c r="Z11" s="164"/>
      <c r="AA11" s="203">
        <f t="shared" si="6"/>
        <v>0</v>
      </c>
      <c r="AB11" s="204">
        <f t="shared" si="7"/>
        <v>1</v>
      </c>
      <c r="AC11" s="204">
        <f>AA11*PRODUCT(AB3:AB10)*PRODUCT(AB12:AB17)</f>
        <v>0</v>
      </c>
      <c r="AD11" s="204">
        <f>AA11*AA12*PRODUCT(AB3:AB10)*PRODUCT(AB13:AB17)+AA11*AA13*PRODUCT(AB3:AB10)*AB12*PRODUCT(AB14:AB17)+AA11*AA14*PRODUCT(AB3:AB10)*PRODUCT(AB12:AB13)*PRODUCT(AB15:AB17)+AA11*AA15*PRODUCT(AB3:AB10)*PRODUCT(AB12:AB14)*PRODUCT(AB16:AB17)+AA11*AA16*PRODUCT(AB3:AB10)*PRODUCT(AB12:AB15)*PRODUCT(AB17)+AA11*AA17*PRODUCT(AB3:AB10)*PRODUCT(AB12:AB16)</f>
        <v>0</v>
      </c>
      <c r="AE11" s="148"/>
      <c r="AF11" s="162"/>
      <c r="AG11" s="205">
        <f t="shared" si="12"/>
        <v>0.19227784863945585</v>
      </c>
      <c r="AH11" s="178">
        <f t="shared" si="8"/>
        <v>0.80772215136054415</v>
      </c>
      <c r="AI11" s="178">
        <f>AG11*PRODUCT(AH3:AH10)*PRODUCT(AH12:AH17)</f>
        <v>0.1378733322509218</v>
      </c>
      <c r="AJ11" s="178">
        <f>AG11*AG12*PRODUCT(AH3:AH10)*PRODUCT(AH13:AH17)+AG11*AG13*PRODUCT(AH3:AH10)*AH12*PRODUCT(AH14:AH17)+AG11*AG14*PRODUCT(AH3:AH10)*PRODUCT(AH12:AH13)*PRODUCT(AH15:AH17)+AG11*AG15*PRODUCT(AH3:AH10)*PRODUCT(AH12:AH14)*PRODUCT(AH16:AH17)+AG11*AG16*PRODUCT(AH3:AH10)*PRODUCT(AH12:AH15)*PRODUCT(AH17)+AG11*AG17*PRODUCT(AH3:AH10)*PRODUCT(AH12:AH16)</f>
        <v>3.7818712497467141E-2</v>
      </c>
      <c r="AK11" s="148"/>
      <c r="AL11" s="165"/>
      <c r="AM11" s="148"/>
      <c r="AN11" s="153"/>
      <c r="AO11" s="167"/>
      <c r="AP11" s="148"/>
      <c r="AQ11" s="148"/>
      <c r="AR11" s="148"/>
      <c r="AS11" s="148"/>
      <c r="AT11" s="148"/>
      <c r="AU11" s="148"/>
      <c r="AV11" s="148"/>
      <c r="AW11" s="148"/>
      <c r="AX11" s="148"/>
      <c r="AY11" s="148"/>
      <c r="AZ11" s="148"/>
      <c r="BI11">
        <v>0</v>
      </c>
      <c r="BJ11">
        <v>8</v>
      </c>
      <c r="BK11" s="94">
        <f t="shared" si="9"/>
        <v>2.4917902334399395E-3</v>
      </c>
      <c r="BM11">
        <f>BI50+1</f>
        <v>7</v>
      </c>
      <c r="BN11">
        <v>7</v>
      </c>
      <c r="BO11" s="94">
        <f>$H$32*H46</f>
        <v>9.2317781970380731E-5</v>
      </c>
      <c r="BQ11">
        <f>BQ8+1</f>
        <v>4</v>
      </c>
      <c r="BR11">
        <v>1</v>
      </c>
      <c r="BS11" s="94">
        <f>$H$29*H40</f>
        <v>3.0438516298632642E-3</v>
      </c>
    </row>
    <row r="12" spans="1:71" ht="15.75" x14ac:dyDescent="0.25">
      <c r="A12" s="6" t="s">
        <v>52</v>
      </c>
      <c r="B12" s="191">
        <v>9</v>
      </c>
      <c r="C12" s="192">
        <v>14</v>
      </c>
      <c r="E12" s="149"/>
      <c r="F12" s="149"/>
      <c r="G12" s="149"/>
      <c r="H12" s="149"/>
      <c r="I12" s="149"/>
      <c r="J12" s="148"/>
      <c r="K12" s="173">
        <v>25</v>
      </c>
      <c r="L12" s="173">
        <v>5</v>
      </c>
      <c r="M12" s="183">
        <v>2.5000000000000001E-2</v>
      </c>
      <c r="N12" s="183">
        <f t="shared" si="10"/>
        <v>2.5000000000000001E-2</v>
      </c>
      <c r="O12" s="173" t="s">
        <v>38</v>
      </c>
      <c r="P12" s="175">
        <f>COUNTIF(F6:H6,"IMP")+COUNTIF(E5,"IMP")+COUNTIF(I5,"IMP")</f>
        <v>0</v>
      </c>
      <c r="Q12" s="176">
        <f>COUNTIF(F11:H11,"IMP")+COUNTIF(E10,"IMP")+COUNTIF(I10,"IMP")</f>
        <v>0</v>
      </c>
      <c r="R12" s="167">
        <f t="shared" si="2"/>
        <v>0</v>
      </c>
      <c r="S12" s="167">
        <f t="shared" si="3"/>
        <v>0</v>
      </c>
      <c r="T12" s="186">
        <f>IF(S12=0,0,IF(Q12=0,S12*P12/L12,S12*P12/(L12*2)))</f>
        <v>0</v>
      </c>
      <c r="U12" s="188">
        <f>IF(S12=0,0,IF(P12=0,S12*Q12/L12,S12*Q12/(L12*2)))</f>
        <v>0</v>
      </c>
      <c r="V12" s="180">
        <f>$G$18</f>
        <v>0.45</v>
      </c>
      <c r="W12" s="178">
        <f>$H$18</f>
        <v>0.45</v>
      </c>
      <c r="X12" s="209">
        <f t="shared" si="11"/>
        <v>0</v>
      </c>
      <c r="Y12" s="210">
        <f t="shared" si="11"/>
        <v>0</v>
      </c>
      <c r="Z12" s="164"/>
      <c r="AA12" s="203">
        <f t="shared" si="6"/>
        <v>5.4582589285714286E-2</v>
      </c>
      <c r="AB12" s="204">
        <f t="shared" si="7"/>
        <v>0.94541741071428576</v>
      </c>
      <c r="AC12" s="204">
        <f>AA12*PRODUCT(AB3:AB11)*PRODUCT(AB13:AB17)</f>
        <v>2.2089424848711934E-2</v>
      </c>
      <c r="AD12" s="204">
        <f>AA12*AA13*PRODUCT(AB3:AB11)*PRODUCT(AB14:AB17)+AA12*AA14*PRODUCT(AB3:AB11)*AB13*PRODUCT(AB15:AB17)+AA12*AA15*PRODUCT(AB3:AB11)*PRODUCT(AB13:AB14)*PRODUCT(AB16:AB17)+AA12*AA16*PRODUCT(AB3:AB11)*PRODUCT(AB13:AB15)*PRODUCT(AB17)+AA12*AA17*PRODUCT(AB3:AB11)*PRODUCT(AB13:AB16)</f>
        <v>1.7337759818760986E-3</v>
      </c>
      <c r="AE12" s="148"/>
      <c r="AF12" s="162"/>
      <c r="AG12" s="205">
        <f t="shared" si="12"/>
        <v>0</v>
      </c>
      <c r="AH12" s="178">
        <f t="shared" si="8"/>
        <v>1</v>
      </c>
      <c r="AI12" s="178">
        <f>AG12*PRODUCT(AH3:AH11)*PRODUCT(AH13:AH17)</f>
        <v>0</v>
      </c>
      <c r="AJ12" s="178">
        <f>AG12*AG13*PRODUCT(AH3:AH11)*PRODUCT(AH14:AH17)+AG12*AG14*PRODUCT(AH3:AH11)*AH13*PRODUCT(AH15:AH17)+AG12*AG15*PRODUCT(AH3:AH11)*PRODUCT(AH13:AH14)*PRODUCT(AH16:AH17)+AG12*AG16*PRODUCT(AH3:AH11)*PRODUCT(AH13:AH15)*PRODUCT(AH17)+AG12*AG17*PRODUCT(AH3:AH11)*PRODUCT(AH13:AH16)</f>
        <v>0</v>
      </c>
      <c r="AK12" s="148"/>
      <c r="AL12" s="165"/>
      <c r="AM12" s="148"/>
      <c r="AN12" s="153"/>
      <c r="AO12" s="167"/>
      <c r="AP12" s="148"/>
      <c r="AQ12" s="148"/>
      <c r="AR12" s="148"/>
      <c r="AS12" s="148"/>
      <c r="AT12" s="148"/>
      <c r="AU12" s="148"/>
      <c r="AV12" s="148"/>
      <c r="AW12" s="148"/>
      <c r="AX12" s="148"/>
      <c r="AY12" s="148"/>
      <c r="AZ12" s="148"/>
      <c r="BI12">
        <v>0</v>
      </c>
      <c r="BJ12">
        <v>9</v>
      </c>
      <c r="BK12" s="94">
        <f t="shared" si="9"/>
        <v>6.5610770189654757E-4</v>
      </c>
      <c r="BM12">
        <f>BI54+1</f>
        <v>8</v>
      </c>
      <c r="BN12">
        <v>8</v>
      </c>
      <c r="BO12" s="94">
        <f>$H$33*H47</f>
        <v>4.4289070536354976E-6</v>
      </c>
      <c r="BQ12">
        <f>BQ9+1</f>
        <v>4</v>
      </c>
      <c r="BR12">
        <v>2</v>
      </c>
      <c r="BS12" s="94">
        <f>$H$29*H41</f>
        <v>9.4092067710076863E-3</v>
      </c>
    </row>
    <row r="13" spans="1:71" ht="15.75" x14ac:dyDescent="0.25">
      <c r="A13" s="7" t="s">
        <v>55</v>
      </c>
      <c r="B13" s="191">
        <v>9</v>
      </c>
      <c r="C13" s="192">
        <v>9</v>
      </c>
      <c r="E13" s="149"/>
      <c r="F13" s="149" t="s">
        <v>152</v>
      </c>
      <c r="G13" s="179">
        <f>B22</f>
        <v>0.47619047619047616</v>
      </c>
      <c r="H13" s="149"/>
      <c r="I13" s="149"/>
      <c r="J13" s="148"/>
      <c r="K13" s="173">
        <v>37</v>
      </c>
      <c r="L13" s="173">
        <v>2</v>
      </c>
      <c r="M13" s="183">
        <v>0.18</v>
      </c>
      <c r="N13" s="183">
        <f t="shared" si="10"/>
        <v>0.18</v>
      </c>
      <c r="O13" s="173" t="s">
        <v>175</v>
      </c>
      <c r="P13" s="175">
        <f>COUNTIF(E5:I6,"CAB")</f>
        <v>1</v>
      </c>
      <c r="Q13" s="176">
        <f>COUNTIF(E10:I11,"CAB")</f>
        <v>3</v>
      </c>
      <c r="R13" s="167">
        <f t="shared" si="2"/>
        <v>0.18</v>
      </c>
      <c r="S13" s="167">
        <f t="shared" si="3"/>
        <v>0.38303571428571431</v>
      </c>
      <c r="T13" s="186">
        <f>IF((Q13+P13)=0,0,S13*P13/(Q13+P13))</f>
        <v>9.5758928571428578E-2</v>
      </c>
      <c r="U13" s="188">
        <f>IF(P13+Q13=0,0,S13*Q13/(Q13+P13))</f>
        <v>0.28727678571428572</v>
      </c>
      <c r="V13" s="180">
        <f>$G$17</f>
        <v>0.56999999999999995</v>
      </c>
      <c r="W13" s="178">
        <f>$H$17</f>
        <v>0.56999999999999995</v>
      </c>
      <c r="X13" s="209">
        <f t="shared" si="11"/>
        <v>5.4582589285714286E-2</v>
      </c>
      <c r="Y13" s="210">
        <f t="shared" si="11"/>
        <v>0.16374776785714285</v>
      </c>
      <c r="Z13" s="164"/>
      <c r="AA13" s="203">
        <f t="shared" si="6"/>
        <v>7.2776785714285724E-2</v>
      </c>
      <c r="AB13" s="204">
        <f t="shared" si="7"/>
        <v>0.9272232142857143</v>
      </c>
      <c r="AC13" s="204">
        <f>AA13*PRODUCT(AB3:AB12)*PRODUCT(AB14:AB17)</f>
        <v>3.0030491792241279E-2</v>
      </c>
      <c r="AD13" s="204">
        <f>AA13*AA14*PRODUCT(AB3:AB12)*PRODUCT(AB15:AB17)+AA13*AA15*PRODUCT(AB3:AB12)*AB14*PRODUCT(AB16:AB17)+AA13*AA16*PRODUCT(AB3:AB12)*AB14*AB15*AB17+AA13*AA17*PRODUCT(AB3:AB12)*AB14*AB15*AB16</f>
        <v>0</v>
      </c>
      <c r="AE13" s="148"/>
      <c r="AF13" s="162"/>
      <c r="AG13" s="205">
        <f t="shared" si="12"/>
        <v>0.16374776785714285</v>
      </c>
      <c r="AH13" s="178">
        <f t="shared" si="8"/>
        <v>0.83625223214285715</v>
      </c>
      <c r="AI13" s="178">
        <f>AG13*PRODUCT(AH3:AH12)*PRODUCT(AH14:AH17)</f>
        <v>0.11340993716565342</v>
      </c>
      <c r="AJ13" s="178">
        <f>AG13*AG14*PRODUCT(AH3:AH12)*PRODUCT(AH15:AH17)+AG13*AG15*PRODUCT(AH3:AH12)*AH14*PRODUCT(AH16:AH17)+AG13*AG16*PRODUCT(AH3:AH12)*AH14*AH15*AH17+AG13*AG17*PRODUCT(AH3:AH12)*AH14*AH15*AH16</f>
        <v>8.9014280141093433E-3</v>
      </c>
      <c r="AK13" s="148"/>
      <c r="AL13" s="165"/>
      <c r="AM13" s="148"/>
      <c r="AN13" s="153"/>
      <c r="AO13" s="167"/>
      <c r="AP13" s="148"/>
      <c r="AQ13" s="148"/>
      <c r="AR13" s="148"/>
      <c r="AS13" s="148"/>
      <c r="AT13" s="148"/>
      <c r="AU13" s="148"/>
      <c r="AV13" s="148"/>
      <c r="AW13" s="148"/>
      <c r="AX13" s="148"/>
      <c r="AY13" s="148"/>
      <c r="AZ13" s="148"/>
      <c r="BI13">
        <v>0</v>
      </c>
      <c r="BJ13">
        <v>10</v>
      </c>
      <c r="BK13" s="94">
        <f t="shared" si="9"/>
        <v>1.2319217542053383E-4</v>
      </c>
      <c r="BM13">
        <f>BI57+1</f>
        <v>9</v>
      </c>
      <c r="BN13">
        <v>9</v>
      </c>
      <c r="BO13" s="94">
        <f>$H$34*H48</f>
        <v>1.1383620991592577E-7</v>
      </c>
      <c r="BQ13">
        <f>BM7+1</f>
        <v>4</v>
      </c>
      <c r="BR13">
        <v>3</v>
      </c>
      <c r="BS13" s="94">
        <f>$H$29*H42</f>
        <v>1.7598877264659349E-2</v>
      </c>
    </row>
    <row r="14" spans="1:71" ht="15.75" x14ac:dyDescent="0.25">
      <c r="A14" s="7" t="s">
        <v>58</v>
      </c>
      <c r="B14" s="191">
        <v>4</v>
      </c>
      <c r="C14" s="192">
        <v>4</v>
      </c>
      <c r="E14" s="149"/>
      <c r="F14" s="149" t="s">
        <v>153</v>
      </c>
      <c r="G14" s="177">
        <f>C22</f>
        <v>0.52380952380952384</v>
      </c>
      <c r="H14" s="149"/>
      <c r="I14" s="149"/>
      <c r="J14" s="148"/>
      <c r="K14" s="173">
        <v>38</v>
      </c>
      <c r="L14" s="173">
        <v>2</v>
      </c>
      <c r="M14" s="183">
        <v>0.12</v>
      </c>
      <c r="N14" s="183">
        <f t="shared" si="10"/>
        <v>0.12</v>
      </c>
      <c r="O14" s="173" t="s">
        <v>176</v>
      </c>
      <c r="P14" s="175">
        <f>COUNTA(E5,I5)</f>
        <v>2</v>
      </c>
      <c r="Q14" s="176">
        <f>COUNTA(E10,I10)</f>
        <v>2</v>
      </c>
      <c r="R14" s="167">
        <f t="shared" si="2"/>
        <v>0.12</v>
      </c>
      <c r="S14" s="167">
        <f t="shared" si="3"/>
        <v>0.25535714285714289</v>
      </c>
      <c r="T14" s="186">
        <f>S14*P14/(Q14+P14)</f>
        <v>0.12767857142857145</v>
      </c>
      <c r="U14" s="188">
        <f>S14*Q14/(Q14+P14)</f>
        <v>0.12767857142857145</v>
      </c>
      <c r="V14" s="180">
        <f>$G$17</f>
        <v>0.56999999999999995</v>
      </c>
      <c r="W14" s="178">
        <f>$H$17</f>
        <v>0.56999999999999995</v>
      </c>
      <c r="X14" s="209">
        <f t="shared" si="11"/>
        <v>7.2776785714285724E-2</v>
      </c>
      <c r="Y14" s="210">
        <f t="shared" si="11"/>
        <v>7.2776785714285724E-2</v>
      </c>
      <c r="Z14" s="164"/>
      <c r="AA14" s="203">
        <f t="shared" si="6"/>
        <v>0</v>
      </c>
      <c r="AB14" s="204">
        <f t="shared" si="7"/>
        <v>1</v>
      </c>
      <c r="AC14" s="204">
        <f>AA14*PRODUCT(AB3:AB13)*PRODUCT(AB15:AB17)</f>
        <v>0</v>
      </c>
      <c r="AD14" s="204">
        <f>AA14*AA15*PRODUCT(AB3:AB13)*PRODUCT(AB16:AB17)+AA14*AA16*PRODUCT(AB3:AB13)*AB15*AB17+AA14*AA17*PRODUCT(AB3:AB13)*AB15*AB16</f>
        <v>0</v>
      </c>
      <c r="AE14" s="148"/>
      <c r="AF14" s="162"/>
      <c r="AG14" s="205">
        <f t="shared" si="12"/>
        <v>7.2776785714285724E-2</v>
      </c>
      <c r="AH14" s="178">
        <f t="shared" si="8"/>
        <v>0.9272232142857143</v>
      </c>
      <c r="AI14" s="178">
        <f>AG14*PRODUCT(AH3:AH13)*PRODUCT(AH15:AH17)</f>
        <v>4.5459178732451901E-2</v>
      </c>
      <c r="AJ14" s="178">
        <f>AG14*AG15*PRODUCT(AH3:AH13)*PRODUCT(AH16:AH17)+AG14*AG16*PRODUCT(AH3:AH13)*AH15*AH17+AG14*AG17*PRODUCT(AH3:AH13)*AH15*AH16</f>
        <v>0</v>
      </c>
      <c r="AK14" s="148"/>
      <c r="AL14" s="165"/>
      <c r="AM14" s="148"/>
      <c r="AN14" s="153"/>
      <c r="AO14" s="167"/>
      <c r="AP14" s="148"/>
      <c r="AQ14" s="148"/>
      <c r="AR14" s="148"/>
      <c r="AS14" s="148"/>
      <c r="AT14" s="148"/>
      <c r="AU14" s="148"/>
      <c r="AV14" s="148"/>
      <c r="AW14" s="148"/>
      <c r="AX14" s="148"/>
      <c r="AY14" s="148"/>
      <c r="AZ14" s="148"/>
      <c r="BI14">
        <v>1</v>
      </c>
      <c r="BJ14">
        <v>2</v>
      </c>
      <c r="BK14" s="94">
        <f t="shared" ref="BK14:BK22" si="13">$H$26*H41</f>
        <v>2.573236135102985E-2</v>
      </c>
      <c r="BM14">
        <f>BQ39+1</f>
        <v>10</v>
      </c>
      <c r="BN14">
        <v>10</v>
      </c>
      <c r="BO14" s="94">
        <f>$H$35*H49</f>
        <v>1.4866270193592051E-9</v>
      </c>
      <c r="BQ14">
        <f>BQ10+1</f>
        <v>5</v>
      </c>
      <c r="BR14">
        <v>0</v>
      </c>
      <c r="BS14" s="94">
        <f>$H$30*H39</f>
        <v>1.4944622318098253E-4</v>
      </c>
    </row>
    <row r="15" spans="1:71" ht="15.75" x14ac:dyDescent="0.25">
      <c r="A15" s="142" t="s">
        <v>62</v>
      </c>
      <c r="B15" s="193">
        <v>5</v>
      </c>
      <c r="C15" s="194">
        <v>5</v>
      </c>
      <c r="E15" s="149"/>
      <c r="F15" s="149"/>
      <c r="G15" s="149"/>
      <c r="H15" s="149"/>
      <c r="I15" s="149"/>
      <c r="J15" s="148"/>
      <c r="K15" s="173">
        <v>39</v>
      </c>
      <c r="L15" s="173">
        <v>8</v>
      </c>
      <c r="M15" s="183">
        <v>0.6</v>
      </c>
      <c r="N15" s="183">
        <f t="shared" si="10"/>
        <v>0.6</v>
      </c>
      <c r="O15" s="173" t="s">
        <v>177</v>
      </c>
      <c r="P15" s="175">
        <f>COUNTIF(E5:I6,"TEC")</f>
        <v>0</v>
      </c>
      <c r="Q15" s="176">
        <f>COUNTIF(E10:I11,"TEC")</f>
        <v>0</v>
      </c>
      <c r="R15" s="167">
        <f t="shared" si="2"/>
        <v>0</v>
      </c>
      <c r="S15" s="167">
        <f t="shared" si="3"/>
        <v>0</v>
      </c>
      <c r="T15" s="186">
        <f>IF(COUNTIF(F10:H10,"CAB") + COUNTIF(E9:I9,"CAB") =0,0, IF(S15=0,0,IF(Q15=0,S15*P15/L15,S15*P15/(L15*2))))</f>
        <v>0</v>
      </c>
      <c r="U15" s="188">
        <f>IF( COUNTIF(F5:H5,"CAB") + COUNTIF(E4:I4,"CAB") =0,0,IF(S15=0,0,IF(P15=0,S15*Q15/L15,S15*Q15/(L15*2))))</f>
        <v>0</v>
      </c>
      <c r="V15" s="180">
        <f>$G$17</f>
        <v>0.56999999999999995</v>
      </c>
      <c r="W15" s="178">
        <f>$H$17</f>
        <v>0.56999999999999995</v>
      </c>
      <c r="X15" s="209">
        <f t="shared" si="11"/>
        <v>0</v>
      </c>
      <c r="Y15" s="210">
        <f t="shared" si="11"/>
        <v>0</v>
      </c>
      <c r="Z15" s="164"/>
      <c r="AA15" s="203">
        <f>X16</f>
        <v>0</v>
      </c>
      <c r="AB15" s="204">
        <f t="shared" si="7"/>
        <v>1</v>
      </c>
      <c r="AC15" s="204">
        <f>AA15*PRODUCT(AB3:AB14)*PRODUCT(AB16:AB17)</f>
        <v>0</v>
      </c>
      <c r="AD15" s="204">
        <f>AA15*AA16*PRODUCT(AB3:AB14)*AB17+AA15*AA17*PRODUCT(AB3:AB14)*AB16</f>
        <v>0</v>
      </c>
      <c r="AE15" s="148"/>
      <c r="AF15" s="162"/>
      <c r="AG15" s="205">
        <f t="shared" si="12"/>
        <v>0</v>
      </c>
      <c r="AH15" s="178">
        <f t="shared" si="8"/>
        <v>1</v>
      </c>
      <c r="AI15" s="178">
        <f>AG15*PRODUCT(AH3:AH14)*PRODUCT(AH16:AH17)</f>
        <v>0</v>
      </c>
      <c r="AJ15" s="178">
        <f>AG15*AG16*PRODUCT(AH3:AH14)*AH17+AG15*AG17*PRODUCT(AH3:AH14)*AH16</f>
        <v>0</v>
      </c>
      <c r="AK15" s="148"/>
      <c r="AL15" s="165"/>
      <c r="AM15" s="148"/>
      <c r="AN15" s="153"/>
      <c r="AO15" s="167"/>
      <c r="AP15" s="148"/>
      <c r="AQ15" s="148"/>
      <c r="AR15" s="148"/>
      <c r="AS15" s="148"/>
      <c r="AT15" s="148"/>
      <c r="AU15" s="148"/>
      <c r="AV15" s="148"/>
      <c r="AW15" s="148"/>
      <c r="AX15" s="148"/>
      <c r="AY15" s="148"/>
      <c r="AZ15" s="148"/>
      <c r="BI15">
        <v>1</v>
      </c>
      <c r="BJ15">
        <v>3</v>
      </c>
      <c r="BK15" s="94">
        <f t="shared" si="13"/>
        <v>4.8129526767551167E-2</v>
      </c>
      <c r="BQ15">
        <f>BQ11+1</f>
        <v>5</v>
      </c>
      <c r="BR15">
        <v>1</v>
      </c>
      <c r="BS15" s="94">
        <f>$H$30*H40</f>
        <v>1.0100926521753502E-3</v>
      </c>
    </row>
    <row r="16" spans="1:71" x14ac:dyDescent="0.25">
      <c r="A16" s="142" t="s">
        <v>65</v>
      </c>
      <c r="B16" s="44">
        <v>12</v>
      </c>
      <c r="C16" s="46">
        <v>12</v>
      </c>
      <c r="E16" s="149"/>
      <c r="F16" s="149" t="s">
        <v>8</v>
      </c>
      <c r="G16" s="199">
        <v>0.7</v>
      </c>
      <c r="H16" s="200">
        <v>0.7</v>
      </c>
      <c r="I16" s="149"/>
      <c r="J16" s="148"/>
      <c r="K16" s="148"/>
      <c r="L16" s="148"/>
      <c r="M16" s="148"/>
      <c r="N16" s="148"/>
      <c r="O16" s="148"/>
      <c r="P16" s="149"/>
      <c r="Q16" s="149"/>
      <c r="V16" s="13"/>
      <c r="W16" s="13"/>
      <c r="X16" s="13"/>
      <c r="Y16" s="13"/>
      <c r="Z16" s="164"/>
      <c r="AA16" s="164"/>
      <c r="AB16" s="164"/>
      <c r="AC16" s="164"/>
      <c r="AD16" s="164"/>
      <c r="AE16" s="164"/>
      <c r="AF16" s="164"/>
      <c r="AG16" s="164"/>
      <c r="AH16" s="164"/>
      <c r="AI16" s="164"/>
      <c r="AJ16" s="164"/>
      <c r="AK16" s="164"/>
      <c r="AL16" s="165"/>
      <c r="AM16" s="148"/>
      <c r="AN16" s="153"/>
      <c r="AO16" s="167"/>
      <c r="AP16" s="148"/>
      <c r="AQ16" s="148"/>
      <c r="AR16" s="148"/>
      <c r="AS16" s="148"/>
      <c r="AT16" s="148"/>
      <c r="AU16" s="148"/>
      <c r="AV16" s="148"/>
      <c r="AW16" s="148"/>
      <c r="AX16" s="148"/>
      <c r="AY16" s="148"/>
      <c r="AZ16" s="148"/>
      <c r="BI16">
        <v>1</v>
      </c>
      <c r="BJ16">
        <v>4</v>
      </c>
      <c r="BK16" s="94">
        <f t="shared" si="13"/>
        <v>6.0716995525381103E-2</v>
      </c>
      <c r="BQ16">
        <f>BQ12+1</f>
        <v>5</v>
      </c>
      <c r="BR16">
        <v>2</v>
      </c>
      <c r="BS16" s="94">
        <f>$H$30*H41</f>
        <v>3.122415865789215E-3</v>
      </c>
    </row>
    <row r="17" spans="1:71" x14ac:dyDescent="0.25">
      <c r="A17" s="141" t="s">
        <v>69</v>
      </c>
      <c r="B17" s="195" t="s">
        <v>70</v>
      </c>
      <c r="C17" s="196" t="s">
        <v>70</v>
      </c>
      <c r="E17" s="149"/>
      <c r="F17" s="149" t="s">
        <v>154</v>
      </c>
      <c r="G17" s="199">
        <v>0.56999999999999995</v>
      </c>
      <c r="H17" s="200">
        <v>0.56999999999999995</v>
      </c>
      <c r="I17" s="149"/>
      <c r="J17" s="148"/>
      <c r="K17" s="173"/>
      <c r="L17" s="173"/>
      <c r="M17" s="173"/>
      <c r="N17" s="173"/>
      <c r="O17" s="173"/>
      <c r="P17" s="173"/>
      <c r="Q17" s="149"/>
      <c r="V17" s="13"/>
      <c r="W17" s="13"/>
      <c r="X17" s="13"/>
      <c r="Y17" s="13"/>
      <c r="Z17" s="164"/>
      <c r="AA17" s="164"/>
      <c r="AB17" s="164"/>
      <c r="AC17" s="164"/>
      <c r="AD17" s="164"/>
      <c r="AE17" s="164"/>
      <c r="AF17" s="164"/>
      <c r="AG17" s="164"/>
      <c r="AH17" s="164"/>
      <c r="AI17" s="164"/>
      <c r="AJ17" s="164"/>
      <c r="AK17" s="164"/>
      <c r="AL17" s="165"/>
      <c r="AM17" s="148"/>
      <c r="AN17" s="153"/>
      <c r="AO17" s="167"/>
      <c r="AP17" s="148"/>
      <c r="AQ17" s="148"/>
      <c r="AR17" s="148"/>
      <c r="AS17" s="148"/>
      <c r="AT17" s="148"/>
      <c r="AU17" s="148"/>
      <c r="AV17" s="148"/>
      <c r="AW17" s="148"/>
      <c r="AX17" s="148"/>
      <c r="AY17" s="148"/>
      <c r="AZ17" s="148"/>
      <c r="BI17">
        <v>1</v>
      </c>
      <c r="BJ17">
        <v>5</v>
      </c>
      <c r="BK17" s="94">
        <f t="shared" si="13"/>
        <v>5.4507034053099541E-2</v>
      </c>
      <c r="BQ17">
        <f>BQ13+1</f>
        <v>5</v>
      </c>
      <c r="BR17">
        <v>3</v>
      </c>
      <c r="BS17" s="94">
        <f>$H$30*H42</f>
        <v>5.8401324286515201E-3</v>
      </c>
    </row>
    <row r="18" spans="1:71" x14ac:dyDescent="0.25">
      <c r="A18" s="141" t="s">
        <v>73</v>
      </c>
      <c r="B18" s="195">
        <v>20</v>
      </c>
      <c r="C18" s="196">
        <v>20</v>
      </c>
      <c r="E18" s="149"/>
      <c r="F18" s="173" t="s">
        <v>3</v>
      </c>
      <c r="G18" s="199">
        <v>0.45</v>
      </c>
      <c r="H18" s="200">
        <v>0.45</v>
      </c>
      <c r="I18" s="149"/>
      <c r="J18" s="148"/>
      <c r="K18" s="173"/>
      <c r="L18" s="173"/>
      <c r="M18" s="173"/>
      <c r="N18" s="173"/>
      <c r="O18" s="173"/>
      <c r="P18" s="184"/>
      <c r="Q18" s="149"/>
      <c r="V18" s="13"/>
      <c r="W18" s="13"/>
      <c r="X18" s="13"/>
      <c r="Y18" s="13"/>
      <c r="Z18" s="164"/>
      <c r="AB18" s="138">
        <f>PRODUCT(AB3:AB17)</f>
        <v>0.38260784469788545</v>
      </c>
      <c r="AC18" s="139">
        <f>SUM(AC3:AC17)</f>
        <v>0.42709936823468714</v>
      </c>
      <c r="AD18" s="139">
        <f>SUM(AD3:AD17)</f>
        <v>0.16281576428542216</v>
      </c>
      <c r="AE18" s="139">
        <f>1-AB18-AC18-AD18</f>
        <v>2.7477022782005256E-2</v>
      </c>
      <c r="AF18" s="162"/>
      <c r="AG18" s="13"/>
      <c r="AH18" s="140">
        <f>PRODUCT(AH3:AH17)</f>
        <v>0.57917927275014069</v>
      </c>
      <c r="AI18" s="139">
        <f>SUM(AI3:AI17)</f>
        <v>0.34386485962655194</v>
      </c>
      <c r="AJ18" s="139">
        <f>SUM(AJ3:AJ17)</f>
        <v>7.0863303781438375E-2</v>
      </c>
      <c r="AK18" s="139">
        <f>1-AH18-AI18-AJ18</f>
        <v>6.0925638418689865E-3</v>
      </c>
      <c r="AL18" s="165"/>
      <c r="AM18" s="148"/>
      <c r="AN18" s="153"/>
      <c r="AO18" s="167"/>
      <c r="AP18" s="148"/>
      <c r="AQ18" s="148"/>
      <c r="AR18" s="148"/>
      <c r="AS18" s="148"/>
      <c r="AT18" s="148"/>
      <c r="AU18" s="148"/>
      <c r="AV18" s="148"/>
      <c r="AW18" s="148"/>
      <c r="AX18" s="148"/>
      <c r="AY18" s="148"/>
      <c r="AZ18" s="148"/>
      <c r="BI18">
        <v>1</v>
      </c>
      <c r="BJ18">
        <v>6</v>
      </c>
      <c r="BK18" s="94">
        <f t="shared" si="13"/>
        <v>3.5794749631976423E-2</v>
      </c>
      <c r="BQ18">
        <f>BM8+1</f>
        <v>5</v>
      </c>
      <c r="BR18">
        <v>4</v>
      </c>
      <c r="BS18" s="94">
        <f>$H$30*H43</f>
        <v>7.3675209035534263E-3</v>
      </c>
    </row>
    <row r="19" spans="1:71" ht="9" customHeight="1" x14ac:dyDescent="0.25">
      <c r="E19" s="148"/>
      <c r="F19" s="148"/>
      <c r="G19" s="148"/>
      <c r="H19" s="149"/>
      <c r="I19" s="148"/>
      <c r="J19" s="148"/>
      <c r="K19" s="148"/>
      <c r="L19" s="149"/>
      <c r="M19" s="149"/>
      <c r="N19" s="148"/>
      <c r="O19" s="148"/>
      <c r="P19" s="158"/>
      <c r="Q19" s="159"/>
      <c r="R19" s="160"/>
      <c r="S19" s="161"/>
      <c r="T19" s="162"/>
      <c r="U19" s="162"/>
      <c r="V19" s="162"/>
      <c r="W19" s="168"/>
      <c r="X19" s="148"/>
      <c r="Y19" s="163"/>
      <c r="Z19" s="164"/>
      <c r="AA19" s="164"/>
      <c r="AB19" s="164"/>
      <c r="AC19" s="161"/>
      <c r="AD19" s="162"/>
      <c r="AE19" s="162"/>
      <c r="AF19" s="162"/>
      <c r="AG19" s="168"/>
      <c r="AH19" s="165"/>
      <c r="AI19" s="148"/>
      <c r="AJ19" s="166"/>
      <c r="AK19" s="148"/>
      <c r="AL19" s="165"/>
      <c r="AM19" s="148"/>
      <c r="AN19" s="153"/>
      <c r="AO19" s="167"/>
      <c r="AP19" s="148"/>
      <c r="AQ19" s="148"/>
      <c r="AR19" s="148"/>
      <c r="AS19" s="148"/>
      <c r="AT19" s="148"/>
      <c r="AU19" s="148"/>
      <c r="AV19" s="148"/>
      <c r="AW19" s="148"/>
      <c r="AX19" s="148"/>
      <c r="AY19" s="148"/>
      <c r="AZ19" s="148"/>
      <c r="BI19">
        <v>1</v>
      </c>
      <c r="BJ19">
        <v>7</v>
      </c>
      <c r="BK19" s="94">
        <f t="shared" si="13"/>
        <v>1.7400349088438079E-2</v>
      </c>
      <c r="BQ19">
        <f>BQ15+1</f>
        <v>6</v>
      </c>
      <c r="BR19">
        <v>1</v>
      </c>
      <c r="BS19" s="94">
        <f>$H$31*H40</f>
        <v>2.4539954696819712E-4</v>
      </c>
    </row>
    <row r="20" spans="1:71" x14ac:dyDescent="0.25">
      <c r="A20" s="143" t="s">
        <v>79</v>
      </c>
      <c r="B20">
        <f>IF(B17="Pres",IF(C17="Pres",2,1),IF(C17="Pres",1,0))</f>
        <v>0</v>
      </c>
      <c r="D20" s="30"/>
      <c r="E20" s="148"/>
      <c r="F20" s="148"/>
      <c r="G20" s="148"/>
      <c r="H20" s="148"/>
      <c r="I20" s="148"/>
      <c r="J20" s="148"/>
      <c r="K20" s="148"/>
      <c r="L20" s="148"/>
      <c r="M20" s="148"/>
      <c r="N20" s="148"/>
      <c r="O20" s="148"/>
      <c r="P20" s="169"/>
      <c r="Q20" s="169"/>
      <c r="R20" s="169"/>
      <c r="S20" s="148"/>
      <c r="T20" s="170"/>
      <c r="U20" s="171"/>
      <c r="V20" s="171"/>
      <c r="W20" s="171"/>
      <c r="X20" s="148"/>
      <c r="Y20" s="169"/>
      <c r="Z20" s="169"/>
      <c r="AA20" s="169"/>
      <c r="AB20" s="169"/>
      <c r="AC20" s="149"/>
      <c r="AD20" s="172"/>
      <c r="AE20" s="171"/>
      <c r="AF20" s="171"/>
      <c r="AG20" s="171"/>
      <c r="AH20" s="148"/>
      <c r="AI20" s="148"/>
      <c r="AJ20" s="148"/>
      <c r="AK20" s="148"/>
      <c r="AL20" s="148"/>
      <c r="AM20" s="148"/>
      <c r="AN20" s="148"/>
      <c r="AO20" s="148"/>
      <c r="AP20" s="148"/>
      <c r="AQ20" s="148"/>
      <c r="AR20" s="148"/>
      <c r="AS20" s="148"/>
      <c r="AT20" s="148"/>
      <c r="AU20" s="148"/>
      <c r="AV20" s="148"/>
      <c r="AW20" s="148"/>
      <c r="AX20" s="148"/>
      <c r="AY20" s="148"/>
      <c r="AZ20" s="148"/>
      <c r="BI20">
        <v>1</v>
      </c>
      <c r="BJ20">
        <v>8</v>
      </c>
      <c r="BK20" s="94">
        <f t="shared" si="13"/>
        <v>6.261106518313392E-3</v>
      </c>
      <c r="BQ20">
        <f>BQ16+1</f>
        <v>6</v>
      </c>
      <c r="BR20">
        <v>2</v>
      </c>
      <c r="BS20" s="94">
        <f>$H$31*H41</f>
        <v>7.5858332130305075E-4</v>
      </c>
    </row>
    <row r="21" spans="1:71" x14ac:dyDescent="0.25">
      <c r="A21" s="143" t="s">
        <v>80</v>
      </c>
      <c r="B21" s="144">
        <f>5-B20</f>
        <v>5</v>
      </c>
      <c r="C21" s="29"/>
      <c r="P21" s="20"/>
      <c r="Q21" s="20"/>
      <c r="R21" s="20"/>
      <c r="BI21">
        <v>1</v>
      </c>
      <c r="BJ21">
        <v>9</v>
      </c>
      <c r="BK21" s="94">
        <f t="shared" si="13"/>
        <v>1.6485979252711881E-3</v>
      </c>
      <c r="BQ21">
        <f>BQ17+1</f>
        <v>6</v>
      </c>
      <c r="BR21">
        <v>3</v>
      </c>
      <c r="BS21" s="94">
        <f>$H$31*H42</f>
        <v>1.4188459337258548E-3</v>
      </c>
    </row>
    <row r="22" spans="1:71" x14ac:dyDescent="0.25">
      <c r="A22" s="22" t="s">
        <v>81</v>
      </c>
      <c r="B22" s="54">
        <f>(B6)/((B6)+(C6))</f>
        <v>0.47619047619047616</v>
      </c>
      <c r="C22" s="55">
        <f>1-B22</f>
        <v>0.52380952380952384</v>
      </c>
      <c r="V22" s="51">
        <f>SUM(V25:V35)</f>
        <v>1</v>
      </c>
      <c r="AS22" s="70">
        <f>Y23+AA23+AC23+AE23+AG23+AI23+AK23+AM23+AO23+AQ23+AS23</f>
        <v>0.99999999999999989</v>
      </c>
      <c r="BI22">
        <v>1</v>
      </c>
      <c r="BJ22">
        <v>10</v>
      </c>
      <c r="BK22" s="94">
        <f t="shared" si="13"/>
        <v>3.0954424741680517E-4</v>
      </c>
      <c r="BQ22">
        <f>BQ18+1</f>
        <v>6</v>
      </c>
      <c r="BR22">
        <v>4</v>
      </c>
      <c r="BS22" s="94">
        <f>$H$31*H43</f>
        <v>1.7899212395189963E-3</v>
      </c>
    </row>
    <row r="23" spans="1:71" ht="15.75" thickBot="1" x14ac:dyDescent="0.3">
      <c r="A23" s="34" t="s">
        <v>82</v>
      </c>
      <c r="B23" s="48">
        <f>((B22^2.8)/((B22^2.8)+(C22^2.8)))*B21</f>
        <v>2.1683801689912157</v>
      </c>
      <c r="C23" s="49">
        <f>B21-B23</f>
        <v>2.8316198310087843</v>
      </c>
      <c r="D23" s="132">
        <f>SUM(D25:D30)</f>
        <v>1</v>
      </c>
      <c r="E23" s="132">
        <f>SUM(E25:E30)</f>
        <v>1</v>
      </c>
      <c r="H23" s="30">
        <f>SUM(H25:H35)</f>
        <v>0.99999993956596989</v>
      </c>
      <c r="I23" s="69"/>
      <c r="J23" s="30">
        <f>SUM(J25:J35)</f>
        <v>0.99999999999999989</v>
      </c>
      <c r="K23" s="30"/>
      <c r="L23" s="30">
        <f>SUM(L25:L35)</f>
        <v>1</v>
      </c>
      <c r="M23" s="69"/>
      <c r="N23" s="30">
        <f>SUM(N25:N35)</f>
        <v>0.99999999999999989</v>
      </c>
      <c r="O23" s="69"/>
      <c r="P23" s="30">
        <f>SUM(P25:P35)</f>
        <v>0.99999999999999989</v>
      </c>
      <c r="Q23" s="69"/>
      <c r="R23" s="30">
        <f>SUM(R25:R35)</f>
        <v>0.99999999999999989</v>
      </c>
      <c r="S23" s="69"/>
      <c r="T23" s="30">
        <f>SUM(T25:T35)</f>
        <v>1</v>
      </c>
      <c r="V23" s="51">
        <f>SUM(V25:V34)</f>
        <v>0.99974931781276</v>
      </c>
      <c r="Y23" s="30">
        <f>SUM(Y25:Y35)</f>
        <v>3.3765445915655752E-3</v>
      </c>
      <c r="Z23" s="69"/>
      <c r="AA23" s="30">
        <f>SUM(AA25:AA35)</f>
        <v>2.5873660086668103E-2</v>
      </c>
      <c r="AB23" s="69"/>
      <c r="AC23" s="30">
        <f>SUM(AC25:AC35)</f>
        <v>8.9231628252390352E-2</v>
      </c>
      <c r="AD23" s="69"/>
      <c r="AE23" s="30">
        <f>SUM(AE25:AE35)</f>
        <v>0.18239905448332949</v>
      </c>
      <c r="AF23" s="69"/>
      <c r="AG23" s="30">
        <f>SUM(AG25:AG35)</f>
        <v>0.24474801787537889</v>
      </c>
      <c r="AH23" s="69"/>
      <c r="AI23" s="30">
        <f>SUM(AI25:AI35)</f>
        <v>0.22529102499748441</v>
      </c>
      <c r="AJ23" s="69"/>
      <c r="AK23" s="30">
        <f>SUM(AK25:AK35)</f>
        <v>0.14411233921871039</v>
      </c>
      <c r="AL23" s="69"/>
      <c r="AM23" s="30">
        <f>SUM(AM25:AM35)</f>
        <v>6.3287220894066035E-2</v>
      </c>
      <c r="AN23" s="69"/>
      <c r="AO23" s="30">
        <f>SUM(AO25:AO35)</f>
        <v>1.8281965297063971E-2</v>
      </c>
      <c r="AP23" s="69"/>
      <c r="AQ23" s="30">
        <f>SUM(AQ25:AQ35)</f>
        <v>3.1478621161027897E-3</v>
      </c>
      <c r="AR23" s="69"/>
      <c r="AS23" s="30">
        <f>SUM(AS25:AS35)</f>
        <v>2.506821872400033E-4</v>
      </c>
      <c r="BI23">
        <f t="shared" ref="BI23:BI29" si="14">BI15+1</f>
        <v>2</v>
      </c>
      <c r="BJ23">
        <v>3</v>
      </c>
      <c r="BK23" s="94">
        <f t="shared" ref="BK23:BK30" si="15">$H$27*H42</f>
        <v>5.4820520904881202E-2</v>
      </c>
      <c r="BQ23">
        <f>BM9+1</f>
        <v>6</v>
      </c>
      <c r="BR23">
        <v>5</v>
      </c>
      <c r="BS23" s="94">
        <f>$H$31*H44</f>
        <v>1.6068531901260556E-3</v>
      </c>
    </row>
    <row r="24" spans="1:71" ht="15.75" thickBot="1" x14ac:dyDescent="0.3">
      <c r="A24" s="22" t="s">
        <v>83</v>
      </c>
      <c r="B24" s="56">
        <f>B23/B21</f>
        <v>0.43367603379824315</v>
      </c>
      <c r="C24" s="57">
        <f>C23/B21</f>
        <v>0.56632396620175685</v>
      </c>
      <c r="D24" s="13" t="s">
        <v>84</v>
      </c>
      <c r="E24" s="13" t="s">
        <v>85</v>
      </c>
      <c r="G24" s="86" t="s">
        <v>86</v>
      </c>
      <c r="H24" s="87" t="s">
        <v>18</v>
      </c>
      <c r="I24" s="86" t="s">
        <v>87</v>
      </c>
      <c r="J24" s="88" t="s">
        <v>88</v>
      </c>
      <c r="K24" s="86" t="s">
        <v>89</v>
      </c>
      <c r="L24" s="88" t="s">
        <v>18</v>
      </c>
      <c r="M24" s="71" t="s">
        <v>90</v>
      </c>
      <c r="N24" s="23" t="s">
        <v>91</v>
      </c>
      <c r="O24" s="23" t="s">
        <v>92</v>
      </c>
      <c r="P24" s="23" t="s">
        <v>18</v>
      </c>
      <c r="Q24" s="23" t="s">
        <v>93</v>
      </c>
      <c r="R24" s="23" t="s">
        <v>18</v>
      </c>
      <c r="S24" s="23" t="s">
        <v>94</v>
      </c>
      <c r="T24" s="116" t="s">
        <v>18</v>
      </c>
      <c r="U24" s="120" t="s">
        <v>95</v>
      </c>
      <c r="V24" s="121" t="s">
        <v>91</v>
      </c>
      <c r="W24" s="71" t="s">
        <v>96</v>
      </c>
      <c r="X24" s="23" t="s">
        <v>97</v>
      </c>
      <c r="Y24" s="23" t="s">
        <v>18</v>
      </c>
      <c r="Z24" s="23" t="s">
        <v>98</v>
      </c>
      <c r="AA24" s="23" t="s">
        <v>18</v>
      </c>
      <c r="AB24" s="23" t="s">
        <v>99</v>
      </c>
      <c r="AC24" s="23" t="s">
        <v>18</v>
      </c>
      <c r="AD24" s="23" t="s">
        <v>100</v>
      </c>
      <c r="AE24" s="23" t="s">
        <v>18</v>
      </c>
      <c r="AF24" s="23" t="s">
        <v>101</v>
      </c>
      <c r="AG24" s="23" t="s">
        <v>18</v>
      </c>
      <c r="AH24" s="23" t="s">
        <v>102</v>
      </c>
      <c r="AI24" s="23" t="s">
        <v>18</v>
      </c>
      <c r="AJ24" s="23" t="s">
        <v>103</v>
      </c>
      <c r="AK24" s="23" t="s">
        <v>18</v>
      </c>
      <c r="AL24" s="23" t="s">
        <v>104</v>
      </c>
      <c r="AM24" s="23" t="s">
        <v>18</v>
      </c>
      <c r="AN24" s="23" t="s">
        <v>105</v>
      </c>
      <c r="AO24" s="23" t="s">
        <v>18</v>
      </c>
      <c r="AP24" s="23" t="s">
        <v>106</v>
      </c>
      <c r="AQ24" s="23" t="s">
        <v>18</v>
      </c>
      <c r="AR24" s="23" t="s">
        <v>107</v>
      </c>
      <c r="AS24" s="23" t="s">
        <v>18</v>
      </c>
      <c r="AV24" s="14">
        <v>0</v>
      </c>
      <c r="AW24" s="14">
        <v>1</v>
      </c>
      <c r="AX24" s="14">
        <v>2</v>
      </c>
      <c r="AY24" s="14">
        <v>3</v>
      </c>
      <c r="AZ24" s="14">
        <v>4</v>
      </c>
      <c r="BA24" s="14">
        <v>5</v>
      </c>
      <c r="BB24" s="14">
        <v>6</v>
      </c>
      <c r="BC24" s="14">
        <v>7</v>
      </c>
      <c r="BD24" s="14">
        <v>8</v>
      </c>
      <c r="BE24" s="14">
        <v>9</v>
      </c>
      <c r="BF24" s="14">
        <v>10</v>
      </c>
      <c r="BI24">
        <f t="shared" si="14"/>
        <v>2</v>
      </c>
      <c r="BJ24">
        <v>4</v>
      </c>
      <c r="BK24" s="94">
        <f t="shared" si="15"/>
        <v>6.9157906716108136E-2</v>
      </c>
      <c r="BQ24">
        <f>BI49+1</f>
        <v>7</v>
      </c>
      <c r="BR24">
        <v>0</v>
      </c>
      <c r="BS24" s="94">
        <f t="shared" ref="BS24:BS30" si="16">$H$32*H39</f>
        <v>6.5343326635953048E-6</v>
      </c>
    </row>
    <row r="25" spans="1:71" x14ac:dyDescent="0.25">
      <c r="A25" s="22" t="s">
        <v>108</v>
      </c>
      <c r="B25" s="104">
        <f>1/(1+EXP(-3.1416*4*((B11/(B11+C8))-(3.1416/6))))</f>
        <v>0.23251449252298675</v>
      </c>
      <c r="C25" s="55">
        <f>1/(1+EXP(-3.1416*4*((C11/(C11+B8))-(3.1416/6))))</f>
        <v>0.6793166023460353</v>
      </c>
      <c r="D25" s="26">
        <f>IF(B17="AOW",0.36-0.08,IF(B17="AIM",0.36+0.08,IF(B17="TL",(0.361)-(0.36*B32),0.36)))</f>
        <v>0.36</v>
      </c>
      <c r="E25" s="26">
        <f>IF(C17="AOW",0.36-0.08,IF(C17="AIM",0.36+0.08,IF(C17="TL",(0.361)-(0.36*C32),0.36)))</f>
        <v>0.36</v>
      </c>
      <c r="G25" s="108">
        <v>0</v>
      </c>
      <c r="H25" s="109">
        <f>L25*J25</f>
        <v>0.10351394127375854</v>
      </c>
      <c r="I25" s="84">
        <v>0</v>
      </c>
      <c r="J25" s="85">
        <f t="shared" ref="J25:J35" si="17">Y25+AA25+AC25+AE25+AG25+AI25+AK25+AM25+AO25+AQ25+AS25</f>
        <v>0.27054840277907827</v>
      </c>
      <c r="K25" s="84">
        <v>0</v>
      </c>
      <c r="L25" s="85">
        <f>AB18</f>
        <v>0.38260784469788545</v>
      </c>
      <c r="M25" s="72">
        <v>0</v>
      </c>
      <c r="N25" s="63">
        <f>(1-$B$24)^$B$21</f>
        <v>5.8253859548764761E-2</v>
      </c>
      <c r="O25" s="62">
        <v>0</v>
      </c>
      <c r="P25" s="63">
        <f t="shared" ref="P25:P30" si="18">N25</f>
        <v>5.8253859548764761E-2</v>
      </c>
      <c r="Q25" s="12">
        <v>0</v>
      </c>
      <c r="R25" s="31">
        <f>P25*N25</f>
        <v>3.3935121523272112E-3</v>
      </c>
      <c r="S25" s="62">
        <v>0</v>
      </c>
      <c r="T25" s="117">
        <f>(1-$B$33)^(INT(C23*2*(1-C31)))</f>
        <v>0.995</v>
      </c>
      <c r="U25" s="80">
        <v>0</v>
      </c>
      <c r="V25" s="73">
        <f>R25*T25</f>
        <v>3.3765445915655752E-3</v>
      </c>
      <c r="W25" s="118">
        <f>B31</f>
        <v>0.28228854946744131</v>
      </c>
      <c r="X25" s="12">
        <v>0</v>
      </c>
      <c r="Y25" s="68">
        <f>V25</f>
        <v>3.3765445915655752E-3</v>
      </c>
      <c r="Z25" s="12">
        <v>0</v>
      </c>
      <c r="AA25" s="68">
        <f>((1-W25)^Z26)*V26</f>
        <v>1.8569822111388933E-2</v>
      </c>
      <c r="AB25" s="12">
        <v>0</v>
      </c>
      <c r="AC25" s="68">
        <f>(((1-$W$25)^AB27))*V27</f>
        <v>4.596407959974879E-2</v>
      </c>
      <c r="AD25" s="12">
        <v>0</v>
      </c>
      <c r="AE25" s="68">
        <f>(((1-$W$25)^AB28))*V28</f>
        <v>6.7432957582147166E-2</v>
      </c>
      <c r="AF25" s="12">
        <v>0</v>
      </c>
      <c r="AG25" s="68">
        <f>(((1-$W$25)^AB29))*V29</f>
        <v>6.4940956922224E-2</v>
      </c>
      <c r="AH25" s="12">
        <v>0</v>
      </c>
      <c r="AI25" s="68">
        <f>(((1-$W$25)^AB30))*V30</f>
        <v>4.290355372466393E-2</v>
      </c>
      <c r="AJ25" s="12">
        <v>0</v>
      </c>
      <c r="AK25" s="68">
        <f>(((1-$W$25)^AB31))*V31</f>
        <v>1.9697015124709574E-2</v>
      </c>
      <c r="AL25" s="12">
        <v>0</v>
      </c>
      <c r="AM25" s="68">
        <f>(((1-$W$25)^AB32))*V32</f>
        <v>6.2081921588654221E-3</v>
      </c>
      <c r="AN25" s="12">
        <v>0</v>
      </c>
      <c r="AO25" s="68">
        <f>(((1-$W$25)^AB33))*V33</f>
        <v>1.2871284244145504E-3</v>
      </c>
      <c r="AP25" s="12">
        <v>0</v>
      </c>
      <c r="AQ25" s="68">
        <f>(((1-$W$25)^AB34))*V34</f>
        <v>1.5906131811362984E-4</v>
      </c>
      <c r="AR25" s="12">
        <v>0</v>
      </c>
      <c r="AS25" s="68">
        <f>(((1-$W$25)^AB35))*V35</f>
        <v>9.0912212367568771E-6</v>
      </c>
      <c r="AV25" s="14">
        <v>1</v>
      </c>
      <c r="AW25">
        <v>1</v>
      </c>
      <c r="AX25">
        <v>2</v>
      </c>
      <c r="AY25">
        <v>3</v>
      </c>
      <c r="AZ25">
        <v>4</v>
      </c>
      <c r="BA25">
        <v>5</v>
      </c>
      <c r="BB25">
        <v>6</v>
      </c>
      <c r="BC25">
        <f>7</f>
        <v>7</v>
      </c>
      <c r="BD25">
        <v>8</v>
      </c>
      <c r="BE25">
        <v>9</v>
      </c>
      <c r="BF25">
        <v>10</v>
      </c>
      <c r="BI25">
        <f t="shared" si="14"/>
        <v>2</v>
      </c>
      <c r="BJ25">
        <v>5</v>
      </c>
      <c r="BK25" s="94">
        <f t="shared" si="15"/>
        <v>6.2084632874171299E-2</v>
      </c>
      <c r="BQ25">
        <f>BQ19+1</f>
        <v>7</v>
      </c>
      <c r="BR25">
        <v>1</v>
      </c>
      <c r="BS25" s="94">
        <f t="shared" si="16"/>
        <v>4.416492615122111E-5</v>
      </c>
    </row>
    <row r="26" spans="1:71" x14ac:dyDescent="0.25">
      <c r="A26" s="34" t="s">
        <v>109</v>
      </c>
      <c r="B26" s="54">
        <f>1/(1+EXP(-3.1416*4*((B10/(B10+C9))-(3.1416/6))))</f>
        <v>0.23251449252298675</v>
      </c>
      <c r="C26" s="55">
        <f>1/(1+EXP(-3.1416*4*((C10/(C10+B9))-(3.1416/6))))</f>
        <v>0.6793166023460353</v>
      </c>
      <c r="D26" s="26">
        <f>IF(B17="AOW",0.257+0.04,IF(B17="AIM",0.257-0.04,IF(B17="TL",(0.257)-(0.257*B32),0.257)))</f>
        <v>0.25700000000000001</v>
      </c>
      <c r="E26" s="26">
        <f>IF(C17="AOW",0.257+0.04,IF(C17="AIM",0.257-0.04,IF(C17="TL",(0.257)-(0.257*C32),0.257)))</f>
        <v>0.25700000000000001</v>
      </c>
      <c r="G26" s="74">
        <v>1</v>
      </c>
      <c r="H26" s="110">
        <f>L25*J26+L26*J25</f>
        <v>0.26009886536504917</v>
      </c>
      <c r="I26" s="80">
        <v>1</v>
      </c>
      <c r="J26" s="73">
        <f t="shared" si="17"/>
        <v>0.37779626179734743</v>
      </c>
      <c r="K26" s="80">
        <v>1</v>
      </c>
      <c r="L26" s="73">
        <f>AC18</f>
        <v>0.42709936823468714</v>
      </c>
      <c r="M26" s="72">
        <v>1</v>
      </c>
      <c r="N26" s="63">
        <f>(($B$24)^M26)*((1-($B$24))^($B$21-M26))*HLOOKUP($B$21,$AV$24:$BF$34,M26+1)</f>
        <v>0.22304638572851768</v>
      </c>
      <c r="O26" s="62">
        <v>1</v>
      </c>
      <c r="P26" s="63">
        <f t="shared" si="18"/>
        <v>0.22304638572851768</v>
      </c>
      <c r="Q26" s="12">
        <v>1</v>
      </c>
      <c r="R26" s="31">
        <f>N26*P25+P26*N25</f>
        <v>2.5986625654177354E-2</v>
      </c>
      <c r="S26" s="62">
        <v>1</v>
      </c>
      <c r="T26" s="117">
        <f t="shared" ref="T26:T35" si="19">(($B$33)^S26)*((1-($B$33))^(INT($C$23*2*(1-$C$31))-S26))*HLOOKUP(INT($C$23*2*(1-$C$31)),$AV$24:$BF$34,S26+1)</f>
        <v>5.0000000000000001E-3</v>
      </c>
      <c r="U26" s="80">
        <v>1</v>
      </c>
      <c r="V26" s="73">
        <f>R26*T25+T26*R25</f>
        <v>2.5873660086668103E-2</v>
      </c>
      <c r="W26" s="119"/>
      <c r="X26" s="12">
        <v>1</v>
      </c>
      <c r="Y26" s="31"/>
      <c r="Z26" s="12">
        <v>1</v>
      </c>
      <c r="AA26" s="68">
        <f>(1-((1-W25)^Z26))*V26</f>
        <v>7.3038379752791704E-3</v>
      </c>
      <c r="AB26" s="12">
        <v>1</v>
      </c>
      <c r="AC26" s="68">
        <f>((($W$25)^M26)*((1-($W$25))^($U$27-M26))*HLOOKUP($U$27,$AV$24:$BF$34,M26+1))*V27</f>
        <v>3.6156963493312655E-2</v>
      </c>
      <c r="AD26" s="12">
        <v>1</v>
      </c>
      <c r="AE26" s="68">
        <f>((($W$25)^M26)*((1-($W$25))^($U$28-M26))*HLOOKUP($U$28,$AV$24:$BF$34,M26+1))*V28</f>
        <v>7.9567708309679325E-2</v>
      </c>
      <c r="AF26" s="12">
        <v>1</v>
      </c>
      <c r="AG26" s="68">
        <f>((($W$25)^M26)*((1-($W$25))^($U$29-M26))*HLOOKUP($U$29,$AV$24:$BF$34,M26+1))*V29</f>
        <v>0.10216968681215476</v>
      </c>
      <c r="AH26" s="12">
        <v>1</v>
      </c>
      <c r="AI26" s="68">
        <f>((($W$25)^M26)*((1-($W$25))^($U$30-M26))*HLOOKUP($U$30,$AV$24:$BF$34,M26+1))*V30</f>
        <v>8.4373615183003139E-2</v>
      </c>
      <c r="AJ26" s="12">
        <v>1</v>
      </c>
      <c r="AK26" s="68">
        <f>((($W$25)^M26)*((1-($W$25))^($U$31-M26))*HLOOKUP($U$31,$AV$24:$BF$34,M26+1))*V31</f>
        <v>4.6483096996153724E-2</v>
      </c>
      <c r="AL26" s="12">
        <v>1</v>
      </c>
      <c r="AM26" s="68">
        <f>((($W$25)^Q26)*((1-($W$25))^($U$32-Q26))*HLOOKUP($U$32,$AV$24:$BF$34,Q26+1))*V32</f>
        <v>1.7092538939271571E-2</v>
      </c>
      <c r="AN26" s="12">
        <v>1</v>
      </c>
      <c r="AO26" s="68">
        <f>((($W$25)^Q26)*((1-($W$25))^($U$33-Q26))*HLOOKUP($U$33,$AV$24:$BF$34,Q26+1))*V33</f>
        <v>4.0500021632558728E-3</v>
      </c>
      <c r="AP26" s="12">
        <v>1</v>
      </c>
      <c r="AQ26" s="68">
        <f>((($W$25)^Q26)*((1-($W$25))^($U$34-Q26))*HLOOKUP($U$34,$AV$24:$BF$34,Q26+1))*V34</f>
        <v>5.6305455151958738E-4</v>
      </c>
      <c r="AR26" s="12">
        <v>1</v>
      </c>
      <c r="AS26" s="68">
        <f>((($W$25)^Q26)*((1-($W$25))^($U$35-Q26))*HLOOKUP($U$35,$AV$24:$BF$34,Q26+1))*V35</f>
        <v>3.5757373717632724E-5</v>
      </c>
      <c r="AV26" s="14">
        <v>2</v>
      </c>
      <c r="AX26">
        <v>1</v>
      </c>
      <c r="AY26">
        <v>3</v>
      </c>
      <c r="AZ26">
        <v>6</v>
      </c>
      <c r="BA26">
        <v>10</v>
      </c>
      <c r="BB26">
        <v>15</v>
      </c>
      <c r="BC26">
        <f>6+15</f>
        <v>21</v>
      </c>
      <c r="BD26">
        <f>21+7</f>
        <v>28</v>
      </c>
      <c r="BE26">
        <f>28+8</f>
        <v>36</v>
      </c>
      <c r="BF26">
        <f>36+9</f>
        <v>45</v>
      </c>
      <c r="BI26">
        <f t="shared" si="14"/>
        <v>2</v>
      </c>
      <c r="BJ26">
        <v>6</v>
      </c>
      <c r="BK26" s="94">
        <f t="shared" si="15"/>
        <v>4.0770956048704017E-2</v>
      </c>
      <c r="BQ26">
        <f>BQ20+1</f>
        <v>7</v>
      </c>
      <c r="BR26">
        <v>2</v>
      </c>
      <c r="BS26" s="94">
        <f t="shared" si="16"/>
        <v>1.3652338310648595E-4</v>
      </c>
    </row>
    <row r="27" spans="1:71" x14ac:dyDescent="0.25">
      <c r="A27" s="22" t="s">
        <v>110</v>
      </c>
      <c r="B27" s="54">
        <f>1/(1+EXP(-3.1416*4*((B12/(B12+C7))-(3.1416/6))))</f>
        <v>0.23251449252298675</v>
      </c>
      <c r="C27" s="55">
        <f>1/(1+EXP(-3.1416*4*((C12/(C12+B7))-(3.1416/6))))</f>
        <v>0.6793166023460353</v>
      </c>
      <c r="D27" s="26">
        <f>D26</f>
        <v>0.25700000000000001</v>
      </c>
      <c r="E27" s="26">
        <f>E26</f>
        <v>0.25700000000000001</v>
      </c>
      <c r="G27" s="74">
        <v>2</v>
      </c>
      <c r="H27" s="110">
        <f>L25*J27+J26*L26+J25*L27</f>
        <v>0.29625795730228921</v>
      </c>
      <c r="I27" s="80">
        <v>2</v>
      </c>
      <c r="J27" s="73">
        <f t="shared" si="17"/>
        <v>0.23745427296264196</v>
      </c>
      <c r="K27" s="80">
        <v>2</v>
      </c>
      <c r="L27" s="73">
        <f>AD18</f>
        <v>0.16281576428542216</v>
      </c>
      <c r="M27" s="72">
        <v>2</v>
      </c>
      <c r="N27" s="63">
        <f>(($B$24)^M27)*((1-($B$24))^($B$21-M27))*HLOOKUP($B$21,$AV$24:$BF$34,M27+1)</f>
        <v>0.34160613955481417</v>
      </c>
      <c r="O27" s="62">
        <v>2</v>
      </c>
      <c r="P27" s="63">
        <f t="shared" si="18"/>
        <v>0.34160613955481417</v>
      </c>
      <c r="Q27" s="12">
        <v>2</v>
      </c>
      <c r="R27" s="31">
        <f>P25*N27+P26*N26+P27*N25</f>
        <v>8.9549442335798451E-2</v>
      </c>
      <c r="S27" s="62">
        <v>2</v>
      </c>
      <c r="T27" s="117">
        <f t="shared" si="19"/>
        <v>0</v>
      </c>
      <c r="U27" s="80">
        <v>2</v>
      </c>
      <c r="V27" s="73">
        <f>R27*T25+T26*R26+R25*T27</f>
        <v>8.9231628252390352E-2</v>
      </c>
      <c r="W27" s="119"/>
      <c r="X27" s="12">
        <v>2</v>
      </c>
      <c r="Y27" s="31"/>
      <c r="Z27" s="12">
        <v>2</v>
      </c>
      <c r="AA27" s="68"/>
      <c r="AB27" s="12">
        <v>2</v>
      </c>
      <c r="AC27" s="68">
        <f>((($W$25)^M27)*((1-($W$25))^($U$27-M27))*HLOOKUP($U$27,$AV$24:$BF$34,M27+1))*V27</f>
        <v>7.1105851593288999E-3</v>
      </c>
      <c r="AD27" s="12">
        <v>2</v>
      </c>
      <c r="AE27" s="68">
        <f>((($W$25)^M27)*((1-($W$25))^($U$28-M27))*HLOOKUP($U$28,$AV$24:$BF$34,M27+1))*V28</f>
        <v>3.1295380541192741E-2</v>
      </c>
      <c r="AF27" s="12">
        <v>2</v>
      </c>
      <c r="AG27" s="68">
        <f>((($W$25)^M27)*((1-($W$25))^($U$29-M27))*HLOOKUP($U$29,$AV$24:$BF$34,M27+1))*V29</f>
        <v>6.0277704922385572E-2</v>
      </c>
      <c r="AH27" s="12">
        <v>2</v>
      </c>
      <c r="AI27" s="68">
        <f>((($W$25)^M27)*((1-($W$25))^($U$30-M27))*HLOOKUP($U$30,$AV$24:$BF$34,M27+1))*V30</f>
        <v>6.6371256653800767E-2</v>
      </c>
      <c r="AJ27" s="12">
        <v>2</v>
      </c>
      <c r="AK27" s="68">
        <f>((($W$25)^M27)*((1-($W$25))^($U$31-M27))*HLOOKUP($U$31,$AV$24:$BF$34,M27+1))*V31</f>
        <v>4.5706551066107569E-2</v>
      </c>
      <c r="AL27" s="12">
        <v>2</v>
      </c>
      <c r="AM27" s="68">
        <f>((($W$25)^Q27)*((1-($W$25))^($U$32-Q27))*HLOOKUP($U$32,$AV$24:$BF$34,Q27+1))*V32</f>
        <v>2.0168389484252112E-2</v>
      </c>
      <c r="AN27" s="12">
        <v>2</v>
      </c>
      <c r="AO27" s="68">
        <f>((($W$25)^Q27)*((1-($W$25))^($U$33-Q27))*HLOOKUP($U$33,$AV$24:$BF$34,Q27+1))*V33</f>
        <v>5.5752800419306189E-3</v>
      </c>
      <c r="AP27" s="12">
        <v>2</v>
      </c>
      <c r="AQ27" s="68">
        <f>((($W$25)^Q27)*((1-($W$25))^($U$34-Q27))*HLOOKUP($U$34,$AV$24:$BF$34,Q27+1))*V34</f>
        <v>8.8583707283234779E-4</v>
      </c>
      <c r="AR27" s="12">
        <v>2</v>
      </c>
      <c r="AS27" s="68">
        <f>((($W$25)^Q27)*((1-($W$25))^($U$35-Q27))*HLOOKUP($U$35,$AV$24:$BF$34,Q27+1))*V35</f>
        <v>6.3288020811311138E-5</v>
      </c>
      <c r="AV27" s="14">
        <v>3</v>
      </c>
      <c r="AY27">
        <v>1</v>
      </c>
      <c r="AZ27">
        <v>4</v>
      </c>
      <c r="BA27">
        <v>10</v>
      </c>
      <c r="BB27">
        <v>20</v>
      </c>
      <c r="BC27">
        <f>15+20</f>
        <v>35</v>
      </c>
      <c r="BD27">
        <f>21+35</f>
        <v>56</v>
      </c>
      <c r="BE27">
        <f>28+56</f>
        <v>84</v>
      </c>
      <c r="BF27">
        <f>36+84</f>
        <v>120</v>
      </c>
      <c r="BI27">
        <f t="shared" si="14"/>
        <v>2</v>
      </c>
      <c r="BJ27">
        <v>7</v>
      </c>
      <c r="BK27" s="94">
        <f t="shared" si="15"/>
        <v>1.9819355497965652E-2</v>
      </c>
      <c r="BQ27">
        <f>BQ21+1</f>
        <v>7</v>
      </c>
      <c r="BR27">
        <v>3</v>
      </c>
      <c r="BS27" s="94">
        <f t="shared" si="16"/>
        <v>2.5535184012007839E-4</v>
      </c>
    </row>
    <row r="28" spans="1:71" x14ac:dyDescent="0.25">
      <c r="A28" s="22" t="s">
        <v>111</v>
      </c>
      <c r="B28" s="197">
        <v>0.9</v>
      </c>
      <c r="C28" s="198">
        <v>0.9</v>
      </c>
      <c r="D28" s="26">
        <v>8.5000000000000006E-2</v>
      </c>
      <c r="E28" s="26">
        <v>8.5000000000000006E-2</v>
      </c>
      <c r="G28" s="74">
        <v>3</v>
      </c>
      <c r="H28" s="110">
        <f>J28*L25+J27*L26+L28*J25+L27*J26</f>
        <v>0.20421060603863439</v>
      </c>
      <c r="I28" s="80">
        <v>3</v>
      </c>
      <c r="J28" s="73">
        <f t="shared" si="17"/>
        <v>8.8469133096014868E-2</v>
      </c>
      <c r="K28" s="80">
        <v>3</v>
      </c>
      <c r="L28" s="73">
        <f>AE18</f>
        <v>2.7477022782005256E-2</v>
      </c>
      <c r="M28" s="72">
        <v>3</v>
      </c>
      <c r="N28" s="63">
        <f>(($B$24)^M28)*((1-($B$24))^($B$21-M28))*HLOOKUP($B$21,$AV$24:$BF$34,M28+1)</f>
        <v>0.26159301842169036</v>
      </c>
      <c r="O28" s="62">
        <v>3</v>
      </c>
      <c r="P28" s="63">
        <f t="shared" si="18"/>
        <v>0.26159301842169036</v>
      </c>
      <c r="Q28" s="12">
        <v>3</v>
      </c>
      <c r="R28" s="31">
        <f>P25*N28+P26*N27+P27*N26+P28*N25</f>
        <v>0.182865635448895</v>
      </c>
      <c r="S28" s="62">
        <v>3</v>
      </c>
      <c r="T28" s="117">
        <f t="shared" si="19"/>
        <v>0</v>
      </c>
      <c r="U28" s="80">
        <v>3</v>
      </c>
      <c r="V28" s="73">
        <f>R28*T25+R27*T26+R26*T27+R25*T28</f>
        <v>0.18239905448332952</v>
      </c>
      <c r="W28" s="119"/>
      <c r="X28" s="12">
        <v>3</v>
      </c>
      <c r="Y28" s="31"/>
      <c r="Z28" s="12">
        <v>3</v>
      </c>
      <c r="AA28" s="68"/>
      <c r="AB28" s="12">
        <v>3</v>
      </c>
      <c r="AC28" s="68"/>
      <c r="AD28" s="12">
        <v>3</v>
      </c>
      <c r="AE28" s="68">
        <f>((($W$25)^M28)*((1-($W$25))^($U$28-M28))*HLOOKUP($U$28,$AV$24:$BF$34,M28+1))*V28</f>
        <v>4.1030080503102872E-3</v>
      </c>
      <c r="AF28" s="12">
        <v>3</v>
      </c>
      <c r="AG28" s="68">
        <f>((($W$25)^M28)*((1-($W$25))^($U$29-M28))*HLOOKUP($U$29,$AV$24:$BF$34,M28+1))*V29</f>
        <v>1.5805521727095772E-2</v>
      </c>
      <c r="AH28" s="12">
        <v>3</v>
      </c>
      <c r="AI28" s="68">
        <f>((($W$25)^M28)*((1-($W$25))^($U$30-M28))*HLOOKUP($U$30,$AV$24:$BF$34,M28+1))*V30</f>
        <v>2.6104983769215672E-2</v>
      </c>
      <c r="AJ28" s="12">
        <v>3</v>
      </c>
      <c r="AK28" s="68">
        <f>((($W$25)^M28)*((1-($W$25))^($U$31-M28))*HLOOKUP($U$31,$AV$24:$BF$34,M28+1))*V31</f>
        <v>2.3969588320463385E-2</v>
      </c>
      <c r="AL28" s="12">
        <v>3</v>
      </c>
      <c r="AM28" s="68">
        <f>((($W$25)^Q28)*((1-($W$25))^($U$32-Q28))*HLOOKUP($U$32,$AV$24:$BF$34,Q28+1))*V32</f>
        <v>1.3220971112135571E-2</v>
      </c>
      <c r="AN28" s="12">
        <v>3</v>
      </c>
      <c r="AO28" s="68">
        <f>((($W$25)^Q28)*((1-($W$25))^($U$33-Q28))*HLOOKUP($U$33,$AV$24:$BF$34,Q28+1))*V33</f>
        <v>4.3857115968918853E-3</v>
      </c>
      <c r="AP28" s="12">
        <v>3</v>
      </c>
      <c r="AQ28" s="68">
        <f>((($W$25)^Q28)*((1-($W$25))^($U$34-Q28))*HLOOKUP($U$34,$AV$24:$BF$34,Q28+1))*V34</f>
        <v>8.12969072357901E-4</v>
      </c>
      <c r="AR28" s="12">
        <v>3</v>
      </c>
      <c r="AS28" s="68">
        <f>((($W$25)^Q28)*((1-($W$25))^($U$35-Q28))*HLOOKUP($U$35,$AV$24:$BF$34,Q28+1))*V35</f>
        <v>6.6379447544399282E-5</v>
      </c>
      <c r="AV28" s="14">
        <v>4</v>
      </c>
      <c r="AZ28">
        <v>1</v>
      </c>
      <c r="BA28">
        <v>5</v>
      </c>
      <c r="BB28">
        <v>15</v>
      </c>
      <c r="BC28">
        <f>20+15</f>
        <v>35</v>
      </c>
      <c r="BD28">
        <f>35+35</f>
        <v>70</v>
      </c>
      <c r="BE28">
        <f>56+70</f>
        <v>126</v>
      </c>
      <c r="BF28">
        <f t="shared" ref="BF28:BF34" si="20">BE27+BE28</f>
        <v>210</v>
      </c>
      <c r="BI28">
        <f t="shared" si="14"/>
        <v>2</v>
      </c>
      <c r="BJ28">
        <v>8</v>
      </c>
      <c r="BK28" s="94">
        <f t="shared" si="15"/>
        <v>7.1315291013062075E-3</v>
      </c>
      <c r="BQ28">
        <f>BQ22+1</f>
        <v>7</v>
      </c>
      <c r="BR28">
        <v>4</v>
      </c>
      <c r="BS28" s="94">
        <f t="shared" si="16"/>
        <v>3.2213482191188986E-4</v>
      </c>
    </row>
    <row r="29" spans="1:71" x14ac:dyDescent="0.25">
      <c r="A29" s="22" t="s">
        <v>112</v>
      </c>
      <c r="B29" s="54">
        <f>1/(1+EXP(-3.1416*4*((B14/(B14+C13))-(3.1416/6))))</f>
        <v>6.2199958135446112E-2</v>
      </c>
      <c r="C29" s="55">
        <f>1/(1+EXP(-3.1416*4*((C14/(C14+B13))-(3.1416/6))))</f>
        <v>6.2199958135446112E-2</v>
      </c>
      <c r="D29" s="26">
        <v>0.04</v>
      </c>
      <c r="E29" s="26">
        <v>0.04</v>
      </c>
      <c r="G29" s="74">
        <v>4</v>
      </c>
      <c r="H29" s="110">
        <f>J29*L25+J28*L26+J27*L27+J26*L28</f>
        <v>9.5106856760593855E-2</v>
      </c>
      <c r="I29" s="80">
        <v>4</v>
      </c>
      <c r="J29" s="73">
        <f t="shared" si="17"/>
        <v>2.1640252791835353E-2</v>
      </c>
      <c r="K29" s="80">
        <v>4</v>
      </c>
      <c r="L29" s="73"/>
      <c r="M29" s="72">
        <v>4</v>
      </c>
      <c r="N29" s="63">
        <f>(($B$24)^M29)*((1-($B$24))^($B$21-M29))*HLOOKUP($B$21,$AV$24:$BF$34,M29+1)</f>
        <v>0.10016053484306656</v>
      </c>
      <c r="O29" s="62">
        <v>4</v>
      </c>
      <c r="P29" s="63">
        <f t="shared" si="18"/>
        <v>0.10016053484306656</v>
      </c>
      <c r="Q29" s="12">
        <v>4</v>
      </c>
      <c r="R29" s="31">
        <f>P25*N29+P26*N28+P27*N27+P28*N26+P29*N25</f>
        <v>0.24505898462124065</v>
      </c>
      <c r="S29" s="62">
        <v>4</v>
      </c>
      <c r="T29" s="117">
        <f t="shared" si="19"/>
        <v>0</v>
      </c>
      <c r="U29" s="80">
        <v>4</v>
      </c>
      <c r="V29" s="73">
        <f>T29*R25+T28*R26+T27*R27+T26*R28+T25*R29</f>
        <v>0.24474801787537892</v>
      </c>
      <c r="W29" s="119"/>
      <c r="X29" s="12">
        <v>4</v>
      </c>
      <c r="Y29" s="31"/>
      <c r="Z29" s="12">
        <v>4</v>
      </c>
      <c r="AA29" s="68"/>
      <c r="AB29" s="12">
        <v>4</v>
      </c>
      <c r="AC29" s="68"/>
      <c r="AD29" s="12">
        <v>4</v>
      </c>
      <c r="AE29" s="68"/>
      <c r="AF29" s="12">
        <v>4</v>
      </c>
      <c r="AG29" s="68">
        <f>((($W$25)^M29)*((1-($W$25))^($U$29-M29))*HLOOKUP($U$29,$AV$24:$BF$34,M29+1))*V29</f>
        <v>1.5541474915188043E-3</v>
      </c>
      <c r="AH29" s="12">
        <v>4</v>
      </c>
      <c r="AI29" s="68">
        <f>((($W$25)^M29)*((1-($W$25))^($U$30-M29))*HLOOKUP($U$30,$AV$24:$BF$34,M29+1))*V30</f>
        <v>5.1337748593915551E-3</v>
      </c>
      <c r="AJ29" s="12">
        <v>4</v>
      </c>
      <c r="AK29" s="68">
        <f>((($W$25)^M29)*((1-($W$25))^($U$31-M29))*HLOOKUP($U$31,$AV$24:$BF$34,M29+1))*V31</f>
        <v>7.0707458198847354E-3</v>
      </c>
      <c r="AL29" s="12">
        <v>4</v>
      </c>
      <c r="AM29" s="68">
        <f>((($W$25)^Q29)*((1-($W$25))^($U$32-Q29))*HLOOKUP($U$32,$AV$24:$BF$34,Q29+1))*V32</f>
        <v>5.2000407058106265E-3</v>
      </c>
      <c r="AN29" s="12">
        <v>4</v>
      </c>
      <c r="AO29" s="68">
        <f>((($W$25)^Q29)*((1-($W$25))^($U$33-Q29))*HLOOKUP($U$33,$AV$24:$BF$34,Q29+1))*V33</f>
        <v>2.1562219819512675E-3</v>
      </c>
      <c r="AP29" s="12">
        <v>4</v>
      </c>
      <c r="AQ29" s="68">
        <f>((($W$25)^Q29)*((1-($W$25))^($U$34-Q29))*HLOOKUP($U$34,$AV$24:$BF$34,Q29+1))*V34</f>
        <v>4.7963257384464505E-4</v>
      </c>
      <c r="AR29" s="12">
        <v>4</v>
      </c>
      <c r="AS29" s="68">
        <f>((($W$25)^Q29)*((1-($W$25))^($U$35-Q29))*HLOOKUP($U$35,$AV$24:$BF$34,Q29+1))*V35</f>
        <v>4.5689359433718462E-5</v>
      </c>
      <c r="AV29" s="14">
        <v>5</v>
      </c>
      <c r="BA29">
        <v>1</v>
      </c>
      <c r="BB29">
        <v>6</v>
      </c>
      <c r="BC29">
        <f>15+6</f>
        <v>21</v>
      </c>
      <c r="BD29">
        <f>35+21</f>
        <v>56</v>
      </c>
      <c r="BE29">
        <f>70+56</f>
        <v>126</v>
      </c>
      <c r="BF29">
        <f t="shared" si="20"/>
        <v>252</v>
      </c>
      <c r="BI29">
        <f t="shared" si="14"/>
        <v>2</v>
      </c>
      <c r="BJ29">
        <v>9</v>
      </c>
      <c r="BK29" s="94">
        <f t="shared" si="15"/>
        <v>1.8777869448532568E-3</v>
      </c>
      <c r="BQ29">
        <f>BQ23+1</f>
        <v>7</v>
      </c>
      <c r="BR29">
        <v>5</v>
      </c>
      <c r="BS29" s="94">
        <f t="shared" si="16"/>
        <v>2.8918778927887874E-4</v>
      </c>
    </row>
    <row r="30" spans="1:71" x14ac:dyDescent="0.25">
      <c r="A30" s="22" t="s">
        <v>113</v>
      </c>
      <c r="B30" s="197">
        <v>0.15</v>
      </c>
      <c r="C30" s="198">
        <v>0.15</v>
      </c>
      <c r="D30" s="26">
        <f>IF(B17="TL",0.875*B32,0.001)</f>
        <v>1E-3</v>
      </c>
      <c r="E30" s="26">
        <f>IF(C17="TL",0.875*C32,0.001)</f>
        <v>1E-3</v>
      </c>
      <c r="G30" s="74">
        <v>5</v>
      </c>
      <c r="H30" s="110">
        <f>J30*L25+J29*L26+J28*L27+J27*L28</f>
        <v>3.1560913233370999E-2</v>
      </c>
      <c r="I30" s="80">
        <v>5</v>
      </c>
      <c r="J30" s="73">
        <f t="shared" si="17"/>
        <v>3.6320973765216337E-3</v>
      </c>
      <c r="K30" s="80">
        <v>5</v>
      </c>
      <c r="L30" s="73"/>
      <c r="M30" s="72">
        <v>5</v>
      </c>
      <c r="N30" s="63">
        <f>(($B$24)^M30)*((1-($B$24))^($B$21-M30))*HLOOKUP($B$21,$AV$24:$BF$34,M30+1)</f>
        <v>1.5340061903146452E-2</v>
      </c>
      <c r="O30" s="62">
        <v>5</v>
      </c>
      <c r="P30" s="63">
        <f t="shared" si="18"/>
        <v>1.5340061903146452E-2</v>
      </c>
      <c r="Q30" s="12">
        <v>5</v>
      </c>
      <c r="R30" s="31">
        <f>P25*N30+P26*N29+P27*N28+P28*N27+P29*N26+P30*N25</f>
        <v>0.22519168851696308</v>
      </c>
      <c r="S30" s="62">
        <v>5</v>
      </c>
      <c r="T30" s="117">
        <f t="shared" si="19"/>
        <v>0</v>
      </c>
      <c r="U30" s="80">
        <v>5</v>
      </c>
      <c r="V30" s="73">
        <f>T30*R25+T29*R26+T28*R27+T27*R28+T26*R29+T25*R30</f>
        <v>0.22529102499748446</v>
      </c>
      <c r="W30" s="119"/>
      <c r="X30" s="12">
        <v>5</v>
      </c>
      <c r="Y30" s="31"/>
      <c r="Z30" s="12">
        <v>5</v>
      </c>
      <c r="AA30" s="68"/>
      <c r="AB30" s="12">
        <v>5</v>
      </c>
      <c r="AC30" s="68"/>
      <c r="AD30" s="12">
        <v>5</v>
      </c>
      <c r="AE30" s="68"/>
      <c r="AF30" s="12">
        <v>5</v>
      </c>
      <c r="AG30" s="68"/>
      <c r="AH30" s="12">
        <v>5</v>
      </c>
      <c r="AI30" s="68">
        <f>((($W$25)^M30)*((1-($W$25))^($U$30-M30))*HLOOKUP($U$30,$AV$24:$BF$34,M30+1))*V30</f>
        <v>4.0384080740936065E-4</v>
      </c>
      <c r="AJ30" s="12">
        <v>5</v>
      </c>
      <c r="AK30" s="68">
        <f>((($W$25)^M30)*((1-($W$25))^($U$31-M30))*HLOOKUP($U$31,$AV$24:$BF$34,M30+1))*V31</f>
        <v>1.1124195271886297E-3</v>
      </c>
      <c r="AL30" s="12">
        <v>5</v>
      </c>
      <c r="AM30" s="68">
        <f>((($W$25)^Q30)*((1-($W$25))^($U$32-Q30))*HLOOKUP($U$32,$AV$24:$BF$34,Q30+1))*V32</f>
        <v>1.2271605366689132E-3</v>
      </c>
      <c r="AN30" s="12">
        <v>5</v>
      </c>
      <c r="AO30" s="68">
        <f>((($W$25)^Q30)*((1-($W$25))^($U$33-Q30))*HLOOKUP($U$33,$AV$24:$BF$34,Q30+1))*V33</f>
        <v>6.7846405422478052E-4</v>
      </c>
      <c r="AP30" s="12">
        <v>5</v>
      </c>
      <c r="AQ30" s="68">
        <f>((($W$25)^Q30)*((1-($W$25))^($U$34-Q30))*HLOOKUP($U$34,$AV$24:$BF$34,Q30+1))*V34</f>
        <v>1.8864793566756416E-4</v>
      </c>
      <c r="AR30" s="12">
        <v>5</v>
      </c>
      <c r="AS30" s="68">
        <f>((($W$25)^Q30)*((1-($W$25))^($U$35-Q30))*HLOOKUP($U$35,$AV$24:$BF$34,Q30+1))*V35</f>
        <v>2.1564515362385199E-5</v>
      </c>
      <c r="AV30" s="24">
        <v>6</v>
      </c>
      <c r="BB30">
        <v>1</v>
      </c>
      <c r="BC30">
        <v>7</v>
      </c>
      <c r="BD30">
        <f>28</f>
        <v>28</v>
      </c>
      <c r="BE30">
        <f>56+28</f>
        <v>84</v>
      </c>
      <c r="BF30">
        <f t="shared" si="20"/>
        <v>210</v>
      </c>
      <c r="BI30">
        <f t="shared" ref="BI30" si="21">BI22+1</f>
        <v>2</v>
      </c>
      <c r="BJ30">
        <v>10</v>
      </c>
      <c r="BK30" s="94">
        <f t="shared" si="15"/>
        <v>3.5257726444007771E-4</v>
      </c>
      <c r="BQ30">
        <f>BM10+1</f>
        <v>7</v>
      </c>
      <c r="BR30">
        <v>6</v>
      </c>
      <c r="BS30" s="94">
        <f t="shared" si="16"/>
        <v>1.8990951706853308E-4</v>
      </c>
    </row>
    <row r="31" spans="1:71" x14ac:dyDescent="0.25">
      <c r="A31" s="142" t="s">
        <v>114</v>
      </c>
      <c r="B31" s="52">
        <f>(B25*D25)+(B26*D26)+(B27*D27)+(B28*D28)+(B29*D29)+(B30*D30)/(B25+B26+B27+B28+B29+B30)</f>
        <v>0.28228854946744131</v>
      </c>
      <c r="C31" s="53">
        <f>(C25*E25)+(C26*E26)+(C27*E27)+(C28*E28)+(C29*E29)+(C30*E30)/(C25+C26+C27+C28+C29+C30)</f>
        <v>0.67275832555955561</v>
      </c>
      <c r="G31" s="74">
        <v>6</v>
      </c>
      <c r="H31" s="110">
        <f>J31*L25+J30*L26+J29*L27+J28*L28</f>
        <v>7.6676469160447845E-3</v>
      </c>
      <c r="I31" s="80">
        <v>6</v>
      </c>
      <c r="J31" s="73">
        <f t="shared" si="17"/>
        <v>4.2377003032357532E-4</v>
      </c>
      <c r="K31" s="80">
        <v>6</v>
      </c>
      <c r="L31" s="73"/>
      <c r="M31" s="72"/>
      <c r="N31" s="31"/>
      <c r="O31" s="31"/>
      <c r="P31" s="31"/>
      <c r="Q31" s="12">
        <v>6</v>
      </c>
      <c r="R31" s="31">
        <f>P26*N30+P27*N29+P28*N28+P29*N27+P30*N26</f>
        <v>0.14370490530263877</v>
      </c>
      <c r="S31" s="62">
        <v>6</v>
      </c>
      <c r="T31" s="117">
        <f t="shared" si="19"/>
        <v>0</v>
      </c>
      <c r="U31" s="80">
        <v>6</v>
      </c>
      <c r="V31" s="73">
        <f>T31*R25+T30*R26+T29*R27+T28*R28+T27*R29+T26*R30+T25*R31</f>
        <v>0.14411233921871039</v>
      </c>
      <c r="W31" s="119"/>
      <c r="X31" s="12">
        <v>6</v>
      </c>
      <c r="Y31" s="31"/>
      <c r="Z31" s="12">
        <v>6</v>
      </c>
      <c r="AA31" s="68"/>
      <c r="AB31" s="12">
        <v>6</v>
      </c>
      <c r="AC31" s="68"/>
      <c r="AD31" s="12">
        <v>6</v>
      </c>
      <c r="AE31" s="68"/>
      <c r="AF31" s="12">
        <v>6</v>
      </c>
      <c r="AG31" s="68"/>
      <c r="AH31" s="12">
        <v>6</v>
      </c>
      <c r="AI31" s="68"/>
      <c r="AJ31" s="12">
        <v>6</v>
      </c>
      <c r="AK31" s="68">
        <f>((($W$25)^Q31)*((1-($W$25))^($U$31-Q31))*HLOOKUP($U$31,$AV$24:$BF$34,Q31+1))*V31</f>
        <v>7.2922364202754575E-5</v>
      </c>
      <c r="AL31" s="12">
        <v>6</v>
      </c>
      <c r="AM31" s="68">
        <f>((($W$25)^Q31)*((1-($W$25))^($U$32-Q31))*HLOOKUP($U$32,$AV$24:$BF$34,Q31+1))*V32</f>
        <v>1.6088794812219105E-4</v>
      </c>
      <c r="AN31" s="12">
        <v>6</v>
      </c>
      <c r="AO31" s="68">
        <f>((($W$25)^Q31)*((1-($W$25))^($U$33-Q31))*HLOOKUP($U$33,$AV$24:$BF$34,Q31+1))*V33</f>
        <v>1.3342592875646505E-4</v>
      </c>
      <c r="AP31" s="12">
        <v>6</v>
      </c>
      <c r="AQ31" s="68">
        <f>((($W$25)^Q31)*((1-($W$25))^($U$34-Q31))*HLOOKUP($U$34,$AV$24:$BF$34,Q31+1))*V34</f>
        <v>4.9465702946134123E-5</v>
      </c>
      <c r="AR31" s="12">
        <v>6</v>
      </c>
      <c r="AS31" s="68">
        <f>((($W$25)^Q31)*((1-($W$25))^($U$35-Q31))*HLOOKUP($U$35,$AV$24:$BF$34,Q31+1))*V35</f>
        <v>7.0680862960305614E-6</v>
      </c>
      <c r="AV31" s="14">
        <v>7</v>
      </c>
      <c r="BC31">
        <v>1</v>
      </c>
      <c r="BD31">
        <v>8</v>
      </c>
      <c r="BE31">
        <f>28+8</f>
        <v>36</v>
      </c>
      <c r="BF31">
        <f t="shared" si="20"/>
        <v>120</v>
      </c>
      <c r="BI31">
        <f t="shared" ref="BI31:BI37" si="22">BI24+1</f>
        <v>3</v>
      </c>
      <c r="BJ31">
        <v>4</v>
      </c>
      <c r="BK31" s="94">
        <f t="shared" ref="BK31:BK37" si="23">$H$28*H43</f>
        <v>4.7670544182040295E-2</v>
      </c>
      <c r="BQ31">
        <f t="shared" ref="BQ31:BQ37" si="24">BQ24+1</f>
        <v>8</v>
      </c>
      <c r="BR31">
        <v>0</v>
      </c>
      <c r="BS31" s="94">
        <f t="shared" ref="BS31:BS38" si="25">$H$33*H39</f>
        <v>8.7120290350391956E-7</v>
      </c>
    </row>
    <row r="32" spans="1:71" x14ac:dyDescent="0.25">
      <c r="A32" s="22" t="s">
        <v>115</v>
      </c>
      <c r="B32" s="65">
        <f>IF(B17&lt;&gt;"TL",0.001,IF(B18&lt;5,0.1,IF(B18&lt;10,0.2,IF(B18&lt;14,0.3,0.35))))</f>
        <v>1E-3</v>
      </c>
      <c r="C32" s="50">
        <f>IF(C17&lt;&gt;"TL",0.001,IF(C18&lt;5,0.1,IF(C18&lt;10,0.2,IF(C18&lt;14,0.3,0.35))))</f>
        <v>1E-3</v>
      </c>
      <c r="G32" s="74">
        <v>7</v>
      </c>
      <c r="H32" s="110">
        <f>J32*L25+J31*L26+J30*L27+J29*L28</f>
        <v>1.3799579664449944E-3</v>
      </c>
      <c r="I32" s="80">
        <v>7</v>
      </c>
      <c r="J32" s="73">
        <f t="shared" si="17"/>
        <v>3.3960686143802637E-5</v>
      </c>
      <c r="K32" s="80">
        <v>7</v>
      </c>
      <c r="L32" s="73"/>
      <c r="M32" s="72"/>
      <c r="N32" s="31"/>
      <c r="O32" s="31"/>
      <c r="P32" s="31"/>
      <c r="Q32" s="12">
        <v>7</v>
      </c>
      <c r="R32" s="31">
        <f>P27*N30+P28*N29+P29*N28+P30*N27</f>
        <v>6.2883111927188803E-2</v>
      </c>
      <c r="S32" s="62">
        <v>7</v>
      </c>
      <c r="T32" s="117">
        <f t="shared" si="19"/>
        <v>0</v>
      </c>
      <c r="U32" s="80">
        <v>7</v>
      </c>
      <c r="V32" s="73">
        <f>T32*R25+T31*R26+T30*R27+T29*R28+T28*R29+T27*R30+T26*R31+T25*R32</f>
        <v>6.3287220894066049E-2</v>
      </c>
      <c r="W32" s="119"/>
      <c r="X32" s="12">
        <v>7</v>
      </c>
      <c r="Y32" s="31"/>
      <c r="Z32" s="12">
        <v>7</v>
      </c>
      <c r="AA32" s="68"/>
      <c r="AB32" s="12">
        <v>7</v>
      </c>
      <c r="AC32" s="68"/>
      <c r="AD32" s="12">
        <v>7</v>
      </c>
      <c r="AE32" s="68"/>
      <c r="AF32" s="12">
        <v>7</v>
      </c>
      <c r="AG32" s="68"/>
      <c r="AH32" s="12">
        <v>7</v>
      </c>
      <c r="AI32" s="68"/>
      <c r="AJ32" s="12">
        <v>7</v>
      </c>
      <c r="AK32" s="68"/>
      <c r="AL32" s="12">
        <v>7</v>
      </c>
      <c r="AM32" s="68">
        <f>((($W$25)^Q32)*((1-($W$25))^($U$32-Q32))*HLOOKUP($U$32,$AV$24:$BF$34,Q32+1))*V32</f>
        <v>9.0400089396264658E-6</v>
      </c>
      <c r="AN32" s="12">
        <v>7</v>
      </c>
      <c r="AO32" s="68">
        <f>((($W$25)^Q32)*((1-($W$25))^($U$33-Q32))*HLOOKUP($U$33,$AV$24:$BF$34,Q32+1))*V33</f>
        <v>1.4993933390465591E-5</v>
      </c>
      <c r="AP32" s="12">
        <v>7</v>
      </c>
      <c r="AQ32" s="68">
        <f>((($W$25)^Q32)*((1-($W$25))^($U$34-Q32))*HLOOKUP($U$34,$AV$24:$BF$34,Q32+1))*V34</f>
        <v>8.3381707963298113E-6</v>
      </c>
      <c r="AR32" s="12">
        <v>7</v>
      </c>
      <c r="AS32" s="68">
        <f>((($W$25)^Q32)*((1-($W$25))^($U$35-Q32))*HLOOKUP($U$35,$AV$24:$BF$34,Q32+1))*V35</f>
        <v>1.5885730173807733E-6</v>
      </c>
      <c r="AV32" s="14">
        <v>8</v>
      </c>
      <c r="BD32">
        <v>1</v>
      </c>
      <c r="BE32">
        <v>9</v>
      </c>
      <c r="BF32">
        <f t="shared" si="20"/>
        <v>45</v>
      </c>
      <c r="BI32">
        <f t="shared" si="22"/>
        <v>3</v>
      </c>
      <c r="BJ32">
        <v>5</v>
      </c>
      <c r="BK32" s="94">
        <f t="shared" si="23"/>
        <v>4.2794936616619539E-2</v>
      </c>
      <c r="BQ32">
        <f t="shared" si="24"/>
        <v>8</v>
      </c>
      <c r="BR32">
        <v>1</v>
      </c>
      <c r="BS32" s="94">
        <f t="shared" si="25"/>
        <v>5.8883766524995849E-6</v>
      </c>
    </row>
    <row r="33" spans="1:71" x14ac:dyDescent="0.25">
      <c r="A33" s="22" t="s">
        <v>116</v>
      </c>
      <c r="B33" s="213">
        <f>IF(B17&lt;&gt;"CA",0.005,IF((B18-B16)&lt;0,0.1,0.1+0.055*(B18-B16)))</f>
        <v>5.0000000000000001E-3</v>
      </c>
      <c r="C33" s="214">
        <f>IF(C17&lt;&gt;"CA",0.005,IF((C18-C16)&lt;0,0.1,0.1+0.055*(C18-C16)))</f>
        <v>5.0000000000000001E-3</v>
      </c>
      <c r="G33" s="74">
        <v>8</v>
      </c>
      <c r="H33" s="110">
        <f>J33*L25+J32*L26+J31*L27+J30*L28</f>
        <v>1.8398564152972876E-4</v>
      </c>
      <c r="I33" s="80">
        <v>8</v>
      </c>
      <c r="J33" s="73">
        <f t="shared" si="17"/>
        <v>1.7913647429248834E-6</v>
      </c>
      <c r="K33" s="80">
        <v>8</v>
      </c>
      <c r="L33" s="73"/>
      <c r="M33" s="72"/>
      <c r="N33" s="31"/>
      <c r="O33" s="31"/>
      <c r="P33" s="31"/>
      <c r="Q33" s="12">
        <v>8</v>
      </c>
      <c r="R33" s="31">
        <f>P28*N30+P29*N29+P30*N28</f>
        <v>1.8057838932088472E-2</v>
      </c>
      <c r="S33" s="62">
        <v>8</v>
      </c>
      <c r="T33" s="117">
        <f t="shared" si="19"/>
        <v>0</v>
      </c>
      <c r="U33" s="80">
        <v>8</v>
      </c>
      <c r="V33" s="73">
        <f>T33*R25+T32*R26+T31*R27+T30*R28+T29*R29+T28*R30+T27*R31+T26*R32+T25*R33</f>
        <v>1.8281965297063975E-2</v>
      </c>
      <c r="W33" s="119"/>
      <c r="X33" s="12">
        <v>8</v>
      </c>
      <c r="Y33" s="31"/>
      <c r="Z33" s="12">
        <v>8</v>
      </c>
      <c r="AA33" s="68"/>
      <c r="AB33" s="12">
        <v>8</v>
      </c>
      <c r="AC33" s="68"/>
      <c r="AD33" s="12">
        <v>8</v>
      </c>
      <c r="AE33" s="68"/>
      <c r="AF33" s="12">
        <v>8</v>
      </c>
      <c r="AG33" s="68"/>
      <c r="AH33" s="12">
        <v>8</v>
      </c>
      <c r="AI33" s="68"/>
      <c r="AJ33" s="12">
        <v>8</v>
      </c>
      <c r="AK33" s="68"/>
      <c r="AL33" s="12">
        <v>8</v>
      </c>
      <c r="AM33" s="68"/>
      <c r="AN33" s="12">
        <v>8</v>
      </c>
      <c r="AO33" s="68">
        <f>((($W$25)^Q33)*((1-($W$25))^($U$33-Q33))*HLOOKUP($U$33,$AV$24:$BF$34,Q33+1))*V33</f>
        <v>7.3717224806453664E-7</v>
      </c>
      <c r="AP33" s="12">
        <v>8</v>
      </c>
      <c r="AQ33" s="68">
        <f>((($W$25)^Q33)*((1-($W$25))^($U$34-Q33))*HLOOKUP($U$34,$AV$24:$BF$34,Q33+1))*V34</f>
        <v>8.1988734384869092E-7</v>
      </c>
      <c r="AR33" s="12">
        <v>8</v>
      </c>
      <c r="AS33" s="68">
        <f>((($W$25)^Q33)*((1-($W$25))^($U$35-Q33))*HLOOKUP($U$35,$AV$24:$BF$34,Q33+1))*V35</f>
        <v>2.3430515101165567E-7</v>
      </c>
      <c r="AV33" s="24">
        <v>9</v>
      </c>
      <c r="BE33">
        <v>1</v>
      </c>
      <c r="BF33">
        <f t="shared" si="20"/>
        <v>10</v>
      </c>
      <c r="BI33">
        <f t="shared" si="22"/>
        <v>3</v>
      </c>
      <c r="BJ33">
        <v>6</v>
      </c>
      <c r="BK33" s="94">
        <f t="shared" si="23"/>
        <v>2.8103419463548836E-2</v>
      </c>
      <c r="BQ33">
        <f t="shared" si="24"/>
        <v>8</v>
      </c>
      <c r="BR33">
        <v>2</v>
      </c>
      <c r="BS33" s="94">
        <f t="shared" si="25"/>
        <v>1.8202251688408206E-5</v>
      </c>
    </row>
    <row r="34" spans="1:71" x14ac:dyDescent="0.25">
      <c r="A34" s="34" t="s">
        <v>117</v>
      </c>
      <c r="B34" s="48">
        <f>B23*2</f>
        <v>4.3367603379824313</v>
      </c>
      <c r="C34" s="49">
        <f>C23*2</f>
        <v>5.6632396620175687</v>
      </c>
      <c r="G34" s="74">
        <v>9</v>
      </c>
      <c r="H34" s="110">
        <f>J34*L25+J33*L26+J32*L27+J31*L28</f>
        <v>1.7959909194790075E-5</v>
      </c>
      <c r="I34" s="80">
        <v>9</v>
      </c>
      <c r="J34" s="73">
        <f t="shared" si="17"/>
        <v>5.6309867701400931E-8</v>
      </c>
      <c r="K34" s="80">
        <v>9</v>
      </c>
      <c r="L34" s="73"/>
      <c r="M34" s="72"/>
      <c r="N34" s="31"/>
      <c r="O34" s="31"/>
      <c r="P34" s="31"/>
      <c r="Q34" s="12">
        <v>9</v>
      </c>
      <c r="R34" s="31">
        <f>P29*N30+P30*N29</f>
        <v>3.0729376094897963E-3</v>
      </c>
      <c r="S34" s="62">
        <v>9</v>
      </c>
      <c r="T34" s="117">
        <f t="shared" si="19"/>
        <v>0</v>
      </c>
      <c r="U34" s="80">
        <v>9</v>
      </c>
      <c r="V34" s="73">
        <f>T34*R25+T33*R26+T32*R27+T31*R28+T30*R29+T29*R30+T28*R31+T27*R32+T26*R33+T25*R34</f>
        <v>3.1478621161027897E-3</v>
      </c>
      <c r="W34" s="119"/>
      <c r="X34" s="12">
        <v>9</v>
      </c>
      <c r="Y34" s="31"/>
      <c r="Z34" s="12">
        <v>9</v>
      </c>
      <c r="AA34" s="68"/>
      <c r="AB34" s="12">
        <v>9</v>
      </c>
      <c r="AC34" s="68"/>
      <c r="AD34" s="12">
        <v>9</v>
      </c>
      <c r="AE34" s="68"/>
      <c r="AF34" s="12">
        <v>9</v>
      </c>
      <c r="AG34" s="68"/>
      <c r="AH34" s="12">
        <v>9</v>
      </c>
      <c r="AI34" s="68"/>
      <c r="AJ34" s="12">
        <v>9</v>
      </c>
      <c r="AK34" s="68"/>
      <c r="AL34" s="12">
        <v>9</v>
      </c>
      <c r="AM34" s="68"/>
      <c r="AN34" s="12">
        <v>9</v>
      </c>
      <c r="AO34" s="68"/>
      <c r="AP34" s="12">
        <v>9</v>
      </c>
      <c r="AQ34" s="68">
        <f>((($W$25)^Q34)*((1-($W$25))^($U$34-Q34))*HLOOKUP($U$34,$AV$24:$BF$34,Q34+1))*V34</f>
        <v>3.5830680801072293E-8</v>
      </c>
      <c r="AR34" s="12">
        <v>9</v>
      </c>
      <c r="AS34" s="68">
        <f>((($W$25)^Q34)*((1-($W$25))^($U$35-Q34))*HLOOKUP($U$35,$AV$24:$BF$34,Q34+1))*V35</f>
        <v>2.0479186900328635E-8</v>
      </c>
      <c r="AV34" s="14">
        <v>10</v>
      </c>
      <c r="BF34">
        <f t="shared" si="20"/>
        <v>1</v>
      </c>
      <c r="BI34">
        <f t="shared" si="22"/>
        <v>3</v>
      </c>
      <c r="BJ34">
        <v>7</v>
      </c>
      <c r="BK34" s="94">
        <f t="shared" si="23"/>
        <v>1.3661481481845863E-2</v>
      </c>
      <c r="BQ34">
        <f t="shared" si="24"/>
        <v>8</v>
      </c>
      <c r="BR34">
        <v>3</v>
      </c>
      <c r="BS34" s="94">
        <f t="shared" si="25"/>
        <v>3.4045292148514172E-5</v>
      </c>
    </row>
    <row r="35" spans="1:71" ht="15.75" thickBot="1" x14ac:dyDescent="0.3">
      <c r="G35" s="75">
        <v>10</v>
      </c>
      <c r="H35" s="111">
        <f>J35*L25+J34*L26+J33*L27+J32*L28</f>
        <v>1.2491590594339113E-6</v>
      </c>
      <c r="I35" s="81">
        <v>10</v>
      </c>
      <c r="J35" s="76">
        <f t="shared" si="17"/>
        <v>8.0548247628998099E-10</v>
      </c>
      <c r="K35" s="81">
        <v>10</v>
      </c>
      <c r="L35" s="76"/>
      <c r="M35" s="72"/>
      <c r="N35" s="31"/>
      <c r="O35" s="31"/>
      <c r="P35" s="31"/>
      <c r="Q35" s="12">
        <v>10</v>
      </c>
      <c r="R35" s="31">
        <f>P30*N30</f>
        <v>2.3531749919236515E-4</v>
      </c>
      <c r="S35" s="62">
        <v>10</v>
      </c>
      <c r="T35" s="117">
        <f t="shared" si="19"/>
        <v>0</v>
      </c>
      <c r="U35" s="81">
        <v>10</v>
      </c>
      <c r="V35" s="76">
        <f>IF(((T35*R25+T34*R26+T33*R27+T32*R28+T31*R29+T30*R30+T29*R31+T28*R32+T27*R33+T26*R34+T25*R35)+V23)&lt;&gt;1,1-V23,(T35*R25+T34*R26+T33*R27+T32*R28+T31*R29+T30*R30+T29*R31+T28*R32+T27*R33+T26*R34+T25*R35))</f>
        <v>2.5068218724000335E-4</v>
      </c>
      <c r="W35" s="119"/>
      <c r="X35" s="12">
        <v>10</v>
      </c>
      <c r="Y35" s="31"/>
      <c r="Z35" s="12">
        <v>10</v>
      </c>
      <c r="AA35" s="68"/>
      <c r="AB35" s="12">
        <v>10</v>
      </c>
      <c r="AC35" s="68"/>
      <c r="AD35" s="12">
        <v>10</v>
      </c>
      <c r="AE35" s="68"/>
      <c r="AF35" s="12">
        <v>10</v>
      </c>
      <c r="AG35" s="68"/>
      <c r="AH35" s="12">
        <v>10</v>
      </c>
      <c r="AI35" s="68"/>
      <c r="AJ35" s="12">
        <v>10</v>
      </c>
      <c r="AK35" s="68"/>
      <c r="AL35" s="12">
        <v>10</v>
      </c>
      <c r="AM35" s="68"/>
      <c r="AN35" s="12">
        <v>10</v>
      </c>
      <c r="AO35" s="68"/>
      <c r="AP35" s="12">
        <v>10</v>
      </c>
      <c r="AQ35" s="68"/>
      <c r="AR35" s="12">
        <v>10</v>
      </c>
      <c r="AS35" s="68">
        <f>((($W$25)^Q35)*((1-($W$25))^($U$35-Q35))*HLOOKUP($U$35,$AV$24:$BF$34,Q35+1))*V35</f>
        <v>8.0548247628998099E-10</v>
      </c>
      <c r="BI35">
        <f t="shared" si="22"/>
        <v>3</v>
      </c>
      <c r="BJ35">
        <v>8</v>
      </c>
      <c r="BK35" s="94">
        <f t="shared" si="23"/>
        <v>4.9157629149313153E-3</v>
      </c>
      <c r="BQ35">
        <f t="shared" si="24"/>
        <v>8</v>
      </c>
      <c r="BR35">
        <v>4</v>
      </c>
      <c r="BS35" s="94">
        <f t="shared" si="25"/>
        <v>4.2949266071639024E-5</v>
      </c>
    </row>
    <row r="36" spans="1:71" ht="15.75" x14ac:dyDescent="0.25">
      <c r="A36" s="96" t="s">
        <v>118</v>
      </c>
      <c r="B36" s="147">
        <f>SUM(BO4:BO14)</f>
        <v>0.10587961634117178</v>
      </c>
      <c r="C36" s="1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51">
        <f>SUM(V39:V49)</f>
        <v>1</v>
      </c>
      <c r="W36" s="13"/>
      <c r="X36" s="13"/>
      <c r="AS36" s="70">
        <f>Y37+AA37+AC37+AE37+AG37+AI37+AK37+AM37+AO37+AQ37+AS37</f>
        <v>1</v>
      </c>
      <c r="BI36">
        <f t="shared" si="22"/>
        <v>3</v>
      </c>
      <c r="BJ36">
        <v>9</v>
      </c>
      <c r="BK36" s="94">
        <f t="shared" si="23"/>
        <v>1.2943585161786851E-3</v>
      </c>
      <c r="BQ36">
        <f t="shared" si="24"/>
        <v>8</v>
      </c>
      <c r="BR36">
        <v>5</v>
      </c>
      <c r="BS36" s="94">
        <f t="shared" si="25"/>
        <v>3.8556537392299878E-5</v>
      </c>
    </row>
    <row r="37" spans="1:71" ht="16.5" thickBot="1" x14ac:dyDescent="0.3">
      <c r="A37" s="97" t="s">
        <v>119</v>
      </c>
      <c r="B37" s="147">
        <f>SUM(BK4:BK59)</f>
        <v>0.79888201282353499</v>
      </c>
      <c r="G37" s="13"/>
      <c r="H37" s="30">
        <f>SUM(H39:H49)</f>
        <v>0.999836051776825</v>
      </c>
      <c r="I37" s="189"/>
      <c r="J37" s="30">
        <f>SUM(J39:J49)</f>
        <v>1</v>
      </c>
      <c r="K37" s="30"/>
      <c r="L37" s="30">
        <f>SUM(L39:L49)</f>
        <v>1</v>
      </c>
      <c r="M37" s="189"/>
      <c r="N37" s="190">
        <f>SUM(N39:N49)</f>
        <v>0.99999999999999989</v>
      </c>
      <c r="O37" s="189"/>
      <c r="P37" s="190">
        <f>SUM(P39:P49)</f>
        <v>0.99999999999999989</v>
      </c>
      <c r="Q37" s="189"/>
      <c r="R37" s="30">
        <f>SUM(R39:R49)</f>
        <v>0.99999999999999989</v>
      </c>
      <c r="S37" s="189"/>
      <c r="T37" s="30">
        <f>SUM(T39:T49)</f>
        <v>1</v>
      </c>
      <c r="U37" s="189"/>
      <c r="V37" s="51">
        <f>SUM(V39:V48)</f>
        <v>0.99621191753243699</v>
      </c>
      <c r="W37" s="13"/>
      <c r="X37" s="13"/>
      <c r="Y37" s="30">
        <f>SUM(Y39:Y49)</f>
        <v>2.3180535610223171E-4</v>
      </c>
      <c r="Z37" s="69"/>
      <c r="AA37" s="30">
        <f>SUM(AA39:AA49)</f>
        <v>3.0305681846580289E-3</v>
      </c>
      <c r="AB37" s="69"/>
      <c r="AC37" s="30">
        <f>SUM(AC39:AC49)</f>
        <v>1.7833975265218092E-2</v>
      </c>
      <c r="AD37" s="69"/>
      <c r="AE37" s="30">
        <f>SUM(AE39:AE49)</f>
        <v>6.2212968648501427E-2</v>
      </c>
      <c r="AF37" s="69"/>
      <c r="AG37" s="30">
        <f>SUM(AG39:AG49)</f>
        <v>0.14249527737151696</v>
      </c>
      <c r="AH37" s="69"/>
      <c r="AI37" s="30">
        <f>SUM(AI39:AI49)</f>
        <v>0.22396944105942748</v>
      </c>
      <c r="AJ37" s="69"/>
      <c r="AK37" s="30">
        <f>SUM(AK39:AK49)</f>
        <v>0.24475636150370289</v>
      </c>
      <c r="AL37" s="69"/>
      <c r="AM37" s="30">
        <f>SUM(AM39:AM49)</f>
        <v>0.18379238369322923</v>
      </c>
      <c r="AN37" s="69"/>
      <c r="AO37" s="30">
        <f>SUM(AO39:AO49)</f>
        <v>9.0946844651974182E-2</v>
      </c>
      <c r="AP37" s="69"/>
      <c r="AQ37" s="30">
        <f>SUM(AQ39:AQ49)</f>
        <v>2.6942291798106491E-2</v>
      </c>
      <c r="AR37" s="69"/>
      <c r="AS37" s="30">
        <f>SUM(AS39:AS49)</f>
        <v>3.7880824675630143E-3</v>
      </c>
      <c r="BI37">
        <f t="shared" si="22"/>
        <v>3</v>
      </c>
      <c r="BJ37">
        <v>10</v>
      </c>
      <c r="BK37" s="94">
        <f t="shared" si="23"/>
        <v>2.4303150370164175E-4</v>
      </c>
      <c r="BQ37">
        <f t="shared" si="24"/>
        <v>8</v>
      </c>
      <c r="BR37">
        <v>6</v>
      </c>
      <c r="BS37" s="94">
        <f t="shared" si="25"/>
        <v>2.5320064219396482E-5</v>
      </c>
    </row>
    <row r="38" spans="1:71" ht="16.5" thickBot="1" x14ac:dyDescent="0.3">
      <c r="A38" s="98" t="s">
        <v>120</v>
      </c>
      <c r="B38" s="147">
        <f>SUM(BS4:BS47)</f>
        <v>9.5073114720361299E-2</v>
      </c>
      <c r="G38" s="90" t="str">
        <f t="shared" ref="G38:AS38" si="26">G24</f>
        <v>G</v>
      </c>
      <c r="H38" s="91" t="str">
        <f t="shared" si="26"/>
        <v>p</v>
      </c>
      <c r="I38" s="90" t="str">
        <f t="shared" si="26"/>
        <v>GT</v>
      </c>
      <c r="J38" s="92" t="str">
        <f t="shared" si="26"/>
        <v>p(x)</v>
      </c>
      <c r="K38" s="93" t="str">
        <f t="shared" si="26"/>
        <v>EE(x)</v>
      </c>
      <c r="L38" s="92" t="str">
        <f t="shared" si="26"/>
        <v>p</v>
      </c>
      <c r="M38" s="77" t="str">
        <f t="shared" si="26"/>
        <v>OcaS</v>
      </c>
      <c r="N38" s="25" t="str">
        <f t="shared" si="26"/>
        <v>P</v>
      </c>
      <c r="O38" s="25" t="str">
        <f t="shared" si="26"/>
        <v>O_CA</v>
      </c>
      <c r="P38" s="25" t="str">
        <f t="shared" si="26"/>
        <v>p</v>
      </c>
      <c r="Q38" s="25" t="str">
        <f t="shared" si="26"/>
        <v>TotalN</v>
      </c>
      <c r="R38" s="25" t="str">
        <f t="shared" si="26"/>
        <v>p</v>
      </c>
      <c r="S38" s="25" t="str">
        <f t="shared" si="26"/>
        <v>OcaCA</v>
      </c>
      <c r="T38" s="122" t="str">
        <f t="shared" si="26"/>
        <v>p</v>
      </c>
      <c r="U38" s="123" t="str">
        <f t="shared" si="26"/>
        <v>Total</v>
      </c>
      <c r="V38" s="124" t="str">
        <f t="shared" si="26"/>
        <v>P</v>
      </c>
      <c r="W38" s="77" t="str">
        <f t="shared" si="26"/>
        <v>E(x)</v>
      </c>
      <c r="X38" s="25" t="str">
        <f t="shared" si="26"/>
        <v>G0</v>
      </c>
      <c r="Y38" s="25" t="str">
        <f t="shared" si="26"/>
        <v>p</v>
      </c>
      <c r="Z38" s="25" t="str">
        <f t="shared" si="26"/>
        <v>G1</v>
      </c>
      <c r="AA38" s="25" t="str">
        <f t="shared" si="26"/>
        <v>p</v>
      </c>
      <c r="AB38" s="25" t="str">
        <f t="shared" si="26"/>
        <v>G2</v>
      </c>
      <c r="AC38" s="25" t="str">
        <f t="shared" si="26"/>
        <v>p</v>
      </c>
      <c r="AD38" s="25" t="str">
        <f t="shared" si="26"/>
        <v>G3</v>
      </c>
      <c r="AE38" s="25" t="str">
        <f t="shared" si="26"/>
        <v>p</v>
      </c>
      <c r="AF38" s="25" t="str">
        <f t="shared" si="26"/>
        <v>G4</v>
      </c>
      <c r="AG38" s="25" t="str">
        <f t="shared" si="26"/>
        <v>p</v>
      </c>
      <c r="AH38" s="25" t="str">
        <f t="shared" si="26"/>
        <v>G5</v>
      </c>
      <c r="AI38" s="25" t="str">
        <f t="shared" si="26"/>
        <v>p</v>
      </c>
      <c r="AJ38" s="25" t="str">
        <f t="shared" si="26"/>
        <v>G6</v>
      </c>
      <c r="AK38" s="25" t="str">
        <f t="shared" si="26"/>
        <v>p</v>
      </c>
      <c r="AL38" s="25" t="str">
        <f t="shared" si="26"/>
        <v>G7</v>
      </c>
      <c r="AM38" s="25" t="str">
        <f t="shared" si="26"/>
        <v>p</v>
      </c>
      <c r="AN38" s="25" t="str">
        <f t="shared" si="26"/>
        <v>G8</v>
      </c>
      <c r="AO38" s="25" t="str">
        <f t="shared" si="26"/>
        <v>p</v>
      </c>
      <c r="AP38" s="25" t="str">
        <f t="shared" si="26"/>
        <v>G9</v>
      </c>
      <c r="AQ38" s="25" t="str">
        <f t="shared" si="26"/>
        <v>p</v>
      </c>
      <c r="AR38" s="25" t="str">
        <f t="shared" si="26"/>
        <v>G10</v>
      </c>
      <c r="AS38" s="25" t="str">
        <f t="shared" si="26"/>
        <v>p</v>
      </c>
      <c r="AV38" s="14">
        <v>0</v>
      </c>
      <c r="AW38" s="14">
        <v>1</v>
      </c>
      <c r="AX38" s="14">
        <v>2</v>
      </c>
      <c r="AY38" s="14">
        <v>3</v>
      </c>
      <c r="AZ38" s="14">
        <v>4</v>
      </c>
      <c r="BA38" s="14">
        <v>5</v>
      </c>
      <c r="BB38" s="14">
        <v>6</v>
      </c>
      <c r="BC38" s="14">
        <v>7</v>
      </c>
      <c r="BD38" s="14">
        <v>8</v>
      </c>
      <c r="BE38" s="14">
        <v>9</v>
      </c>
      <c r="BF38" s="14">
        <v>10</v>
      </c>
      <c r="BI38">
        <f t="shared" ref="BI38:BI43" si="27">BI32+1</f>
        <v>4</v>
      </c>
      <c r="BJ38">
        <v>5</v>
      </c>
      <c r="BK38" s="94">
        <f t="shared" ref="BK38:BK43" si="28">$H$29*H44</f>
        <v>1.9930854649662572E-2</v>
      </c>
      <c r="BQ38">
        <f>BM11+1</f>
        <v>8</v>
      </c>
      <c r="BR38">
        <v>7</v>
      </c>
      <c r="BS38" s="94">
        <f t="shared" si="25"/>
        <v>1.230845196261937E-5</v>
      </c>
    </row>
    <row r="39" spans="1:71" x14ac:dyDescent="0.25">
      <c r="G39" s="112">
        <v>0</v>
      </c>
      <c r="H39" s="113">
        <f>L39*J39</f>
        <v>4.7351678982142141E-3</v>
      </c>
      <c r="I39" s="84">
        <v>0</v>
      </c>
      <c r="J39" s="85">
        <f t="shared" ref="J39:J49" si="29">Y39+AA39+AC39+AE39+AG39+AI39+AK39+AM39+AO39+AQ39+AS39</f>
        <v>8.1756515141331327E-3</v>
      </c>
      <c r="K39" s="89">
        <v>0</v>
      </c>
      <c r="L39" s="85">
        <f>AH18</f>
        <v>0.57917927275014069</v>
      </c>
      <c r="M39" s="72">
        <v>0</v>
      </c>
      <c r="N39" s="63">
        <f>(1-$C$24)^$B$21</f>
        <v>1.5340061903146452E-2</v>
      </c>
      <c r="O39" s="62">
        <v>0</v>
      </c>
      <c r="P39" s="63">
        <f t="shared" ref="P39:P44" si="30">N39</f>
        <v>1.5340061903146452E-2</v>
      </c>
      <c r="Q39" s="12">
        <v>0</v>
      </c>
      <c r="R39" s="31">
        <f>P39*N39</f>
        <v>2.3531749919236515E-4</v>
      </c>
      <c r="S39" s="62">
        <v>0</v>
      </c>
      <c r="T39" s="117">
        <f>(1-$C$33)^(INT(B23*2*(1-B31)))</f>
        <v>0.98507487500000002</v>
      </c>
      <c r="U39" s="80">
        <v>0</v>
      </c>
      <c r="V39" s="73">
        <f>R39*T39</f>
        <v>2.3180535610223171E-4</v>
      </c>
      <c r="W39" s="118">
        <f>C31</f>
        <v>0.67275832555955561</v>
      </c>
      <c r="X39" s="12">
        <v>0</v>
      </c>
      <c r="Y39" s="68">
        <f>V39</f>
        <v>2.3180535610223171E-4</v>
      </c>
      <c r="Z39" s="12">
        <v>0</v>
      </c>
      <c r="AA39" s="68">
        <f>((1-W39)^Z40)*V40</f>
        <v>9.9172820725343131E-4</v>
      </c>
      <c r="AB39" s="12">
        <v>0</v>
      </c>
      <c r="AC39" s="68">
        <f>(((1-$W$39)^AB41))*V41</f>
        <v>1.9097889332147097E-3</v>
      </c>
      <c r="AD39" s="12">
        <v>0</v>
      </c>
      <c r="AE39" s="68">
        <f>(((1-$W$39)^AB42))*V42</f>
        <v>2.1801518508046645E-3</v>
      </c>
      <c r="AF39" s="12">
        <v>0</v>
      </c>
      <c r="AG39" s="68">
        <f>(((1-$W$39)^AB43))*V43</f>
        <v>1.6340859498438114E-3</v>
      </c>
      <c r="AH39" s="12">
        <v>0</v>
      </c>
      <c r="AI39" s="68">
        <f>(((1-$W$39)^AB44))*V44</f>
        <v>8.4048854186004514E-4</v>
      </c>
      <c r="AJ39" s="12">
        <v>0</v>
      </c>
      <c r="AK39" s="68">
        <f>(((1-$W$39)^AB45))*V45</f>
        <v>3.0056999609432219E-4</v>
      </c>
      <c r="AL39" s="12">
        <v>0</v>
      </c>
      <c r="AM39" s="68">
        <f>(((1-$W$39)^AB46))*V46</f>
        <v>7.385973647996512E-5</v>
      </c>
      <c r="AN39" s="12">
        <v>0</v>
      </c>
      <c r="AO39" s="68">
        <f>(((1-$W$39)^AB47))*V47</f>
        <v>1.1960146124198113E-5</v>
      </c>
      <c r="AP39" s="12">
        <v>0</v>
      </c>
      <c r="AQ39" s="68">
        <f>(((1-$W$39)^AB48))*V48</f>
        <v>1.1594499102868507E-6</v>
      </c>
      <c r="AR39" s="12">
        <v>0</v>
      </c>
      <c r="AS39" s="68">
        <f>(((1-$W$39)^AB49))*V49</f>
        <v>5.3346445467719119E-8</v>
      </c>
      <c r="AV39" s="14">
        <v>1</v>
      </c>
      <c r="AW39">
        <v>1</v>
      </c>
      <c r="AX39">
        <v>2</v>
      </c>
      <c r="AY39">
        <v>3</v>
      </c>
      <c r="AZ39">
        <v>4</v>
      </c>
      <c r="BA39">
        <v>5</v>
      </c>
      <c r="BB39">
        <v>6</v>
      </c>
      <c r="BC39">
        <f>7</f>
        <v>7</v>
      </c>
      <c r="BD39">
        <v>8</v>
      </c>
      <c r="BE39">
        <v>9</v>
      </c>
      <c r="BF39">
        <v>10</v>
      </c>
      <c r="BI39">
        <f t="shared" si="27"/>
        <v>4</v>
      </c>
      <c r="BJ39">
        <v>6</v>
      </c>
      <c r="BK39" s="94">
        <f t="shared" si="28"/>
        <v>1.3088585070341326E-2</v>
      </c>
      <c r="BQ39">
        <f t="shared" ref="BQ39:BQ46" si="31">BQ31+1</f>
        <v>9</v>
      </c>
      <c r="BR39">
        <v>0</v>
      </c>
      <c r="BS39" s="94">
        <f t="shared" ref="BS39:BS47" si="32">$H$34*H39</f>
        <v>8.5043185474012262E-8</v>
      </c>
    </row>
    <row r="40" spans="1:71" x14ac:dyDescent="0.25">
      <c r="G40" s="78">
        <v>1</v>
      </c>
      <c r="H40" s="114">
        <f>L39*J40+L40*J39</f>
        <v>3.2004544504349974E-2</v>
      </c>
      <c r="I40" s="80">
        <v>1</v>
      </c>
      <c r="J40" s="73">
        <f t="shared" si="29"/>
        <v>5.0404471668103024E-2</v>
      </c>
      <c r="K40" s="82">
        <v>1</v>
      </c>
      <c r="L40" s="73">
        <f>AI18</f>
        <v>0.34386485962655194</v>
      </c>
      <c r="M40" s="72">
        <v>1</v>
      </c>
      <c r="N40" s="63">
        <f>(($C$24)^M26)*((1-($C$24))^($B$21-M26))*HLOOKUP($B$21,$AV$24:$BF$34,M26+1)</f>
        <v>0.10016053484306656</v>
      </c>
      <c r="O40" s="62">
        <v>1</v>
      </c>
      <c r="P40" s="63">
        <f t="shared" si="30"/>
        <v>0.10016053484306656</v>
      </c>
      <c r="Q40" s="12">
        <v>1</v>
      </c>
      <c r="R40" s="31">
        <f>P40*N39+P39*N40</f>
        <v>3.0729376094897963E-3</v>
      </c>
      <c r="S40" s="62">
        <v>1</v>
      </c>
      <c r="T40" s="117">
        <f t="shared" ref="T40:T49" si="33">(($C$33)^S40)*((1-($C$33))^(INT($B$23*2*(1-$B$31))-S40))*HLOOKUP(INT($B$23*2*(1-$B$31)),$AV$24:$BF$34,S40+1)</f>
        <v>1.4850375000000002E-2</v>
      </c>
      <c r="U40" s="80">
        <v>1</v>
      </c>
      <c r="V40" s="73">
        <f>R40*T39+T40*R39</f>
        <v>3.0305681846580289E-3</v>
      </c>
      <c r="W40" s="119"/>
      <c r="X40" s="12">
        <v>1</v>
      </c>
      <c r="Y40" s="31"/>
      <c r="Z40" s="12">
        <v>1</v>
      </c>
      <c r="AA40" s="68">
        <f>(1-((1-W39)^Z40))*V40</f>
        <v>2.0388399774045976E-3</v>
      </c>
      <c r="AB40" s="12">
        <v>1</v>
      </c>
      <c r="AC40" s="68">
        <f>((($W$39)^M40)*((1-($W$39))^($U$27-M40))*HLOOKUP($U$27,$AV$24:$BF$34,M40+1))*V41</f>
        <v>7.852461989009454E-3</v>
      </c>
      <c r="AD40" s="12">
        <v>1</v>
      </c>
      <c r="AE40" s="68">
        <f>((($W$39)^M40)*((1-($W$39))^($U$28-M40))*HLOOKUP($U$28,$AV$24:$BF$34,M40+1))*V42</f>
        <v>1.344616615033099E-2</v>
      </c>
      <c r="AF40" s="12">
        <v>1</v>
      </c>
      <c r="AG40" s="68">
        <f>((($W$39)^M40)*((1-($W$39))^($U$29-M40))*HLOOKUP($U$29,$AV$24:$BF$34,M40+1))*V43</f>
        <v>1.3437713021327194E-2</v>
      </c>
      <c r="AH40" s="12">
        <v>1</v>
      </c>
      <c r="AI40" s="68">
        <f>((($W$39)^M40)*((1-($W$39))^($U$30-M40))*HLOOKUP($U$30,$AV$24:$BF$34,M40+1))*V44</f>
        <v>8.6395729553795479E-3</v>
      </c>
      <c r="AJ40" s="12">
        <v>1</v>
      </c>
      <c r="AK40" s="68">
        <f>((($W$39)^M40)*((1-($W$39))^($U$31-M40))*HLOOKUP($U$31,$AV$24:$BF$34,M40+1))*V45</f>
        <v>3.7075528530702341E-3</v>
      </c>
      <c r="AL40" s="12">
        <v>1</v>
      </c>
      <c r="AM40" s="68">
        <f>((($W$39)^Q40)*((1-($W$39))^($U$32-Q40))*HLOOKUP($U$32,$AV$24:$BF$34,Q40+1))*V46</f>
        <v>1.0629094508774789E-3</v>
      </c>
      <c r="AN40" s="12">
        <v>1</v>
      </c>
      <c r="AO40" s="68">
        <f>((($W$39)^Q40)*((1-($W$39))^($U$33-Q40))*HLOOKUP($U$33,$AV$24:$BF$34,Q40+1))*V47</f>
        <v>1.9670570122149884E-4</v>
      </c>
      <c r="AP40" s="12">
        <v>1</v>
      </c>
      <c r="AQ40" s="68">
        <f>((($W$39)^Q40)*((1-($W$39))^($U$34-Q40))*HLOOKUP($U$34,$AV$24:$BF$34,Q40+1))*V48</f>
        <v>2.1452848980610094E-5</v>
      </c>
      <c r="AR40" s="12">
        <v>1</v>
      </c>
      <c r="AS40" s="68">
        <f>((($W$39)^Q40)*((1-($W$39))^($U$35-Q40))*HLOOKUP($U$35,$AV$24:$BF$34,Q40+1))*V49</f>
        <v>1.096720501408767E-6</v>
      </c>
      <c r="AV40" s="14">
        <v>2</v>
      </c>
      <c r="AX40">
        <v>1</v>
      </c>
      <c r="AY40">
        <v>3</v>
      </c>
      <c r="AZ40">
        <v>6</v>
      </c>
      <c r="BA40">
        <v>10</v>
      </c>
      <c r="BB40">
        <v>15</v>
      </c>
      <c r="BC40">
        <f>6+15</f>
        <v>21</v>
      </c>
      <c r="BD40">
        <f>21+7</f>
        <v>28</v>
      </c>
      <c r="BE40">
        <f>28+8</f>
        <v>36</v>
      </c>
      <c r="BF40">
        <f>36+9</f>
        <v>45</v>
      </c>
      <c r="BI40">
        <f t="shared" si="27"/>
        <v>4</v>
      </c>
      <c r="BJ40">
        <v>7</v>
      </c>
      <c r="BK40" s="94">
        <f t="shared" si="28"/>
        <v>6.3625518166554318E-3</v>
      </c>
      <c r="BQ40">
        <f t="shared" si="31"/>
        <v>9</v>
      </c>
      <c r="BR40">
        <v>1</v>
      </c>
      <c r="BS40" s="94">
        <f t="shared" si="32"/>
        <v>5.747987131187433E-7</v>
      </c>
    </row>
    <row r="41" spans="1:71" x14ac:dyDescent="0.25">
      <c r="G41" s="78">
        <v>2</v>
      </c>
      <c r="H41" s="114">
        <f>L39*J41+J40*L40+J39*L41</f>
        <v>9.8933001168284379E-2</v>
      </c>
      <c r="I41" s="80">
        <v>2</v>
      </c>
      <c r="J41" s="73">
        <f t="shared" si="29"/>
        <v>0.13988988337239275</v>
      </c>
      <c r="K41" s="82">
        <v>2</v>
      </c>
      <c r="L41" s="73">
        <f>AJ18</f>
        <v>7.0863303781438375E-2</v>
      </c>
      <c r="M41" s="72">
        <v>2</v>
      </c>
      <c r="N41" s="63">
        <f>(($C$24)^M27)*((1-($C$24))^($B$21-M27))*HLOOKUP($B$21,$AV$24:$BF$34,M27+1)</f>
        <v>0.26159301842169036</v>
      </c>
      <c r="O41" s="62">
        <v>2</v>
      </c>
      <c r="P41" s="63">
        <f t="shared" si="30"/>
        <v>0.26159301842169036</v>
      </c>
      <c r="Q41" s="12">
        <v>2</v>
      </c>
      <c r="R41" s="31">
        <f>P41*N39+P40*N40+P39*N41</f>
        <v>1.8057838932088472E-2</v>
      </c>
      <c r="S41" s="62">
        <v>2</v>
      </c>
      <c r="T41" s="117">
        <f t="shared" si="33"/>
        <v>7.4625000000000011E-5</v>
      </c>
      <c r="U41" s="80">
        <v>2</v>
      </c>
      <c r="V41" s="73">
        <f>R41*T39+T40*R40+R39*T41</f>
        <v>1.7833975265218092E-2</v>
      </c>
      <c r="W41" s="119"/>
      <c r="X41" s="12">
        <v>2</v>
      </c>
      <c r="Y41" s="31"/>
      <c r="Z41" s="12">
        <v>2</v>
      </c>
      <c r="AA41" s="68"/>
      <c r="AB41" s="12">
        <v>2</v>
      </c>
      <c r="AC41" s="68">
        <f>((($W$39)^M41)*((1-($W$39))^($U$27-M41))*HLOOKUP($U$27,$AV$24:$BF$34,M41+1))*V41</f>
        <v>8.071724342993929E-3</v>
      </c>
      <c r="AD41" s="12">
        <v>2</v>
      </c>
      <c r="AE41" s="68">
        <f>((($W$39)^M41)*((1-($W$39))^($U$28-M41))*HLOOKUP($U$28,$AV$24:$BF$34,M41+1))*V42</f>
        <v>2.7643240244263456E-2</v>
      </c>
      <c r="AF41" s="12">
        <v>2</v>
      </c>
      <c r="AG41" s="68">
        <f>((($W$39)^M41)*((1-($W$39))^($U$29-M41))*HLOOKUP($U$29,$AV$24:$BF$34,M41+1))*V43</f>
        <v>4.1438792875492375E-2</v>
      </c>
      <c r="AH41" s="12">
        <v>2</v>
      </c>
      <c r="AI41" s="68">
        <f>((($W$39)^M41)*((1-($W$39))^($U$30-M41))*HLOOKUP($U$30,$AV$24:$BF$34,M41+1))*V44</f>
        <v>3.5523254456813216E-2</v>
      </c>
      <c r="AJ41" s="12">
        <v>2</v>
      </c>
      <c r="AK41" s="68">
        <f>((($W$39)^M41)*((1-($W$39))^($U$31-M41))*HLOOKUP($U$31,$AV$24:$BF$34,M41+1))*V45</f>
        <v>1.9055389672022246E-2</v>
      </c>
      <c r="AL41" s="12">
        <v>2</v>
      </c>
      <c r="AM41" s="68">
        <f>((($W$39)^Q41)*((1-($W$39))^($U$32-Q41))*HLOOKUP($U$32,$AV$24:$BF$34,Q41+1))*V46</f>
        <v>6.5555328515216277E-3</v>
      </c>
      <c r="AN41" s="12">
        <v>2</v>
      </c>
      <c r="AO41" s="68">
        <f>((($W$39)^Q41)*((1-($W$39))^($U$33-Q41))*HLOOKUP($U$33,$AV$24:$BF$34,Q41+1))*V47</f>
        <v>1.4153878610609926E-3</v>
      </c>
      <c r="AP41" s="12">
        <v>2</v>
      </c>
      <c r="AQ41" s="68">
        <f>((($W$39)^Q41)*((1-($W$39))^($U$34-Q41))*HLOOKUP($U$34,$AV$24:$BF$34,Q41+1))*V48</f>
        <v>1.7641497261442347E-4</v>
      </c>
      <c r="AR41" s="12">
        <v>2</v>
      </c>
      <c r="AS41" s="68">
        <f>((($W$39)^Q41)*((1-($W$39))^($U$35-Q41))*HLOOKUP($U$35,$AV$24:$BF$34,Q41+1))*V49</f>
        <v>1.0146095610478088E-5</v>
      </c>
      <c r="AV41" s="14">
        <v>3</v>
      </c>
      <c r="AY41">
        <v>1</v>
      </c>
      <c r="AZ41">
        <v>4</v>
      </c>
      <c r="BA41">
        <v>10</v>
      </c>
      <c r="BB41">
        <v>20</v>
      </c>
      <c r="BC41">
        <f>15+20</f>
        <v>35</v>
      </c>
      <c r="BD41">
        <f>21+35</f>
        <v>56</v>
      </c>
      <c r="BE41">
        <f>28+56</f>
        <v>84</v>
      </c>
      <c r="BF41">
        <f>36+84</f>
        <v>120</v>
      </c>
      <c r="BI41">
        <f t="shared" si="27"/>
        <v>4</v>
      </c>
      <c r="BJ41">
        <v>8</v>
      </c>
      <c r="BK41" s="94">
        <f t="shared" si="28"/>
        <v>2.2894146806996E-3</v>
      </c>
      <c r="BQ41">
        <f t="shared" si="31"/>
        <v>9</v>
      </c>
      <c r="BR41">
        <v>2</v>
      </c>
      <c r="BS41" s="94">
        <f t="shared" si="32"/>
        <v>1.7768277173504477E-6</v>
      </c>
    </row>
    <row r="42" spans="1:71" ht="15" customHeight="1" x14ac:dyDescent="0.25">
      <c r="G42" s="78">
        <v>3</v>
      </c>
      <c r="H42" s="114">
        <f>J42*L39+J41*L40+L42*J39+L41*J40</f>
        <v>0.18504320155338355</v>
      </c>
      <c r="I42" s="80">
        <v>3</v>
      </c>
      <c r="J42" s="73">
        <f t="shared" si="29"/>
        <v>0.23018494385125632</v>
      </c>
      <c r="K42" s="82">
        <v>3</v>
      </c>
      <c r="L42" s="73">
        <f>AK18</f>
        <v>6.0925638418689865E-3</v>
      </c>
      <c r="M42" s="72">
        <v>3</v>
      </c>
      <c r="N42" s="63">
        <f>(($C$24)^M28)*((1-($C$24))^($B$21-M28))*HLOOKUP($B$21,$AV$24:$BF$34,M28+1)</f>
        <v>0.34160613955481417</v>
      </c>
      <c r="O42" s="62">
        <v>3</v>
      </c>
      <c r="P42" s="63">
        <f t="shared" si="30"/>
        <v>0.34160613955481417</v>
      </c>
      <c r="Q42" s="12">
        <v>3</v>
      </c>
      <c r="R42" s="31">
        <f>P42*N39+P41*N40+P40*N41+P39*N42</f>
        <v>6.2883111927188803E-2</v>
      </c>
      <c r="S42" s="62">
        <v>3</v>
      </c>
      <c r="T42" s="117">
        <f t="shared" si="33"/>
        <v>1.2500000000000002E-7</v>
      </c>
      <c r="U42" s="80">
        <v>3</v>
      </c>
      <c r="V42" s="73">
        <f>R42*T39+R41*T40+R40*T41+R39*T42</f>
        <v>6.2212968648501427E-2</v>
      </c>
      <c r="W42" s="119"/>
      <c r="X42" s="12">
        <v>3</v>
      </c>
      <c r="Y42" s="31"/>
      <c r="Z42" s="12">
        <v>3</v>
      </c>
      <c r="AA42" s="68"/>
      <c r="AB42" s="12">
        <v>3</v>
      </c>
      <c r="AC42" s="68"/>
      <c r="AD42" s="12">
        <v>3</v>
      </c>
      <c r="AE42" s="68">
        <f>((($W$39)^M42)*((1-($W$39))^($U$28-M42))*HLOOKUP($U$28,$AV$24:$BF$34,M42+1))*V42</f>
        <v>1.8943410403102316E-2</v>
      </c>
      <c r="AF42" s="12">
        <v>3</v>
      </c>
      <c r="AG42" s="68">
        <f>((($W$39)^M42)*((1-($W$39))^($U$29-M42))*HLOOKUP($U$29,$AV$24:$BF$34,M42+1))*V43</f>
        <v>5.6794504053301519E-2</v>
      </c>
      <c r="AH42" s="12">
        <v>3</v>
      </c>
      <c r="AI42" s="68">
        <f>((($W$39)^M42)*((1-($W$39))^($U$30-M42))*HLOOKUP($U$30,$AV$24:$BF$34,M42+1))*V44</f>
        <v>7.3030323010222359E-2</v>
      </c>
      <c r="AJ42" s="12">
        <v>3</v>
      </c>
      <c r="AK42" s="68">
        <f>((($W$39)^M42)*((1-($W$39))^($U$31-M42))*HLOOKUP($U$31,$AV$24:$BF$34,M42+1))*V45</f>
        <v>5.2233249613067946E-2</v>
      </c>
      <c r="AL42" s="12">
        <v>3</v>
      </c>
      <c r="AM42" s="68">
        <f>((($W$39)^Q42)*((1-($W$39))^($U$32-Q42))*HLOOKUP($U$32,$AV$24:$BF$34,Q42+1))*V46</f>
        <v>2.2461937913223571E-2</v>
      </c>
      <c r="AN42" s="12">
        <v>3</v>
      </c>
      <c r="AO42" s="68">
        <f>((($W$39)^Q42)*((1-($W$39))^($U$33-Q42))*HLOOKUP($U$33,$AV$24:$BF$34,Q42+1))*V47</f>
        <v>5.8196375449607396E-3</v>
      </c>
      <c r="AP42" s="12">
        <v>3</v>
      </c>
      <c r="AQ42" s="68">
        <f>((($W$39)^Q42)*((1-($W$39))^($U$34-Q42))*HLOOKUP($U$34,$AV$24:$BF$34,Q42+1))*V48</f>
        <v>8.4625783322431431E-4</v>
      </c>
      <c r="AR42" s="12">
        <v>3</v>
      </c>
      <c r="AS42" s="68">
        <f>((($W$39)^Q42)*((1-($W$39))^($U$35-Q42))*HLOOKUP($U$35,$AV$24:$BF$34,Q42+1))*V49</f>
        <v>5.5623480153571985E-5</v>
      </c>
      <c r="AV42" s="14">
        <v>4</v>
      </c>
      <c r="AZ42">
        <v>1</v>
      </c>
      <c r="BA42">
        <v>5</v>
      </c>
      <c r="BB42">
        <v>15</v>
      </c>
      <c r="BC42">
        <f>20+15</f>
        <v>35</v>
      </c>
      <c r="BD42">
        <f>35+35</f>
        <v>70</v>
      </c>
      <c r="BE42">
        <f>56+70</f>
        <v>126</v>
      </c>
      <c r="BF42">
        <f t="shared" ref="BF42:BF48" si="34">BE41+BE42</f>
        <v>210</v>
      </c>
      <c r="BI42">
        <f t="shared" si="27"/>
        <v>4</v>
      </c>
      <c r="BJ42">
        <v>9</v>
      </c>
      <c r="BK42" s="94">
        <f t="shared" si="28"/>
        <v>6.0282064865803983E-4</v>
      </c>
      <c r="BQ42">
        <f t="shared" si="31"/>
        <v>9</v>
      </c>
      <c r="BR42">
        <v>3</v>
      </c>
      <c r="BS42" s="94">
        <f t="shared" si="32"/>
        <v>3.3233590970120063E-6</v>
      </c>
    </row>
    <row r="43" spans="1:71" ht="15" customHeight="1" x14ac:dyDescent="0.25">
      <c r="G43" s="78">
        <v>4</v>
      </c>
      <c r="H43" s="114">
        <f>J43*L39+J42*L40+J41*L41+J40*L42</f>
        <v>0.23343814068609911</v>
      </c>
      <c r="I43" s="80">
        <v>4</v>
      </c>
      <c r="J43" s="73">
        <f t="shared" si="29"/>
        <v>0.24874073071287184</v>
      </c>
      <c r="K43" s="82">
        <v>4</v>
      </c>
      <c r="L43" s="73"/>
      <c r="M43" s="72">
        <v>4</v>
      </c>
      <c r="N43" s="63">
        <f>(($C$24)^M29)*((1-($C$24))^($B$21-M29))*HLOOKUP($B$21,$AV$24:$BF$34,M29+1)</f>
        <v>0.22304638572851768</v>
      </c>
      <c r="O43" s="62">
        <v>4</v>
      </c>
      <c r="P43" s="63">
        <f t="shared" si="30"/>
        <v>0.22304638572851768</v>
      </c>
      <c r="Q43" s="12">
        <v>4</v>
      </c>
      <c r="R43" s="31">
        <f>P43*N39+P42*N40+P41*N41+P40*N42+P39*N43</f>
        <v>0.14370490530263877</v>
      </c>
      <c r="S43" s="62">
        <v>4</v>
      </c>
      <c r="T43" s="117">
        <f t="shared" si="33"/>
        <v>0</v>
      </c>
      <c r="U43" s="80">
        <v>4</v>
      </c>
      <c r="V43" s="73">
        <f>T43*R39+T42*R40+T41*R41+T40*R42+T39*R43</f>
        <v>0.14249527737151696</v>
      </c>
      <c r="W43" s="119"/>
      <c r="X43" s="12">
        <v>4</v>
      </c>
      <c r="Y43" s="31"/>
      <c r="Z43" s="12">
        <v>4</v>
      </c>
      <c r="AA43" s="68"/>
      <c r="AB43" s="12">
        <v>4</v>
      </c>
      <c r="AC43" s="68"/>
      <c r="AD43" s="12">
        <v>4</v>
      </c>
      <c r="AE43" s="68"/>
      <c r="AF43" s="12">
        <v>4</v>
      </c>
      <c r="AG43" s="68">
        <f>((($W$39)^M43)*((1-($W$39))^($U$29-M43))*HLOOKUP($U$29,$AV$24:$BF$34,M43+1))*V43</f>
        <v>2.9190181471552064E-2</v>
      </c>
      <c r="AH43" s="12">
        <v>4</v>
      </c>
      <c r="AI43" s="68">
        <f>((($W$39)^M43)*((1-($W$39))^($U$30-M43))*HLOOKUP($U$30,$AV$24:$BF$34,M43+1))*V44</f>
        <v>7.5069530657184538E-2</v>
      </c>
      <c r="AJ43" s="12">
        <v>4</v>
      </c>
      <c r="AK43" s="68">
        <f>((($W$39)^M43)*((1-($W$39))^($U$31-M43))*HLOOKUP($U$31,$AV$24:$BF$34,M43+1))*V45</f>
        <v>8.0537618584893569E-2</v>
      </c>
      <c r="AL43" s="12">
        <v>4</v>
      </c>
      <c r="AM43" s="68">
        <f>((($W$39)^Q43)*((1-($W$39))^($U$32-Q43))*HLOOKUP($U$32,$AV$24:$BF$34,Q43+1))*V46</f>
        <v>4.6178274100211414E-2</v>
      </c>
      <c r="AN43" s="12">
        <v>4</v>
      </c>
      <c r="AO43" s="68">
        <f>((($W$39)^Q43)*((1-($W$39))^($U$33-Q43))*HLOOKUP($U$33,$AV$24:$BF$34,Q43+1))*V47</f>
        <v>1.495534461192171E-2</v>
      </c>
      <c r="AP43" s="12">
        <v>4</v>
      </c>
      <c r="AQ43" s="68">
        <f>((($W$39)^Q43)*((1-($W$39))^($U$34-Q43))*HLOOKUP($U$34,$AV$24:$BF$34,Q43+1))*V48</f>
        <v>2.6096630441942419E-3</v>
      </c>
      <c r="AR43" s="12">
        <v>4</v>
      </c>
      <c r="AS43" s="68">
        <f>((($W$39)^Q43)*((1-($W$39))^($U$35-Q43))*HLOOKUP($U$35,$AV$24:$BF$34,Q43+1))*V49</f>
        <v>2.0011824291427349E-4</v>
      </c>
      <c r="AV43" s="14">
        <v>5</v>
      </c>
      <c r="BA43">
        <v>1</v>
      </c>
      <c r="BB43">
        <v>6</v>
      </c>
      <c r="BC43">
        <f>15+6</f>
        <v>21</v>
      </c>
      <c r="BD43">
        <f>35+21</f>
        <v>56</v>
      </c>
      <c r="BE43">
        <f>70+56</f>
        <v>126</v>
      </c>
      <c r="BF43">
        <f t="shared" si="34"/>
        <v>252</v>
      </c>
      <c r="BI43">
        <f t="shared" si="27"/>
        <v>4</v>
      </c>
      <c r="BJ43">
        <v>10</v>
      </c>
      <c r="BK43" s="94">
        <f t="shared" si="28"/>
        <v>1.13186885143913E-4</v>
      </c>
      <c r="BQ43">
        <f t="shared" si="31"/>
        <v>9</v>
      </c>
      <c r="BR43">
        <v>4</v>
      </c>
      <c r="BS43" s="94">
        <f t="shared" si="32"/>
        <v>4.1925278093229708E-6</v>
      </c>
    </row>
    <row r="44" spans="1:71" ht="15" customHeight="1" thickBot="1" x14ac:dyDescent="0.3">
      <c r="G44" s="78">
        <v>5</v>
      </c>
      <c r="H44" s="114">
        <f>J44*L39+J43*L40+J42*L41+J41*L42</f>
        <v>0.20956275213503461</v>
      </c>
      <c r="I44" s="80">
        <v>5</v>
      </c>
      <c r="J44" s="73">
        <f t="shared" si="29"/>
        <v>0.18451213133075331</v>
      </c>
      <c r="K44" s="82">
        <v>5</v>
      </c>
      <c r="L44" s="73"/>
      <c r="M44" s="72">
        <v>5</v>
      </c>
      <c r="N44" s="63">
        <f>(($C$24)^M30)*((1-($C$24))^($B$21-M30))*HLOOKUP($B$21,$AV$24:$BF$34,M30+1)</f>
        <v>5.8253859548764761E-2</v>
      </c>
      <c r="O44" s="62">
        <v>5</v>
      </c>
      <c r="P44" s="63">
        <f t="shared" si="30"/>
        <v>5.8253859548764761E-2</v>
      </c>
      <c r="Q44" s="12">
        <v>5</v>
      </c>
      <c r="R44" s="31">
        <f>P44*N39+P43*N40+P42*N41+P41*N42+P40*N43+P39*N44</f>
        <v>0.22519168851696308</v>
      </c>
      <c r="S44" s="62">
        <v>5</v>
      </c>
      <c r="T44" s="117">
        <f t="shared" si="33"/>
        <v>0</v>
      </c>
      <c r="U44" s="80">
        <v>5</v>
      </c>
      <c r="V44" s="73">
        <f>T44*R39+T43*R40+T42*R41+T41*R42+T40*R43+T39*R44</f>
        <v>0.22396944105942745</v>
      </c>
      <c r="W44" s="119"/>
      <c r="X44" s="12">
        <v>5</v>
      </c>
      <c r="Y44" s="31"/>
      <c r="Z44" s="12">
        <v>5</v>
      </c>
      <c r="AA44" s="68"/>
      <c r="AB44" s="12">
        <v>5</v>
      </c>
      <c r="AC44" s="68"/>
      <c r="AD44" s="12">
        <v>5</v>
      </c>
      <c r="AE44" s="68"/>
      <c r="AF44" s="12">
        <v>5</v>
      </c>
      <c r="AG44" s="68"/>
      <c r="AH44" s="12">
        <v>5</v>
      </c>
      <c r="AI44" s="68">
        <f>((($W$39)^M44)*((1-($W$39))^($U$30-M44))*HLOOKUP($U$30,$AV$24:$BF$34,M44+1))*V44</f>
        <v>3.0866271437967777E-2</v>
      </c>
      <c r="AJ44" s="12">
        <v>5</v>
      </c>
      <c r="AK44" s="68">
        <f>((($W$39)^M44)*((1-($W$39))^($U$31-M44))*HLOOKUP($U$31,$AV$24:$BF$34,M44+1))*V45</f>
        <v>6.622916047153761E-2</v>
      </c>
      <c r="AL44" s="12">
        <v>5</v>
      </c>
      <c r="AM44" s="68">
        <f>((($W$39)^Q44)*((1-($W$39))^($U$32-Q44))*HLOOKUP($U$32,$AV$24:$BF$34,Q44+1))*V46</f>
        <v>5.6961238352071258E-2</v>
      </c>
      <c r="AN44" s="12">
        <v>5</v>
      </c>
      <c r="AO44" s="68">
        <f>((($W$39)^Q44)*((1-($W$39))^($U$33-Q44))*HLOOKUP($U$33,$AV$24:$BF$34,Q44+1))*V47</f>
        <v>2.4596702401029083E-2</v>
      </c>
      <c r="AP44" s="12">
        <v>5</v>
      </c>
      <c r="AQ44" s="68">
        <f>((($W$39)^Q44)*((1-($W$39))^($U$34-Q44))*HLOOKUP($U$34,$AV$24:$BF$34,Q44+1))*V48</f>
        <v>5.3650640398684619E-3</v>
      </c>
      <c r="AR44" s="12">
        <v>5</v>
      </c>
      <c r="AS44" s="68">
        <f>((($W$39)^Q44)*((1-($W$39))^($U$35-Q44))*HLOOKUP($U$35,$AV$24:$BF$34,Q44+1))*V49</f>
        <v>4.9369462827912147E-4</v>
      </c>
      <c r="AV44" s="24">
        <v>6</v>
      </c>
      <c r="BB44">
        <v>1</v>
      </c>
      <c r="BC44">
        <v>7</v>
      </c>
      <c r="BD44">
        <f>28</f>
        <v>28</v>
      </c>
      <c r="BE44">
        <f>56+28</f>
        <v>84</v>
      </c>
      <c r="BF44">
        <f t="shared" si="34"/>
        <v>210</v>
      </c>
      <c r="BI44">
        <f>BI39+1</f>
        <v>5</v>
      </c>
      <c r="BJ44">
        <v>6</v>
      </c>
      <c r="BK44" s="94">
        <f>$H$30*H45</f>
        <v>4.3434060573831782E-3</v>
      </c>
      <c r="BQ44">
        <f t="shared" si="31"/>
        <v>9</v>
      </c>
      <c r="BR44">
        <v>5</v>
      </c>
      <c r="BS44" s="94">
        <f t="shared" si="32"/>
        <v>3.7637279989555215E-6</v>
      </c>
    </row>
    <row r="45" spans="1:71" ht="15" customHeight="1" thickBot="1" x14ac:dyDescent="0.3">
      <c r="A45" s="99" t="s">
        <v>4</v>
      </c>
      <c r="B45" s="99" t="s">
        <v>121</v>
      </c>
      <c r="C45" s="99" t="s">
        <v>122</v>
      </c>
      <c r="D45" s="99" t="s">
        <v>123</v>
      </c>
      <c r="E45" s="99" t="s">
        <v>124</v>
      </c>
      <c r="G45" s="78">
        <v>6</v>
      </c>
      <c r="H45" s="114">
        <f>J45*L39+J44*L40+J43*L41+J42*L42</f>
        <v>0.13761978385310691</v>
      </c>
      <c r="I45" s="80">
        <v>6</v>
      </c>
      <c r="J45" s="73">
        <f t="shared" si="29"/>
        <v>9.5209794063670777E-2</v>
      </c>
      <c r="K45" s="82">
        <v>6</v>
      </c>
      <c r="L45" s="73"/>
      <c r="M45" s="72"/>
      <c r="N45" s="31"/>
      <c r="O45" s="31"/>
      <c r="P45" s="31"/>
      <c r="Q45" s="12">
        <v>6</v>
      </c>
      <c r="R45" s="31">
        <f>P44*N40+P43*N41+P42*N42+P41*N43+P40*N44</f>
        <v>0.24505898462124065</v>
      </c>
      <c r="S45" s="62">
        <v>6</v>
      </c>
      <c r="T45" s="117">
        <f t="shared" si="33"/>
        <v>0</v>
      </c>
      <c r="U45" s="80">
        <v>6</v>
      </c>
      <c r="V45" s="73">
        <f>T45*R39+T44*R40+T43*R41+T42*R42+T41*R43+T40*R44+T39*R45</f>
        <v>0.24475636150370284</v>
      </c>
      <c r="W45" s="119"/>
      <c r="X45" s="12">
        <v>6</v>
      </c>
      <c r="Y45" s="31"/>
      <c r="Z45" s="12">
        <v>6</v>
      </c>
      <c r="AA45" s="68"/>
      <c r="AB45" s="12">
        <v>6</v>
      </c>
      <c r="AC45" s="68"/>
      <c r="AD45" s="12">
        <v>6</v>
      </c>
      <c r="AE45" s="68"/>
      <c r="AF45" s="12">
        <v>6</v>
      </c>
      <c r="AG45" s="68"/>
      <c r="AH45" s="12">
        <v>6</v>
      </c>
      <c r="AI45" s="68"/>
      <c r="AJ45" s="12">
        <v>6</v>
      </c>
      <c r="AK45" s="68">
        <f>((($W$39)^Q45)*((1-($W$39))^($U$31-Q45))*HLOOKUP($U$31,$AV$24:$BF$34,Q45+1))*V45</f>
        <v>2.2692820313016934E-2</v>
      </c>
      <c r="AL45" s="12">
        <v>6</v>
      </c>
      <c r="AM45" s="68">
        <f>((($W$39)^Q45)*((1-($W$39))^($U$32-Q45))*HLOOKUP($U$32,$AV$24:$BF$34,Q45+1))*V46</f>
        <v>3.9034501948306884E-2</v>
      </c>
      <c r="AN45" s="12">
        <v>6</v>
      </c>
      <c r="AO45" s="68">
        <f>((($W$39)^Q45)*((1-($W$39))^($U$33-Q45))*HLOOKUP($U$33,$AV$24:$BF$34,Q45+1))*V47</f>
        <v>2.5283510038716935E-2</v>
      </c>
      <c r="AP45" s="12">
        <v>6</v>
      </c>
      <c r="AQ45" s="68">
        <f>((($W$39)^Q45)*((1-($W$39))^($U$34-Q45))*HLOOKUP($U$34,$AV$24:$BF$34,Q45+1))*V48</f>
        <v>7.3531618614966982E-3</v>
      </c>
      <c r="AR45" s="12">
        <v>6</v>
      </c>
      <c r="AS45" s="68">
        <f>((($W$39)^Q45)*((1-($W$39))^($U$35-Q45))*HLOOKUP($U$35,$AV$24:$BF$34,Q45+1))*V49</f>
        <v>8.4579990213332762E-4</v>
      </c>
      <c r="AV45" s="14">
        <v>7</v>
      </c>
      <c r="BC45">
        <v>1</v>
      </c>
      <c r="BD45">
        <v>8</v>
      </c>
      <c r="BE45">
        <f>28+8</f>
        <v>36</v>
      </c>
      <c r="BF45">
        <f t="shared" si="34"/>
        <v>120</v>
      </c>
      <c r="BI45">
        <f>BI40+1</f>
        <v>5</v>
      </c>
      <c r="BJ45">
        <v>7</v>
      </c>
      <c r="BK45" s="94">
        <f>$H$30*H46</f>
        <v>2.111392939141807E-3</v>
      </c>
      <c r="BQ45">
        <f t="shared" si="31"/>
        <v>9</v>
      </c>
      <c r="BR45">
        <v>6</v>
      </c>
      <c r="BS45" s="94">
        <f t="shared" si="32"/>
        <v>2.4716388214084375E-6</v>
      </c>
    </row>
    <row r="46" spans="1:71" ht="15" customHeight="1" thickBot="1" x14ac:dyDescent="0.3">
      <c r="A46" s="100" t="s">
        <v>125</v>
      </c>
      <c r="B46" s="100" t="s">
        <v>2</v>
      </c>
      <c r="C46" s="100" t="s">
        <v>126</v>
      </c>
      <c r="D46" s="100" t="s">
        <v>127</v>
      </c>
      <c r="E46" s="100" t="s">
        <v>128</v>
      </c>
      <c r="G46" s="78">
        <v>7</v>
      </c>
      <c r="H46" s="114">
        <f>J46*L39+J45*L40+J44*L41+J43*L42</f>
        <v>6.6898981139408897E-2</v>
      </c>
      <c r="I46" s="80">
        <v>7</v>
      </c>
      <c r="J46" s="73">
        <f t="shared" si="29"/>
        <v>3.3787588046647596E-2</v>
      </c>
      <c r="K46" s="82">
        <v>7</v>
      </c>
      <c r="L46" s="73"/>
      <c r="M46" s="72"/>
      <c r="N46" s="31"/>
      <c r="O46" s="31"/>
      <c r="P46" s="31"/>
      <c r="Q46" s="12">
        <v>7</v>
      </c>
      <c r="R46" s="31">
        <f>P44*N41+P43*N42+P42*N43+P41*N44</f>
        <v>0.182865635448895</v>
      </c>
      <c r="S46" s="62">
        <v>7</v>
      </c>
      <c r="T46" s="117">
        <f t="shared" si="33"/>
        <v>0</v>
      </c>
      <c r="U46" s="80">
        <v>7</v>
      </c>
      <c r="V46" s="73">
        <f>T46*R39+T45*R40+T44*R41+T43*R42+T42*R43+T41*R44+T40*R45+T39*R46</f>
        <v>0.18379238369322923</v>
      </c>
      <c r="W46" s="119"/>
      <c r="X46" s="12">
        <v>7</v>
      </c>
      <c r="Y46" s="31"/>
      <c r="Z46" s="12">
        <v>7</v>
      </c>
      <c r="AA46" s="68"/>
      <c r="AB46" s="12">
        <v>7</v>
      </c>
      <c r="AC46" s="68"/>
      <c r="AD46" s="12">
        <v>7</v>
      </c>
      <c r="AE46" s="68"/>
      <c r="AF46" s="12">
        <v>7</v>
      </c>
      <c r="AG46" s="68"/>
      <c r="AH46" s="12">
        <v>7</v>
      </c>
      <c r="AI46" s="68"/>
      <c r="AJ46" s="12">
        <v>7</v>
      </c>
      <c r="AK46" s="68"/>
      <c r="AL46" s="12">
        <v>7</v>
      </c>
      <c r="AM46" s="68">
        <f>((($W$39)^Q46)*((1-($W$39))^($U$32-Q46))*HLOOKUP($U$32,$AV$24:$BF$34,Q46+1))*V46</f>
        <v>1.1464129340537029E-2</v>
      </c>
      <c r="AN46" s="12">
        <v>7</v>
      </c>
      <c r="AO46" s="68">
        <f>((($W$39)^Q46)*((1-($W$39))^($U$33-Q46))*HLOOKUP($U$33,$AV$24:$BF$34,Q46+1))*V47</f>
        <v>1.4851140134974345E-2</v>
      </c>
      <c r="AP46" s="12">
        <v>7</v>
      </c>
      <c r="AQ46" s="68">
        <f>((($W$39)^Q46)*((1-($W$39))^($U$34-Q46))*HLOOKUP($U$34,$AV$24:$BF$34,Q46+1))*V48</f>
        <v>6.4786991841527947E-3</v>
      </c>
      <c r="AR46" s="12">
        <v>7</v>
      </c>
      <c r="AS46" s="68">
        <f>((($W$39)^Q46)*((1-($W$39))^($U$35-Q46))*HLOOKUP($U$35,$AV$24:$BF$34,Q46+1))*V49</f>
        <v>9.93619386983428E-4</v>
      </c>
      <c r="AV46" s="14">
        <v>8</v>
      </c>
      <c r="BD46">
        <v>1</v>
      </c>
      <c r="BE46">
        <v>9</v>
      </c>
      <c r="BF46">
        <f t="shared" si="34"/>
        <v>45</v>
      </c>
      <c r="BI46">
        <f>BI41+1</f>
        <v>5</v>
      </c>
      <c r="BJ46">
        <v>8</v>
      </c>
      <c r="BK46" s="94">
        <f>$H$30*H47</f>
        <v>7.597351080022663E-4</v>
      </c>
      <c r="BQ46">
        <f t="shared" si="31"/>
        <v>9</v>
      </c>
      <c r="BR46">
        <v>7</v>
      </c>
      <c r="BS46" s="94">
        <f t="shared" si="32"/>
        <v>1.2014996264877578E-6</v>
      </c>
    </row>
    <row r="47" spans="1:71" ht="15" customHeight="1" thickBot="1" x14ac:dyDescent="0.3">
      <c r="A47" s="100" t="s">
        <v>5</v>
      </c>
      <c r="B47" s="100" t="s">
        <v>2</v>
      </c>
      <c r="C47" s="100" t="s">
        <v>129</v>
      </c>
      <c r="D47" s="100" t="s">
        <v>130</v>
      </c>
      <c r="E47" s="100" t="s">
        <v>128</v>
      </c>
      <c r="G47" s="78">
        <v>8</v>
      </c>
      <c r="H47" s="114">
        <f>J47*L39+J46*L40+J45*L41+J44*L42</f>
        <v>2.4072025495097484E-2</v>
      </c>
      <c r="I47" s="80">
        <v>8</v>
      </c>
      <c r="J47" s="73">
        <f t="shared" si="29"/>
        <v>7.9122803430505071E-3</v>
      </c>
      <c r="K47" s="82">
        <v>8</v>
      </c>
      <c r="L47" s="73"/>
      <c r="M47" s="72"/>
      <c r="N47" s="31"/>
      <c r="O47" s="31"/>
      <c r="P47" s="31"/>
      <c r="Q47" s="12">
        <v>8</v>
      </c>
      <c r="R47" s="31">
        <f>P44*N42+P43*N43+P42*N44</f>
        <v>8.9549442335798451E-2</v>
      </c>
      <c r="S47" s="62">
        <v>8</v>
      </c>
      <c r="T47" s="117">
        <f t="shared" si="33"/>
        <v>0</v>
      </c>
      <c r="U47" s="80">
        <v>8</v>
      </c>
      <c r="V47" s="73">
        <f>T47*R39+T46*R40+T45*R41+T44*R42+T43*R43+T42*R44+T41*R45+T40*R46+T39*R47</f>
        <v>9.0946844651974168E-2</v>
      </c>
      <c r="W47" s="119"/>
      <c r="X47" s="12">
        <v>8</v>
      </c>
      <c r="Y47" s="31"/>
      <c r="Z47" s="12">
        <v>8</v>
      </c>
      <c r="AA47" s="68"/>
      <c r="AB47" s="12">
        <v>8</v>
      </c>
      <c r="AC47" s="68"/>
      <c r="AD47" s="12">
        <v>8</v>
      </c>
      <c r="AE47" s="68"/>
      <c r="AF47" s="12">
        <v>8</v>
      </c>
      <c r="AG47" s="68"/>
      <c r="AH47" s="12">
        <v>8</v>
      </c>
      <c r="AI47" s="68"/>
      <c r="AJ47" s="12">
        <v>8</v>
      </c>
      <c r="AK47" s="68"/>
      <c r="AL47" s="12">
        <v>8</v>
      </c>
      <c r="AM47" s="68"/>
      <c r="AN47" s="12">
        <v>8</v>
      </c>
      <c r="AO47" s="68">
        <f>((($W$39)^Q47)*((1-($W$39))^($U$33-Q47))*HLOOKUP($U$33,$AV$24:$BF$34,Q47+1))*V47</f>
        <v>3.8164562119646778E-3</v>
      </c>
      <c r="AP47" s="12">
        <v>8</v>
      </c>
      <c r="AQ47" s="68">
        <f>((($W$39)^Q47)*((1-($W$39))^($U$34-Q47))*HLOOKUP($U$34,$AV$24:$BF$34,Q47+1))*V48</f>
        <v>3.329801149553713E-3</v>
      </c>
      <c r="AR47" s="12">
        <v>8</v>
      </c>
      <c r="AS47" s="68">
        <f>((($W$39)^Q47)*((1-($W$39))^($U$35-Q47))*HLOOKUP($U$35,$AV$24:$BF$34,Q47+1))*V49</f>
        <v>7.6602298153211588E-4</v>
      </c>
      <c r="AV47" s="24">
        <v>9</v>
      </c>
      <c r="BE47">
        <v>1</v>
      </c>
      <c r="BF47">
        <f t="shared" si="34"/>
        <v>10</v>
      </c>
      <c r="BI47">
        <f>BI42+1</f>
        <v>5</v>
      </c>
      <c r="BJ47">
        <v>9</v>
      </c>
      <c r="BK47" s="94">
        <f>$H$30*H48</f>
        <v>2.0004414860931233E-4</v>
      </c>
      <c r="BQ47">
        <f>BM12+1</f>
        <v>9</v>
      </c>
      <c r="BR47">
        <v>8</v>
      </c>
      <c r="BS47" s="94">
        <f t="shared" si="32"/>
        <v>4.3233139202662243E-7</v>
      </c>
    </row>
    <row r="48" spans="1:71" ht="15" customHeight="1" thickBot="1" x14ac:dyDescent="0.3">
      <c r="A48" s="101" t="s">
        <v>125</v>
      </c>
      <c r="B48" s="101" t="s">
        <v>131</v>
      </c>
      <c r="C48" s="101" t="s">
        <v>129</v>
      </c>
      <c r="D48" s="102" t="s">
        <v>132</v>
      </c>
      <c r="E48" s="101" t="s">
        <v>128</v>
      </c>
      <c r="G48" s="78">
        <v>9</v>
      </c>
      <c r="H48" s="114">
        <f>J48*L39+J47*L40+J46*L41+J45*L42</f>
        <v>6.3383510841440172E-3</v>
      </c>
      <c r="I48" s="80">
        <v>9</v>
      </c>
      <c r="J48" s="73">
        <f t="shared" si="29"/>
        <v>1.1105785037937967E-3</v>
      </c>
      <c r="K48" s="82">
        <v>9</v>
      </c>
      <c r="L48" s="73"/>
      <c r="M48" s="72"/>
      <c r="N48" s="31"/>
      <c r="O48" s="31"/>
      <c r="P48" s="31"/>
      <c r="Q48" s="12">
        <v>9</v>
      </c>
      <c r="R48" s="31">
        <f>P44*N43+P43*N44</f>
        <v>2.5986625654177354E-2</v>
      </c>
      <c r="S48" s="62">
        <v>9</v>
      </c>
      <c r="T48" s="117">
        <f t="shared" si="33"/>
        <v>0</v>
      </c>
      <c r="U48" s="80">
        <v>9</v>
      </c>
      <c r="V48" s="73">
        <f>T48*R39+T47*R40+T46*R41+T45*R42+T44*R43+T43*R44+T42*R45+T41*R46+T40*R47+T39*R48</f>
        <v>2.6942291798106487E-2</v>
      </c>
      <c r="W48" s="119"/>
      <c r="X48" s="12">
        <v>9</v>
      </c>
      <c r="Y48" s="31"/>
      <c r="Z48" s="12">
        <v>9</v>
      </c>
      <c r="AA48" s="68"/>
      <c r="AB48" s="12">
        <v>9</v>
      </c>
      <c r="AC48" s="68"/>
      <c r="AD48" s="12">
        <v>9</v>
      </c>
      <c r="AE48" s="68"/>
      <c r="AF48" s="12">
        <v>9</v>
      </c>
      <c r="AG48" s="68"/>
      <c r="AH48" s="12">
        <v>9</v>
      </c>
      <c r="AI48" s="68"/>
      <c r="AJ48" s="12">
        <v>9</v>
      </c>
      <c r="AK48" s="68"/>
      <c r="AL48" s="12">
        <v>9</v>
      </c>
      <c r="AM48" s="68"/>
      <c r="AN48" s="12">
        <v>9</v>
      </c>
      <c r="AO48" s="68"/>
      <c r="AP48" s="12">
        <v>9</v>
      </c>
      <c r="AQ48" s="68">
        <f>((($W$39)^Q48)*((1-($W$39))^($U$34-Q48))*HLOOKUP($U$34,$AV$24:$BF$34,Q48+1))*V48</f>
        <v>7.6061741411094519E-4</v>
      </c>
      <c r="AR48" s="12">
        <v>9</v>
      </c>
      <c r="AS48" s="68">
        <f>((($W$39)^Q48)*((1-($W$39))^($U$35-Q48))*HLOOKUP($U$35,$AV$24:$BF$34,Q48+1))*V49</f>
        <v>3.4996108968285146E-4</v>
      </c>
      <c r="AV48" s="14">
        <v>10</v>
      </c>
      <c r="BF48">
        <f t="shared" si="34"/>
        <v>1</v>
      </c>
      <c r="BI48">
        <f>BI43+1</f>
        <v>5</v>
      </c>
      <c r="BJ48">
        <v>10</v>
      </c>
      <c r="BK48" s="94">
        <f>$H$30*H49</f>
        <v>3.7560714157285554E-5</v>
      </c>
    </row>
    <row r="49" spans="1:63" ht="15" customHeight="1" thickBot="1" x14ac:dyDescent="0.3">
      <c r="A49" s="101" t="s">
        <v>5</v>
      </c>
      <c r="B49" s="101" t="s">
        <v>131</v>
      </c>
      <c r="C49" s="101" t="s">
        <v>126</v>
      </c>
      <c r="D49" s="101" t="s">
        <v>133</v>
      </c>
      <c r="E49" s="101" t="s">
        <v>134</v>
      </c>
      <c r="G49" s="79">
        <v>10</v>
      </c>
      <c r="H49" s="115">
        <f>J49*L39+J48*L40+J47*L41+J46*L42</f>
        <v>1.1901022597017457E-3</v>
      </c>
      <c r="I49" s="81">
        <v>10</v>
      </c>
      <c r="J49" s="76">
        <f t="shared" si="29"/>
        <v>7.1946593326969687E-5</v>
      </c>
      <c r="K49" s="83">
        <v>10</v>
      </c>
      <c r="L49" s="76"/>
      <c r="M49" s="72"/>
      <c r="N49" s="31"/>
      <c r="O49" s="31"/>
      <c r="P49" s="31"/>
      <c r="Q49" s="12">
        <v>10</v>
      </c>
      <c r="R49" s="31">
        <f>P44*N44</f>
        <v>3.3935121523272112E-3</v>
      </c>
      <c r="S49" s="62">
        <v>10</v>
      </c>
      <c r="T49" s="117">
        <f t="shared" si="33"/>
        <v>0</v>
      </c>
      <c r="U49" s="81">
        <v>10</v>
      </c>
      <c r="V49" s="76">
        <f>IF(((T49*R39+T48*R40+T47*R41+T46*R42+T45*R43+T44*R44+T43*R45+T42*R46+T41*R47+T40*R48+T39*R49)+V37)&lt;&gt;1,1-V37,(T49*R39+T48*R40+T47*R41+T46*R42+T45*R43+T44*R44+T43*R45+T42*R46+T41*R47+T40*R48+T39*R49))</f>
        <v>3.7880824675630143E-3</v>
      </c>
      <c r="W49" s="119"/>
      <c r="X49" s="12">
        <v>10</v>
      </c>
      <c r="Y49" s="31"/>
      <c r="Z49" s="12">
        <v>10</v>
      </c>
      <c r="AA49" s="68"/>
      <c r="AB49" s="12">
        <v>10</v>
      </c>
      <c r="AC49" s="68"/>
      <c r="AD49" s="12">
        <v>10</v>
      </c>
      <c r="AE49" s="68"/>
      <c r="AF49" s="12">
        <v>10</v>
      </c>
      <c r="AG49" s="68"/>
      <c r="AH49" s="12">
        <v>10</v>
      </c>
      <c r="AI49" s="68"/>
      <c r="AJ49" s="12">
        <v>10</v>
      </c>
      <c r="AK49" s="68"/>
      <c r="AL49" s="12">
        <v>10</v>
      </c>
      <c r="AM49" s="68"/>
      <c r="AN49" s="12">
        <v>10</v>
      </c>
      <c r="AO49" s="68"/>
      <c r="AP49" s="12">
        <v>10</v>
      </c>
      <c r="AQ49" s="68"/>
      <c r="AR49" s="12">
        <v>10</v>
      </c>
      <c r="AS49" s="68">
        <f>((($W$39)^Q49)*((1-($W$39))^($U$35-Q49))*HLOOKUP($U$35,$AV$24:$BF$34,Q49+1))*V49</f>
        <v>7.1946593326969687E-5</v>
      </c>
      <c r="BI49">
        <f>BQ14+1</f>
        <v>6</v>
      </c>
      <c r="BJ49">
        <v>0</v>
      </c>
      <c r="BK49" s="94">
        <f>$H$31*H39</f>
        <v>3.6307595531696483E-5</v>
      </c>
    </row>
    <row r="50" spans="1:63" ht="15.75" thickBot="1" x14ac:dyDescent="0.3">
      <c r="A50" s="103" t="s">
        <v>125</v>
      </c>
      <c r="B50" s="103" t="s">
        <v>1</v>
      </c>
      <c r="C50" s="103" t="s">
        <v>126</v>
      </c>
      <c r="D50" s="103" t="s">
        <v>135</v>
      </c>
      <c r="E50" s="103" t="s">
        <v>128</v>
      </c>
      <c r="G50" s="66"/>
      <c r="H50" s="67"/>
      <c r="I50" s="27"/>
      <c r="J50" s="27"/>
      <c r="K50" s="67"/>
      <c r="L50" s="67"/>
      <c r="O50" s="26"/>
      <c r="P50" s="26"/>
      <c r="Q50" s="26"/>
      <c r="R50" s="26"/>
      <c r="S50" s="66"/>
      <c r="T50" s="66"/>
      <c r="U50" s="66"/>
      <c r="V50" s="67"/>
      <c r="W50" s="27"/>
      <c r="X50" s="13"/>
      <c r="Y50" s="13"/>
      <c r="BI50">
        <f>BI45+1</f>
        <v>6</v>
      </c>
      <c r="BJ50">
        <v>7</v>
      </c>
      <c r="BK50" s="94">
        <f>$H$31*H46</f>
        <v>5.1295776642012688E-4</v>
      </c>
    </row>
    <row r="51" spans="1:63" ht="15.75" thickBot="1" x14ac:dyDescent="0.3">
      <c r="A51" s="103" t="s">
        <v>5</v>
      </c>
      <c r="B51" s="103" t="s">
        <v>1</v>
      </c>
      <c r="C51" s="103" t="s">
        <v>126</v>
      </c>
      <c r="D51" s="103" t="s">
        <v>136</v>
      </c>
      <c r="E51" s="103" t="s">
        <v>134</v>
      </c>
      <c r="BI51">
        <f>BI46+1</f>
        <v>6</v>
      </c>
      <c r="BJ51">
        <v>8</v>
      </c>
      <c r="BK51" s="94">
        <f>$H$31*H47</f>
        <v>1.8457579205043566E-4</v>
      </c>
    </row>
    <row r="52" spans="1:63" x14ac:dyDescent="0.25">
      <c r="H52" s="94"/>
      <c r="BI52">
        <f>BI47+1</f>
        <v>6</v>
      </c>
      <c r="BJ52">
        <v>9</v>
      </c>
      <c r="BK52" s="94">
        <f>$H$31*H48</f>
        <v>4.8600238143145986E-5</v>
      </c>
    </row>
    <row r="53" spans="1:63" x14ac:dyDescent="0.25">
      <c r="BI53">
        <f>BI48+1</f>
        <v>6</v>
      </c>
      <c r="BJ53">
        <v>10</v>
      </c>
      <c r="BK53" s="94">
        <f>$H$31*H49</f>
        <v>9.1252839213800198E-6</v>
      </c>
    </row>
    <row r="54" spans="1:63" x14ac:dyDescent="0.25">
      <c r="BI54">
        <f>BI51+1</f>
        <v>7</v>
      </c>
      <c r="BJ54">
        <v>8</v>
      </c>
      <c r="BK54" s="94">
        <f>$H$32*H47</f>
        <v>3.321838335042678E-5</v>
      </c>
    </row>
    <row r="55" spans="1:63" x14ac:dyDescent="0.25">
      <c r="BI55">
        <f>BI52+1</f>
        <v>7</v>
      </c>
      <c r="BJ55">
        <v>9</v>
      </c>
      <c r="BK55" s="94">
        <f>$H$32*H48</f>
        <v>8.7466580726898033E-6</v>
      </c>
    </row>
    <row r="56" spans="1:63" x14ac:dyDescent="0.25">
      <c r="BI56">
        <f>BI53+1</f>
        <v>7</v>
      </c>
      <c r="BJ56">
        <v>10</v>
      </c>
      <c r="BK56" s="94">
        <f>$H$32*H49</f>
        <v>1.6422910941596136E-6</v>
      </c>
    </row>
    <row r="57" spans="1:63" x14ac:dyDescent="0.25">
      <c r="BI57">
        <f>BI55+1</f>
        <v>8</v>
      </c>
      <c r="BJ57">
        <v>9</v>
      </c>
      <c r="BK57" s="94">
        <f>$H$33*H48</f>
        <v>1.1661655904568888E-6</v>
      </c>
    </row>
    <row r="58" spans="1:63" x14ac:dyDescent="0.25">
      <c r="BI58">
        <f>BI56+1</f>
        <v>8</v>
      </c>
      <c r="BJ58">
        <v>10</v>
      </c>
      <c r="BK58" s="94">
        <f>$H$33*H49</f>
        <v>2.1896172773720556E-7</v>
      </c>
    </row>
    <row r="59" spans="1:63" x14ac:dyDescent="0.25">
      <c r="BI59">
        <f>BI58+1</f>
        <v>9</v>
      </c>
      <c r="BJ59">
        <v>10</v>
      </c>
      <c r="BK59" s="94">
        <f>$H$34*H49</f>
        <v>2.1374128516757828E-8</v>
      </c>
    </row>
  </sheetData>
  <mergeCells count="2">
    <mergeCell ref="Q1:R1"/>
    <mergeCell ref="B3:C3"/>
  </mergeCells>
  <conditionalFormatting sqref="H25:H35">
    <cfRule type="cellIs" dxfId="7" priority="5" operator="greaterThan">
      <formula>0.15</formula>
    </cfRule>
  </conditionalFormatting>
  <conditionalFormatting sqref="H39:H49">
    <cfRule type="cellIs" dxfId="6" priority="1" operator="greaterThan">
      <formula>0.15</formula>
    </cfRule>
  </conditionalFormatting>
  <conditionalFormatting sqref="V25:V35">
    <cfRule type="cellIs" dxfId="5" priority="10" operator="greaterThan">
      <formula>0.15</formula>
    </cfRule>
  </conditionalFormatting>
  <conditionalFormatting sqref="V39:V49">
    <cfRule type="cellIs" dxfId="4" priority="9" operator="greaterThan">
      <formula>0.15</formula>
    </cfRule>
  </conditionalFormatting>
  <pageMargins left="0.7" right="0.7" top="0.75" bottom="0.75" header="0.3" footer="0.3"/>
  <pageSetup paperSize="9" fitToWidth="0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8AFE1-8912-4225-93E5-05C880448D21}">
  <sheetPr>
    <tabColor rgb="FFFF0000"/>
  </sheetPr>
  <dimension ref="A1:AF35"/>
  <sheetViews>
    <sheetView workbookViewId="0">
      <selection activeCell="Y14" sqref="Y14"/>
    </sheetView>
  </sheetViews>
  <sheetFormatPr baseColWidth="10" defaultRowHeight="15" x14ac:dyDescent="0.25"/>
  <cols>
    <col min="4" max="4" width="12.42578125" bestFit="1" customWidth="1"/>
    <col min="7" max="8" width="11.42578125" style="13"/>
    <col min="9" max="9" width="4.5703125" bestFit="1" customWidth="1"/>
    <col min="10" max="10" width="5.140625" bestFit="1" customWidth="1"/>
    <col min="11" max="13" width="4.5703125" style="13" bestFit="1" customWidth="1"/>
    <col min="14" max="14" width="4.7109375" style="13" customWidth="1"/>
    <col min="15" max="15" width="7.140625" bestFit="1" customWidth="1"/>
    <col min="16" max="16" width="5.28515625" bestFit="1" customWidth="1"/>
    <col min="17" max="18" width="6.28515625" bestFit="1" customWidth="1"/>
    <col min="19" max="19" width="12.42578125" style="13" bestFit="1" customWidth="1"/>
    <col min="20" max="22" width="6.28515625" bestFit="1" customWidth="1"/>
    <col min="23" max="25" width="8.42578125" bestFit="1" customWidth="1"/>
    <col min="26" max="27" width="7.5703125" bestFit="1" customWidth="1"/>
    <col min="28" max="29" width="7.140625" bestFit="1" customWidth="1"/>
  </cols>
  <sheetData>
    <row r="1" spans="1:32" x14ac:dyDescent="0.25">
      <c r="A1" s="148"/>
      <c r="B1" s="148"/>
      <c r="C1" s="148"/>
      <c r="D1" s="148"/>
      <c r="Q1" s="145"/>
      <c r="S1" s="145"/>
    </row>
    <row r="2" spans="1:32" x14ac:dyDescent="0.25">
      <c r="A2" s="182" t="s">
        <v>155</v>
      </c>
      <c r="B2" s="182" t="s">
        <v>156</v>
      </c>
      <c r="C2" s="182" t="s">
        <v>25</v>
      </c>
      <c r="D2" s="182" t="s">
        <v>157</v>
      </c>
      <c r="E2" s="182" t="s">
        <v>178</v>
      </c>
      <c r="I2" s="206">
        <v>1.5</v>
      </c>
      <c r="J2" s="206">
        <v>2.5</v>
      </c>
      <c r="K2" s="206">
        <v>3.5</v>
      </c>
      <c r="L2" s="149"/>
      <c r="M2" s="148"/>
      <c r="N2" s="150"/>
      <c r="O2" s="149"/>
      <c r="P2" s="149"/>
      <c r="Q2" s="149"/>
      <c r="R2" s="149">
        <f>COUNTIF(F18:G18,"JC")</f>
        <v>0</v>
      </c>
      <c r="S2" s="148"/>
      <c r="T2" s="149">
        <f>COUNTIF(J6:L6,"CAB")+COUNTIF(I5:M5,"CAB")</f>
        <v>2</v>
      </c>
      <c r="U2" s="149">
        <f>COUNTIF(J11:L11,"CAB")+COUNTIF(I10:M10,"CAB")</f>
        <v>0</v>
      </c>
      <c r="V2" s="157"/>
      <c r="W2" s="151"/>
      <c r="X2" s="151"/>
      <c r="Y2" s="148"/>
    </row>
    <row r="3" spans="1:32" ht="18.75" x14ac:dyDescent="0.3">
      <c r="A3" s="173">
        <v>5</v>
      </c>
      <c r="B3" s="173">
        <v>6</v>
      </c>
      <c r="C3" s="183">
        <v>0.45</v>
      </c>
      <c r="D3" s="173" t="s">
        <v>167</v>
      </c>
      <c r="E3" s="145">
        <f>C3/B3</f>
        <v>7.4999999999999997E-2</v>
      </c>
      <c r="I3" s="148"/>
      <c r="J3" s="148"/>
      <c r="K3" s="148"/>
      <c r="L3" s="148"/>
      <c r="M3" s="148"/>
      <c r="N3" s="148"/>
      <c r="O3" s="148"/>
      <c r="P3" s="148"/>
      <c r="Q3" s="148"/>
      <c r="R3" s="165">
        <f>SUM(R5:R16)</f>
        <v>3.5750000000000002</v>
      </c>
      <c r="S3" s="148"/>
      <c r="T3" s="149"/>
      <c r="U3" s="149"/>
      <c r="V3" s="146">
        <f>SUM(V5:V16)</f>
        <v>2.1</v>
      </c>
      <c r="W3" s="146">
        <f>SUM(W5:W16)</f>
        <v>3.5749999999999997</v>
      </c>
      <c r="X3" s="217">
        <f t="shared" ref="X3:Y3" si="0">SUM(X5:X16)</f>
        <v>2.1279761904761902</v>
      </c>
      <c r="Y3" s="218">
        <f t="shared" si="0"/>
        <v>0.35749999999999998</v>
      </c>
    </row>
    <row r="4" spans="1:32" x14ac:dyDescent="0.25">
      <c r="A4" s="173">
        <v>6</v>
      </c>
      <c r="B4" s="173">
        <v>8</v>
      </c>
      <c r="C4" s="183">
        <v>0.35</v>
      </c>
      <c r="D4" s="173" t="s">
        <v>168</v>
      </c>
      <c r="E4" s="145">
        <f t="shared" ref="E4:E14" si="1">C4/B4</f>
        <v>4.3749999999999997E-2</v>
      </c>
      <c r="I4" s="174"/>
      <c r="J4" s="175"/>
      <c r="K4" s="201" t="s">
        <v>151</v>
      </c>
      <c r="L4" s="174"/>
      <c r="M4" s="174"/>
      <c r="N4" s="148"/>
      <c r="O4" s="182" t="s">
        <v>155</v>
      </c>
      <c r="P4" s="182" t="s">
        <v>156</v>
      </c>
      <c r="Q4" s="182" t="s">
        <v>25</v>
      </c>
      <c r="R4" s="182" t="s">
        <v>25</v>
      </c>
      <c r="S4" s="182" t="s">
        <v>157</v>
      </c>
      <c r="T4" s="185" t="s">
        <v>158</v>
      </c>
      <c r="U4" s="187" t="s">
        <v>159</v>
      </c>
      <c r="V4" s="182" t="s">
        <v>25</v>
      </c>
      <c r="W4" s="182" t="s">
        <v>160</v>
      </c>
      <c r="X4" s="185" t="s">
        <v>161</v>
      </c>
      <c r="Y4" s="187" t="s">
        <v>162</v>
      </c>
    </row>
    <row r="5" spans="1:32" x14ac:dyDescent="0.25">
      <c r="A5" s="173">
        <v>8</v>
      </c>
      <c r="B5" s="173">
        <v>13</v>
      </c>
      <c r="C5" s="183">
        <v>0.45</v>
      </c>
      <c r="D5" s="173" t="s">
        <v>33</v>
      </c>
      <c r="E5" s="145">
        <f t="shared" si="1"/>
        <v>3.4615384615384617E-2</v>
      </c>
      <c r="I5" s="201" t="s">
        <v>151</v>
      </c>
      <c r="J5" s="201" t="s">
        <v>138</v>
      </c>
      <c r="K5" s="201" t="s">
        <v>151</v>
      </c>
      <c r="L5" s="201" t="s">
        <v>138</v>
      </c>
      <c r="M5" s="201" t="s">
        <v>151</v>
      </c>
      <c r="N5" s="148"/>
      <c r="O5" s="173">
        <v>5</v>
      </c>
      <c r="P5" s="173">
        <v>6</v>
      </c>
      <c r="Q5" s="183">
        <v>0.45</v>
      </c>
      <c r="R5" s="183">
        <f>IF($N$1=2,Q5*$G$1/$E$1,IF($N$1=1,Q5*$F$1/$E$1,Q5))</f>
        <v>0.45</v>
      </c>
      <c r="S5" s="173" t="s">
        <v>167</v>
      </c>
      <c r="T5" s="175">
        <f>COUNTIF(I4:M5,"IMP")</f>
        <v>0</v>
      </c>
      <c r="U5" s="176">
        <f>COUNTIF(I9:M10,"IMP")</f>
        <v>0</v>
      </c>
      <c r="V5" s="167">
        <f t="shared" ref="V5:V15" si="2">IF(T5+U5=0,0,R5)</f>
        <v>0</v>
      </c>
      <c r="W5" s="167">
        <f>V5*$R$3/$V$3</f>
        <v>0</v>
      </c>
      <c r="X5" s="186">
        <f>IF(W5=0,0,W5*(T5^2.7/(T5^2.7+U5^2.7))*T5/P5)</f>
        <v>0</v>
      </c>
      <c r="Y5" s="188">
        <f>IF(W5=0,0,W5*U5^2.7/(T5^2.7+U5^2.7)*U5/P5)</f>
        <v>0</v>
      </c>
    </row>
    <row r="6" spans="1:32" x14ac:dyDescent="0.25">
      <c r="A6" s="173">
        <v>9</v>
      </c>
      <c r="B6" s="173">
        <v>8</v>
      </c>
      <c r="C6" s="183">
        <v>0.02</v>
      </c>
      <c r="D6" s="173" t="s">
        <v>169</v>
      </c>
      <c r="E6" s="145">
        <f t="shared" si="1"/>
        <v>2.5000000000000001E-3</v>
      </c>
      <c r="I6" s="201" t="s">
        <v>1</v>
      </c>
      <c r="J6" s="201" t="s">
        <v>1</v>
      </c>
      <c r="K6" s="201" t="s">
        <v>1</v>
      </c>
      <c r="L6" s="201" t="s">
        <v>1</v>
      </c>
      <c r="M6" s="201" t="s">
        <v>1</v>
      </c>
      <c r="N6" s="148"/>
      <c r="O6" s="173">
        <v>6</v>
      </c>
      <c r="P6" s="173">
        <v>8</v>
      </c>
      <c r="Q6" s="183">
        <v>0.35</v>
      </c>
      <c r="R6" s="183">
        <f t="shared" ref="R6:R16" si="3">IF($N$1=2,Q6*$G$1/$E$1,IF($N$1=1,Q6*$F$1/$E$1,Q6))</f>
        <v>0.35</v>
      </c>
      <c r="S6" s="173" t="s">
        <v>168</v>
      </c>
      <c r="T6" s="175">
        <f>COUNTIF(I6:M7,"IMP")</f>
        <v>0</v>
      </c>
      <c r="U6" s="176">
        <f>COUNTIF(I11:M12,"IMP")</f>
        <v>0</v>
      </c>
      <c r="V6" s="167">
        <f t="shared" si="2"/>
        <v>0</v>
      </c>
      <c r="W6" s="167">
        <f t="shared" ref="W6:W16" si="4">V6*$R$3/$V$3</f>
        <v>0</v>
      </c>
      <c r="X6" s="186">
        <f t="shared" ref="X6:X10" si="5">IF(W6=0,0,W6*(T6^2.7/(T6^2.7+U6^2.7))*T6/P6)</f>
        <v>0</v>
      </c>
      <c r="Y6" s="188">
        <f t="shared" ref="Y6:Y10" si="6">IF(W6=0,0,W6*U6^2.7/(T6^2.7+U6^2.7)*U6/P6)</f>
        <v>0</v>
      </c>
    </row>
    <row r="7" spans="1:32" x14ac:dyDescent="0.25">
      <c r="A7" s="173">
        <v>15</v>
      </c>
      <c r="B7" s="173">
        <v>8</v>
      </c>
      <c r="C7" s="183">
        <v>0.5</v>
      </c>
      <c r="D7" s="173" t="s">
        <v>170</v>
      </c>
      <c r="E7" s="145">
        <f>C7/B7</f>
        <v>6.25E-2</v>
      </c>
      <c r="I7" s="174"/>
      <c r="J7" s="201" t="s">
        <v>1</v>
      </c>
      <c r="K7" s="201" t="s">
        <v>1</v>
      </c>
      <c r="L7" s="201" t="s">
        <v>1</v>
      </c>
      <c r="M7" s="174"/>
      <c r="N7" s="148"/>
      <c r="O7" s="173">
        <v>8</v>
      </c>
      <c r="P7" s="173">
        <v>13</v>
      </c>
      <c r="Q7" s="183">
        <v>0.45</v>
      </c>
      <c r="R7" s="183">
        <f t="shared" si="3"/>
        <v>0.45</v>
      </c>
      <c r="S7" s="173" t="s">
        <v>33</v>
      </c>
      <c r="T7" s="175">
        <f>COUNTIF(I5:M7,"IMP")</f>
        <v>0</v>
      </c>
      <c r="U7" s="176">
        <f>COUNTIF(I10:M12,"IMP")</f>
        <v>0</v>
      </c>
      <c r="V7" s="167">
        <f t="shared" si="2"/>
        <v>0</v>
      </c>
      <c r="W7" s="167">
        <f t="shared" si="4"/>
        <v>0</v>
      </c>
      <c r="X7" s="186">
        <f t="shared" si="5"/>
        <v>0</v>
      </c>
      <c r="Y7" s="188">
        <f t="shared" si="6"/>
        <v>0</v>
      </c>
    </row>
    <row r="8" spans="1:32" x14ac:dyDescent="0.25">
      <c r="A8" s="173">
        <v>16</v>
      </c>
      <c r="B8" s="173">
        <v>8</v>
      </c>
      <c r="C8" s="183">
        <v>0.5</v>
      </c>
      <c r="D8" s="173" t="s">
        <v>171</v>
      </c>
      <c r="E8" s="145">
        <f t="shared" si="1"/>
        <v>6.25E-2</v>
      </c>
      <c r="I8" s="149"/>
      <c r="J8" s="149"/>
      <c r="K8" s="149"/>
      <c r="L8" s="149"/>
      <c r="M8" s="149"/>
      <c r="N8" s="148"/>
      <c r="O8" s="173">
        <v>9</v>
      </c>
      <c r="P8" s="173">
        <v>8</v>
      </c>
      <c r="Q8" s="183">
        <v>0.02</v>
      </c>
      <c r="R8" s="183">
        <f t="shared" si="3"/>
        <v>0.02</v>
      </c>
      <c r="S8" s="173" t="s">
        <v>169</v>
      </c>
      <c r="T8" s="175">
        <f>COUNTIF(I10:M10,"IMP")+COUNTIF(J11:L11,"IMP")</f>
        <v>0</v>
      </c>
      <c r="U8" s="176">
        <f>COUNTIF(I5:M5,"IMP")+COUNTIF(J6:L6,"IMP")</f>
        <v>0</v>
      </c>
      <c r="V8" s="167">
        <f t="shared" si="2"/>
        <v>0</v>
      </c>
      <c r="W8" s="167">
        <f t="shared" si="4"/>
        <v>0</v>
      </c>
      <c r="X8" s="186">
        <f t="shared" si="5"/>
        <v>0</v>
      </c>
      <c r="Y8" s="188">
        <f t="shared" si="6"/>
        <v>0</v>
      </c>
    </row>
    <row r="9" spans="1:32" x14ac:dyDescent="0.25">
      <c r="A9" s="173">
        <v>18</v>
      </c>
      <c r="B9" s="173" t="s">
        <v>172</v>
      </c>
      <c r="C9" s="183">
        <v>0.15</v>
      </c>
      <c r="D9" s="173" t="s">
        <v>173</v>
      </c>
      <c r="E9" s="145"/>
      <c r="I9" s="150"/>
      <c r="J9" s="176"/>
      <c r="K9" s="202" t="s">
        <v>151</v>
      </c>
      <c r="L9" s="150"/>
      <c r="M9" s="150"/>
      <c r="N9" s="148"/>
      <c r="O9" s="173">
        <v>15</v>
      </c>
      <c r="P9" s="173">
        <v>8</v>
      </c>
      <c r="Q9" s="183">
        <v>0.5</v>
      </c>
      <c r="R9" s="183">
        <f t="shared" si="3"/>
        <v>0.5</v>
      </c>
      <c r="S9" s="173" t="s">
        <v>170</v>
      </c>
      <c r="T9" s="175">
        <f>COUNTIF(I6:M7,"RAP")</f>
        <v>8</v>
      </c>
      <c r="U9" s="176">
        <f>COUNTIF(I11:M12,"RAP")</f>
        <v>0</v>
      </c>
      <c r="V9" s="167">
        <f t="shared" si="2"/>
        <v>0.5</v>
      </c>
      <c r="W9" s="167">
        <f t="shared" si="4"/>
        <v>0.85119047619047616</v>
      </c>
      <c r="X9" s="186">
        <f t="shared" si="5"/>
        <v>0.85119047619047616</v>
      </c>
      <c r="Y9" s="188">
        <f t="shared" si="6"/>
        <v>0</v>
      </c>
      <c r="AD9" s="216"/>
      <c r="AE9" s="216"/>
    </row>
    <row r="10" spans="1:32" x14ac:dyDescent="0.25">
      <c r="A10" s="173">
        <v>19</v>
      </c>
      <c r="B10" s="173" t="s">
        <v>172</v>
      </c>
      <c r="C10" s="183">
        <v>0.23</v>
      </c>
      <c r="D10" s="173" t="s">
        <v>174</v>
      </c>
      <c r="E10" s="145"/>
      <c r="I10" s="202" t="s">
        <v>151</v>
      </c>
      <c r="J10" s="202" t="s">
        <v>151</v>
      </c>
      <c r="K10" s="202" t="s">
        <v>151</v>
      </c>
      <c r="L10" s="202" t="s">
        <v>151</v>
      </c>
      <c r="M10" s="202" t="s">
        <v>151</v>
      </c>
      <c r="N10" s="148"/>
      <c r="O10" s="173">
        <v>16</v>
      </c>
      <c r="P10" s="173">
        <v>8</v>
      </c>
      <c r="Q10" s="183">
        <v>0.5</v>
      </c>
      <c r="R10" s="183">
        <f t="shared" si="3"/>
        <v>0.5</v>
      </c>
      <c r="S10" s="173" t="s">
        <v>171</v>
      </c>
      <c r="T10" s="175">
        <f>COUNTIF(I6:M7,"RAP")</f>
        <v>8</v>
      </c>
      <c r="U10" s="176">
        <f>COUNTIF(I11:M12,"RAP")</f>
        <v>0</v>
      </c>
      <c r="V10" s="167">
        <f t="shared" si="2"/>
        <v>0.5</v>
      </c>
      <c r="W10" s="167">
        <f t="shared" si="4"/>
        <v>0.85119047619047616</v>
      </c>
      <c r="X10" s="186">
        <f t="shared" si="5"/>
        <v>0.85119047619047616</v>
      </c>
      <c r="Y10" s="188">
        <f t="shared" si="6"/>
        <v>0</v>
      </c>
      <c r="AD10" s="216"/>
      <c r="AE10" s="216"/>
    </row>
    <row r="11" spans="1:32" x14ac:dyDescent="0.25">
      <c r="A11" s="173">
        <v>25</v>
      </c>
      <c r="B11" s="173">
        <v>5</v>
      </c>
      <c r="C11" s="183">
        <v>2.5000000000000001E-2</v>
      </c>
      <c r="D11" s="173" t="s">
        <v>38</v>
      </c>
      <c r="E11" s="145">
        <f t="shared" si="1"/>
        <v>5.0000000000000001E-3</v>
      </c>
      <c r="I11" s="202" t="s">
        <v>151</v>
      </c>
      <c r="J11" s="202" t="s">
        <v>2</v>
      </c>
      <c r="K11" s="202" t="s">
        <v>151</v>
      </c>
      <c r="L11" s="202" t="s">
        <v>151</v>
      </c>
      <c r="M11" s="202" t="s">
        <v>151</v>
      </c>
      <c r="N11" s="148"/>
      <c r="O11" s="173">
        <v>18</v>
      </c>
      <c r="P11" s="173" t="s">
        <v>172</v>
      </c>
      <c r="Q11" s="183">
        <v>0.15</v>
      </c>
      <c r="R11" s="183">
        <f t="shared" si="3"/>
        <v>0.15</v>
      </c>
      <c r="S11" s="173" t="s">
        <v>173</v>
      </c>
      <c r="T11" s="175">
        <v>1</v>
      </c>
      <c r="U11" s="176">
        <v>1</v>
      </c>
      <c r="V11" s="167">
        <f t="shared" si="2"/>
        <v>0.15</v>
      </c>
      <c r="W11" s="167">
        <f t="shared" si="4"/>
        <v>0.25535714285714284</v>
      </c>
      <c r="X11" s="186">
        <f>W11*K14</f>
        <v>0.12767857142857142</v>
      </c>
      <c r="Y11" s="188">
        <f>W11*K15</f>
        <v>0.12767857142857142</v>
      </c>
      <c r="AD11" s="216"/>
      <c r="AE11" s="216"/>
      <c r="AF11" s="216"/>
    </row>
    <row r="12" spans="1:32" x14ac:dyDescent="0.25">
      <c r="A12" s="173">
        <v>37</v>
      </c>
      <c r="B12" s="173">
        <v>2</v>
      </c>
      <c r="C12" s="183">
        <v>0.18</v>
      </c>
      <c r="D12" s="173" t="s">
        <v>175</v>
      </c>
      <c r="E12" s="145">
        <f t="shared" si="1"/>
        <v>0.09</v>
      </c>
      <c r="I12" s="150"/>
      <c r="J12" s="202" t="s">
        <v>151</v>
      </c>
      <c r="K12" s="202" t="s">
        <v>151</v>
      </c>
      <c r="L12" s="202" t="s">
        <v>151</v>
      </c>
      <c r="M12" s="150"/>
      <c r="N12" s="148"/>
      <c r="O12" s="173">
        <v>19</v>
      </c>
      <c r="P12" s="173" t="s">
        <v>172</v>
      </c>
      <c r="Q12" s="183">
        <v>0.23</v>
      </c>
      <c r="R12" s="183">
        <f t="shared" si="3"/>
        <v>0.23</v>
      </c>
      <c r="S12" s="173" t="s">
        <v>174</v>
      </c>
      <c r="T12" s="175">
        <f>COUNTIF(I5:M7,"CAB")</f>
        <v>2</v>
      </c>
      <c r="U12" s="176">
        <f>COUNTIF(I10:M12,"CAB")</f>
        <v>0</v>
      </c>
      <c r="V12" s="167">
        <f t="shared" si="2"/>
        <v>0.23</v>
      </c>
      <c r="W12" s="167">
        <f t="shared" si="4"/>
        <v>0.39154761904761903</v>
      </c>
      <c r="X12" s="186">
        <f>IF(T12&gt;0,W12*K14,0)</f>
        <v>0.19577380952380952</v>
      </c>
      <c r="Y12" s="188">
        <f>IF(U12&gt;0,W12*K15,0)</f>
        <v>0</v>
      </c>
      <c r="AD12" s="146"/>
      <c r="AE12" s="146"/>
    </row>
    <row r="13" spans="1:32" x14ac:dyDescent="0.25">
      <c r="A13" s="173">
        <v>38</v>
      </c>
      <c r="B13" s="173">
        <v>2</v>
      </c>
      <c r="C13" s="183">
        <v>0.12</v>
      </c>
      <c r="D13" s="173" t="s">
        <v>176</v>
      </c>
      <c r="E13" s="145">
        <f t="shared" si="1"/>
        <v>0.06</v>
      </c>
      <c r="I13" s="149"/>
      <c r="J13" s="149"/>
      <c r="K13" s="149"/>
      <c r="L13" s="149"/>
      <c r="M13" s="149"/>
      <c r="N13" s="148"/>
      <c r="O13" s="173">
        <v>25</v>
      </c>
      <c r="P13" s="173">
        <v>5</v>
      </c>
      <c r="Q13" s="183">
        <v>2.5000000000000001E-2</v>
      </c>
      <c r="R13" s="183">
        <f t="shared" si="3"/>
        <v>2.5000000000000001E-2</v>
      </c>
      <c r="S13" s="173" t="s">
        <v>38</v>
      </c>
      <c r="T13" s="175">
        <f>COUNTIF(J7:L7,"IMP")+COUNTIF(I6,"IMP")+COUNTIF(M6,"IMP")</f>
        <v>0</v>
      </c>
      <c r="U13" s="176">
        <f>COUNTIF(J12:L12,"IMP")+COUNTIF(I11,"IMP")+COUNTIF(M11,"IMP")</f>
        <v>0</v>
      </c>
      <c r="V13" s="167">
        <f t="shared" si="2"/>
        <v>0</v>
      </c>
      <c r="W13" s="167">
        <f t="shared" si="4"/>
        <v>0</v>
      </c>
      <c r="X13" s="186">
        <f t="shared" ref="X13" si="7">IF(W13=0,0,W13*(T13^2.7/(T13^2.7+U13^2.7))*T13/P13)</f>
        <v>0</v>
      </c>
      <c r="Y13" s="188">
        <f>IF(W13=0,0,W13*U13^2.7/(T13^2.7+U13^2.7)*U13/P13)</f>
        <v>0</v>
      </c>
    </row>
    <row r="14" spans="1:32" x14ac:dyDescent="0.25">
      <c r="A14" s="173">
        <v>39</v>
      </c>
      <c r="B14" s="173">
        <v>8</v>
      </c>
      <c r="C14" s="183">
        <v>0.6</v>
      </c>
      <c r="D14" s="173" t="s">
        <v>177</v>
      </c>
      <c r="E14" s="145">
        <f t="shared" si="1"/>
        <v>7.4999999999999997E-2</v>
      </c>
      <c r="I14" s="149"/>
      <c r="J14" s="149" t="s">
        <v>152</v>
      </c>
      <c r="K14" s="179">
        <v>0.5</v>
      </c>
      <c r="L14" s="149"/>
      <c r="M14" s="149"/>
      <c r="N14" s="148"/>
      <c r="O14" s="173">
        <v>37</v>
      </c>
      <c r="P14" s="173">
        <v>2</v>
      </c>
      <c r="Q14" s="183">
        <v>0.18</v>
      </c>
      <c r="R14" s="183">
        <f t="shared" si="3"/>
        <v>0.18</v>
      </c>
      <c r="S14" s="173" t="s">
        <v>175</v>
      </c>
      <c r="T14" s="175">
        <f>COUNTIF(I6:M7,"CAB")</f>
        <v>0</v>
      </c>
      <c r="U14" s="176">
        <f>COUNTIF(I11:M12,"CAB")</f>
        <v>0</v>
      </c>
      <c r="V14" s="167">
        <f t="shared" si="2"/>
        <v>0</v>
      </c>
      <c r="W14" s="167">
        <f t="shared" si="4"/>
        <v>0</v>
      </c>
      <c r="X14" s="186">
        <f>IF((U14+T14)=0,0,W14*T14^2.7/(U14^2.7+T14^2.7))</f>
        <v>0</v>
      </c>
      <c r="Y14" s="188">
        <f>IF(T14+U14=0,0,W14*U14^2.7/(U14^2.7+T14^2.7))</f>
        <v>0</v>
      </c>
    </row>
    <row r="15" spans="1:32" x14ac:dyDescent="0.25">
      <c r="I15" s="149"/>
      <c r="J15" s="149" t="s">
        <v>153</v>
      </c>
      <c r="K15" s="177">
        <v>0.5</v>
      </c>
      <c r="L15" s="149"/>
      <c r="M15" s="149"/>
      <c r="N15" s="148"/>
      <c r="O15" s="173">
        <v>38</v>
      </c>
      <c r="P15" s="173">
        <v>2</v>
      </c>
      <c r="Q15" s="183">
        <v>0.12</v>
      </c>
      <c r="R15" s="183">
        <f t="shared" si="3"/>
        <v>0.12</v>
      </c>
      <c r="S15" s="173" t="s">
        <v>176</v>
      </c>
      <c r="T15" s="175">
        <f>COUNTA(I6,M6)</f>
        <v>2</v>
      </c>
      <c r="U15" s="176">
        <f>COUNTA(I11,M11)</f>
        <v>2</v>
      </c>
      <c r="V15" s="167">
        <f t="shared" si="2"/>
        <v>0.12</v>
      </c>
      <c r="W15" s="167">
        <f t="shared" si="4"/>
        <v>0.20428571428571426</v>
      </c>
      <c r="X15" s="186">
        <f>W15*T15^2.7/(U15^2.7+T15^2.7)</f>
        <v>0.10214285714285713</v>
      </c>
      <c r="Y15" s="188">
        <f>W15*U15^2.7/(U15^2.7+T15^2.7)</f>
        <v>0.10214285714285713</v>
      </c>
    </row>
    <row r="16" spans="1:32" s="14" customFormat="1" x14ac:dyDescent="0.25">
      <c r="A16" s="27"/>
      <c r="B16" s="27"/>
      <c r="C16" s="27"/>
      <c r="D16" s="27" t="s">
        <v>27</v>
      </c>
      <c r="E16" s="27"/>
      <c r="F16" s="27"/>
      <c r="G16" s="27"/>
      <c r="H16" s="27"/>
      <c r="I16" s="149"/>
      <c r="J16" s="149"/>
      <c r="K16" s="149"/>
      <c r="L16" s="149"/>
      <c r="M16" s="149"/>
      <c r="N16" s="148"/>
      <c r="O16" s="173">
        <v>39</v>
      </c>
      <c r="P16" s="173">
        <v>8</v>
      </c>
      <c r="Q16" s="183">
        <v>0.6</v>
      </c>
      <c r="R16" s="183">
        <f t="shared" si="3"/>
        <v>0.6</v>
      </c>
      <c r="S16" s="173" t="s">
        <v>177</v>
      </c>
      <c r="T16" s="175">
        <f>COUNTIF(I6:M7,"TEC")</f>
        <v>0</v>
      </c>
      <c r="U16" s="176">
        <f>COUNTIF(I11:M12,"TEC")</f>
        <v>1</v>
      </c>
      <c r="V16" s="167">
        <f>IF(T16&lt;&gt;0,IF(U2&lt;&gt;0,Q16,IF(U16&lt;&gt;0,IF(T2&lt;&gt;0,Q16,0),0)),IF(U16&lt;&gt;0,IF(T2&lt;&gt;0,Q16,0),0))</f>
        <v>0.6</v>
      </c>
      <c r="W16" s="167">
        <f t="shared" si="4"/>
        <v>1.0214285714285714</v>
      </c>
      <c r="X16" s="186">
        <f>IF(T16&lt;&gt;0,IF(U2&lt;&gt;0,IF(U16&lt;&gt;0,IF(T2&lt;&gt;0,W16*T16^2.7/(T16^2.7+U16^2.7)*T16/P16,W16*T16/P16),W16*T16/P16),0),0)</f>
        <v>0</v>
      </c>
      <c r="Y16" s="188">
        <f>IF(U16&lt;&gt;0,IF(T2&lt;&gt;0,IF(T16&lt;&gt;0,IF(U2&lt;&gt;0,W16*U16^2.7/(T16^2.7+U16^2.7)*U16/P16,W16*U16/P16),W16*U16/P16),0),0)</f>
        <v>0.12767857142857142</v>
      </c>
      <c r="Z16"/>
      <c r="AA16"/>
      <c r="AB16"/>
      <c r="AC16"/>
    </row>
    <row r="17" spans="1:19" x14ac:dyDescent="0.25">
      <c r="A17" s="27"/>
      <c r="B17" s="13"/>
      <c r="C17" s="13" t="s">
        <v>33</v>
      </c>
      <c r="D17" s="145">
        <f>E3</f>
        <v>7.4999999999999997E-2</v>
      </c>
      <c r="E17" s="13"/>
      <c r="F17" s="13"/>
    </row>
    <row r="18" spans="1:19" x14ac:dyDescent="0.25">
      <c r="A18" s="27"/>
      <c r="B18" s="13" t="s">
        <v>179</v>
      </c>
      <c r="C18" s="13" t="s">
        <v>180</v>
      </c>
      <c r="D18" s="13" t="s">
        <v>180</v>
      </c>
      <c r="E18" s="13" t="s">
        <v>180</v>
      </c>
      <c r="F18" s="13" t="s">
        <v>179</v>
      </c>
    </row>
    <row r="19" spans="1:19" x14ac:dyDescent="0.25">
      <c r="A19" s="27" t="s">
        <v>33</v>
      </c>
      <c r="B19" s="145">
        <f>E3+E5</f>
        <v>0.10961538461538461</v>
      </c>
      <c r="C19" s="145">
        <f>B19</f>
        <v>0.10961538461538461</v>
      </c>
      <c r="D19" s="145">
        <f t="shared" ref="D19:F19" si="8">C19</f>
        <v>0.10961538461538461</v>
      </c>
      <c r="E19" s="145">
        <f t="shared" si="8"/>
        <v>0.10961538461538461</v>
      </c>
      <c r="F19" s="145">
        <f t="shared" si="8"/>
        <v>0.10961538461538461</v>
      </c>
    </row>
    <row r="20" spans="1:19" x14ac:dyDescent="0.25">
      <c r="A20" s="27" t="s">
        <v>1</v>
      </c>
      <c r="B20" s="13">
        <v>0</v>
      </c>
      <c r="C20" s="13">
        <v>0</v>
      </c>
      <c r="D20" s="13">
        <v>0</v>
      </c>
      <c r="E20" s="13">
        <v>0</v>
      </c>
      <c r="F20" s="13">
        <v>0</v>
      </c>
    </row>
    <row r="21" spans="1:19" x14ac:dyDescent="0.25">
      <c r="A21" s="27" t="s">
        <v>2</v>
      </c>
      <c r="B21" s="13">
        <v>1.7000000000000001E-2</v>
      </c>
      <c r="C21" s="13">
        <v>1.7000000000000001E-2</v>
      </c>
      <c r="D21" s="13">
        <v>1.7000000000000001E-2</v>
      </c>
      <c r="E21" s="13">
        <v>1.7000000000000001E-2</v>
      </c>
      <c r="F21" s="13">
        <v>1.7000000000000001E-2</v>
      </c>
    </row>
    <row r="22" spans="1:19" x14ac:dyDescent="0.25">
      <c r="A22" s="27" t="s">
        <v>6</v>
      </c>
      <c r="B22" s="13">
        <v>0</v>
      </c>
      <c r="C22" s="13">
        <v>0</v>
      </c>
      <c r="D22" s="13">
        <v>0</v>
      </c>
      <c r="E22" s="13">
        <v>0</v>
      </c>
      <c r="F22" s="13">
        <v>0</v>
      </c>
    </row>
    <row r="23" spans="1:19" x14ac:dyDescent="0.25">
      <c r="A23" s="27" t="s">
        <v>138</v>
      </c>
      <c r="B23" s="215">
        <v>0</v>
      </c>
      <c r="C23" s="13">
        <v>0</v>
      </c>
      <c r="D23" s="13">
        <v>0</v>
      </c>
      <c r="E23" s="13">
        <v>0</v>
      </c>
      <c r="F23" s="13">
        <v>0</v>
      </c>
    </row>
    <row r="24" spans="1:19" s="14" customFormat="1" x14ac:dyDescent="0.25">
      <c r="A24" s="27"/>
      <c r="B24" s="27" t="s">
        <v>59</v>
      </c>
      <c r="C24" s="27" t="s">
        <v>181</v>
      </c>
      <c r="D24" s="27" t="s">
        <v>181</v>
      </c>
      <c r="E24" s="27" t="s">
        <v>181</v>
      </c>
      <c r="F24" s="27" t="s">
        <v>59</v>
      </c>
      <c r="G24" s="27"/>
      <c r="H24" s="27"/>
      <c r="K24" s="27"/>
      <c r="L24" s="27"/>
      <c r="M24" s="27"/>
      <c r="N24" s="27"/>
      <c r="S24" s="27"/>
    </row>
    <row r="25" spans="1:19" x14ac:dyDescent="0.25">
      <c r="A25" s="27" t="s">
        <v>33</v>
      </c>
      <c r="B25" s="145">
        <f>E4+E5-E6-E11</f>
        <v>7.0865384615384608E-2</v>
      </c>
      <c r="C25" s="145">
        <f>E4+E5-E6</f>
        <v>7.5865384615384612E-2</v>
      </c>
      <c r="D25" s="145">
        <f>C25</f>
        <v>7.5865384615384612E-2</v>
      </c>
      <c r="E25" s="145">
        <f>D25</f>
        <v>7.5865384615384612E-2</v>
      </c>
      <c r="F25" s="145">
        <f>B25</f>
        <v>7.0865384615384608E-2</v>
      </c>
    </row>
    <row r="26" spans="1:19" x14ac:dyDescent="0.25">
      <c r="A26" s="27" t="s">
        <v>1</v>
      </c>
      <c r="B26" s="145">
        <f>E7+E8</f>
        <v>0.125</v>
      </c>
      <c r="C26" s="145">
        <f>B26</f>
        <v>0.125</v>
      </c>
      <c r="D26" s="145">
        <f t="shared" ref="D26:F26" si="9">C26</f>
        <v>0.125</v>
      </c>
      <c r="E26" s="145">
        <f t="shared" si="9"/>
        <v>0.125</v>
      </c>
      <c r="F26" s="145">
        <f t="shared" si="9"/>
        <v>0.125</v>
      </c>
    </row>
    <row r="27" spans="1:19" x14ac:dyDescent="0.25">
      <c r="A27" s="27" t="s">
        <v>2</v>
      </c>
      <c r="B27" s="145">
        <f>E14</f>
        <v>7.4999999999999997E-2</v>
      </c>
      <c r="C27" s="145">
        <f>B27</f>
        <v>7.4999999999999997E-2</v>
      </c>
      <c r="D27" s="145">
        <f t="shared" ref="D27:F27" si="10">C27</f>
        <v>7.4999999999999997E-2</v>
      </c>
      <c r="E27" s="145">
        <f t="shared" si="10"/>
        <v>7.4999999999999997E-2</v>
      </c>
      <c r="F27" s="145">
        <f t="shared" si="10"/>
        <v>7.4999999999999997E-2</v>
      </c>
    </row>
    <row r="28" spans="1:19" x14ac:dyDescent="0.25">
      <c r="A28" s="27" t="s">
        <v>6</v>
      </c>
      <c r="B28" s="13">
        <v>0</v>
      </c>
      <c r="C28" s="13">
        <v>0.1</v>
      </c>
      <c r="D28" s="13">
        <v>0.1</v>
      </c>
      <c r="E28" s="13">
        <v>0.1</v>
      </c>
      <c r="F28" s="13">
        <v>0</v>
      </c>
    </row>
    <row r="29" spans="1:19" x14ac:dyDescent="0.25">
      <c r="A29" s="27" t="s">
        <v>138</v>
      </c>
      <c r="B29" s="13">
        <v>0</v>
      </c>
      <c r="C29" s="13">
        <v>0</v>
      </c>
      <c r="D29" s="13">
        <v>0</v>
      </c>
      <c r="E29" s="13">
        <v>0</v>
      </c>
      <c r="F29" s="13">
        <v>0</v>
      </c>
    </row>
    <row r="30" spans="1:19" s="14" customFormat="1" x14ac:dyDescent="0.25">
      <c r="A30" s="27"/>
      <c r="B30" s="27"/>
      <c r="C30" s="27" t="s">
        <v>182</v>
      </c>
      <c r="D30" s="27" t="s">
        <v>182</v>
      </c>
      <c r="E30" s="27" t="s">
        <v>182</v>
      </c>
      <c r="F30" s="27"/>
      <c r="G30" s="27"/>
      <c r="H30" s="27"/>
      <c r="K30" s="27"/>
      <c r="L30" s="27"/>
      <c r="M30" s="27"/>
      <c r="N30" s="27"/>
      <c r="S30" s="27"/>
    </row>
    <row r="31" spans="1:19" x14ac:dyDescent="0.25">
      <c r="A31" s="27"/>
      <c r="B31" s="27" t="s">
        <v>33</v>
      </c>
      <c r="C31" s="145">
        <f>B25</f>
        <v>7.0865384615384608E-2</v>
      </c>
      <c r="D31" s="145">
        <f t="shared" ref="D31:E33" si="11">C31</f>
        <v>7.0865384615384608E-2</v>
      </c>
      <c r="E31" s="145">
        <f t="shared" si="11"/>
        <v>7.0865384615384608E-2</v>
      </c>
      <c r="F31" s="13"/>
    </row>
    <row r="32" spans="1:19" x14ac:dyDescent="0.25">
      <c r="A32" s="27"/>
      <c r="B32" s="27" t="s">
        <v>1</v>
      </c>
      <c r="C32" s="145">
        <f>B26</f>
        <v>0.125</v>
      </c>
      <c r="D32" s="145">
        <f t="shared" si="11"/>
        <v>0.125</v>
      </c>
      <c r="E32" s="145">
        <f t="shared" si="11"/>
        <v>0.125</v>
      </c>
      <c r="F32" s="13"/>
    </row>
    <row r="33" spans="1:6" x14ac:dyDescent="0.25">
      <c r="A33" s="27"/>
      <c r="B33" s="27" t="s">
        <v>2</v>
      </c>
      <c r="C33" s="145">
        <f>B27</f>
        <v>7.4999999999999997E-2</v>
      </c>
      <c r="D33" s="145">
        <f t="shared" si="11"/>
        <v>7.4999999999999997E-2</v>
      </c>
      <c r="E33" s="145">
        <f t="shared" si="11"/>
        <v>7.4999999999999997E-2</v>
      </c>
      <c r="F33" s="13"/>
    </row>
    <row r="34" spans="1:6" x14ac:dyDescent="0.25">
      <c r="A34" s="27"/>
      <c r="B34" s="27" t="s">
        <v>6</v>
      </c>
      <c r="C34" s="13">
        <v>0.1</v>
      </c>
      <c r="D34" s="13">
        <v>0.1</v>
      </c>
      <c r="E34" s="13">
        <v>0.1</v>
      </c>
      <c r="F34" s="13"/>
    </row>
    <row r="35" spans="1:6" x14ac:dyDescent="0.25">
      <c r="A35" s="27"/>
      <c r="B35" s="27" t="s">
        <v>138</v>
      </c>
      <c r="C35" s="13">
        <v>0</v>
      </c>
      <c r="D35" s="13">
        <v>0</v>
      </c>
      <c r="E35" s="13">
        <v>0</v>
      </c>
      <c r="F35" s="13"/>
    </row>
  </sheetData>
  <conditionalFormatting sqref="B19:F23 B25:F29 C31:E35 D17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{588FECE8-0AE6-4D14-AE63-B550E0F473E6}</x14:id>
        </ext>
      </extLst>
    </cfRule>
  </conditionalFormatting>
  <conditionalFormatting sqref="E3:E14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{9A98574C-BE55-4ED2-849F-3C79D730A6E2}</x14:id>
        </ext>
      </extLst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88FECE8-0AE6-4D14-AE63-B550E0F473E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B19:F23 B25:F29 C31:E35 D17</xm:sqref>
        </x14:conditionalFormatting>
        <x14:conditionalFormatting xmlns:xm="http://schemas.microsoft.com/office/excel/2006/main">
          <x14:cfRule type="dataBar" id="{9A98574C-BE55-4ED2-849F-3C79D730A6E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E3:E14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0000"/>
  </sheetPr>
  <dimension ref="A1:BR59"/>
  <sheetViews>
    <sheetView topLeftCell="A4" zoomScale="80" workbookViewId="0">
      <selection activeCell="C5" sqref="C5"/>
    </sheetView>
  </sheetViews>
  <sheetFormatPr baseColWidth="10" defaultColWidth="9.140625" defaultRowHeight="15" x14ac:dyDescent="0.25"/>
  <cols>
    <col min="1" max="1" width="22.7109375" customWidth="1"/>
    <col min="4" max="4" width="11.28515625" customWidth="1"/>
    <col min="5" max="5" width="10.140625" customWidth="1"/>
    <col min="6" max="6" width="4.85546875" customWidth="1"/>
    <col min="7" max="7" width="6" customWidth="1"/>
    <col min="9" max="9" width="4.42578125" customWidth="1"/>
    <col min="11" max="11" width="6" customWidth="1"/>
    <col min="13" max="13" width="5.7109375" customWidth="1"/>
    <col min="15" max="15" width="7.140625" customWidth="1"/>
    <col min="17" max="17" width="8.85546875" customWidth="1"/>
    <col min="19" max="19" width="7.7109375" customWidth="1"/>
    <col min="21" max="21" width="7.140625" customWidth="1"/>
    <col min="23" max="23" width="17.42578125" customWidth="1"/>
    <col min="24" max="24" width="7.140625" customWidth="1"/>
    <col min="26" max="26" width="8.7109375" customWidth="1"/>
    <col min="27" max="27" width="8" customWidth="1"/>
    <col min="28" max="28" width="10" customWidth="1"/>
    <col min="29" max="29" width="8.42578125" customWidth="1"/>
    <col min="30" max="30" width="7.140625" customWidth="1"/>
    <col min="31" max="31" width="8.42578125" customWidth="1"/>
    <col min="32" max="32" width="8.7109375" customWidth="1"/>
    <col min="33" max="33" width="8.42578125" customWidth="1"/>
    <col min="34" max="34" width="3.7109375" customWidth="1"/>
    <col min="35" max="35" width="8.42578125" customWidth="1"/>
    <col min="36" max="36" width="3.7109375" customWidth="1"/>
    <col min="37" max="37" width="8.42578125" customWidth="1"/>
    <col min="38" max="38" width="4.85546875" customWidth="1"/>
    <col min="42" max="42" width="4.5703125" customWidth="1"/>
    <col min="43" max="43" width="8.42578125" customWidth="1"/>
    <col min="44" max="44" width="5.42578125" customWidth="1"/>
    <col min="45" max="45" width="8.42578125" customWidth="1"/>
    <col min="46" max="46" width="2.28515625" customWidth="1"/>
    <col min="47" max="47" width="3.42578125" customWidth="1"/>
    <col min="48" max="48" width="4.28515625" customWidth="1"/>
    <col min="49" max="52" width="3" customWidth="1"/>
    <col min="53" max="56" width="3.42578125" customWidth="1"/>
    <col min="57" max="58" width="4.42578125" customWidth="1"/>
    <col min="60" max="60" width="2.42578125" customWidth="1"/>
    <col min="61" max="61" width="3.42578125" customWidth="1"/>
    <col min="62" max="62" width="6.140625" customWidth="1"/>
    <col min="63" max="63" width="4.7109375" customWidth="1"/>
    <col min="64" max="65" width="3.42578125" customWidth="1"/>
    <col min="66" max="66" width="6.140625" customWidth="1"/>
    <col min="67" max="67" width="4.42578125" customWidth="1"/>
    <col min="68" max="69" width="2.42578125" customWidth="1"/>
    <col min="70" max="70" width="5.28515625" customWidth="1"/>
  </cols>
  <sheetData>
    <row r="1" spans="1:70" x14ac:dyDescent="0.25">
      <c r="A1" s="27" t="s">
        <v>137</v>
      </c>
      <c r="F1" s="10" t="s">
        <v>1</v>
      </c>
      <c r="G1" s="62">
        <f>IF(D3="SI",COUNTIF($F$6:$F$18,"RAP"),0)</f>
        <v>0</v>
      </c>
      <c r="H1" s="62">
        <f>G1+G2+G3</f>
        <v>0</v>
      </c>
      <c r="J1" s="11" t="s">
        <v>1</v>
      </c>
      <c r="K1" s="62">
        <f>IF(D3="SI",COUNTIF($J$6:$J$18,"RAP"),0)</f>
        <v>0</v>
      </c>
      <c r="L1" s="62">
        <f>K1+K2+K3</f>
        <v>0</v>
      </c>
      <c r="M1" s="131">
        <f>L1+H1</f>
        <v>0</v>
      </c>
      <c r="P1" s="236" t="s">
        <v>146</v>
      </c>
      <c r="Q1" s="236"/>
      <c r="R1" s="133">
        <v>-0.12364059050405626</v>
      </c>
      <c r="S1" s="26">
        <f>1+R1</f>
        <v>0.87635940949594371</v>
      </c>
      <c r="AF1">
        <f>COUNTA(J16:J18)</f>
        <v>0</v>
      </c>
    </row>
    <row r="2" spans="1:70" x14ac:dyDescent="0.25">
      <c r="A2" s="27" t="s">
        <v>139</v>
      </c>
      <c r="F2" s="10" t="s">
        <v>2</v>
      </c>
      <c r="G2" s="62">
        <f>IF(D3="SI",COUNTIF($F$6:$F$18,"TEC"),0)</f>
        <v>0</v>
      </c>
      <c r="H2" s="13"/>
      <c r="J2" s="11" t="s">
        <v>2</v>
      </c>
      <c r="K2" s="62">
        <f>IF(D3="SI",COUNTIF($J$6:$J$18,"TEC"),0)</f>
        <v>0</v>
      </c>
      <c r="L2" s="13" t="s">
        <v>144</v>
      </c>
      <c r="M2" s="130" t="str">
        <f>IF(M1&lt;&gt;0,"SI","NO")</f>
        <v>NO</v>
      </c>
      <c r="R2" s="133">
        <v>7.3959748117051499E-2</v>
      </c>
      <c r="S2" s="26">
        <f>1+R2</f>
        <v>1.0739597481170515</v>
      </c>
    </row>
    <row r="3" spans="1:70" x14ac:dyDescent="0.25">
      <c r="A3" s="129" t="s">
        <v>4</v>
      </c>
      <c r="B3" s="237" t="s">
        <v>150</v>
      </c>
      <c r="C3" s="237"/>
      <c r="D3" t="str">
        <f>IF(B3="Sol","SI",IF(B3="Lluvia","SI","NO"))</f>
        <v>NO</v>
      </c>
      <c r="F3" s="10" t="s">
        <v>6</v>
      </c>
      <c r="G3" s="62">
        <f>IF(D3="SI",COUNTIF($F$6:$F$18,"POT"),0)</f>
        <v>0</v>
      </c>
      <c r="H3" s="13"/>
      <c r="J3" s="11" t="s">
        <v>6</v>
      </c>
      <c r="K3" s="62">
        <f>IF(D3="SI",COUNTIF($J$6:$J$18,"POT"),0)</f>
        <v>0</v>
      </c>
      <c r="L3" s="13"/>
      <c r="O3" t="s">
        <v>7</v>
      </c>
      <c r="P3" s="16" t="s">
        <v>140</v>
      </c>
      <c r="Q3" t="s">
        <v>8</v>
      </c>
      <c r="R3" s="16" t="s">
        <v>141</v>
      </c>
      <c r="Y3" t="s">
        <v>7</v>
      </c>
      <c r="Z3" s="18" t="s">
        <v>140</v>
      </c>
      <c r="AA3" t="s">
        <v>8</v>
      </c>
      <c r="AB3" s="18" t="s">
        <v>141</v>
      </c>
    </row>
    <row r="4" spans="1:70" ht="15.75" x14ac:dyDescent="0.25">
      <c r="A4" s="107"/>
      <c r="B4" s="8" t="s">
        <v>9</v>
      </c>
      <c r="C4" s="9" t="s">
        <v>10</v>
      </c>
      <c r="D4" s="13"/>
      <c r="E4" s="13"/>
      <c r="F4" s="8" t="s">
        <v>11</v>
      </c>
      <c r="G4" s="8" t="s">
        <v>12</v>
      </c>
      <c r="H4" s="8" t="s">
        <v>13</v>
      </c>
      <c r="I4" s="8" t="s">
        <v>14</v>
      </c>
      <c r="J4" s="9" t="s">
        <v>15</v>
      </c>
      <c r="K4" s="9" t="s">
        <v>12</v>
      </c>
      <c r="L4" s="9" t="s">
        <v>13</v>
      </c>
      <c r="M4" s="9" t="s">
        <v>14</v>
      </c>
      <c r="N4" s="13"/>
      <c r="O4" s="8" t="s">
        <v>16</v>
      </c>
      <c r="P4" s="8" t="s">
        <v>17</v>
      </c>
      <c r="Q4" s="8" t="s">
        <v>147</v>
      </c>
      <c r="R4" s="8" t="s">
        <v>19</v>
      </c>
      <c r="S4" s="8" t="s">
        <v>20</v>
      </c>
      <c r="T4" s="8" t="s">
        <v>21</v>
      </c>
      <c r="U4" s="8" t="s">
        <v>22</v>
      </c>
      <c r="V4" s="27"/>
      <c r="W4" s="13"/>
      <c r="X4" s="12" t="s">
        <v>23</v>
      </c>
      <c r="Y4" s="9" t="s">
        <v>16</v>
      </c>
      <c r="Z4" s="9" t="s">
        <v>17</v>
      </c>
      <c r="AA4" s="9" t="s">
        <v>148</v>
      </c>
      <c r="AB4" s="9" t="s">
        <v>24</v>
      </c>
      <c r="AC4" s="9" t="s">
        <v>20</v>
      </c>
      <c r="AD4" s="9" t="s">
        <v>21</v>
      </c>
      <c r="AE4" s="9" t="s">
        <v>22</v>
      </c>
      <c r="AF4" s="14"/>
      <c r="BH4">
        <v>0</v>
      </c>
      <c r="BI4">
        <v>1</v>
      </c>
      <c r="BJ4" s="94" t="e">
        <f t="shared" ref="BJ4:BJ13" si="0">$H$24*H39</f>
        <v>#DIV/0!</v>
      </c>
      <c r="BL4">
        <v>0</v>
      </c>
      <c r="BM4">
        <v>0</v>
      </c>
      <c r="BN4" s="94" t="e">
        <f>H24*H38</f>
        <v>#DIV/0!</v>
      </c>
      <c r="BP4">
        <v>1</v>
      </c>
      <c r="BQ4">
        <v>0</v>
      </c>
      <c r="BR4" s="94" t="e">
        <f>$H$25*H38</f>
        <v>#DIV/0!</v>
      </c>
    </row>
    <row r="5" spans="1:70" x14ac:dyDescent="0.25">
      <c r="A5" s="21" t="s">
        <v>149</v>
      </c>
      <c r="B5" s="135">
        <v>352</v>
      </c>
      <c r="C5" s="135">
        <v>352</v>
      </c>
      <c r="E5" s="42" t="s">
        <v>27</v>
      </c>
      <c r="F5" s="10" t="s">
        <v>28</v>
      </c>
      <c r="G5" s="10">
        <v>12</v>
      </c>
      <c r="H5" s="10"/>
      <c r="I5" s="10"/>
      <c r="J5" s="11" t="s">
        <v>28</v>
      </c>
      <c r="K5" s="11">
        <v>12</v>
      </c>
      <c r="L5" s="10"/>
      <c r="M5" s="10"/>
      <c r="O5" s="58">
        <f>COUNTIF(F5:F18,"IMP")*0.017</f>
        <v>0</v>
      </c>
      <c r="P5" s="16" t="str">
        <f>P3</f>
        <v>0,6</v>
      </c>
      <c r="Q5" s="17">
        <f t="shared" ref="Q5:Q19" si="1">P5*O5</f>
        <v>0</v>
      </c>
      <c r="R5" s="136" t="e">
        <f t="shared" ref="R5:R19" si="2">IF($M$2="SI",Q5*$B$22/0.5*$S$1,Q5*$B$22/0.5*$S$2)</f>
        <v>#DIV/0!</v>
      </c>
      <c r="S5" s="35" t="e">
        <f t="shared" ref="S5:S19" si="3">(1-R5)</f>
        <v>#DIV/0!</v>
      </c>
      <c r="T5" s="35" t="e">
        <f>R5*PRODUCT(S6:S19)</f>
        <v>#DIV/0!</v>
      </c>
      <c r="U5" s="35" t="e">
        <f>R5*R6*PRODUCT(S7:S19)+R5*R7*PRODUCT(S8:S19)*PRODUCT(S6)+R5*R8*PRODUCT(S9:S19)*PRODUCT(S6:S7)+R5*R9*PRODUCT(S10:S19)*PRODUCT(S6:S8)+R5*R10*PRODUCT(S11:S19)*PRODUCT(S6:S9)+R5*R11*PRODUCT(S12:S19)*PRODUCT(S6:S10)+R5*R12*PRODUCT(S13:S19)*PRODUCT(S6:S11)+R5*R13*PRODUCT(S14:S19)*PRODUCT(S6:S12)+R5*R14*PRODUCT(S15:S19)*PRODUCT(S6:S13)+R5*R15*PRODUCT(S16:S19)*PRODUCT(S6:S14)+R5*R16*PRODUCT(S17:S19)*PRODUCT(S6:S15)+R5*R17*PRODUCT(S18:S19)*PRODUCT(S6:S16)+R5*R18*PRODUCT(S19)*PRODUCT(S6:S17)+R5*R19*PRODUCT(S6:S18)</f>
        <v>#DIV/0!</v>
      </c>
      <c r="W5" s="40" t="s">
        <v>29</v>
      </c>
      <c r="X5" s="15" t="s">
        <v>30</v>
      </c>
      <c r="Y5" s="60">
        <f>COUNTIF(J5:J18,"IMP")*0.017</f>
        <v>0</v>
      </c>
      <c r="Z5" s="127" t="str">
        <f>Z3</f>
        <v>0,6</v>
      </c>
      <c r="AA5" s="19">
        <f t="shared" ref="AA5:AA19" si="4">Z5*Y5</f>
        <v>0</v>
      </c>
      <c r="AB5" s="136" t="e">
        <f t="shared" ref="AB5:AB19" si="5">IF($M$2="SI",AA5*$C$22/0.5*$S$1,AA5*$C$22/0.5*$S$2)</f>
        <v>#DIV/0!</v>
      </c>
      <c r="AC5" s="35" t="e">
        <f t="shared" ref="AC5:AC19" si="6">(1-AB5)</f>
        <v>#DIV/0!</v>
      </c>
      <c r="AD5" s="35" t="e">
        <f>AB5*PRODUCT(AC6:AC19)</f>
        <v>#DIV/0!</v>
      </c>
      <c r="AE5" s="35" t="e">
        <f>AB5*AB6*PRODUCT(AC7:AC19)+AB5*AB7*PRODUCT(AC8:AC19)*PRODUCT(AC6)+AB5*AB8*PRODUCT(AC9:AC19)*PRODUCT(AC6:AC7)+AB5*AB9*PRODUCT(AC10:AC19)*PRODUCT(AC6:AC8)+AB5*AB10*PRODUCT(AC11:AC19)*PRODUCT(AC6:AC9)+AB5*AB11*PRODUCT(AC12:AC19)*PRODUCT(AC6:AC10)+AB5*AB12*PRODUCT(AC13:AC19)*PRODUCT(AC6:AC11)+AB5*AB13*PRODUCT(AC14:AC19)*PRODUCT(AC6:AC12)+AB5*AB14*PRODUCT(AC15:AC19)*PRODUCT(AC6:AC13)+AB5*AB15*PRODUCT(AC16:AC19)*PRODUCT(AC6:AC14)+AB5*AB16*PRODUCT(AC17:AC19)*PRODUCT(AC6:AC15)+AB5*AB17*PRODUCT(AC18:AC19)*PRODUCT(AC6:AC16)+AB5*AB18*PRODUCT(AC19)*PRODUCT(AC6:AC17)+AB5*AB19*PRODUCT(AC6:AC18)</f>
        <v>#DIV/0!</v>
      </c>
      <c r="BH5">
        <v>0</v>
      </c>
      <c r="BI5">
        <v>2</v>
      </c>
      <c r="BJ5" s="94" t="e">
        <f t="shared" si="0"/>
        <v>#DIV/0!</v>
      </c>
      <c r="BL5">
        <v>1</v>
      </c>
      <c r="BM5">
        <v>1</v>
      </c>
      <c r="BN5" s="94" t="e">
        <f>$H$25*H39</f>
        <v>#DIV/0!</v>
      </c>
      <c r="BP5">
        <f>BP4+1</f>
        <v>2</v>
      </c>
      <c r="BQ5">
        <v>0</v>
      </c>
      <c r="BR5" s="94" t="e">
        <f>$H$26*H38</f>
        <v>#DIV/0!</v>
      </c>
    </row>
    <row r="6" spans="1:70" x14ac:dyDescent="0.25">
      <c r="A6" s="2" t="s">
        <v>31</v>
      </c>
      <c r="B6" s="3"/>
      <c r="C6" s="4"/>
      <c r="E6" s="42" t="s">
        <v>32</v>
      </c>
      <c r="F6" s="10"/>
      <c r="G6" s="10"/>
      <c r="H6" s="134"/>
      <c r="I6" s="10"/>
      <c r="J6" s="11"/>
      <c r="K6" s="11"/>
      <c r="L6" s="134"/>
      <c r="M6" s="10"/>
      <c r="O6" s="58">
        <f>COUNTIF(F14:F18,"IMP")*0.017</f>
        <v>0</v>
      </c>
      <c r="P6" s="16" t="str">
        <f>P3</f>
        <v>0,6</v>
      </c>
      <c r="Q6" s="17">
        <f t="shared" si="1"/>
        <v>0</v>
      </c>
      <c r="R6" s="136" t="e">
        <f t="shared" si="2"/>
        <v>#DIV/0!</v>
      </c>
      <c r="S6" s="35" t="e">
        <f t="shared" si="3"/>
        <v>#DIV/0!</v>
      </c>
      <c r="T6" s="35" t="e">
        <f>R6*S5*PRODUCT(S7:S19)</f>
        <v>#DIV/0!</v>
      </c>
      <c r="U6" s="35" t="e">
        <f>R6*R7*PRODUCT(S8:S19)*PRODUCT(S5)+R6*R8*PRODUCT(S9:S19)*S5*PRODUCT(S7)+R6*R9*PRODUCT(S10:S19)*S5*PRODUCT(S7:S8)+R6*R10*PRODUCT(S11:S19)*S5*PRODUCT(S7:S9)+R6*R11*PRODUCT(S12:S19)*S5*PRODUCT(S7:S10)+R6*R12*PRODUCT(S13:S19)*S5*PRODUCT(S7:S11)+R6*R13*PRODUCT(S14:S19)*S5*PRODUCT(S7:S12)+R6*R14*PRODUCT(S15:S19)*S5*PRODUCT(S7:S13)+R6*R15*PRODUCT(S16:S19)*S5*PRODUCT(S7:S14)+R6*R16*PRODUCT(S17:S19)*S5*PRODUCT(S7:S15)+R6*R17*PRODUCT(S18:S19)*S5*PRODUCT(S7:S16)+R6*R18*PRODUCT(S19)*S5*PRODUCT(S7:S17)+R6*R19*S5*PRODUCT(S7:S18)</f>
        <v>#DIV/0!</v>
      </c>
      <c r="W6" s="40" t="s">
        <v>34</v>
      </c>
      <c r="X6" s="15" t="s">
        <v>35</v>
      </c>
      <c r="Y6" s="60">
        <f>COUNTIF(J14:J18,"IMP")*0.017</f>
        <v>0</v>
      </c>
      <c r="Z6" s="127" t="str">
        <f>Z3</f>
        <v>0,6</v>
      </c>
      <c r="AA6" s="19">
        <f t="shared" si="4"/>
        <v>0</v>
      </c>
      <c r="AB6" s="136" t="e">
        <f t="shared" si="5"/>
        <v>#DIV/0!</v>
      </c>
      <c r="AC6" s="35" t="e">
        <f t="shared" si="6"/>
        <v>#DIV/0!</v>
      </c>
      <c r="AD6" s="35" t="e">
        <f>AB6*AC5*PRODUCT(AC7:AC19)</f>
        <v>#DIV/0!</v>
      </c>
      <c r="AE6" s="35" t="e">
        <f>AB6*AB7*PRODUCT(AC8:AC19)*PRODUCT(AC5)+AB6*AB8*PRODUCT(AC9:AC19)*AC5*PRODUCT(AC7)+AB6*AB9*PRODUCT(AC10:AC19)*AC5*PRODUCT(AC7:AC8)+AB6*AB10*PRODUCT(AC11:AC19)*AC5*PRODUCT(AC7:AC9)+AB6*AB11*PRODUCT(AC12:AC19)*AC5*PRODUCT(AC7:AC10)+AB6*AB12*PRODUCT(AC13:AC19)*AC5*PRODUCT(AC7:AC11)+AB6*AB13*PRODUCT(AC14:AC19)*AC5*PRODUCT(AC7:AC12)+AB6*AB14*PRODUCT(AC15:AC19)*AC5*PRODUCT(AC7:AC13)+AB6*AB15*PRODUCT(AC16:AC19)*AC5*PRODUCT(AC7:AC14)+AB6*AB16*PRODUCT(AC17:AC19)*AC5*PRODUCT(AC7:AC15)+AB6*AB17*PRODUCT(AC18:AC19)*AC5*PRODUCT(AC7:AC16)+AB6*AB18*PRODUCT(AC19)*AC5*PRODUCT(AC7:AC17)+AB6*AB19*AC5*PRODUCT(AC7:AC18)</f>
        <v>#DIV/0!</v>
      </c>
      <c r="BH6">
        <v>0</v>
      </c>
      <c r="BI6">
        <v>3</v>
      </c>
      <c r="BJ6" s="94" t="e">
        <f t="shared" si="0"/>
        <v>#DIV/0!</v>
      </c>
      <c r="BL6">
        <f>BH14+1</f>
        <v>2</v>
      </c>
      <c r="BM6">
        <v>2</v>
      </c>
      <c r="BN6" s="94" t="e">
        <f>$H$26*H40</f>
        <v>#DIV/0!</v>
      </c>
      <c r="BP6">
        <f>BL5+1</f>
        <v>2</v>
      </c>
      <c r="BQ6">
        <v>1</v>
      </c>
      <c r="BR6" s="94" t="e">
        <f>$H$26*H39</f>
        <v>#DIV/0!</v>
      </c>
    </row>
    <row r="7" spans="1:70" x14ac:dyDescent="0.25">
      <c r="A7" s="5" t="s">
        <v>36</v>
      </c>
      <c r="B7" s="3"/>
      <c r="C7" s="4"/>
      <c r="E7" s="42" t="s">
        <v>37</v>
      </c>
      <c r="F7" s="10"/>
      <c r="G7" s="10"/>
      <c r="H7" s="134"/>
      <c r="I7" s="10"/>
      <c r="J7" s="11"/>
      <c r="K7" s="11"/>
      <c r="L7" s="134"/>
      <c r="M7" s="10"/>
      <c r="O7" s="58">
        <v>0</v>
      </c>
      <c r="P7" s="125">
        <v>0.5</v>
      </c>
      <c r="Q7" s="17">
        <f t="shared" si="1"/>
        <v>0</v>
      </c>
      <c r="R7" s="136" t="e">
        <f t="shared" si="2"/>
        <v>#DIV/0!</v>
      </c>
      <c r="S7" s="35" t="e">
        <f t="shared" si="3"/>
        <v>#DIV/0!</v>
      </c>
      <c r="T7" s="35" t="e">
        <f>R7*PRODUCT(S5:S6)*PRODUCT(S8:S19)</f>
        <v>#DIV/0!</v>
      </c>
      <c r="U7" s="35" t="e">
        <f>R7*R8*PRODUCT(S9:S19)*PRODUCT(S5:S6)+R7*R9*PRODUCT(S10:S19)*PRODUCT(S5:S6)*PRODUCT(S8)+R7*R10*PRODUCT(S11:S19)*PRODUCT(S5:S6)*PRODUCT(S8:S9)+R7*R11*PRODUCT(S12:S19)*PRODUCT(S5:S6)*PRODUCT(S8:S10)+R7*R12*PRODUCT(S13:S19)*PRODUCT(S5:S6)*PRODUCT(S8:S11)+R7*R13*PRODUCT(S14:S19)*PRODUCT(S5:S6)*PRODUCT(S8:S12)+R7*R14*PRODUCT(S15:S19)*PRODUCT(S5:S6)*PRODUCT(S8:S13)+R7*R15*PRODUCT(S16:S19)*PRODUCT(S5:S6)*PRODUCT(S8:S14)+R7*R16*PRODUCT(S17:S19)*PRODUCT(S5:S6)*PRODUCT(S8:S15)+R7*R17*PRODUCT(S18:S19)*PRODUCT(S5:S6)*PRODUCT(S8:S16)+R7*R18*PRODUCT(S19)*PRODUCT(S5:S6)*PRODUCT(S8:S17)+R7*R19*PRODUCT(S5:S6)*PRODUCT(S8:S18)</f>
        <v>#DIV/0!</v>
      </c>
      <c r="W7" s="40" t="s">
        <v>142</v>
      </c>
      <c r="X7" s="15" t="s">
        <v>143</v>
      </c>
      <c r="Y7" s="60">
        <v>0</v>
      </c>
      <c r="Z7" s="127">
        <v>0.5</v>
      </c>
      <c r="AA7" s="19">
        <f t="shared" si="4"/>
        <v>0</v>
      </c>
      <c r="AB7" s="136" t="e">
        <f t="shared" si="5"/>
        <v>#DIV/0!</v>
      </c>
      <c r="AC7" s="35" t="e">
        <f t="shared" si="6"/>
        <v>#DIV/0!</v>
      </c>
      <c r="AD7" s="35" t="e">
        <f>AB7*PRODUCT(AC5:AC6)*PRODUCT(AC8:AC19)</f>
        <v>#DIV/0!</v>
      </c>
      <c r="AE7" s="35" t="e">
        <f>AB7*AB8*PRODUCT(AC9:AC19)*PRODUCT(AC5:AC6)+AB7*AB9*PRODUCT(AC10:AC19)*PRODUCT(AC5:AC6)*PRODUCT(AC8)+AB7*AB10*PRODUCT(AC11:AC19)*PRODUCT(AC5:AC6)*PRODUCT(AC8:AC9)+AB7*AB11*PRODUCT(AC12:AC19)*PRODUCT(AC5:AC6)*PRODUCT(AC8:AC10)+AB7*AB12*PRODUCT(AC13:AC19)*PRODUCT(AC5:AC6)*PRODUCT(AC8:AC11)+AB7*AB13*PRODUCT(AC14:AC19)*PRODUCT(AC5:AC6)*PRODUCT(AC8:AC12)+AB7*AB14*PRODUCT(AC15:AC19)*PRODUCT(AC5:AC6)*PRODUCT(AC8:AC13)+AB7*AB15*PRODUCT(AC16:AC19)*PRODUCT(AC5:AC6)*PRODUCT(AC8:AC14)+AB7*AB16*PRODUCT(AC17:AC19)*PRODUCT(AC5:AC6)*PRODUCT(AC8:AC15)+AB7*AB17*PRODUCT(AC18:AC19)*PRODUCT(AC5:AC6)*PRODUCT(AC8:AC16)+AB7*AB18*PRODUCT(AC19)*PRODUCT(AC5:AC6)*PRODUCT(AC8:AC17)+AB7*AB19*PRODUCT(AC5:AC6)*PRODUCT(AC8:AC18)</f>
        <v>#DIV/0!</v>
      </c>
      <c r="BH7">
        <v>0</v>
      </c>
      <c r="BI7">
        <v>4</v>
      </c>
      <c r="BJ7" s="94" t="e">
        <f t="shared" si="0"/>
        <v>#DIV/0!</v>
      </c>
      <c r="BL7">
        <f>BH23+1</f>
        <v>3</v>
      </c>
      <c r="BM7">
        <v>3</v>
      </c>
      <c r="BN7" s="94" t="e">
        <f>$H$27*H41</f>
        <v>#DIV/0!</v>
      </c>
      <c r="BP7">
        <f>BP5+1</f>
        <v>3</v>
      </c>
      <c r="BQ7">
        <v>0</v>
      </c>
      <c r="BR7" s="94" t="e">
        <f>$H$27*H38</f>
        <v>#DIV/0!</v>
      </c>
    </row>
    <row r="8" spans="1:70" x14ac:dyDescent="0.25">
      <c r="A8" s="5" t="s">
        <v>39</v>
      </c>
      <c r="B8" s="3"/>
      <c r="C8" s="4"/>
      <c r="E8" s="42" t="s">
        <v>37</v>
      </c>
      <c r="F8" s="10"/>
      <c r="G8" s="10"/>
      <c r="H8" s="134"/>
      <c r="I8" s="10"/>
      <c r="J8" s="11"/>
      <c r="K8" s="11"/>
      <c r="L8" s="134"/>
      <c r="M8" s="10"/>
      <c r="O8" s="58">
        <f>COUNTIF(F6:F18,"IMP")*0.01</f>
        <v>0</v>
      </c>
      <c r="P8" s="16" t="str">
        <f>P3</f>
        <v>0,6</v>
      </c>
      <c r="Q8" s="17">
        <f t="shared" si="1"/>
        <v>0</v>
      </c>
      <c r="R8" s="136" t="e">
        <f t="shared" si="2"/>
        <v>#DIV/0!</v>
      </c>
      <c r="S8" s="35" t="e">
        <f t="shared" si="3"/>
        <v>#DIV/0!</v>
      </c>
      <c r="T8" s="35" t="e">
        <f>R8*PRODUCT(S5:S7)*PRODUCT(S9:S19)</f>
        <v>#DIV/0!</v>
      </c>
      <c r="U8" s="35" t="e">
        <f>R8*R9*PRODUCT(S5:S7)*PRODUCT(S10:S19)+R8*R10*PRODUCT(S5:S7)*PRODUCT(S9)*PRODUCT(S11:S19)+R8*R11*PRODUCT(S5:S7)*PRODUCT(S9:S10)*PRODUCT(S12:S19)+R8*R12*PRODUCT(S5:S7)*PRODUCT(S9:S11)*PRODUCT(S13:S19)+R8*R13*PRODUCT(S5:S7)*PRODUCT(S9:S12)*PRODUCT(S14:S19)+R8*R14*PRODUCT(S5:S7)*PRODUCT(S9:S13)*PRODUCT(S15:S19)+R8*R15*PRODUCT(S5:S7)*PRODUCT(S9:S14)*PRODUCT(S16:S19)+R8*R16*PRODUCT(S5:S7)*PRODUCT(S9:S15)*PRODUCT(S17:S19)+R8*R17*PRODUCT(S5:S7)*PRODUCT(S9:S16)*PRODUCT(S18:S19)+R8*R18*PRODUCT(S5:S7)*PRODUCT(S9:S17)*PRODUCT(S19)+R8*R19*PRODUCT(S5:S7)*PRODUCT(S9:S18)</f>
        <v>#DIV/0!</v>
      </c>
      <c r="W8" s="40" t="s">
        <v>40</v>
      </c>
      <c r="X8" s="15" t="s">
        <v>41</v>
      </c>
      <c r="Y8" s="60">
        <f>COUNTIF(J6:J18,"IMP")*0.01</f>
        <v>0</v>
      </c>
      <c r="Z8" s="127" t="str">
        <f>Z3</f>
        <v>0,6</v>
      </c>
      <c r="AA8" s="19">
        <f t="shared" si="4"/>
        <v>0</v>
      </c>
      <c r="AB8" s="136" t="e">
        <f t="shared" si="5"/>
        <v>#DIV/0!</v>
      </c>
      <c r="AC8" s="35" t="e">
        <f t="shared" si="6"/>
        <v>#DIV/0!</v>
      </c>
      <c r="AD8" s="35" t="e">
        <f>AB8*PRODUCT(AC5:AC7)*PRODUCT(AC9:AC19)</f>
        <v>#DIV/0!</v>
      </c>
      <c r="AE8" s="35" t="e">
        <f>AB8*AB9*PRODUCT(AC5:AC7)*PRODUCT(AC10:AC19)+AB8*AB10*PRODUCT(AC5:AC7)*PRODUCT(AC9)*PRODUCT(AC11:AC19)+AB8*AB11*PRODUCT(AC5:AC7)*PRODUCT(AC9:AC10)*PRODUCT(AC12:AC19)+AB8*AB12*PRODUCT(AC5:AC7)*PRODUCT(AC9:AC11)*PRODUCT(AC13:AC19)+AB8*AB13*PRODUCT(AC5:AC7)*PRODUCT(AC9:AC12)*PRODUCT(AC14:AC19)+AB8*AB14*PRODUCT(AC5:AC7)*PRODUCT(AC9:AC13)*PRODUCT(AC15:AC19)+AB8*AB15*PRODUCT(AC5:AC7)*PRODUCT(AC9:AC14)*PRODUCT(AC16:AC19)+AB8*AB16*PRODUCT(AC5:AC7)*PRODUCT(AC9:AC15)*PRODUCT(AC17:AC19)+AB8*AB17*PRODUCT(AC5:AC7)*PRODUCT(AC9:AC16)*PRODUCT(AC18:AC19)+AB8*AB18*PRODUCT(AC5:AC7)*PRODUCT(AC9:AC17)*PRODUCT(AC19)+AB8*AB19*PRODUCT(AC5:AC7)*PRODUCT(AC9:AC18)</f>
        <v>#DIV/0!</v>
      </c>
      <c r="BH8">
        <v>0</v>
      </c>
      <c r="BI8">
        <v>5</v>
      </c>
      <c r="BJ8" s="94" t="e">
        <f t="shared" si="0"/>
        <v>#DIV/0!</v>
      </c>
      <c r="BL8">
        <f>BH31+1</f>
        <v>4</v>
      </c>
      <c r="BM8">
        <v>4</v>
      </c>
      <c r="BN8" s="94" t="e">
        <f>$H$28*H42</f>
        <v>#DIV/0!</v>
      </c>
      <c r="BP8">
        <f>BP6+1</f>
        <v>3</v>
      </c>
      <c r="BQ8">
        <v>1</v>
      </c>
      <c r="BR8" s="94" t="e">
        <f>$H$27*H39</f>
        <v>#DIV/0!</v>
      </c>
    </row>
    <row r="9" spans="1:70" x14ac:dyDescent="0.25">
      <c r="A9" s="5" t="s">
        <v>42</v>
      </c>
      <c r="B9" s="3"/>
      <c r="C9" s="4"/>
      <c r="E9" s="42" t="s">
        <v>37</v>
      </c>
      <c r="F9" s="10"/>
      <c r="G9" s="10"/>
      <c r="H9" s="134"/>
      <c r="I9" s="10"/>
      <c r="J9" s="11"/>
      <c r="K9" s="11"/>
      <c r="L9" s="134"/>
      <c r="M9" s="10"/>
      <c r="O9" s="58">
        <f>COUNTIF(J6:J13,"IMP")*0.025</f>
        <v>0</v>
      </c>
      <c r="P9" s="125">
        <v>0.5</v>
      </c>
      <c r="Q9" s="17">
        <f t="shared" si="1"/>
        <v>0</v>
      </c>
      <c r="R9" s="136" t="e">
        <f t="shared" si="2"/>
        <v>#DIV/0!</v>
      </c>
      <c r="S9" s="35" t="e">
        <f t="shared" si="3"/>
        <v>#DIV/0!</v>
      </c>
      <c r="T9" s="35" t="e">
        <f>R9*PRODUCT(S5:S8)*PRODUCT(S10:S19)</f>
        <v>#DIV/0!</v>
      </c>
      <c r="U9" s="35" t="e">
        <f>R9*R10*PRODUCT(S5:S8)*PRODUCT(S11:S19)+R9*R11*PRODUCT(S5:S8)*PRODUCT(S10)*PRODUCT(S12:S19)+R9*R12*PRODUCT(S5:S8)*PRODUCT(S10:S11)*PRODUCT(S13:S19)+R9*R13*PRODUCT(S5:S8)*PRODUCT(S10:S12)*PRODUCT(S14:S19)+R9*R14*PRODUCT(S5:S8)*PRODUCT(S10:S13)*PRODUCT(S15:S19)+R9*R15*PRODUCT(S5:S8)*PRODUCT(S10:S14)*PRODUCT(S16:S19)+R9*R16*PRODUCT(S5:S8)*PRODUCT(S10:S15)*PRODUCT(S17:S19)+R9*R17*PRODUCT(S5:S8)*PRODUCT(S10:S16)*PRODUCT(S18:S19)+R9*R18*PRODUCT(S5:S8)*PRODUCT(S10:S17)*PRODUCT(S19)+R9*R19*PRODUCT(S5:S8)*PRODUCT(S10:S18)</f>
        <v>#DIV/0!</v>
      </c>
      <c r="W9" s="41" t="s">
        <v>43</v>
      </c>
      <c r="X9" s="15" t="s">
        <v>44</v>
      </c>
      <c r="Y9" s="60">
        <f>COUNTIF(F6:F13,"IMP")*0.025</f>
        <v>0</v>
      </c>
      <c r="Z9" s="127">
        <v>0.5</v>
      </c>
      <c r="AA9" s="19">
        <f t="shared" si="4"/>
        <v>0</v>
      </c>
      <c r="AB9" s="136" t="e">
        <f t="shared" si="5"/>
        <v>#DIV/0!</v>
      </c>
      <c r="AC9" s="35" t="e">
        <f t="shared" si="6"/>
        <v>#DIV/0!</v>
      </c>
      <c r="AD9" s="35" t="e">
        <f>AB9*PRODUCT(AC5:AC8)*PRODUCT(AC10:AC19)</f>
        <v>#DIV/0!</v>
      </c>
      <c r="AE9" s="35" t="e">
        <f>AB9*AB10*PRODUCT(AC5:AC8)*PRODUCT(AC11:AC19)+AB9*AB11*PRODUCT(AC5:AC8)*PRODUCT(AC10)*PRODUCT(AC12:AC19)+AB9*AB12*PRODUCT(AC5:AC8)*PRODUCT(AC10:AC11)*PRODUCT(AC13:AC19)+AB9*AB13*PRODUCT(AC5:AC8)*PRODUCT(AC10:AC12)*PRODUCT(AC14:AC19)+AB9*AB14*PRODUCT(AC5:AC8)*PRODUCT(AC10:AC13)*PRODUCT(AC15:AC19)+AB9*AB15*PRODUCT(AC5:AC8)*PRODUCT(AC10:AC14)*PRODUCT(AC16:AC19)+AB9*AB16*PRODUCT(AC5:AC8)*PRODUCT(AC10:AC15)*PRODUCT(AC17:AC19)+AB9*AB17*PRODUCT(AC5:AC8)*PRODUCT(AC10:AC16)*PRODUCT(AC18:AC19)+AB9*AB18*PRODUCT(AC5:AC8)*PRODUCT(AC10:AC17)*PRODUCT(AC19)+AB9*AB19*PRODUCT(AC5:AC8)*PRODUCT(AC10:AC18)</f>
        <v>#DIV/0!</v>
      </c>
      <c r="BH9">
        <v>0</v>
      </c>
      <c r="BI9">
        <v>6</v>
      </c>
      <c r="BJ9" s="94" t="e">
        <f t="shared" si="0"/>
        <v>#DIV/0!</v>
      </c>
      <c r="BL9">
        <f>BH38+1</f>
        <v>5</v>
      </c>
      <c r="BM9">
        <v>5</v>
      </c>
      <c r="BN9" s="94" t="e">
        <f>$H$29*H43</f>
        <v>#DIV/0!</v>
      </c>
      <c r="BP9">
        <f>BL6+1</f>
        <v>3</v>
      </c>
      <c r="BQ9">
        <v>2</v>
      </c>
      <c r="BR9" s="94" t="e">
        <f>$H$27*H40</f>
        <v>#DIV/0!</v>
      </c>
    </row>
    <row r="10" spans="1:70" x14ac:dyDescent="0.25">
      <c r="A10" s="6" t="s">
        <v>45</v>
      </c>
      <c r="B10" s="3"/>
      <c r="C10" s="4"/>
      <c r="E10" s="42" t="s">
        <v>32</v>
      </c>
      <c r="F10" s="10"/>
      <c r="G10" s="10"/>
      <c r="H10" s="134"/>
      <c r="I10" s="10"/>
      <c r="J10" s="11"/>
      <c r="K10" s="11"/>
      <c r="L10" s="134"/>
      <c r="M10" s="10"/>
      <c r="O10" s="58">
        <f>COUNTIF(F14:F18,"RAP")*0.0785</f>
        <v>0</v>
      </c>
      <c r="P10" s="16" t="str">
        <f>R3</f>
        <v>0,72</v>
      </c>
      <c r="Q10" s="17">
        <f t="shared" si="1"/>
        <v>0</v>
      </c>
      <c r="R10" s="136" t="e">
        <f t="shared" si="2"/>
        <v>#DIV/0!</v>
      </c>
      <c r="S10" s="35" t="e">
        <f t="shared" si="3"/>
        <v>#DIV/0!</v>
      </c>
      <c r="T10" s="35" t="e">
        <f>R10*PRODUCT(S5:S9)*PRODUCT(S11:S19)</f>
        <v>#DIV/0!</v>
      </c>
      <c r="U10" s="35" t="e">
        <f>R10*R11*PRODUCT(S5:S9)*PRODUCT(S12:S19)+R10*R12*PRODUCT(S5:S9)*S11*PRODUCT(S13:S19)+R10*R13*PRODUCT(S5:S9)*PRODUCT(S11:S12)*PRODUCT(S14:S19)+R10*R14*PRODUCT(S5:S9)*PRODUCT(S11:S13)*PRODUCT(S15:S19)+R10*R15*PRODUCT(S5:S9)*PRODUCT(S11:S14)*PRODUCT(S16:S19)+R10*R16*PRODUCT(S5:S9)*PRODUCT(S11:S15)*PRODUCT(S17:S19)+R10*R17*PRODUCT(S5:S9)*PRODUCT(S11:S16)*PRODUCT(S18:S19)+R10*R18*PRODUCT(S5:S9)*PRODUCT(S11:S17)*PRODUCT(S19)+R10*R19*PRODUCT(S5:S9)*PRODUCT(S11:S18)</f>
        <v>#DIV/0!</v>
      </c>
      <c r="W10" s="40" t="s">
        <v>46</v>
      </c>
      <c r="X10" s="15" t="s">
        <v>47</v>
      </c>
      <c r="Y10" s="60">
        <f>COUNTIF(J14:J18,"RAP")*0.0785</f>
        <v>0</v>
      </c>
      <c r="Z10" s="127" t="str">
        <f>AB3</f>
        <v>0,72</v>
      </c>
      <c r="AA10" s="19">
        <f t="shared" si="4"/>
        <v>0</v>
      </c>
      <c r="AB10" s="136" t="e">
        <f t="shared" si="5"/>
        <v>#DIV/0!</v>
      </c>
      <c r="AC10" s="35" t="e">
        <f t="shared" si="6"/>
        <v>#DIV/0!</v>
      </c>
      <c r="AD10" s="35" t="e">
        <f>AB10*PRODUCT(AC5:AC9)*PRODUCT(AC11:AC19)</f>
        <v>#DIV/0!</v>
      </c>
      <c r="AE10" s="35" t="e">
        <f>AB10*AB11*PRODUCT(AC5:AC9)*PRODUCT(AC12:AC19)+AB10*AB12*PRODUCT(AC5:AC9)*AC11*PRODUCT(AC13:AC19)+AB10*AB13*PRODUCT(AC5:AC9)*PRODUCT(AC11:AC12)*PRODUCT(AC14:AC19)+AB10*AB14*PRODUCT(AC5:AC9)*PRODUCT(AC11:AC13)*PRODUCT(AC15:AC19)+AB10*AB15*PRODUCT(AC5:AC9)*PRODUCT(AC11:AC14)*PRODUCT(AC16:AC19)+AB10*AB16*PRODUCT(AC5:AC9)*PRODUCT(AC11:AC15)*PRODUCT(AC17:AC19)+AB10*AB17*PRODUCT(AC5:AC9)*PRODUCT(AC11:AC16)*PRODUCT(AC18:AC19)+AB10*AB18*PRODUCT(AC5:AC9)*PRODUCT(AC11:AC17)*PRODUCT(AC19)+AB10*AB19*PRODUCT(AC5:AC9)*PRODUCT(AC11:AC18)</f>
        <v>#DIV/0!</v>
      </c>
      <c r="BH10">
        <v>0</v>
      </c>
      <c r="BI10">
        <v>7</v>
      </c>
      <c r="BJ10" s="94" t="e">
        <f t="shared" si="0"/>
        <v>#DIV/0!</v>
      </c>
      <c r="BL10">
        <f>BH44+1</f>
        <v>6</v>
      </c>
      <c r="BM10">
        <v>6</v>
      </c>
      <c r="BN10" s="94" t="e">
        <f>$H$30*H44</f>
        <v>#DIV/0!</v>
      </c>
      <c r="BP10">
        <f>BP7+1</f>
        <v>4</v>
      </c>
      <c r="BQ10">
        <v>0</v>
      </c>
      <c r="BR10" s="94" t="e">
        <f>$H$28*H38</f>
        <v>#DIV/0!</v>
      </c>
    </row>
    <row r="11" spans="1:70" x14ac:dyDescent="0.25">
      <c r="A11" s="6" t="s">
        <v>48</v>
      </c>
      <c r="B11" s="3"/>
      <c r="C11" s="4"/>
      <c r="E11" s="42" t="s">
        <v>49</v>
      </c>
      <c r="F11" s="10"/>
      <c r="G11" s="10"/>
      <c r="H11" s="134"/>
      <c r="I11" s="10"/>
      <c r="J11" s="11"/>
      <c r="K11" s="11"/>
      <c r="L11" s="134"/>
      <c r="M11" s="10"/>
      <c r="O11" s="58">
        <f>IF(COUNTA(F16:F18)=0,0,COUNTIF(F14:F15,"RAP")*0.035)+IF(COUNTA(F17:F18)=0,0,COUNTIF(F16,"RAP")*0.035)+IF(COUNTA(F16:F17)=0,0,COUNTIF(F18,"RAP")*0.035)+IF(COUNTA(F16,F18)=0,0,COUNTIF(F17,"RAP")*0.035)</f>
        <v>0</v>
      </c>
      <c r="P11" s="16" t="str">
        <f>R3</f>
        <v>0,72</v>
      </c>
      <c r="Q11" s="17">
        <f t="shared" si="1"/>
        <v>0</v>
      </c>
      <c r="R11" s="136" t="e">
        <f t="shared" si="2"/>
        <v>#DIV/0!</v>
      </c>
      <c r="S11" s="35" t="e">
        <f t="shared" si="3"/>
        <v>#DIV/0!</v>
      </c>
      <c r="T11" s="35" t="e">
        <f>R11*PRODUCT(S5:S10)*PRODUCT(S12:S19)</f>
        <v>#DIV/0!</v>
      </c>
      <c r="U11" s="35" t="e">
        <f>R11*R12*PRODUCT(S5:S10)*PRODUCT(S13:S19)+R11*R13*PRODUCT(S5:S10)*S12*PRODUCT(S14:S19)+R11*R14*PRODUCT(S5:S10)*PRODUCT(S12:S13)*PRODUCT(S15:S19)+R11*R15*PRODUCT(S5:S10)*PRODUCT(S12:S14)*PRODUCT(S16:S19)+R11*R16*PRODUCT(S5:S10)*PRODUCT(S12:S15)*PRODUCT(S17:S19)+R11*R17*PRODUCT(S5:S10)*PRODUCT(S12:S16)*PRODUCT(S18:S19)+R11*R18*PRODUCT(S5:S10)*PRODUCT(S12:S17)*PRODUCT(S19)+R11*R19*PRODUCT(S5:S10)*PRODUCT(S12:S18)</f>
        <v>#DIV/0!</v>
      </c>
      <c r="W11" s="40" t="s">
        <v>50</v>
      </c>
      <c r="X11" s="15" t="s">
        <v>51</v>
      </c>
      <c r="Y11" s="60">
        <f>IF(COUNTA(J16:J18)=0,0,COUNTIF(J14:J15,"RAP")*0.035)+IF(COUNTA(J17:J18)=0,0,COUNTIF(J16,"RAP")*0.035)+IF(COUNTA(J16:J17)=0,0,COUNTIF(J18,"RAP")*0.035)+IF(COUNTA(J16,J18)=0,0,COUNTIF(J17,"RAP")*0.035)</f>
        <v>0</v>
      </c>
      <c r="Z11" s="127" t="str">
        <f>AB3</f>
        <v>0,72</v>
      </c>
      <c r="AA11" s="19">
        <f t="shared" si="4"/>
        <v>0</v>
      </c>
      <c r="AB11" s="136" t="e">
        <f t="shared" si="5"/>
        <v>#DIV/0!</v>
      </c>
      <c r="AC11" s="35" t="e">
        <f t="shared" si="6"/>
        <v>#DIV/0!</v>
      </c>
      <c r="AD11" s="35" t="e">
        <f>AB11*PRODUCT(AC5:AC10)*PRODUCT(AC12:AC19)</f>
        <v>#DIV/0!</v>
      </c>
      <c r="AE11" s="35" t="e">
        <f>AB11*AB12*PRODUCT(AC5:AC10)*PRODUCT(AC13:AC19)+AB11*AB13*PRODUCT(AC5:AC10)*AC12*PRODUCT(AC14:AC19)+AB11*AB14*PRODUCT(AC5:AC10)*PRODUCT(AC12:AC13)*PRODUCT(AC15:AC19)+AB11*AB15*PRODUCT(AC5:AC10)*PRODUCT(AC12:AC14)*PRODUCT(AC16:AC19)+AB11*AB16*PRODUCT(AC5:AC10)*PRODUCT(AC12:AC15)*PRODUCT(AC17:AC19)+AB11*AB17*PRODUCT(AC5:AC10)*PRODUCT(AC12:AC16)*PRODUCT(AC18:AC19)+AB11*AB18*PRODUCT(AC5:AC10)*PRODUCT(AC12:AC17)*PRODUCT(AC19)+AB11*AB19*PRODUCT(AC5:AC10)*PRODUCT(AC12:AC18)</f>
        <v>#DIV/0!</v>
      </c>
      <c r="BH11">
        <v>0</v>
      </c>
      <c r="BI11">
        <v>8</v>
      </c>
      <c r="BJ11" s="94" t="e">
        <f t="shared" si="0"/>
        <v>#DIV/0!</v>
      </c>
      <c r="BL11">
        <f>BH50+1</f>
        <v>7</v>
      </c>
      <c r="BM11">
        <v>7</v>
      </c>
      <c r="BN11" s="94" t="e">
        <f>$H$31*H45</f>
        <v>#DIV/0!</v>
      </c>
      <c r="BP11">
        <f>BP8+1</f>
        <v>4</v>
      </c>
      <c r="BQ11">
        <v>1</v>
      </c>
      <c r="BR11" s="94" t="e">
        <f>$H$28*H39</f>
        <v>#DIV/0!</v>
      </c>
    </row>
    <row r="12" spans="1:70" x14ac:dyDescent="0.25">
      <c r="A12" s="6" t="s">
        <v>52</v>
      </c>
      <c r="B12" s="3"/>
      <c r="C12" s="4"/>
      <c r="E12" s="42" t="s">
        <v>49</v>
      </c>
      <c r="F12" s="10"/>
      <c r="G12" s="10"/>
      <c r="H12" s="134"/>
      <c r="I12" s="10"/>
      <c r="J12" s="11"/>
      <c r="K12" s="11"/>
      <c r="L12" s="134"/>
      <c r="M12" s="10"/>
      <c r="O12" s="59"/>
      <c r="P12" s="125">
        <v>0.5</v>
      </c>
      <c r="Q12" s="17">
        <f t="shared" si="1"/>
        <v>0</v>
      </c>
      <c r="R12" s="136" t="e">
        <f t="shared" si="2"/>
        <v>#DIV/0!</v>
      </c>
      <c r="S12" s="35" t="e">
        <f t="shared" si="3"/>
        <v>#DIV/0!</v>
      </c>
      <c r="T12" s="35" t="e">
        <f>R12*PRODUCT(S5:S11)*PRODUCT(S13:S19)</f>
        <v>#DIV/0!</v>
      </c>
      <c r="U12" s="35" t="e">
        <f>R12*R13*PRODUCT(S5:S11)*PRODUCT(S14:S19)+R12*R14*PRODUCT(S5:S11)*S13*PRODUCT(S15:S19)+R12*R15*PRODUCT(S5:S11)*PRODUCT(S13:S14)*PRODUCT(S16:S19)+R12*R16*PRODUCT(S5:S11)*PRODUCT(S13:S15)*PRODUCT(S17:S19)+R12*R17*PRODUCT(S5:S11)*PRODUCT(S13:S16)*PRODUCT(S18:S19)+R12*R18*PRODUCT(S5:S11)*PRODUCT(S13:S17)*PRODUCT(S19)+R12*R19*PRODUCT(S5:S11)*PRODUCT(S13:S18)</f>
        <v>#DIV/0!</v>
      </c>
      <c r="W12" s="41" t="s">
        <v>53</v>
      </c>
      <c r="X12" s="15" t="s">
        <v>54</v>
      </c>
      <c r="Y12" s="61"/>
      <c r="Z12" s="127">
        <v>0.5</v>
      </c>
      <c r="AA12" s="19">
        <f t="shared" si="4"/>
        <v>0</v>
      </c>
      <c r="AB12" s="136" t="e">
        <f t="shared" si="5"/>
        <v>#DIV/0!</v>
      </c>
      <c r="AC12" s="35" t="e">
        <f t="shared" si="6"/>
        <v>#DIV/0!</v>
      </c>
      <c r="AD12" s="35" t="e">
        <f>AB12*PRODUCT(AC5:AC11)*PRODUCT(AC13:AC19)</f>
        <v>#DIV/0!</v>
      </c>
      <c r="AE12" s="35" t="e">
        <f>AB12*AB13*PRODUCT(AC5:AC11)*PRODUCT(AC14:AC19)+AB12*AB14*PRODUCT(AC5:AC11)*AC13*PRODUCT(AC15:AC19)+AB12*AB15*PRODUCT(AC5:AC11)*PRODUCT(AC13:AC14)*PRODUCT(AC16:AC19)+AB12*AB16*PRODUCT(AC5:AC11)*PRODUCT(AC13:AC15)*PRODUCT(AC17:AC19)+AB12*AB17*PRODUCT(AC5:AC11)*PRODUCT(AC13:AC16)*PRODUCT(AC18:AC19)+AB12*AB18*PRODUCT(AC5:AC11)*PRODUCT(AC13:AC17)*PRODUCT(AC19)+AB12*AB19*PRODUCT(AC5:AC11)*PRODUCT(AC13:AC18)</f>
        <v>#DIV/0!</v>
      </c>
      <c r="BH12">
        <v>0</v>
      </c>
      <c r="BI12">
        <v>9</v>
      </c>
      <c r="BJ12" s="94" t="e">
        <f t="shared" si="0"/>
        <v>#DIV/0!</v>
      </c>
      <c r="BL12">
        <f>BH54+1</f>
        <v>8</v>
      </c>
      <c r="BM12">
        <v>8</v>
      </c>
      <c r="BN12" s="94" t="e">
        <f>$H$32*H46</f>
        <v>#DIV/0!</v>
      </c>
      <c r="BP12">
        <f>BP9+1</f>
        <v>4</v>
      </c>
      <c r="BQ12">
        <v>2</v>
      </c>
      <c r="BR12" s="94" t="e">
        <f>$H$28*H40</f>
        <v>#DIV/0!</v>
      </c>
    </row>
    <row r="13" spans="1:70" x14ac:dyDescent="0.25">
      <c r="A13" s="7" t="s">
        <v>55</v>
      </c>
      <c r="B13" s="3">
        <v>8.25</v>
      </c>
      <c r="C13" s="4">
        <v>11</v>
      </c>
      <c r="E13" s="42" t="s">
        <v>49</v>
      </c>
      <c r="F13" s="10"/>
      <c r="G13" s="10"/>
      <c r="H13" s="134"/>
      <c r="I13" s="10"/>
      <c r="J13" s="11"/>
      <c r="K13" s="11"/>
      <c r="L13" s="134"/>
      <c r="M13" s="10"/>
      <c r="O13" s="58">
        <v>9.7500000000000003E-2</v>
      </c>
      <c r="P13" s="16" t="str">
        <f>P3</f>
        <v>0,6</v>
      </c>
      <c r="Q13" s="17">
        <f t="shared" si="1"/>
        <v>5.8499999999999996E-2</v>
      </c>
      <c r="R13" s="136" t="e">
        <f t="shared" si="2"/>
        <v>#DIV/0!</v>
      </c>
      <c r="S13" s="35" t="e">
        <f t="shared" si="3"/>
        <v>#DIV/0!</v>
      </c>
      <c r="T13" s="35" t="e">
        <f>R13*PRODUCT(S5:S12)*PRODUCT(S14:S19)</f>
        <v>#DIV/0!</v>
      </c>
      <c r="U13" s="35" t="e">
        <f>R13*R14*PRODUCT(S5:S12)*PRODUCT(S15:S19)+R13*R15*PRODUCT(S5:S12)*S14*PRODUCT(S16:S19)+R13*R16*PRODUCT(S5:S12)*PRODUCT(S14:S15)*PRODUCT(S17:S19)+R13*R17*PRODUCT(S5:S12)*PRODUCT(S14:S16)*PRODUCT(S18:S19)+R13*R18*PRODUCT(S5:S12)*PRODUCT(S14:S17)*PRODUCT(S19)+R13*R19*PRODUCT(S5:S12)*PRODUCT(S14:S18)</f>
        <v>#DIV/0!</v>
      </c>
      <c r="W13" s="40" t="s">
        <v>56</v>
      </c>
      <c r="X13" s="15" t="s">
        <v>57</v>
      </c>
      <c r="Y13" s="60">
        <v>9.7500000000000003E-2</v>
      </c>
      <c r="Z13" s="127" t="str">
        <f>Z3</f>
        <v>0,6</v>
      </c>
      <c r="AA13" s="19">
        <f t="shared" si="4"/>
        <v>5.8499999999999996E-2</v>
      </c>
      <c r="AB13" s="136" t="e">
        <f t="shared" si="5"/>
        <v>#DIV/0!</v>
      </c>
      <c r="AC13" s="35" t="e">
        <f t="shared" si="6"/>
        <v>#DIV/0!</v>
      </c>
      <c r="AD13" s="35" t="e">
        <f>AB13*PRODUCT(AC5:AC12)*PRODUCT(AC14:AC19)</f>
        <v>#DIV/0!</v>
      </c>
      <c r="AE13" s="35" t="e">
        <f>AB13*AB14*PRODUCT(AC5:AC12)*PRODUCT(AC15:AC19)+AB13*AB15*PRODUCT(AC5:AC12)*AC14*PRODUCT(AC16:AC19)+AB13*AB16*PRODUCT(AC5:AC12)*PRODUCT(AC14:AC15)*PRODUCT(AC17:AC19)+AB13*AB17*PRODUCT(AC5:AC12)*PRODUCT(AC14:AC16)*PRODUCT(AC18:AC19)+AB13*AB18*PRODUCT(AC5:AC12)*PRODUCT(AC14:AC17)*PRODUCT(AC19)+AB13*AB19*PRODUCT(AC5:AC12)*PRODUCT(AC14:AC18)</f>
        <v>#DIV/0!</v>
      </c>
      <c r="BH13">
        <v>0</v>
      </c>
      <c r="BI13">
        <v>10</v>
      </c>
      <c r="BJ13" s="94" t="e">
        <f t="shared" si="0"/>
        <v>#DIV/0!</v>
      </c>
      <c r="BL13">
        <f>BH57+1</f>
        <v>9</v>
      </c>
      <c r="BM13">
        <v>9</v>
      </c>
      <c r="BN13" s="94" t="e">
        <f>$H$33*H47</f>
        <v>#DIV/0!</v>
      </c>
      <c r="BP13">
        <f>BL7+1</f>
        <v>4</v>
      </c>
      <c r="BQ13">
        <v>3</v>
      </c>
      <c r="BR13" s="94" t="e">
        <f>$H$28*H41</f>
        <v>#DIV/0!</v>
      </c>
    </row>
    <row r="14" spans="1:70" x14ac:dyDescent="0.25">
      <c r="A14" s="7" t="s">
        <v>58</v>
      </c>
      <c r="B14" s="3">
        <v>7.75</v>
      </c>
      <c r="C14" s="4">
        <v>10</v>
      </c>
      <c r="E14" s="42" t="s">
        <v>59</v>
      </c>
      <c r="F14" s="10"/>
      <c r="G14" s="10"/>
      <c r="H14" s="10"/>
      <c r="I14" s="10"/>
      <c r="J14" s="11"/>
      <c r="K14" s="11"/>
      <c r="L14" s="10"/>
      <c r="M14" s="10"/>
      <c r="O14" s="58">
        <f>COUNTIF(F6:F18,"CAB")*0.071</f>
        <v>0</v>
      </c>
      <c r="P14" s="126">
        <v>0.95</v>
      </c>
      <c r="Q14" s="17">
        <f t="shared" si="1"/>
        <v>0</v>
      </c>
      <c r="R14" s="136" t="e">
        <f t="shared" si="2"/>
        <v>#DIV/0!</v>
      </c>
      <c r="S14" s="35" t="e">
        <f t="shared" si="3"/>
        <v>#DIV/0!</v>
      </c>
      <c r="T14" s="35" t="e">
        <f>R14*PRODUCT(S5:S13)*PRODUCT(S15:S19)</f>
        <v>#DIV/0!</v>
      </c>
      <c r="U14" s="35" t="e">
        <f>R14*R15*PRODUCT(S5:S13)*PRODUCT(S16:S19)+R14*R16*PRODUCT(S5:S13)*S15*PRODUCT(S17:S19)+R14*R17*PRODUCT(S5:S13)*PRODUCT(S15:S16)*PRODUCT(S18:S19)+R14*R18*PRODUCT(S5:S13)*PRODUCT(S15:S17)*PRODUCT(S19)+R14*R19*PRODUCT(S5:S13)*PRODUCT(S15:S18)</f>
        <v>#DIV/0!</v>
      </c>
      <c r="W14" s="40" t="s">
        <v>60</v>
      </c>
      <c r="X14" s="15" t="s">
        <v>61</v>
      </c>
      <c r="Y14" s="60">
        <f>COUNTIF(J6:J18,"CAB")*0.071</f>
        <v>0</v>
      </c>
      <c r="Z14" s="128">
        <v>0.95</v>
      </c>
      <c r="AA14" s="19">
        <f t="shared" si="4"/>
        <v>0</v>
      </c>
      <c r="AB14" s="136" t="e">
        <f t="shared" si="5"/>
        <v>#DIV/0!</v>
      </c>
      <c r="AC14" s="35" t="e">
        <f t="shared" si="6"/>
        <v>#DIV/0!</v>
      </c>
      <c r="AD14" s="35" t="e">
        <f>AB14*PRODUCT(AC5:AC13)*PRODUCT(AC15:AC19)</f>
        <v>#DIV/0!</v>
      </c>
      <c r="AE14" s="35" t="e">
        <f>AB14*AB15*PRODUCT(AC5:AC13)*PRODUCT(AC16:AC19)+AB14*AB16*PRODUCT(AC5:AC13)*AC15*PRODUCT(AC17:AC19)+AB14*AB17*PRODUCT(AC5:AC13)*PRODUCT(AC15:AC16)*PRODUCT(AC18:AC19)+AB14*AB18*PRODUCT(AC5:AC13)*PRODUCT(AC15:AC17)*PRODUCT(AC19)+AB14*AB19*PRODUCT(AC5:AC13)*PRODUCT(AC15:AC18)</f>
        <v>#DIV/0!</v>
      </c>
      <c r="BH14">
        <v>1</v>
      </c>
      <c r="BI14">
        <v>2</v>
      </c>
      <c r="BJ14" s="94" t="e">
        <f t="shared" ref="BJ14:BJ22" si="7">$H$25*H40</f>
        <v>#DIV/0!</v>
      </c>
      <c r="BL14">
        <f>BP39+1</f>
        <v>10</v>
      </c>
      <c r="BM14">
        <v>10</v>
      </c>
      <c r="BN14" s="94" t="e">
        <f>$H$34*H48</f>
        <v>#DIV/0!</v>
      </c>
      <c r="BP14">
        <f>BP10+1</f>
        <v>5</v>
      </c>
      <c r="BQ14">
        <v>0</v>
      </c>
      <c r="BR14" s="94" t="e">
        <f>$H$29*H38</f>
        <v>#DIV/0!</v>
      </c>
    </row>
    <row r="15" spans="1:70" x14ac:dyDescent="0.25">
      <c r="A15" s="43" t="s">
        <v>62</v>
      </c>
      <c r="B15" s="44"/>
      <c r="C15" s="46"/>
      <c r="E15" s="42" t="s">
        <v>59</v>
      </c>
      <c r="F15" s="10"/>
      <c r="G15" s="10"/>
      <c r="H15" s="10"/>
      <c r="I15" s="10"/>
      <c r="J15" s="11"/>
      <c r="K15" s="11"/>
      <c r="L15" s="10"/>
      <c r="M15" s="10"/>
      <c r="O15" s="59"/>
      <c r="P15" s="125">
        <v>0.5</v>
      </c>
      <c r="Q15" s="17">
        <f t="shared" si="1"/>
        <v>0</v>
      </c>
      <c r="R15" s="136" t="e">
        <f t="shared" si="2"/>
        <v>#DIV/0!</v>
      </c>
      <c r="S15" s="35" t="e">
        <f t="shared" si="3"/>
        <v>#DIV/0!</v>
      </c>
      <c r="T15" s="35" t="e">
        <f>R15*PRODUCT(S5:S14)*PRODUCT(S16:S19)</f>
        <v>#DIV/0!</v>
      </c>
      <c r="U15" s="35" t="e">
        <f>R15*R16*PRODUCT(S5:S14)*PRODUCT(S17:S19)+R15*R17*PRODUCT(S5:S14)*S16*PRODUCT(S18:S19)+R15*R18*PRODUCT(S5:S14)*S16*S17*S19+R15*R19*PRODUCT(S5:S14)*S16*S17*S18</f>
        <v>#DIV/0!</v>
      </c>
      <c r="W15" s="40" t="s">
        <v>63</v>
      </c>
      <c r="X15" s="15" t="s">
        <v>64</v>
      </c>
      <c r="Y15" s="61"/>
      <c r="Z15" s="127">
        <v>0.5</v>
      </c>
      <c r="AA15" s="19">
        <f t="shared" si="4"/>
        <v>0</v>
      </c>
      <c r="AB15" s="136" t="e">
        <f t="shared" si="5"/>
        <v>#DIV/0!</v>
      </c>
      <c r="AC15" s="35" t="e">
        <f t="shared" si="6"/>
        <v>#DIV/0!</v>
      </c>
      <c r="AD15" s="35" t="e">
        <f>AB15*PRODUCT(AC5:AC14)*PRODUCT(AC16:AC19)</f>
        <v>#DIV/0!</v>
      </c>
      <c r="AE15" s="35" t="e">
        <f>AB15*AB16*PRODUCT(AC5:AC14)*PRODUCT(AC17:AC19)+AB15*AB17*PRODUCT(AC5:AC14)*AC16*PRODUCT(AC18:AC19)+AB15*AB18*PRODUCT(AC5:AC14)*AC16*AC17*AC19+AB15*AB19*PRODUCT(AC5:AC14)*AC16*AC17*AC18</f>
        <v>#DIV/0!</v>
      </c>
      <c r="BH15">
        <v>1</v>
      </c>
      <c r="BI15">
        <v>3</v>
      </c>
      <c r="BJ15" s="94" t="e">
        <f t="shared" si="7"/>
        <v>#DIV/0!</v>
      </c>
      <c r="BP15">
        <f>BP11+1</f>
        <v>5</v>
      </c>
      <c r="BQ15">
        <v>1</v>
      </c>
      <c r="BR15" s="94" t="e">
        <f>$H$29*H39</f>
        <v>#DIV/0!</v>
      </c>
    </row>
    <row r="16" spans="1:70" x14ac:dyDescent="0.25">
      <c r="A16" s="43" t="s">
        <v>65</v>
      </c>
      <c r="B16" s="44">
        <f>AVERAGE(G5:G18)</f>
        <v>12</v>
      </c>
      <c r="C16" s="46">
        <f>AVERAGE(K5:K18)</f>
        <v>12</v>
      </c>
      <c r="E16" s="42" t="s">
        <v>66</v>
      </c>
      <c r="F16" s="10"/>
      <c r="G16" s="10"/>
      <c r="H16" s="10"/>
      <c r="I16" s="10"/>
      <c r="J16" s="11"/>
      <c r="K16" s="11"/>
      <c r="L16" s="10"/>
      <c r="M16" s="10"/>
      <c r="O16" s="58">
        <f>COUNTA(L6:L13)*0.03</f>
        <v>0</v>
      </c>
      <c r="P16" s="125">
        <v>0.25</v>
      </c>
      <c r="Q16" s="17">
        <f t="shared" si="1"/>
        <v>0</v>
      </c>
      <c r="R16" s="136" t="e">
        <f t="shared" si="2"/>
        <v>#DIV/0!</v>
      </c>
      <c r="S16" s="35" t="e">
        <f t="shared" si="3"/>
        <v>#DIV/0!</v>
      </c>
      <c r="T16" s="35" t="e">
        <f>R16*PRODUCT(S5:S15)*PRODUCT(S17:S19)</f>
        <v>#DIV/0!</v>
      </c>
      <c r="U16" s="35" t="e">
        <f>R16*R17*PRODUCT(S5:S15)*PRODUCT(S18:S19)+R16*R18*PRODUCT(S5:S15)*S17*S19+R16*R19*PRODUCT(S5:S15)*S17*S18</f>
        <v>#DIV/0!</v>
      </c>
      <c r="W16" s="41" t="s">
        <v>67</v>
      </c>
      <c r="X16" s="15" t="s">
        <v>68</v>
      </c>
      <c r="Y16" s="60">
        <f>COUNTA(H6:H13)*0.03</f>
        <v>0</v>
      </c>
      <c r="Z16" s="127">
        <v>0.25</v>
      </c>
      <c r="AA16" s="19">
        <f t="shared" si="4"/>
        <v>0</v>
      </c>
      <c r="AB16" s="136" t="e">
        <f t="shared" si="5"/>
        <v>#DIV/0!</v>
      </c>
      <c r="AC16" s="35" t="e">
        <f t="shared" si="6"/>
        <v>#DIV/0!</v>
      </c>
      <c r="AD16" s="35" t="e">
        <f>AB16*PRODUCT(AC5:AC15)*PRODUCT(AC17:AC19)</f>
        <v>#DIV/0!</v>
      </c>
      <c r="AE16" s="35" t="e">
        <f>AB16*AB17*PRODUCT(AC5:AC15)*PRODUCT(AC18:AC19)+AB16*AB18*PRODUCT(AC5:AC15)*AC17*AC19+AB16*AB19*PRODUCT(AC5:AC15)*AC17*AC18</f>
        <v>#DIV/0!</v>
      </c>
      <c r="BH16">
        <v>1</v>
      </c>
      <c r="BI16">
        <v>4</v>
      </c>
      <c r="BJ16" s="94" t="e">
        <f t="shared" si="7"/>
        <v>#DIV/0!</v>
      </c>
      <c r="BP16">
        <f>BP12+1</f>
        <v>5</v>
      </c>
      <c r="BQ16">
        <v>2</v>
      </c>
      <c r="BR16" s="94" t="e">
        <f>$H$29*H40</f>
        <v>#DIV/0!</v>
      </c>
    </row>
    <row r="17" spans="1:70" x14ac:dyDescent="0.25">
      <c r="A17" s="21" t="s">
        <v>69</v>
      </c>
      <c r="B17" s="45" t="s">
        <v>70</v>
      </c>
      <c r="C17" s="47" t="s">
        <v>70</v>
      </c>
      <c r="E17" s="42" t="s">
        <v>66</v>
      </c>
      <c r="F17" s="10"/>
      <c r="G17" s="10"/>
      <c r="H17" s="10"/>
      <c r="I17" s="10"/>
      <c r="J17" s="11"/>
      <c r="K17" s="11"/>
      <c r="L17" s="10"/>
      <c r="M17" s="10"/>
      <c r="O17" s="58">
        <f>(0.02*2)*IF(COUNTBLANK(F14:F15)&lt;&gt;0,(2-COUNTBLANK(F14:F15))/2,1)</f>
        <v>0</v>
      </c>
      <c r="P17" s="16" t="str">
        <f>P3</f>
        <v>0,6</v>
      </c>
      <c r="Q17" s="17">
        <f t="shared" si="1"/>
        <v>0</v>
      </c>
      <c r="R17" s="136" t="e">
        <f t="shared" si="2"/>
        <v>#DIV/0!</v>
      </c>
      <c r="S17" s="35" t="e">
        <f t="shared" si="3"/>
        <v>#DIV/0!</v>
      </c>
      <c r="T17" s="35" t="e">
        <f>R17*PRODUCT(S5:S16)*PRODUCT(S18:S19)</f>
        <v>#DIV/0!</v>
      </c>
      <c r="U17" s="35" t="e">
        <f>R17*R18*PRODUCT(S5:S16)*S19+R17*R19*PRODUCT(S5:S16)*S18</f>
        <v>#DIV/0!</v>
      </c>
      <c r="W17" s="40" t="s">
        <v>71</v>
      </c>
      <c r="X17" s="15" t="s">
        <v>72</v>
      </c>
      <c r="Y17" s="60">
        <f>(0.02*2)*IF(COUNTBLANK(J14:J15)&lt;&gt;0,(2-COUNTBLANK(J14:J15))/2,1)</f>
        <v>0</v>
      </c>
      <c r="Z17" s="127" t="str">
        <f>Z3</f>
        <v>0,6</v>
      </c>
      <c r="AA17" s="19">
        <f t="shared" si="4"/>
        <v>0</v>
      </c>
      <c r="AB17" s="136" t="e">
        <f t="shared" si="5"/>
        <v>#DIV/0!</v>
      </c>
      <c r="AC17" s="35" t="e">
        <f t="shared" si="6"/>
        <v>#DIV/0!</v>
      </c>
      <c r="AD17" s="35" t="e">
        <f>AB17*PRODUCT(AC5:AC16)*PRODUCT(AC18:AC19)</f>
        <v>#DIV/0!</v>
      </c>
      <c r="AE17" s="35" t="e">
        <f>AB17*AB18*PRODUCT(AC5:AC16)*AC19+AB17*AB19*PRODUCT(AC5:AC16)*AC18</f>
        <v>#DIV/0!</v>
      </c>
      <c r="BH17">
        <v>1</v>
      </c>
      <c r="BI17">
        <v>5</v>
      </c>
      <c r="BJ17" s="94" t="e">
        <f t="shared" si="7"/>
        <v>#DIV/0!</v>
      </c>
      <c r="BP17">
        <f>BP13+1</f>
        <v>5</v>
      </c>
      <c r="BQ17">
        <v>3</v>
      </c>
      <c r="BR17" s="94" t="e">
        <f>$H$29*H41</f>
        <v>#DIV/0!</v>
      </c>
    </row>
    <row r="18" spans="1:70" x14ac:dyDescent="0.25">
      <c r="A18" s="21" t="s">
        <v>73</v>
      </c>
      <c r="B18" s="45">
        <v>20</v>
      </c>
      <c r="C18" s="47">
        <v>20</v>
      </c>
      <c r="E18" s="42" t="s">
        <v>66</v>
      </c>
      <c r="F18" s="10"/>
      <c r="G18" s="10"/>
      <c r="H18" s="10"/>
      <c r="I18" s="10"/>
      <c r="J18" s="11"/>
      <c r="K18" s="11"/>
      <c r="L18" s="10"/>
      <c r="M18" s="10"/>
      <c r="O18" s="58">
        <v>0</v>
      </c>
      <c r="P18" s="125">
        <v>0.5</v>
      </c>
      <c r="Q18" s="17">
        <f t="shared" si="1"/>
        <v>0</v>
      </c>
      <c r="R18" s="136" t="e">
        <f t="shared" si="2"/>
        <v>#DIV/0!</v>
      </c>
      <c r="S18" s="35" t="e">
        <f t="shared" si="3"/>
        <v>#DIV/0!</v>
      </c>
      <c r="T18" s="35" t="e">
        <f>R18*PRODUCT(S5:S17)*PRODUCT(S19)</f>
        <v>#DIV/0!</v>
      </c>
      <c r="U18" s="35" t="e">
        <f>R18*R19*PRODUCT(S5:S17)</f>
        <v>#DIV/0!</v>
      </c>
      <c r="W18" s="40" t="s">
        <v>74</v>
      </c>
      <c r="X18" s="15" t="s">
        <v>75</v>
      </c>
      <c r="Y18" s="60">
        <v>0</v>
      </c>
      <c r="Z18" s="127">
        <v>0.5</v>
      </c>
      <c r="AA18" s="19">
        <f t="shared" si="4"/>
        <v>0</v>
      </c>
      <c r="AB18" s="136" t="e">
        <f t="shared" si="5"/>
        <v>#DIV/0!</v>
      </c>
      <c r="AC18" s="35" t="e">
        <f t="shared" si="6"/>
        <v>#DIV/0!</v>
      </c>
      <c r="AD18" s="35" t="e">
        <f>AB18*PRODUCT(AC5:AC17)*PRODUCT(AC19)</f>
        <v>#DIV/0!</v>
      </c>
      <c r="AE18" s="35" t="e">
        <f>AB18*AB19*PRODUCT(AC5:AC17)</f>
        <v>#DIV/0!</v>
      </c>
      <c r="BH18">
        <v>1</v>
      </c>
      <c r="BI18">
        <v>6</v>
      </c>
      <c r="BJ18" s="94" t="e">
        <f t="shared" si="7"/>
        <v>#DIV/0!</v>
      </c>
      <c r="BP18">
        <f>BL8+1</f>
        <v>5</v>
      </c>
      <c r="BQ18">
        <v>4</v>
      </c>
      <c r="BR18" s="94" t="e">
        <f>$H$29*H42</f>
        <v>#DIV/0!</v>
      </c>
    </row>
    <row r="19" spans="1:70" x14ac:dyDescent="0.25">
      <c r="H19" s="13" t="s">
        <v>145</v>
      </c>
      <c r="L19" s="13" t="s">
        <v>145</v>
      </c>
      <c r="O19" s="58">
        <f>COUNTIF(F14:F18,"TEC")*0.06*IF(COUNTIF(J6:J13,"CAB")&lt;&gt;0,1,0)</f>
        <v>0</v>
      </c>
      <c r="P19" s="16" t="str">
        <f>P3</f>
        <v>0,6</v>
      </c>
      <c r="Q19" s="17">
        <f t="shared" si="1"/>
        <v>0</v>
      </c>
      <c r="R19" s="136" t="e">
        <f t="shared" si="2"/>
        <v>#DIV/0!</v>
      </c>
      <c r="S19" s="36" t="e">
        <f t="shared" si="3"/>
        <v>#DIV/0!</v>
      </c>
      <c r="T19" s="36" t="e">
        <f>R19*PRODUCT(S5:S18)</f>
        <v>#DIV/0!</v>
      </c>
      <c r="U19" s="36">
        <v>0</v>
      </c>
      <c r="V19" s="1" t="s">
        <v>76</v>
      </c>
      <c r="W19" s="40" t="s">
        <v>77</v>
      </c>
      <c r="X19" s="15" t="s">
        <v>78</v>
      </c>
      <c r="Y19" s="60">
        <f>COUNTIF(J14:J18,"TEC")*0.06*IF(COUNTIF(F6:F13,"CAB")&lt;&gt;0,1,0)</f>
        <v>0</v>
      </c>
      <c r="Z19" s="127" t="str">
        <f>Z3</f>
        <v>0,6</v>
      </c>
      <c r="AA19" s="19">
        <f t="shared" si="4"/>
        <v>0</v>
      </c>
      <c r="AB19" s="136" t="e">
        <f t="shared" si="5"/>
        <v>#DIV/0!</v>
      </c>
      <c r="AC19" s="36" t="e">
        <f t="shared" si="6"/>
        <v>#DIV/0!</v>
      </c>
      <c r="AD19" s="36" t="e">
        <f>AB19*PRODUCT(AC5:AC18)</f>
        <v>#DIV/0!</v>
      </c>
      <c r="AE19" s="36">
        <v>0</v>
      </c>
      <c r="AF19" s="1" t="s">
        <v>76</v>
      </c>
      <c r="BH19">
        <v>1</v>
      </c>
      <c r="BI19">
        <v>7</v>
      </c>
      <c r="BJ19" s="94" t="e">
        <f t="shared" si="7"/>
        <v>#DIV/0!</v>
      </c>
      <c r="BP19">
        <f>BP15+1</f>
        <v>6</v>
      </c>
      <c r="BQ19">
        <v>1</v>
      </c>
      <c r="BR19" s="94" t="e">
        <f>$H$30*H39</f>
        <v>#DIV/0!</v>
      </c>
    </row>
    <row r="20" spans="1:70" x14ac:dyDescent="0.25">
      <c r="A20" s="32" t="s">
        <v>79</v>
      </c>
      <c r="B20">
        <f>IF(B17="Pres",IF(C17="Pres",2,1),IF(C17="Pres",1,0))</f>
        <v>0</v>
      </c>
      <c r="D20" s="30"/>
      <c r="O20" s="20"/>
      <c r="P20" s="20"/>
      <c r="Q20" s="20"/>
      <c r="S20" s="37" t="e">
        <f>PRODUCT(S5:S19)</f>
        <v>#DIV/0!</v>
      </c>
      <c r="T20" s="38" t="e">
        <f>SUM(T5:T19)</f>
        <v>#DIV/0!</v>
      </c>
      <c r="U20" s="38" t="e">
        <f>SUM(U5:U19)</f>
        <v>#DIV/0!</v>
      </c>
      <c r="V20" s="38" t="e">
        <f>1-S20-T20-U20</f>
        <v>#DIV/0!</v>
      </c>
      <c r="X20" s="20"/>
      <c r="Y20" s="20"/>
      <c r="Z20" s="20"/>
      <c r="AA20" s="20"/>
      <c r="AB20" s="13"/>
      <c r="AC20" s="39" t="e">
        <f>PRODUCT(AC5:AC19)</f>
        <v>#DIV/0!</v>
      </c>
      <c r="AD20" s="38" t="e">
        <f>SUM(AD5:AD19)</f>
        <v>#DIV/0!</v>
      </c>
      <c r="AE20" s="38" t="e">
        <f>SUM(AE5:AE19)</f>
        <v>#DIV/0!</v>
      </c>
      <c r="AF20" s="38" t="e">
        <f>1-AC20-AD20-AE20</f>
        <v>#DIV/0!</v>
      </c>
      <c r="BH20">
        <v>1</v>
      </c>
      <c r="BI20">
        <v>8</v>
      </c>
      <c r="BJ20" s="94" t="e">
        <f t="shared" si="7"/>
        <v>#DIV/0!</v>
      </c>
      <c r="BP20">
        <f>BP16+1</f>
        <v>6</v>
      </c>
      <c r="BQ20">
        <v>2</v>
      </c>
      <c r="BR20" s="94" t="e">
        <f>$H$30*H40</f>
        <v>#DIV/0!</v>
      </c>
    </row>
    <row r="21" spans="1:70" x14ac:dyDescent="0.25">
      <c r="A21" s="32" t="s">
        <v>80</v>
      </c>
      <c r="B21" s="33">
        <f>5-B20</f>
        <v>5</v>
      </c>
      <c r="C21" s="29"/>
      <c r="V21" s="51" t="e">
        <f>SUM(V24:V34)</f>
        <v>#DIV/0!</v>
      </c>
      <c r="AS21" s="70" t="e">
        <f>Y22+AA22+AC22+AE22+AG22+AI22+AK22+AM22+AO22+AQ22+AS22</f>
        <v>#DIV/0!</v>
      </c>
      <c r="BH21">
        <v>1</v>
      </c>
      <c r="BI21">
        <v>9</v>
      </c>
      <c r="BJ21" s="94" t="e">
        <f t="shared" si="7"/>
        <v>#DIV/0!</v>
      </c>
      <c r="BP21">
        <f>BP17+1</f>
        <v>6</v>
      </c>
      <c r="BQ21">
        <v>3</v>
      </c>
      <c r="BR21" s="94" t="e">
        <f>$H$30*H41</f>
        <v>#DIV/0!</v>
      </c>
    </row>
    <row r="22" spans="1:70" x14ac:dyDescent="0.25">
      <c r="A22" s="22" t="s">
        <v>81</v>
      </c>
      <c r="B22" s="54" t="e">
        <f>(B6)/((B6)+(C6))</f>
        <v>#DIV/0!</v>
      </c>
      <c r="C22" s="55" t="e">
        <f>1-B22</f>
        <v>#DIV/0!</v>
      </c>
      <c r="H22" s="51" t="e">
        <f>SUM(H24:H34)</f>
        <v>#DIV/0!</v>
      </c>
      <c r="J22" s="51" t="e">
        <f>SUM(J24:J34)</f>
        <v>#DIV/0!</v>
      </c>
      <c r="K22" s="51"/>
      <c r="L22" s="51" t="e">
        <f>SUM(L24:L34)</f>
        <v>#DIV/0!</v>
      </c>
      <c r="N22" s="51" t="e">
        <f>SUM(N24:N34)</f>
        <v>#DIV/0!</v>
      </c>
      <c r="O22" s="28"/>
      <c r="P22" s="51" t="e">
        <f>SUM(P24:P34)</f>
        <v>#DIV/0!</v>
      </c>
      <c r="R22" s="51" t="e">
        <f>SUM(R24:R34)</f>
        <v>#DIV/0!</v>
      </c>
      <c r="T22" s="51" t="e">
        <f>SUM(T24:T34)</f>
        <v>#DIV/0!</v>
      </c>
      <c r="V22" s="51" t="e">
        <f>SUM(V24:V33)</f>
        <v>#DIV/0!</v>
      </c>
      <c r="Y22" s="30" t="e">
        <f>SUM(Y24:Y34)</f>
        <v>#DIV/0!</v>
      </c>
      <c r="Z22" s="69"/>
      <c r="AA22" s="30" t="e">
        <f>SUM(AA24:AA34)</f>
        <v>#DIV/0!</v>
      </c>
      <c r="AB22" s="69"/>
      <c r="AC22" s="30" t="e">
        <f>SUM(AC24:AC34)</f>
        <v>#DIV/0!</v>
      </c>
      <c r="AD22" s="69"/>
      <c r="AE22" s="30" t="e">
        <f>SUM(AE24:AE34)</f>
        <v>#DIV/0!</v>
      </c>
      <c r="AF22" s="69"/>
      <c r="AG22" s="30" t="e">
        <f>SUM(AG24:AG34)</f>
        <v>#DIV/0!</v>
      </c>
      <c r="AH22" s="69"/>
      <c r="AI22" s="30" t="e">
        <f>SUM(AI24:AI34)</f>
        <v>#DIV/0!</v>
      </c>
      <c r="AJ22" s="69"/>
      <c r="AK22" s="30" t="e">
        <f>SUM(AK24:AK34)</f>
        <v>#DIV/0!</v>
      </c>
      <c r="AL22" s="69"/>
      <c r="AM22" s="30" t="e">
        <f>SUM(AM24:AM34)</f>
        <v>#DIV/0!</v>
      </c>
      <c r="AN22" s="69"/>
      <c r="AO22" s="30" t="e">
        <f>SUM(AO24:AO34)</f>
        <v>#DIV/0!</v>
      </c>
      <c r="AP22" s="69"/>
      <c r="AQ22" s="30" t="e">
        <f>SUM(AQ24:AQ34)</f>
        <v>#DIV/0!</v>
      </c>
      <c r="AR22" s="69"/>
      <c r="AS22" s="30" t="e">
        <f>SUM(AS24:AS34)</f>
        <v>#DIV/0!</v>
      </c>
      <c r="BH22">
        <v>1</v>
      </c>
      <c r="BI22">
        <v>10</v>
      </c>
      <c r="BJ22" s="94" t="e">
        <f t="shared" si="7"/>
        <v>#DIV/0!</v>
      </c>
      <c r="BP22">
        <f>BP18+1</f>
        <v>6</v>
      </c>
      <c r="BQ22">
        <v>4</v>
      </c>
      <c r="BR22" s="94" t="e">
        <f>$H$30*H42</f>
        <v>#DIV/0!</v>
      </c>
    </row>
    <row r="23" spans="1:70" x14ac:dyDescent="0.25">
      <c r="A23" s="34" t="s">
        <v>82</v>
      </c>
      <c r="B23" s="48" t="e">
        <f>((B22^2.8)/((B22^2.8)+(C22^2.8)))*B21</f>
        <v>#DIV/0!</v>
      </c>
      <c r="C23" s="49" t="e">
        <f>B21-B23</f>
        <v>#DIV/0!</v>
      </c>
      <c r="D23" s="132">
        <f>SUM(D25:D30)</f>
        <v>1</v>
      </c>
      <c r="E23" s="132">
        <f>SUM(E25:E30)</f>
        <v>1</v>
      </c>
      <c r="G23" s="86" t="s">
        <v>86</v>
      </c>
      <c r="H23" s="87" t="s">
        <v>18</v>
      </c>
      <c r="I23" s="86" t="s">
        <v>87</v>
      </c>
      <c r="J23" s="88" t="s">
        <v>88</v>
      </c>
      <c r="K23" s="86" t="s">
        <v>89</v>
      </c>
      <c r="L23" s="88" t="s">
        <v>18</v>
      </c>
      <c r="M23" s="71" t="s">
        <v>90</v>
      </c>
      <c r="N23" s="23" t="s">
        <v>91</v>
      </c>
      <c r="O23" s="23" t="s">
        <v>92</v>
      </c>
      <c r="P23" s="23" t="s">
        <v>18</v>
      </c>
      <c r="Q23" s="23" t="s">
        <v>93</v>
      </c>
      <c r="R23" s="23" t="s">
        <v>18</v>
      </c>
      <c r="S23" s="23" t="s">
        <v>94</v>
      </c>
      <c r="T23" s="116" t="s">
        <v>18</v>
      </c>
      <c r="U23" s="120" t="s">
        <v>95</v>
      </c>
      <c r="V23" s="121" t="s">
        <v>91</v>
      </c>
      <c r="W23" s="71" t="s">
        <v>96</v>
      </c>
      <c r="X23" s="23" t="s">
        <v>97</v>
      </c>
      <c r="Y23" s="23" t="s">
        <v>18</v>
      </c>
      <c r="Z23" s="23" t="s">
        <v>98</v>
      </c>
      <c r="AA23" s="23" t="s">
        <v>18</v>
      </c>
      <c r="AB23" s="23" t="s">
        <v>99</v>
      </c>
      <c r="AC23" s="23" t="s">
        <v>18</v>
      </c>
      <c r="AD23" s="23" t="s">
        <v>100</v>
      </c>
      <c r="AE23" s="23" t="s">
        <v>18</v>
      </c>
      <c r="AF23" s="23" t="s">
        <v>101</v>
      </c>
      <c r="AG23" s="23" t="s">
        <v>18</v>
      </c>
      <c r="AH23" s="23" t="s">
        <v>102</v>
      </c>
      <c r="AI23" s="23" t="s">
        <v>18</v>
      </c>
      <c r="AJ23" s="23" t="s">
        <v>103</v>
      </c>
      <c r="AK23" s="23" t="s">
        <v>18</v>
      </c>
      <c r="AL23" s="23" t="s">
        <v>104</v>
      </c>
      <c r="AM23" s="23" t="s">
        <v>18</v>
      </c>
      <c r="AN23" s="23" t="s">
        <v>105</v>
      </c>
      <c r="AO23" s="23" t="s">
        <v>18</v>
      </c>
      <c r="AP23" s="23" t="s">
        <v>106</v>
      </c>
      <c r="AQ23" s="23" t="s">
        <v>18</v>
      </c>
      <c r="AR23" s="23" t="s">
        <v>107</v>
      </c>
      <c r="AS23" s="23" t="s">
        <v>18</v>
      </c>
      <c r="BH23">
        <f t="shared" ref="BH23:BH30" si="8">BH15+1</f>
        <v>2</v>
      </c>
      <c r="BI23">
        <v>3</v>
      </c>
      <c r="BJ23" s="94" t="e">
        <f t="shared" ref="BJ23:BJ30" si="9">$H$26*H41</f>
        <v>#DIV/0!</v>
      </c>
      <c r="BP23">
        <f>BL9+1</f>
        <v>6</v>
      </c>
      <c r="BQ23">
        <v>5</v>
      </c>
      <c r="BR23" s="94" t="e">
        <f>$H$30*H43</f>
        <v>#DIV/0!</v>
      </c>
    </row>
    <row r="24" spans="1:70" x14ac:dyDescent="0.25">
      <c r="A24" s="22" t="s">
        <v>83</v>
      </c>
      <c r="B24" s="56" t="e">
        <f>B23/B21</f>
        <v>#DIV/0!</v>
      </c>
      <c r="C24" s="57" t="e">
        <f>C23/B21</f>
        <v>#DIV/0!</v>
      </c>
      <c r="D24" s="13" t="s">
        <v>84</v>
      </c>
      <c r="E24" s="13" t="s">
        <v>85</v>
      </c>
      <c r="G24" s="108">
        <v>0</v>
      </c>
      <c r="H24" s="109" t="e">
        <f>L24*J24</f>
        <v>#DIV/0!</v>
      </c>
      <c r="I24" s="84">
        <v>0</v>
      </c>
      <c r="J24" s="85" t="e">
        <f t="shared" ref="J24:J34" si="10">Y24+AA24+AC24+AE24+AG24+AI24+AK24+AM24+AO24+AQ24+AS24</f>
        <v>#DIV/0!</v>
      </c>
      <c r="K24" s="84">
        <v>0</v>
      </c>
      <c r="L24" s="85" t="e">
        <f>S20</f>
        <v>#DIV/0!</v>
      </c>
      <c r="M24" s="72">
        <v>0</v>
      </c>
      <c r="N24" s="63" t="e">
        <f>(1-$B$24)^$B$21</f>
        <v>#DIV/0!</v>
      </c>
      <c r="O24" s="62">
        <v>0</v>
      </c>
      <c r="P24" s="63" t="e">
        <f t="shared" ref="P24:P29" si="11">N24</f>
        <v>#DIV/0!</v>
      </c>
      <c r="Q24" s="12">
        <v>0</v>
      </c>
      <c r="R24" s="31" t="e">
        <f>P24*N24</f>
        <v>#DIV/0!</v>
      </c>
      <c r="S24" s="62">
        <v>0</v>
      </c>
      <c r="T24" s="117" t="e">
        <f>(1-$B$33)^(INT(C23*2*(1-C31)))</f>
        <v>#DIV/0!</v>
      </c>
      <c r="U24" s="80">
        <v>0</v>
      </c>
      <c r="V24" s="73" t="e">
        <f>R24*T24</f>
        <v>#DIV/0!</v>
      </c>
      <c r="W24" s="118" t="e">
        <f>B31</f>
        <v>#DIV/0!</v>
      </c>
      <c r="X24" s="12">
        <v>0</v>
      </c>
      <c r="Y24" s="68" t="e">
        <f>V24</f>
        <v>#DIV/0!</v>
      </c>
      <c r="Z24" s="12">
        <v>0</v>
      </c>
      <c r="AA24" s="68" t="e">
        <f>((1-W24)^Z25)*V25</f>
        <v>#DIV/0!</v>
      </c>
      <c r="AB24" s="12">
        <v>0</v>
      </c>
      <c r="AC24" s="68" t="e">
        <f>(((1-$W$24)^AB26))*V26</f>
        <v>#DIV/0!</v>
      </c>
      <c r="AD24" s="12">
        <v>0</v>
      </c>
      <c r="AE24" s="68" t="e">
        <f>(((1-$W$24)^AB27))*V27</f>
        <v>#DIV/0!</v>
      </c>
      <c r="AF24" s="12">
        <v>0</v>
      </c>
      <c r="AG24" s="68" t="e">
        <f>(((1-$W$24)^AB28))*V28</f>
        <v>#DIV/0!</v>
      </c>
      <c r="AH24" s="12">
        <v>0</v>
      </c>
      <c r="AI24" s="68" t="e">
        <f>(((1-$W$24)^AB29))*V29</f>
        <v>#DIV/0!</v>
      </c>
      <c r="AJ24" s="12">
        <v>0</v>
      </c>
      <c r="AK24" s="68" t="e">
        <f>(((1-$W$24)^AB30))*V30</f>
        <v>#DIV/0!</v>
      </c>
      <c r="AL24" s="12">
        <v>0</v>
      </c>
      <c r="AM24" s="68" t="e">
        <f>(((1-$W$24)^AB31))*V31</f>
        <v>#DIV/0!</v>
      </c>
      <c r="AN24" s="12">
        <v>0</v>
      </c>
      <c r="AO24" s="68" t="e">
        <f>(((1-$W$24)^AB32))*V32</f>
        <v>#DIV/0!</v>
      </c>
      <c r="AP24" s="12">
        <v>0</v>
      </c>
      <c r="AQ24" s="68" t="e">
        <f>(((1-$W$24)^AB33))*V33</f>
        <v>#DIV/0!</v>
      </c>
      <c r="AR24" s="12">
        <v>0</v>
      </c>
      <c r="AS24" s="68" t="e">
        <f>(((1-$W$24)^AB34))*V34</f>
        <v>#DIV/0!</v>
      </c>
      <c r="AV24" s="14">
        <v>0</v>
      </c>
      <c r="AW24" s="14">
        <v>1</v>
      </c>
      <c r="AX24" s="14">
        <v>2</v>
      </c>
      <c r="AY24" s="14">
        <v>3</v>
      </c>
      <c r="AZ24" s="14">
        <v>4</v>
      </c>
      <c r="BA24" s="14">
        <v>5</v>
      </c>
      <c r="BB24" s="14">
        <v>6</v>
      </c>
      <c r="BC24" s="14">
        <v>7</v>
      </c>
      <c r="BD24" s="14">
        <v>8</v>
      </c>
      <c r="BE24" s="14">
        <v>9</v>
      </c>
      <c r="BF24" s="14">
        <v>10</v>
      </c>
      <c r="BH24">
        <f t="shared" si="8"/>
        <v>2</v>
      </c>
      <c r="BI24">
        <v>4</v>
      </c>
      <c r="BJ24" s="94" t="e">
        <f t="shared" si="9"/>
        <v>#DIV/0!</v>
      </c>
      <c r="BP24">
        <f>BH49+1</f>
        <v>7</v>
      </c>
      <c r="BQ24">
        <v>0</v>
      </c>
      <c r="BR24" s="94" t="e">
        <f t="shared" ref="BR24:BR30" si="12">$H$31*H38</f>
        <v>#DIV/0!</v>
      </c>
    </row>
    <row r="25" spans="1:70" x14ac:dyDescent="0.25">
      <c r="A25" s="22" t="s">
        <v>108</v>
      </c>
      <c r="B25" s="104" t="e">
        <f>1/(1+EXP(-3.1416*4*((B11/(B11+C8))-(3.1416/6))))</f>
        <v>#DIV/0!</v>
      </c>
      <c r="C25" s="55" t="e">
        <f>1/(1+EXP(-3.1416*4*((C11/(C11+B8))-(3.1416/6))))</f>
        <v>#DIV/0!</v>
      </c>
      <c r="D25" s="26">
        <f>IF(B17="AOW",0.36-0.08,IF(B17="AIM",0.36+0.08,IF(B17="TL",(0.361)-(0.36*B32),0.36)))</f>
        <v>0.36</v>
      </c>
      <c r="E25" s="26">
        <f>IF(C17="AOW",0.36-0.08,IF(C17="AIM",0.36+0.08,IF(C17="TL",(0.361)-(0.36*C32),0.36)))</f>
        <v>0.36</v>
      </c>
      <c r="G25" s="74">
        <v>1</v>
      </c>
      <c r="H25" s="110" t="e">
        <f>L24*J25+L25*J24</f>
        <v>#DIV/0!</v>
      </c>
      <c r="I25" s="80">
        <v>1</v>
      </c>
      <c r="J25" s="73" t="e">
        <f t="shared" si="10"/>
        <v>#DIV/0!</v>
      </c>
      <c r="K25" s="80">
        <v>1</v>
      </c>
      <c r="L25" s="73" t="e">
        <f>T20</f>
        <v>#DIV/0!</v>
      </c>
      <c r="M25" s="72">
        <v>1</v>
      </c>
      <c r="N25" s="63" t="e">
        <f>(($B$24)^M25)*((1-($B$24))^($B$21-M25))*HLOOKUP($B$21,$AV$24:$BF$34,M25+1)</f>
        <v>#DIV/0!</v>
      </c>
      <c r="O25" s="62">
        <v>1</v>
      </c>
      <c r="P25" s="63" t="e">
        <f t="shared" si="11"/>
        <v>#DIV/0!</v>
      </c>
      <c r="Q25" s="12">
        <v>1</v>
      </c>
      <c r="R25" s="31" t="e">
        <f>N25*P24+P25*N24</f>
        <v>#DIV/0!</v>
      </c>
      <c r="S25" s="62">
        <v>1</v>
      </c>
      <c r="T25" s="117" t="e">
        <f t="shared" ref="T25:T34" si="13">(($B$33)^S25)*((1-($B$33))^(INT($C$23*2*(1-$C$31))-S25))*HLOOKUP(INT($C$23*2*(1-$C$31)),$AV$24:$BF$34,S25+1)</f>
        <v>#DIV/0!</v>
      </c>
      <c r="U25" s="80">
        <v>1</v>
      </c>
      <c r="V25" s="73" t="e">
        <f>R25*T24+T25*R24</f>
        <v>#DIV/0!</v>
      </c>
      <c r="W25" s="119"/>
      <c r="X25" s="12">
        <v>1</v>
      </c>
      <c r="Y25" s="31"/>
      <c r="Z25" s="12">
        <v>1</v>
      </c>
      <c r="AA25" s="68" t="e">
        <f>(1-((1-W24)^Z25))*V25</f>
        <v>#DIV/0!</v>
      </c>
      <c r="AB25" s="12">
        <v>1</v>
      </c>
      <c r="AC25" s="68" t="e">
        <f>((($W$24)^M25)*((1-($W$24))^($U$26-M25))*HLOOKUP($U$26,$AV$24:$BF$34,M25+1))*V26</f>
        <v>#DIV/0!</v>
      </c>
      <c r="AD25" s="12">
        <v>1</v>
      </c>
      <c r="AE25" s="68" t="e">
        <f>((($W$24)^M25)*((1-($W$24))^($U$27-M25))*HLOOKUP($U$27,$AV$24:$BF$34,M25+1))*V27</f>
        <v>#DIV/0!</v>
      </c>
      <c r="AF25" s="12">
        <v>1</v>
      </c>
      <c r="AG25" s="68" t="e">
        <f>((($W$24)^M25)*((1-($W$24))^($U$28-M25))*HLOOKUP($U$28,$AV$24:$BF$34,M25+1))*V28</f>
        <v>#DIV/0!</v>
      </c>
      <c r="AH25" s="12">
        <v>1</v>
      </c>
      <c r="AI25" s="68" t="e">
        <f>((($W$24)^M25)*((1-($W$24))^($U$29-M25))*HLOOKUP($U$29,$AV$24:$BF$34,M25+1))*V29</f>
        <v>#DIV/0!</v>
      </c>
      <c r="AJ25" s="12">
        <v>1</v>
      </c>
      <c r="AK25" s="68" t="e">
        <f>((($W$24)^M25)*((1-($W$24))^($U$30-M25))*HLOOKUP($U$30,$AV$24:$BF$34,M25+1))*V30</f>
        <v>#DIV/0!</v>
      </c>
      <c r="AL25" s="12">
        <v>1</v>
      </c>
      <c r="AM25" s="68" t="e">
        <f>((($W$24)^Q25)*((1-($W$24))^($U$31-Q25))*HLOOKUP($U$31,$AV$24:$BF$34,Q25+1))*V31</f>
        <v>#DIV/0!</v>
      </c>
      <c r="AN25" s="12">
        <v>1</v>
      </c>
      <c r="AO25" s="68" t="e">
        <f>((($W$24)^Q25)*((1-($W$24))^($U$32-Q25))*HLOOKUP($U$32,$AV$24:$BF$34,Q25+1))*V32</f>
        <v>#DIV/0!</v>
      </c>
      <c r="AP25" s="12">
        <v>1</v>
      </c>
      <c r="AQ25" s="68" t="e">
        <f>((($W$24)^Q25)*((1-($W$24))^($U$33-Q25))*HLOOKUP($U$33,$AV$24:$BF$34,Q25+1))*V33</f>
        <v>#DIV/0!</v>
      </c>
      <c r="AR25" s="12">
        <v>1</v>
      </c>
      <c r="AS25" s="68" t="e">
        <f>((($W$24)^Q25)*((1-($W$24))^($U$34-Q25))*HLOOKUP($U$34,$AV$24:$BF$34,Q25+1))*V34</f>
        <v>#DIV/0!</v>
      </c>
      <c r="AV25" s="14">
        <v>1</v>
      </c>
      <c r="AW25">
        <v>1</v>
      </c>
      <c r="AX25">
        <v>2</v>
      </c>
      <c r="AY25">
        <v>3</v>
      </c>
      <c r="AZ25">
        <v>4</v>
      </c>
      <c r="BA25">
        <v>5</v>
      </c>
      <c r="BB25">
        <v>6</v>
      </c>
      <c r="BC25">
        <f>7</f>
        <v>7</v>
      </c>
      <c r="BD25">
        <v>8</v>
      </c>
      <c r="BE25">
        <v>9</v>
      </c>
      <c r="BF25">
        <v>10</v>
      </c>
      <c r="BH25">
        <f t="shared" si="8"/>
        <v>2</v>
      </c>
      <c r="BI25">
        <v>5</v>
      </c>
      <c r="BJ25" s="94" t="e">
        <f t="shared" si="9"/>
        <v>#DIV/0!</v>
      </c>
      <c r="BP25">
        <f>BP19+1</f>
        <v>7</v>
      </c>
      <c r="BQ25">
        <v>1</v>
      </c>
      <c r="BR25" s="94" t="e">
        <f t="shared" si="12"/>
        <v>#DIV/0!</v>
      </c>
    </row>
    <row r="26" spans="1:70" x14ac:dyDescent="0.25">
      <c r="A26" s="34" t="s">
        <v>109</v>
      </c>
      <c r="B26" s="54" t="e">
        <f>1/(1+EXP(-3.1416*4*((B10/(B10+C9))-(3.1416/6))))</f>
        <v>#DIV/0!</v>
      </c>
      <c r="C26" s="55" t="e">
        <f>1/(1+EXP(-3.1416*4*((C10/(C10+B9))-(3.1416/6))))</f>
        <v>#DIV/0!</v>
      </c>
      <c r="D26" s="26">
        <f>IF(B17="AOW",0.257+0.04,IF(B17="AIM",0.257-0.04,IF(B17="TL",(0.257)-(0.257*B32),0.257)))</f>
        <v>0.25700000000000001</v>
      </c>
      <c r="E26" s="26">
        <f>IF(C17="AOW",0.257+0.04,IF(C17="AIM",0.257-0.04,IF(C17="TL",(0.257)-(0.257*C32),0.257)))</f>
        <v>0.25700000000000001</v>
      </c>
      <c r="G26" s="74">
        <v>2</v>
      </c>
      <c r="H26" s="110" t="e">
        <f>L24*J26+J25*L25+J24*L26</f>
        <v>#DIV/0!</v>
      </c>
      <c r="I26" s="80">
        <v>2</v>
      </c>
      <c r="J26" s="73" t="e">
        <f t="shared" si="10"/>
        <v>#DIV/0!</v>
      </c>
      <c r="K26" s="80">
        <v>2</v>
      </c>
      <c r="L26" s="73" t="e">
        <f>U20</f>
        <v>#DIV/0!</v>
      </c>
      <c r="M26" s="72">
        <v>2</v>
      </c>
      <c r="N26" s="63" t="e">
        <f>(($B$24)^M26)*((1-($B$24))^($B$21-M26))*HLOOKUP($B$21,$AV$24:$BF$34,M26+1)</f>
        <v>#DIV/0!</v>
      </c>
      <c r="O26" s="62">
        <v>2</v>
      </c>
      <c r="P26" s="63" t="e">
        <f t="shared" si="11"/>
        <v>#DIV/0!</v>
      </c>
      <c r="Q26" s="12">
        <v>2</v>
      </c>
      <c r="R26" s="31" t="e">
        <f>P24*N26+P25*N25+P26*N24</f>
        <v>#DIV/0!</v>
      </c>
      <c r="S26" s="62">
        <v>2</v>
      </c>
      <c r="T26" s="117" t="e">
        <f t="shared" si="13"/>
        <v>#DIV/0!</v>
      </c>
      <c r="U26" s="80">
        <v>2</v>
      </c>
      <c r="V26" s="73" t="e">
        <f>R26*T24+T25*R25+R24*T26</f>
        <v>#DIV/0!</v>
      </c>
      <c r="W26" s="119"/>
      <c r="X26" s="12">
        <v>2</v>
      </c>
      <c r="Y26" s="31"/>
      <c r="Z26" s="12">
        <v>2</v>
      </c>
      <c r="AA26" s="68"/>
      <c r="AB26" s="12">
        <v>2</v>
      </c>
      <c r="AC26" s="68" t="e">
        <f>((($W$24)^M26)*((1-($W$24))^($U$26-M26))*HLOOKUP($U$26,$AV$24:$BF$34,M26+1))*V26</f>
        <v>#DIV/0!</v>
      </c>
      <c r="AD26" s="12">
        <v>2</v>
      </c>
      <c r="AE26" s="68" t="e">
        <f>((($W$24)^M26)*((1-($W$24))^($U$27-M26))*HLOOKUP($U$27,$AV$24:$BF$34,M26+1))*V27</f>
        <v>#DIV/0!</v>
      </c>
      <c r="AF26" s="12">
        <v>2</v>
      </c>
      <c r="AG26" s="68" t="e">
        <f>((($W$24)^M26)*((1-($W$24))^($U$28-M26))*HLOOKUP($U$28,$AV$24:$BF$34,M26+1))*V28</f>
        <v>#DIV/0!</v>
      </c>
      <c r="AH26" s="12">
        <v>2</v>
      </c>
      <c r="AI26" s="68" t="e">
        <f>((($W$24)^M26)*((1-($W$24))^($U$29-M26))*HLOOKUP($U$29,$AV$24:$BF$34,M26+1))*V29</f>
        <v>#DIV/0!</v>
      </c>
      <c r="AJ26" s="12">
        <v>2</v>
      </c>
      <c r="AK26" s="68" t="e">
        <f>((($W$24)^M26)*((1-($W$24))^($U$30-M26))*HLOOKUP($U$30,$AV$24:$BF$34,M26+1))*V30</f>
        <v>#DIV/0!</v>
      </c>
      <c r="AL26" s="12">
        <v>2</v>
      </c>
      <c r="AM26" s="68" t="e">
        <f>((($W$24)^Q26)*((1-($W$24))^($U$31-Q26))*HLOOKUP($U$31,$AV$24:$BF$34,Q26+1))*V31</f>
        <v>#DIV/0!</v>
      </c>
      <c r="AN26" s="12">
        <v>2</v>
      </c>
      <c r="AO26" s="68" t="e">
        <f>((($W$24)^Q26)*((1-($W$24))^($U$32-Q26))*HLOOKUP($U$32,$AV$24:$BF$34,Q26+1))*V32</f>
        <v>#DIV/0!</v>
      </c>
      <c r="AP26" s="12">
        <v>2</v>
      </c>
      <c r="AQ26" s="68" t="e">
        <f>((($W$24)^Q26)*((1-($W$24))^($U$33-Q26))*HLOOKUP($U$33,$AV$24:$BF$34,Q26+1))*V33</f>
        <v>#DIV/0!</v>
      </c>
      <c r="AR26" s="12">
        <v>2</v>
      </c>
      <c r="AS26" s="68" t="e">
        <f>((($W$24)^Q26)*((1-($W$24))^($U$34-Q26))*HLOOKUP($U$34,$AV$24:$BF$34,Q26+1))*V34</f>
        <v>#DIV/0!</v>
      </c>
      <c r="AV26" s="14">
        <v>2</v>
      </c>
      <c r="AX26">
        <v>1</v>
      </c>
      <c r="AY26">
        <v>3</v>
      </c>
      <c r="AZ26">
        <v>6</v>
      </c>
      <c r="BA26">
        <v>10</v>
      </c>
      <c r="BB26">
        <v>15</v>
      </c>
      <c r="BC26">
        <f>6+15</f>
        <v>21</v>
      </c>
      <c r="BD26">
        <f>21+7</f>
        <v>28</v>
      </c>
      <c r="BE26">
        <f>28+8</f>
        <v>36</v>
      </c>
      <c r="BF26">
        <f>36+9</f>
        <v>45</v>
      </c>
      <c r="BH26">
        <f t="shared" si="8"/>
        <v>2</v>
      </c>
      <c r="BI26">
        <v>6</v>
      </c>
      <c r="BJ26" s="94" t="e">
        <f t="shared" si="9"/>
        <v>#DIV/0!</v>
      </c>
      <c r="BP26">
        <f>BP20+1</f>
        <v>7</v>
      </c>
      <c r="BQ26">
        <v>2</v>
      </c>
      <c r="BR26" s="94" t="e">
        <f t="shared" si="12"/>
        <v>#DIV/0!</v>
      </c>
    </row>
    <row r="27" spans="1:70" x14ac:dyDescent="0.25">
      <c r="A27" s="22" t="s">
        <v>110</v>
      </c>
      <c r="B27" s="54" t="e">
        <f>1/(1+EXP(-3.1416*4*((B12/(B12+C7))-(3.1416/6))))</f>
        <v>#DIV/0!</v>
      </c>
      <c r="C27" s="55" t="e">
        <f>1/(1+EXP(-3.1416*4*((C12/(C12+B7))-(3.1416/6))))</f>
        <v>#DIV/0!</v>
      </c>
      <c r="D27" s="26">
        <f>D26</f>
        <v>0.25700000000000001</v>
      </c>
      <c r="E27" s="26">
        <f>E26</f>
        <v>0.25700000000000001</v>
      </c>
      <c r="G27" s="74">
        <v>3</v>
      </c>
      <c r="H27" s="110" t="e">
        <f>J27*L24+J26*L25+L27*J24+L26*J25</f>
        <v>#DIV/0!</v>
      </c>
      <c r="I27" s="80">
        <v>3</v>
      </c>
      <c r="J27" s="73" t="e">
        <f t="shared" si="10"/>
        <v>#DIV/0!</v>
      </c>
      <c r="K27" s="80">
        <v>3</v>
      </c>
      <c r="L27" s="73" t="e">
        <f>V20</f>
        <v>#DIV/0!</v>
      </c>
      <c r="M27" s="72">
        <v>3</v>
      </c>
      <c r="N27" s="63" t="e">
        <f>(($B$24)^M27)*((1-($B$24))^($B$21-M27))*HLOOKUP($B$21,$AV$24:$BF$34,M27+1)</f>
        <v>#DIV/0!</v>
      </c>
      <c r="O27" s="62">
        <v>3</v>
      </c>
      <c r="P27" s="63" t="e">
        <f t="shared" si="11"/>
        <v>#DIV/0!</v>
      </c>
      <c r="Q27" s="12">
        <v>3</v>
      </c>
      <c r="R27" s="31" t="e">
        <f>P24*N27+P25*N26+P26*N25+P27*N24</f>
        <v>#DIV/0!</v>
      </c>
      <c r="S27" s="62">
        <v>3</v>
      </c>
      <c r="T27" s="117" t="e">
        <f t="shared" si="13"/>
        <v>#DIV/0!</v>
      </c>
      <c r="U27" s="80">
        <v>3</v>
      </c>
      <c r="V27" s="73" t="e">
        <f>R27*T24+R26*T25+R25*T26+R24*T27</f>
        <v>#DIV/0!</v>
      </c>
      <c r="W27" s="119"/>
      <c r="X27" s="12">
        <v>3</v>
      </c>
      <c r="Y27" s="31"/>
      <c r="Z27" s="12">
        <v>3</v>
      </c>
      <c r="AA27" s="68"/>
      <c r="AB27" s="12">
        <v>3</v>
      </c>
      <c r="AC27" s="68"/>
      <c r="AD27" s="12">
        <v>3</v>
      </c>
      <c r="AE27" s="68" t="e">
        <f>((($W$24)^M27)*((1-($W$24))^($U$27-M27))*HLOOKUP($U$27,$AV$24:$BF$34,M27+1))*V27</f>
        <v>#DIV/0!</v>
      </c>
      <c r="AF27" s="12">
        <v>3</v>
      </c>
      <c r="AG27" s="68" t="e">
        <f>((($W$24)^M27)*((1-($W$24))^($U$28-M27))*HLOOKUP($U$28,$AV$24:$BF$34,M27+1))*V28</f>
        <v>#DIV/0!</v>
      </c>
      <c r="AH27" s="12">
        <v>3</v>
      </c>
      <c r="AI27" s="68" t="e">
        <f>((($W$24)^M27)*((1-($W$24))^($U$29-M27))*HLOOKUP($U$29,$AV$24:$BF$34,M27+1))*V29</f>
        <v>#DIV/0!</v>
      </c>
      <c r="AJ27" s="12">
        <v>3</v>
      </c>
      <c r="AK27" s="68" t="e">
        <f>((($W$24)^M27)*((1-($W$24))^($U$30-M27))*HLOOKUP($U$30,$AV$24:$BF$34,M27+1))*V30</f>
        <v>#DIV/0!</v>
      </c>
      <c r="AL27" s="12">
        <v>3</v>
      </c>
      <c r="AM27" s="68" t="e">
        <f>((($W$24)^Q27)*((1-($W$24))^($U$31-Q27))*HLOOKUP($U$31,$AV$24:$BF$34,Q27+1))*V31</f>
        <v>#DIV/0!</v>
      </c>
      <c r="AN27" s="12">
        <v>3</v>
      </c>
      <c r="AO27" s="68" t="e">
        <f>((($W$24)^Q27)*((1-($W$24))^($U$32-Q27))*HLOOKUP($U$32,$AV$24:$BF$34,Q27+1))*V32</f>
        <v>#DIV/0!</v>
      </c>
      <c r="AP27" s="12">
        <v>3</v>
      </c>
      <c r="AQ27" s="68" t="e">
        <f>((($W$24)^Q27)*((1-($W$24))^($U$33-Q27))*HLOOKUP($U$33,$AV$24:$BF$34,Q27+1))*V33</f>
        <v>#DIV/0!</v>
      </c>
      <c r="AR27" s="12">
        <v>3</v>
      </c>
      <c r="AS27" s="68" t="e">
        <f>((($W$24)^Q27)*((1-($W$24))^($U$34-Q27))*HLOOKUP($U$34,$AV$24:$BF$34,Q27+1))*V34</f>
        <v>#DIV/0!</v>
      </c>
      <c r="AV27" s="14">
        <v>3</v>
      </c>
      <c r="AY27">
        <v>1</v>
      </c>
      <c r="AZ27">
        <v>4</v>
      </c>
      <c r="BA27">
        <v>10</v>
      </c>
      <c r="BB27">
        <v>20</v>
      </c>
      <c r="BC27">
        <f>15+20</f>
        <v>35</v>
      </c>
      <c r="BD27">
        <f>21+35</f>
        <v>56</v>
      </c>
      <c r="BE27">
        <f>28+56</f>
        <v>84</v>
      </c>
      <c r="BF27">
        <f>36+84</f>
        <v>120</v>
      </c>
      <c r="BH27">
        <f t="shared" si="8"/>
        <v>2</v>
      </c>
      <c r="BI27">
        <v>7</v>
      </c>
      <c r="BJ27" s="94" t="e">
        <f t="shared" si="9"/>
        <v>#DIV/0!</v>
      </c>
      <c r="BP27">
        <f>BP21+1</f>
        <v>7</v>
      </c>
      <c r="BQ27">
        <v>3</v>
      </c>
      <c r="BR27" s="94" t="e">
        <f t="shared" si="12"/>
        <v>#DIV/0!</v>
      </c>
    </row>
    <row r="28" spans="1:70" x14ac:dyDescent="0.25">
      <c r="A28" s="22" t="s">
        <v>111</v>
      </c>
      <c r="B28" s="105">
        <v>0.9</v>
      </c>
      <c r="C28" s="106">
        <v>0.9</v>
      </c>
      <c r="D28" s="26">
        <v>8.5000000000000006E-2</v>
      </c>
      <c r="E28" s="26">
        <v>8.5000000000000006E-2</v>
      </c>
      <c r="G28" s="74">
        <v>4</v>
      </c>
      <c r="H28" s="110" t="e">
        <f>J28*L24+J27*L25+J26*L26+J25*L27</f>
        <v>#DIV/0!</v>
      </c>
      <c r="I28" s="80">
        <v>4</v>
      </c>
      <c r="J28" s="73" t="e">
        <f t="shared" si="10"/>
        <v>#DIV/0!</v>
      </c>
      <c r="K28" s="80">
        <v>4</v>
      </c>
      <c r="L28" s="73"/>
      <c r="M28" s="72">
        <v>4</v>
      </c>
      <c r="N28" s="63" t="e">
        <f>(($B$24)^M28)*((1-($B$24))^($B$21-M28))*HLOOKUP($B$21,$AV$24:$BF$34,M28+1)</f>
        <v>#DIV/0!</v>
      </c>
      <c r="O28" s="62">
        <v>4</v>
      </c>
      <c r="P28" s="63" t="e">
        <f t="shared" si="11"/>
        <v>#DIV/0!</v>
      </c>
      <c r="Q28" s="12">
        <v>4</v>
      </c>
      <c r="R28" s="31" t="e">
        <f>P24*N28+P25*N27+P26*N26+P27*N25+P28*N24</f>
        <v>#DIV/0!</v>
      </c>
      <c r="S28" s="62">
        <v>4</v>
      </c>
      <c r="T28" s="117" t="e">
        <f t="shared" si="13"/>
        <v>#DIV/0!</v>
      </c>
      <c r="U28" s="80">
        <v>4</v>
      </c>
      <c r="V28" s="73" t="e">
        <f>T28*R24+T27*R25+T26*R26+T25*R27+T24*R28</f>
        <v>#DIV/0!</v>
      </c>
      <c r="W28" s="119"/>
      <c r="X28" s="12">
        <v>4</v>
      </c>
      <c r="Y28" s="31"/>
      <c r="Z28" s="12">
        <v>4</v>
      </c>
      <c r="AA28" s="68"/>
      <c r="AB28" s="12">
        <v>4</v>
      </c>
      <c r="AC28" s="68"/>
      <c r="AD28" s="12">
        <v>4</v>
      </c>
      <c r="AE28" s="68"/>
      <c r="AF28" s="12">
        <v>4</v>
      </c>
      <c r="AG28" s="68" t="e">
        <f>((($W$24)^M28)*((1-($W$24))^($U$28-M28))*HLOOKUP($U$28,$AV$24:$BF$34,M28+1))*V28</f>
        <v>#DIV/0!</v>
      </c>
      <c r="AH28" s="12">
        <v>4</v>
      </c>
      <c r="AI28" s="68" t="e">
        <f>((($W$24)^M28)*((1-($W$24))^($U$29-M28))*HLOOKUP($U$29,$AV$24:$BF$34,M28+1))*V29</f>
        <v>#DIV/0!</v>
      </c>
      <c r="AJ28" s="12">
        <v>4</v>
      </c>
      <c r="AK28" s="68" t="e">
        <f>((($W$24)^M28)*((1-($W$24))^($U$30-M28))*HLOOKUP($U$30,$AV$24:$BF$34,M28+1))*V30</f>
        <v>#DIV/0!</v>
      </c>
      <c r="AL28" s="12">
        <v>4</v>
      </c>
      <c r="AM28" s="68" t="e">
        <f>((($W$24)^Q28)*((1-($W$24))^($U$31-Q28))*HLOOKUP($U$31,$AV$24:$BF$34,Q28+1))*V31</f>
        <v>#DIV/0!</v>
      </c>
      <c r="AN28" s="12">
        <v>4</v>
      </c>
      <c r="AO28" s="68" t="e">
        <f>((($W$24)^Q28)*((1-($W$24))^($U$32-Q28))*HLOOKUP($U$32,$AV$24:$BF$34,Q28+1))*V32</f>
        <v>#DIV/0!</v>
      </c>
      <c r="AP28" s="12">
        <v>4</v>
      </c>
      <c r="AQ28" s="68" t="e">
        <f>((($W$24)^Q28)*((1-($W$24))^($U$33-Q28))*HLOOKUP($U$33,$AV$24:$BF$34,Q28+1))*V33</f>
        <v>#DIV/0!</v>
      </c>
      <c r="AR28" s="12">
        <v>4</v>
      </c>
      <c r="AS28" s="68" t="e">
        <f>((($W$24)^Q28)*((1-($W$24))^($U$34-Q28))*HLOOKUP($U$34,$AV$24:$BF$34,Q28+1))*V34</f>
        <v>#DIV/0!</v>
      </c>
      <c r="AV28" s="14">
        <v>4</v>
      </c>
      <c r="AZ28">
        <v>1</v>
      </c>
      <c r="BA28">
        <v>5</v>
      </c>
      <c r="BB28">
        <v>15</v>
      </c>
      <c r="BC28">
        <f>20+15</f>
        <v>35</v>
      </c>
      <c r="BD28">
        <f>35+35</f>
        <v>70</v>
      </c>
      <c r="BE28">
        <f>56+70</f>
        <v>126</v>
      </c>
      <c r="BF28">
        <f t="shared" ref="BF28:BF34" si="14">BE27+BE28</f>
        <v>210</v>
      </c>
      <c r="BH28">
        <f t="shared" si="8"/>
        <v>2</v>
      </c>
      <c r="BI28">
        <v>8</v>
      </c>
      <c r="BJ28" s="94" t="e">
        <f t="shared" si="9"/>
        <v>#DIV/0!</v>
      </c>
      <c r="BP28">
        <f>BP22+1</f>
        <v>7</v>
      </c>
      <c r="BQ28">
        <v>4</v>
      </c>
      <c r="BR28" s="94" t="e">
        <f t="shared" si="12"/>
        <v>#DIV/0!</v>
      </c>
    </row>
    <row r="29" spans="1:70" x14ac:dyDescent="0.25">
      <c r="A29" s="22" t="s">
        <v>112</v>
      </c>
      <c r="B29" s="54">
        <f>1/(1+EXP(-3.1416*4*((B14/(B14+C13))-(3.1416/6))))</f>
        <v>0.20010231099857245</v>
      </c>
      <c r="C29" s="55">
        <f>1/(1+EXP(-3.1416*4*((C14/(C14+B13))-(3.1416/6))))</f>
        <v>0.575891899079775</v>
      </c>
      <c r="D29" s="26">
        <v>0.04</v>
      </c>
      <c r="E29" s="26">
        <v>0.04</v>
      </c>
      <c r="G29" s="74">
        <v>5</v>
      </c>
      <c r="H29" s="110" t="e">
        <f>J29*L24+J28*L25+J27*L26+J26*L27</f>
        <v>#DIV/0!</v>
      </c>
      <c r="I29" s="80">
        <v>5</v>
      </c>
      <c r="J29" s="73" t="e">
        <f t="shared" si="10"/>
        <v>#DIV/0!</v>
      </c>
      <c r="K29" s="80">
        <v>5</v>
      </c>
      <c r="L29" s="73"/>
      <c r="M29" s="72">
        <v>5</v>
      </c>
      <c r="N29" s="63" t="e">
        <f>(($B$24)^M29)*((1-($B$24))^($B$21-M29))*HLOOKUP($B$21,$AV$24:$BF$34,M29+1)</f>
        <v>#DIV/0!</v>
      </c>
      <c r="O29" s="62">
        <v>5</v>
      </c>
      <c r="P29" s="63" t="e">
        <f t="shared" si="11"/>
        <v>#DIV/0!</v>
      </c>
      <c r="Q29" s="12">
        <v>5</v>
      </c>
      <c r="R29" s="31" t="e">
        <f>P24*N29+P25*N28+P26*N27+P27*N26+P28*N25+P29*N24</f>
        <v>#DIV/0!</v>
      </c>
      <c r="S29" s="62">
        <v>5</v>
      </c>
      <c r="T29" s="117" t="e">
        <f t="shared" si="13"/>
        <v>#DIV/0!</v>
      </c>
      <c r="U29" s="80">
        <v>5</v>
      </c>
      <c r="V29" s="73" t="e">
        <f>T29*R24+T28*R25+T27*R26+T26*R27+T25*R28+T24*R29</f>
        <v>#DIV/0!</v>
      </c>
      <c r="W29" s="119"/>
      <c r="X29" s="12">
        <v>5</v>
      </c>
      <c r="Y29" s="31"/>
      <c r="Z29" s="12">
        <v>5</v>
      </c>
      <c r="AA29" s="68"/>
      <c r="AB29" s="12">
        <v>5</v>
      </c>
      <c r="AC29" s="68"/>
      <c r="AD29" s="12">
        <v>5</v>
      </c>
      <c r="AE29" s="68"/>
      <c r="AF29" s="12">
        <v>5</v>
      </c>
      <c r="AG29" s="68"/>
      <c r="AH29" s="12">
        <v>5</v>
      </c>
      <c r="AI29" s="68" t="e">
        <f>((($W$24)^M29)*((1-($W$24))^($U$29-M29))*HLOOKUP($U$29,$AV$24:$BF$34,M29+1))*V29</f>
        <v>#DIV/0!</v>
      </c>
      <c r="AJ29" s="12">
        <v>5</v>
      </c>
      <c r="AK29" s="68" t="e">
        <f>((($W$24)^M29)*((1-($W$24))^($U$30-M29))*HLOOKUP($U$30,$AV$24:$BF$34,M29+1))*V30</f>
        <v>#DIV/0!</v>
      </c>
      <c r="AL29" s="12">
        <v>5</v>
      </c>
      <c r="AM29" s="68" t="e">
        <f>((($W$24)^Q29)*((1-($W$24))^($U$31-Q29))*HLOOKUP($U$31,$AV$24:$BF$34,Q29+1))*V31</f>
        <v>#DIV/0!</v>
      </c>
      <c r="AN29" s="12">
        <v>5</v>
      </c>
      <c r="AO29" s="68" t="e">
        <f>((($W$24)^Q29)*((1-($W$24))^($U$32-Q29))*HLOOKUP($U$32,$AV$24:$BF$34,Q29+1))*V32</f>
        <v>#DIV/0!</v>
      </c>
      <c r="AP29" s="12">
        <v>5</v>
      </c>
      <c r="AQ29" s="68" t="e">
        <f>((($W$24)^Q29)*((1-($W$24))^($U$33-Q29))*HLOOKUP($U$33,$AV$24:$BF$34,Q29+1))*V33</f>
        <v>#DIV/0!</v>
      </c>
      <c r="AR29" s="12">
        <v>5</v>
      </c>
      <c r="AS29" s="68" t="e">
        <f>((($W$24)^Q29)*((1-($W$24))^($U$34-Q29))*HLOOKUP($U$34,$AV$24:$BF$34,Q29+1))*V34</f>
        <v>#DIV/0!</v>
      </c>
      <c r="AV29" s="14">
        <v>5</v>
      </c>
      <c r="BA29">
        <v>1</v>
      </c>
      <c r="BB29">
        <v>6</v>
      </c>
      <c r="BC29">
        <f>15+6</f>
        <v>21</v>
      </c>
      <c r="BD29">
        <f>35+21</f>
        <v>56</v>
      </c>
      <c r="BE29">
        <f>70+56</f>
        <v>126</v>
      </c>
      <c r="BF29">
        <f t="shared" si="14"/>
        <v>252</v>
      </c>
      <c r="BH29">
        <f t="shared" si="8"/>
        <v>2</v>
      </c>
      <c r="BI29">
        <v>9</v>
      </c>
      <c r="BJ29" s="94" t="e">
        <f t="shared" si="9"/>
        <v>#DIV/0!</v>
      </c>
      <c r="BP29">
        <f>BP23+1</f>
        <v>7</v>
      </c>
      <c r="BQ29">
        <v>5</v>
      </c>
      <c r="BR29" s="94" t="e">
        <f t="shared" si="12"/>
        <v>#DIV/0!</v>
      </c>
    </row>
    <row r="30" spans="1:70" x14ac:dyDescent="0.25">
      <c r="A30" s="22" t="s">
        <v>113</v>
      </c>
      <c r="B30" s="105">
        <v>0.15</v>
      </c>
      <c r="C30" s="106">
        <v>0.15</v>
      </c>
      <c r="D30" s="26">
        <f>IF(B17="TL",0.875*B32,0.001)</f>
        <v>1E-3</v>
      </c>
      <c r="E30" s="26">
        <f>IF(C17="TL",0.875*C32,0.001)</f>
        <v>1E-3</v>
      </c>
      <c r="G30" s="74">
        <v>6</v>
      </c>
      <c r="H30" s="110" t="e">
        <f>J30*L24+J29*L25+J28*L26+J27*L27</f>
        <v>#DIV/0!</v>
      </c>
      <c r="I30" s="80">
        <v>6</v>
      </c>
      <c r="J30" s="73" t="e">
        <f t="shared" si="10"/>
        <v>#DIV/0!</v>
      </c>
      <c r="K30" s="80">
        <v>6</v>
      </c>
      <c r="L30" s="73"/>
      <c r="M30" s="72"/>
      <c r="N30" s="31"/>
      <c r="O30" s="31"/>
      <c r="P30" s="31"/>
      <c r="Q30" s="12">
        <v>6</v>
      </c>
      <c r="R30" s="31" t="e">
        <f>P25*N29+P26*N28+P27*N27+P28*N26+P29*N25</f>
        <v>#DIV/0!</v>
      </c>
      <c r="S30" s="62">
        <v>6</v>
      </c>
      <c r="T30" s="117" t="e">
        <f t="shared" si="13"/>
        <v>#DIV/0!</v>
      </c>
      <c r="U30" s="80">
        <v>6</v>
      </c>
      <c r="V30" s="73" t="e">
        <f>T30*R24+T29*R25+T28*R26+T27*R27+T26*R28+T25*R29+T24*R30</f>
        <v>#DIV/0!</v>
      </c>
      <c r="W30" s="119"/>
      <c r="X30" s="12">
        <v>6</v>
      </c>
      <c r="Y30" s="31"/>
      <c r="Z30" s="12">
        <v>6</v>
      </c>
      <c r="AA30" s="68"/>
      <c r="AB30" s="12">
        <v>6</v>
      </c>
      <c r="AC30" s="68"/>
      <c r="AD30" s="12">
        <v>6</v>
      </c>
      <c r="AE30" s="68"/>
      <c r="AF30" s="12">
        <v>6</v>
      </c>
      <c r="AG30" s="68"/>
      <c r="AH30" s="12">
        <v>6</v>
      </c>
      <c r="AI30" s="68"/>
      <c r="AJ30" s="12">
        <v>6</v>
      </c>
      <c r="AK30" s="68" t="e">
        <f>((($W$24)^Q30)*((1-($W$24))^($U$30-Q30))*HLOOKUP($U$30,$AV$24:$BF$34,Q30+1))*V30</f>
        <v>#DIV/0!</v>
      </c>
      <c r="AL30" s="12">
        <v>6</v>
      </c>
      <c r="AM30" s="68" t="e">
        <f>((($W$24)^Q30)*((1-($W$24))^($U$31-Q30))*HLOOKUP($U$31,$AV$24:$BF$34,Q30+1))*V31</f>
        <v>#DIV/0!</v>
      </c>
      <c r="AN30" s="12">
        <v>6</v>
      </c>
      <c r="AO30" s="68" t="e">
        <f>((($W$24)^Q30)*((1-($W$24))^($U$32-Q30))*HLOOKUP($U$32,$AV$24:$BF$34,Q30+1))*V32</f>
        <v>#DIV/0!</v>
      </c>
      <c r="AP30" s="12">
        <v>6</v>
      </c>
      <c r="AQ30" s="68" t="e">
        <f>((($W$24)^Q30)*((1-($W$24))^($U$33-Q30))*HLOOKUP($U$33,$AV$24:$BF$34,Q30+1))*V33</f>
        <v>#DIV/0!</v>
      </c>
      <c r="AR30" s="12">
        <v>6</v>
      </c>
      <c r="AS30" s="68" t="e">
        <f>((($W$24)^Q30)*((1-($W$24))^($U$34-Q30))*HLOOKUP($U$34,$AV$24:$BF$34,Q30+1))*V34</f>
        <v>#DIV/0!</v>
      </c>
      <c r="AV30" s="24">
        <v>6</v>
      </c>
      <c r="BB30">
        <v>1</v>
      </c>
      <c r="BC30">
        <v>7</v>
      </c>
      <c r="BD30">
        <f>28</f>
        <v>28</v>
      </c>
      <c r="BE30">
        <f>56+28</f>
        <v>84</v>
      </c>
      <c r="BF30">
        <f t="shared" si="14"/>
        <v>210</v>
      </c>
      <c r="BH30">
        <f t="shared" si="8"/>
        <v>2</v>
      </c>
      <c r="BI30">
        <v>10</v>
      </c>
      <c r="BJ30" s="94" t="e">
        <f t="shared" si="9"/>
        <v>#DIV/0!</v>
      </c>
      <c r="BP30">
        <f>BL10+1</f>
        <v>7</v>
      </c>
      <c r="BQ30">
        <v>6</v>
      </c>
      <c r="BR30" s="94" t="e">
        <f t="shared" si="12"/>
        <v>#DIV/0!</v>
      </c>
    </row>
    <row r="31" spans="1:70" x14ac:dyDescent="0.25">
      <c r="A31" s="43" t="s">
        <v>114</v>
      </c>
      <c r="B31" s="52" t="e">
        <f>(B25*D25)+(B26*D26)+(B27*D27)+(B28*D28)+(B29*D29)+(B30*D30)/(B25+B26+B27+B28+B29+B30)</f>
        <v>#DIV/0!</v>
      </c>
      <c r="C31" s="53" t="e">
        <f>(C25*E25)+(C26*E26)+(C27*E27)+(C28*E28)+(C29*E29)+(C30*E30)/(C25+C26+C27+C28+C29+C30)</f>
        <v>#DIV/0!</v>
      </c>
      <c r="G31" s="74">
        <v>7</v>
      </c>
      <c r="H31" s="110" t="e">
        <f>J31*L24+J30*L25+J29*L26+J28*L27</f>
        <v>#DIV/0!</v>
      </c>
      <c r="I31" s="80">
        <v>7</v>
      </c>
      <c r="J31" s="73" t="e">
        <f t="shared" si="10"/>
        <v>#DIV/0!</v>
      </c>
      <c r="K31" s="80">
        <v>7</v>
      </c>
      <c r="L31" s="73"/>
      <c r="M31" s="72"/>
      <c r="N31" s="31"/>
      <c r="O31" s="31"/>
      <c r="P31" s="31"/>
      <c r="Q31" s="12">
        <v>7</v>
      </c>
      <c r="R31" s="31" t="e">
        <f>P26*N29+P27*N28+P28*N27+P29*N26</f>
        <v>#DIV/0!</v>
      </c>
      <c r="S31" s="62">
        <v>7</v>
      </c>
      <c r="T31" s="117" t="e">
        <f t="shared" si="13"/>
        <v>#DIV/0!</v>
      </c>
      <c r="U31" s="80">
        <v>7</v>
      </c>
      <c r="V31" s="73" t="e">
        <f>T31*R24+T30*R25+T29*R26+T28*R27+T27*R28+T26*R29+T25*R30+T24*R31</f>
        <v>#DIV/0!</v>
      </c>
      <c r="W31" s="119"/>
      <c r="X31" s="12">
        <v>7</v>
      </c>
      <c r="Y31" s="31"/>
      <c r="Z31" s="12">
        <v>7</v>
      </c>
      <c r="AA31" s="68"/>
      <c r="AB31" s="12">
        <v>7</v>
      </c>
      <c r="AC31" s="68"/>
      <c r="AD31" s="12">
        <v>7</v>
      </c>
      <c r="AE31" s="68"/>
      <c r="AF31" s="12">
        <v>7</v>
      </c>
      <c r="AG31" s="68"/>
      <c r="AH31" s="12">
        <v>7</v>
      </c>
      <c r="AI31" s="68"/>
      <c r="AJ31" s="12">
        <v>7</v>
      </c>
      <c r="AK31" s="68"/>
      <c r="AL31" s="12">
        <v>7</v>
      </c>
      <c r="AM31" s="68" t="e">
        <f>((($W$24)^Q31)*((1-($W$24))^($U$31-Q31))*HLOOKUP($U$31,$AV$24:$BF$34,Q31+1))*V31</f>
        <v>#DIV/0!</v>
      </c>
      <c r="AN31" s="12">
        <v>7</v>
      </c>
      <c r="AO31" s="68" t="e">
        <f>((($W$24)^Q31)*((1-($W$24))^($U$32-Q31))*HLOOKUP($U$32,$AV$24:$BF$34,Q31+1))*V32</f>
        <v>#DIV/0!</v>
      </c>
      <c r="AP31" s="12">
        <v>7</v>
      </c>
      <c r="AQ31" s="68" t="e">
        <f>((($W$24)^Q31)*((1-($W$24))^($U$33-Q31))*HLOOKUP($U$33,$AV$24:$BF$34,Q31+1))*V33</f>
        <v>#DIV/0!</v>
      </c>
      <c r="AR31" s="12">
        <v>7</v>
      </c>
      <c r="AS31" s="68" t="e">
        <f>((($W$24)^Q31)*((1-($W$24))^($U$34-Q31))*HLOOKUP($U$34,$AV$24:$BF$34,Q31+1))*V34</f>
        <v>#DIV/0!</v>
      </c>
      <c r="AV31" s="14">
        <v>7</v>
      </c>
      <c r="BC31">
        <v>1</v>
      </c>
      <c r="BD31">
        <v>8</v>
      </c>
      <c r="BE31">
        <f>28+8</f>
        <v>36</v>
      </c>
      <c r="BF31">
        <f t="shared" si="14"/>
        <v>120</v>
      </c>
      <c r="BH31">
        <f t="shared" ref="BH31:BH37" si="15">BH24+1</f>
        <v>3</v>
      </c>
      <c r="BI31">
        <v>4</v>
      </c>
      <c r="BJ31" s="94" t="e">
        <f t="shared" ref="BJ31:BJ37" si="16">$H$27*H42</f>
        <v>#DIV/0!</v>
      </c>
      <c r="BP31">
        <f t="shared" ref="BP31:BP37" si="17">BP24+1</f>
        <v>8</v>
      </c>
      <c r="BQ31">
        <v>0</v>
      </c>
      <c r="BR31" s="94" t="e">
        <f t="shared" ref="BR31:BR38" si="18">$H$32*H38</f>
        <v>#DIV/0!</v>
      </c>
    </row>
    <row r="32" spans="1:70" x14ac:dyDescent="0.25">
      <c r="A32" s="22" t="s">
        <v>115</v>
      </c>
      <c r="B32" s="65">
        <f>IF(B17&lt;&gt;"TL",0.001,IF(B18&lt;5,0.1,IF(B18&lt;10,0.2,IF(B18&lt;14,0.3,0.35))))</f>
        <v>1E-3</v>
      </c>
      <c r="C32" s="50">
        <f>IF(C17&lt;&gt;"TL",0.001,IF(C18&lt;5,0.1,IF(C18&lt;10,0.2,IF(C18&lt;14,0.3,0.35))))</f>
        <v>1E-3</v>
      </c>
      <c r="G32" s="74">
        <v>8</v>
      </c>
      <c r="H32" s="110" t="e">
        <f>J32*L24+J31*L25+J30*L26+J29*L27</f>
        <v>#DIV/0!</v>
      </c>
      <c r="I32" s="80">
        <v>8</v>
      </c>
      <c r="J32" s="73" t="e">
        <f t="shared" si="10"/>
        <v>#DIV/0!</v>
      </c>
      <c r="K32" s="80">
        <v>8</v>
      </c>
      <c r="L32" s="73"/>
      <c r="M32" s="72"/>
      <c r="N32" s="31"/>
      <c r="O32" s="31"/>
      <c r="P32" s="31"/>
      <c r="Q32" s="12">
        <v>8</v>
      </c>
      <c r="R32" s="31" t="e">
        <f>P27*N29+P28*N28+P29*N27</f>
        <v>#DIV/0!</v>
      </c>
      <c r="S32" s="62">
        <v>8</v>
      </c>
      <c r="T32" s="117" t="e">
        <f t="shared" si="13"/>
        <v>#DIV/0!</v>
      </c>
      <c r="U32" s="80">
        <v>8</v>
      </c>
      <c r="V32" s="73" t="e">
        <f>T32*R24+T31*R25+T30*R26+T29*R27+T28*R28+T27*R29+T26*R30+T25*R31+T24*R32</f>
        <v>#DIV/0!</v>
      </c>
      <c r="W32" s="119"/>
      <c r="X32" s="12">
        <v>8</v>
      </c>
      <c r="Y32" s="31"/>
      <c r="Z32" s="12">
        <v>8</v>
      </c>
      <c r="AA32" s="68"/>
      <c r="AB32" s="12">
        <v>8</v>
      </c>
      <c r="AC32" s="68"/>
      <c r="AD32" s="12">
        <v>8</v>
      </c>
      <c r="AE32" s="68"/>
      <c r="AF32" s="12">
        <v>8</v>
      </c>
      <c r="AG32" s="68"/>
      <c r="AH32" s="12">
        <v>8</v>
      </c>
      <c r="AI32" s="68"/>
      <c r="AJ32" s="12">
        <v>8</v>
      </c>
      <c r="AK32" s="68"/>
      <c r="AL32" s="12">
        <v>8</v>
      </c>
      <c r="AM32" s="68"/>
      <c r="AN32" s="12">
        <v>8</v>
      </c>
      <c r="AO32" s="68" t="e">
        <f>((($W$24)^Q32)*((1-($W$24))^($U$32-Q32))*HLOOKUP($U$32,$AV$24:$BF$34,Q32+1))*V32</f>
        <v>#DIV/0!</v>
      </c>
      <c r="AP32" s="12">
        <v>8</v>
      </c>
      <c r="AQ32" s="68" t="e">
        <f>((($W$24)^Q32)*((1-($W$24))^($U$33-Q32))*HLOOKUP($U$33,$AV$24:$BF$34,Q32+1))*V33</f>
        <v>#DIV/0!</v>
      </c>
      <c r="AR32" s="12">
        <v>8</v>
      </c>
      <c r="AS32" s="68" t="e">
        <f>((($W$24)^Q32)*((1-($W$24))^($U$34-Q32))*HLOOKUP($U$34,$AV$24:$BF$34,Q32+1))*V34</f>
        <v>#DIV/0!</v>
      </c>
      <c r="AV32" s="14">
        <v>8</v>
      </c>
      <c r="BD32">
        <v>1</v>
      </c>
      <c r="BE32">
        <v>9</v>
      </c>
      <c r="BF32">
        <f t="shared" si="14"/>
        <v>45</v>
      </c>
      <c r="BH32">
        <f t="shared" si="15"/>
        <v>3</v>
      </c>
      <c r="BI32">
        <v>5</v>
      </c>
      <c r="BJ32" s="94" t="e">
        <f t="shared" si="16"/>
        <v>#DIV/0!</v>
      </c>
      <c r="BP32">
        <f t="shared" si="17"/>
        <v>8</v>
      </c>
      <c r="BQ32">
        <v>1</v>
      </c>
      <c r="BR32" s="94" t="e">
        <f t="shared" si="18"/>
        <v>#DIV/0!</v>
      </c>
    </row>
    <row r="33" spans="1:70" x14ac:dyDescent="0.25">
      <c r="A33" s="22" t="s">
        <v>116</v>
      </c>
      <c r="B33" s="65">
        <f>IF(B17&lt;&gt;"CA",0.005,IF((B18-B16)&lt;0,0.1,0.1+0.055*(B18-B16)))</f>
        <v>5.0000000000000001E-3</v>
      </c>
      <c r="C33" s="50">
        <f>IF(C17&lt;&gt;"CA",0.005,IF((C18-C16)&lt;0,0.1,0.1+0.055*(C18-C16)))</f>
        <v>5.0000000000000001E-3</v>
      </c>
      <c r="G33" s="74">
        <v>9</v>
      </c>
      <c r="H33" s="110" t="e">
        <f>J33*L24+J32*L25+J31*L26+J30*L27</f>
        <v>#DIV/0!</v>
      </c>
      <c r="I33" s="80">
        <v>9</v>
      </c>
      <c r="J33" s="73" t="e">
        <f t="shared" si="10"/>
        <v>#DIV/0!</v>
      </c>
      <c r="K33" s="80">
        <v>9</v>
      </c>
      <c r="L33" s="73"/>
      <c r="M33" s="72"/>
      <c r="N33" s="31"/>
      <c r="O33" s="31"/>
      <c r="P33" s="31"/>
      <c r="Q33" s="12">
        <v>9</v>
      </c>
      <c r="R33" s="31" t="e">
        <f>P28*N29+P29*N28</f>
        <v>#DIV/0!</v>
      </c>
      <c r="S33" s="62">
        <v>9</v>
      </c>
      <c r="T33" s="117" t="e">
        <f t="shared" si="13"/>
        <v>#DIV/0!</v>
      </c>
      <c r="U33" s="80">
        <v>9</v>
      </c>
      <c r="V33" s="73" t="e">
        <f>T33*R24+T32*R25+T31*R26+T30*R27+T29*R28+T28*R29+T27*R30+T26*R31+T25*R32+T24*R33</f>
        <v>#DIV/0!</v>
      </c>
      <c r="W33" s="119"/>
      <c r="X33" s="12">
        <v>9</v>
      </c>
      <c r="Y33" s="31"/>
      <c r="Z33" s="12">
        <v>9</v>
      </c>
      <c r="AA33" s="68"/>
      <c r="AB33" s="12">
        <v>9</v>
      </c>
      <c r="AC33" s="68"/>
      <c r="AD33" s="12">
        <v>9</v>
      </c>
      <c r="AE33" s="68"/>
      <c r="AF33" s="12">
        <v>9</v>
      </c>
      <c r="AG33" s="68"/>
      <c r="AH33" s="12">
        <v>9</v>
      </c>
      <c r="AI33" s="68"/>
      <c r="AJ33" s="12">
        <v>9</v>
      </c>
      <c r="AK33" s="68"/>
      <c r="AL33" s="12">
        <v>9</v>
      </c>
      <c r="AM33" s="68"/>
      <c r="AN33" s="12">
        <v>9</v>
      </c>
      <c r="AO33" s="68"/>
      <c r="AP33" s="12">
        <v>9</v>
      </c>
      <c r="AQ33" s="68" t="e">
        <f>((($W$24)^Q33)*((1-($W$24))^($U$33-Q33))*HLOOKUP($U$33,$AV$24:$BF$34,Q33+1))*V33</f>
        <v>#DIV/0!</v>
      </c>
      <c r="AR33" s="12">
        <v>9</v>
      </c>
      <c r="AS33" s="68" t="e">
        <f>((($W$24)^Q33)*((1-($W$24))^($U$34-Q33))*HLOOKUP($U$34,$AV$24:$BF$34,Q33+1))*V34</f>
        <v>#DIV/0!</v>
      </c>
      <c r="AV33" s="24">
        <v>9</v>
      </c>
      <c r="BE33">
        <v>1</v>
      </c>
      <c r="BF33">
        <f t="shared" si="14"/>
        <v>10</v>
      </c>
      <c r="BH33">
        <f t="shared" si="15"/>
        <v>3</v>
      </c>
      <c r="BI33">
        <v>6</v>
      </c>
      <c r="BJ33" s="94" t="e">
        <f t="shared" si="16"/>
        <v>#DIV/0!</v>
      </c>
      <c r="BP33">
        <f t="shared" si="17"/>
        <v>8</v>
      </c>
      <c r="BQ33">
        <v>2</v>
      </c>
      <c r="BR33" s="94" t="e">
        <f t="shared" si="18"/>
        <v>#DIV/0!</v>
      </c>
    </row>
    <row r="34" spans="1:70" x14ac:dyDescent="0.25">
      <c r="A34" s="34" t="s">
        <v>117</v>
      </c>
      <c r="B34" s="48" t="e">
        <f>B23*2</f>
        <v>#DIV/0!</v>
      </c>
      <c r="C34" s="49" t="e">
        <f>C23*2</f>
        <v>#DIV/0!</v>
      </c>
      <c r="G34" s="75">
        <v>10</v>
      </c>
      <c r="H34" s="111" t="e">
        <f>J34*L24+J33*L25+J32*L26+J31*L27</f>
        <v>#DIV/0!</v>
      </c>
      <c r="I34" s="81">
        <v>10</v>
      </c>
      <c r="J34" s="76" t="e">
        <f t="shared" si="10"/>
        <v>#DIV/0!</v>
      </c>
      <c r="K34" s="81">
        <v>10</v>
      </c>
      <c r="L34" s="76"/>
      <c r="M34" s="72"/>
      <c r="N34" s="31"/>
      <c r="O34" s="31"/>
      <c r="P34" s="31"/>
      <c r="Q34" s="12">
        <v>10</v>
      </c>
      <c r="R34" s="31" t="e">
        <f>P29*N29</f>
        <v>#DIV/0!</v>
      </c>
      <c r="S34" s="62">
        <v>10</v>
      </c>
      <c r="T34" s="117" t="e">
        <f t="shared" si="13"/>
        <v>#DIV/0!</v>
      </c>
      <c r="U34" s="81">
        <v>10</v>
      </c>
      <c r="V34" s="76" t="e">
        <f>IF(((T34*R24+T33*R25+T32*R26+T31*R27+T30*R28+T29*R29+T28*R30+T27*R31+T26*R32+T25*R33+T24*R34)+V22)&lt;&gt;1,1-V22,(T34*R24+T33*R25+T32*R26+T31*R27+T30*R28+T29*R29+T28*R30+T27*R31+T26*R32+T25*R33+T24*R34))</f>
        <v>#DIV/0!</v>
      </c>
      <c r="W34" s="119"/>
      <c r="X34" s="12">
        <v>10</v>
      </c>
      <c r="Y34" s="31"/>
      <c r="Z34" s="12">
        <v>10</v>
      </c>
      <c r="AA34" s="68"/>
      <c r="AB34" s="12">
        <v>10</v>
      </c>
      <c r="AC34" s="68"/>
      <c r="AD34" s="12">
        <v>10</v>
      </c>
      <c r="AE34" s="68"/>
      <c r="AF34" s="12">
        <v>10</v>
      </c>
      <c r="AG34" s="68"/>
      <c r="AH34" s="12">
        <v>10</v>
      </c>
      <c r="AI34" s="68"/>
      <c r="AJ34" s="12">
        <v>10</v>
      </c>
      <c r="AK34" s="68"/>
      <c r="AL34" s="12">
        <v>10</v>
      </c>
      <c r="AM34" s="68"/>
      <c r="AN34" s="12">
        <v>10</v>
      </c>
      <c r="AO34" s="68"/>
      <c r="AP34" s="12">
        <v>10</v>
      </c>
      <c r="AQ34" s="68"/>
      <c r="AR34" s="12">
        <v>10</v>
      </c>
      <c r="AS34" s="68" t="e">
        <f>((($W$24)^Q34)*((1-($W$24))^($U$34-Q34))*HLOOKUP($U$34,$AV$24:$BF$34,Q34+1))*V34</f>
        <v>#DIV/0!</v>
      </c>
      <c r="AV34" s="14">
        <v>10</v>
      </c>
      <c r="BF34">
        <f t="shared" si="14"/>
        <v>1</v>
      </c>
      <c r="BH34">
        <f t="shared" si="15"/>
        <v>3</v>
      </c>
      <c r="BI34">
        <v>7</v>
      </c>
      <c r="BJ34" s="94" t="e">
        <f t="shared" si="16"/>
        <v>#DIV/0!</v>
      </c>
      <c r="BP34">
        <f t="shared" si="17"/>
        <v>8</v>
      </c>
      <c r="BQ34">
        <v>3</v>
      </c>
      <c r="BR34" s="94" t="e">
        <f t="shared" si="18"/>
        <v>#DIV/0!</v>
      </c>
    </row>
    <row r="35" spans="1:70" x14ac:dyDescent="0.25"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51" t="e">
        <f>SUM(V38:V48)</f>
        <v>#DIV/0!</v>
      </c>
      <c r="W35" s="13"/>
      <c r="X35" s="13"/>
      <c r="AS35" s="70" t="e">
        <f>Y36+AA36+AC36+AE36+AG36+AI36+AK36+AM36+AO36+AQ36+AS36</f>
        <v>#DIV/0!</v>
      </c>
      <c r="BH35">
        <f t="shared" si="15"/>
        <v>3</v>
      </c>
      <c r="BI35">
        <v>8</v>
      </c>
      <c r="BJ35" s="94" t="e">
        <f t="shared" si="16"/>
        <v>#DIV/0!</v>
      </c>
      <c r="BP35">
        <f t="shared" si="17"/>
        <v>8</v>
      </c>
      <c r="BQ35">
        <v>4</v>
      </c>
      <c r="BR35" s="94" t="e">
        <f t="shared" si="18"/>
        <v>#DIV/0!</v>
      </c>
    </row>
    <row r="36" spans="1:70" x14ac:dyDescent="0.25">
      <c r="A36" s="1"/>
      <c r="B36" s="95" t="e">
        <f>SUM(B37:B39)</f>
        <v>#DIV/0!</v>
      </c>
      <c r="G36" s="13"/>
      <c r="H36" s="51" t="e">
        <f>SUM(H38:H48)</f>
        <v>#DIV/0!</v>
      </c>
      <c r="I36" s="13"/>
      <c r="J36" s="51" t="e">
        <f>SUM(J38:J48)</f>
        <v>#DIV/0!</v>
      </c>
      <c r="K36" s="51"/>
      <c r="L36" s="51" t="e">
        <f>SUM(L38:L48)</f>
        <v>#DIV/0!</v>
      </c>
      <c r="M36" s="13"/>
      <c r="N36" s="64" t="e">
        <f>SUM(N38:N48)</f>
        <v>#DIV/0!</v>
      </c>
      <c r="O36" s="13"/>
      <c r="P36" s="64" t="e">
        <f>SUM(P38:P48)</f>
        <v>#DIV/0!</v>
      </c>
      <c r="Q36" s="13"/>
      <c r="R36" s="51" t="e">
        <f>SUM(R38:R48)</f>
        <v>#DIV/0!</v>
      </c>
      <c r="S36" s="13"/>
      <c r="T36" s="51" t="e">
        <f>SUM(T38:T48)</f>
        <v>#DIV/0!</v>
      </c>
      <c r="U36" s="13"/>
      <c r="V36" s="51" t="e">
        <f>SUM(V38:V47)</f>
        <v>#DIV/0!</v>
      </c>
      <c r="W36" s="13"/>
      <c r="X36" s="13"/>
      <c r="Y36" s="30" t="e">
        <f>SUM(Y38:Y48)</f>
        <v>#DIV/0!</v>
      </c>
      <c r="Z36" s="69"/>
      <c r="AA36" s="30" t="e">
        <f>SUM(AA38:AA48)</f>
        <v>#DIV/0!</v>
      </c>
      <c r="AB36" s="69"/>
      <c r="AC36" s="30" t="e">
        <f>SUM(AC38:AC48)</f>
        <v>#DIV/0!</v>
      </c>
      <c r="AD36" s="69"/>
      <c r="AE36" s="30" t="e">
        <f>SUM(AE38:AE48)</f>
        <v>#DIV/0!</v>
      </c>
      <c r="AF36" s="69"/>
      <c r="AG36" s="30" t="e">
        <f>SUM(AG38:AG48)</f>
        <v>#DIV/0!</v>
      </c>
      <c r="AH36" s="69"/>
      <c r="AI36" s="30" t="e">
        <f>SUM(AI38:AI48)</f>
        <v>#DIV/0!</v>
      </c>
      <c r="AJ36" s="69"/>
      <c r="AK36" s="30" t="e">
        <f>SUM(AK38:AK48)</f>
        <v>#DIV/0!</v>
      </c>
      <c r="AL36" s="69"/>
      <c r="AM36" s="30" t="e">
        <f>SUM(AM38:AM48)</f>
        <v>#DIV/0!</v>
      </c>
      <c r="AN36" s="69"/>
      <c r="AO36" s="30" t="e">
        <f>SUM(AO38:AO48)</f>
        <v>#DIV/0!</v>
      </c>
      <c r="AP36" s="69"/>
      <c r="AQ36" s="30" t="e">
        <f>SUM(AQ38:AQ48)</f>
        <v>#DIV/0!</v>
      </c>
      <c r="AR36" s="69"/>
      <c r="AS36" s="30" t="e">
        <f>SUM(AS38:AS48)</f>
        <v>#DIV/0!</v>
      </c>
      <c r="BH36">
        <f t="shared" si="15"/>
        <v>3</v>
      </c>
      <c r="BI36">
        <v>9</v>
      </c>
      <c r="BJ36" s="94" t="e">
        <f t="shared" si="16"/>
        <v>#DIV/0!</v>
      </c>
      <c r="BP36">
        <f t="shared" si="17"/>
        <v>8</v>
      </c>
      <c r="BQ36">
        <v>5</v>
      </c>
      <c r="BR36" s="94" t="e">
        <f t="shared" si="18"/>
        <v>#DIV/0!</v>
      </c>
    </row>
    <row r="37" spans="1:70" x14ac:dyDescent="0.25">
      <c r="A37" s="96" t="s">
        <v>118</v>
      </c>
      <c r="B37" s="94" t="e">
        <f>SUM(BN4:BN14)</f>
        <v>#DIV/0!</v>
      </c>
      <c r="G37" s="90" t="str">
        <f t="shared" ref="G37:AS37" si="19">G23</f>
        <v>G</v>
      </c>
      <c r="H37" s="91" t="str">
        <f t="shared" si="19"/>
        <v>p</v>
      </c>
      <c r="I37" s="90" t="str">
        <f t="shared" si="19"/>
        <v>GT</v>
      </c>
      <c r="J37" s="92" t="str">
        <f t="shared" si="19"/>
        <v>p(x)</v>
      </c>
      <c r="K37" s="93" t="str">
        <f t="shared" si="19"/>
        <v>EE(x)</v>
      </c>
      <c r="L37" s="92" t="str">
        <f t="shared" si="19"/>
        <v>p</v>
      </c>
      <c r="M37" s="77" t="str">
        <f t="shared" si="19"/>
        <v>OcaS</v>
      </c>
      <c r="N37" s="25" t="str">
        <f t="shared" si="19"/>
        <v>P</v>
      </c>
      <c r="O37" s="25" t="str">
        <f t="shared" si="19"/>
        <v>O_CA</v>
      </c>
      <c r="P37" s="25" t="str">
        <f t="shared" si="19"/>
        <v>p</v>
      </c>
      <c r="Q37" s="25" t="str">
        <f t="shared" si="19"/>
        <v>TotalN</v>
      </c>
      <c r="R37" s="25" t="str">
        <f t="shared" si="19"/>
        <v>p</v>
      </c>
      <c r="S37" s="25" t="str">
        <f t="shared" si="19"/>
        <v>OcaCA</v>
      </c>
      <c r="T37" s="122" t="str">
        <f t="shared" si="19"/>
        <v>p</v>
      </c>
      <c r="U37" s="123" t="str">
        <f t="shared" si="19"/>
        <v>Total</v>
      </c>
      <c r="V37" s="124" t="str">
        <f t="shared" si="19"/>
        <v>P</v>
      </c>
      <c r="W37" s="77" t="str">
        <f t="shared" si="19"/>
        <v>E(x)</v>
      </c>
      <c r="X37" s="25" t="str">
        <f t="shared" si="19"/>
        <v>G0</v>
      </c>
      <c r="Y37" s="25" t="str">
        <f t="shared" si="19"/>
        <v>p</v>
      </c>
      <c r="Z37" s="25" t="str">
        <f t="shared" si="19"/>
        <v>G1</v>
      </c>
      <c r="AA37" s="25" t="str">
        <f t="shared" si="19"/>
        <v>p</v>
      </c>
      <c r="AB37" s="25" t="str">
        <f t="shared" si="19"/>
        <v>G2</v>
      </c>
      <c r="AC37" s="25" t="str">
        <f t="shared" si="19"/>
        <v>p</v>
      </c>
      <c r="AD37" s="25" t="str">
        <f t="shared" si="19"/>
        <v>G3</v>
      </c>
      <c r="AE37" s="25" t="str">
        <f t="shared" si="19"/>
        <v>p</v>
      </c>
      <c r="AF37" s="25" t="str">
        <f t="shared" si="19"/>
        <v>G4</v>
      </c>
      <c r="AG37" s="25" t="str">
        <f t="shared" si="19"/>
        <v>p</v>
      </c>
      <c r="AH37" s="25" t="str">
        <f t="shared" si="19"/>
        <v>G5</v>
      </c>
      <c r="AI37" s="25" t="str">
        <f t="shared" si="19"/>
        <v>p</v>
      </c>
      <c r="AJ37" s="25" t="str">
        <f t="shared" si="19"/>
        <v>G6</v>
      </c>
      <c r="AK37" s="25" t="str">
        <f t="shared" si="19"/>
        <v>p</v>
      </c>
      <c r="AL37" s="25" t="str">
        <f t="shared" si="19"/>
        <v>G7</v>
      </c>
      <c r="AM37" s="25" t="str">
        <f t="shared" si="19"/>
        <v>p</v>
      </c>
      <c r="AN37" s="25" t="str">
        <f t="shared" si="19"/>
        <v>G8</v>
      </c>
      <c r="AO37" s="25" t="str">
        <f t="shared" si="19"/>
        <v>p</v>
      </c>
      <c r="AP37" s="25" t="str">
        <f t="shared" si="19"/>
        <v>G9</v>
      </c>
      <c r="AQ37" s="25" t="str">
        <f t="shared" si="19"/>
        <v>p</v>
      </c>
      <c r="AR37" s="25" t="str">
        <f t="shared" si="19"/>
        <v>G10</v>
      </c>
      <c r="AS37" s="25" t="str">
        <f t="shared" si="19"/>
        <v>p</v>
      </c>
      <c r="BH37">
        <f t="shared" si="15"/>
        <v>3</v>
      </c>
      <c r="BI37">
        <v>10</v>
      </c>
      <c r="BJ37" s="94" t="e">
        <f t="shared" si="16"/>
        <v>#DIV/0!</v>
      </c>
      <c r="BP37">
        <f t="shared" si="17"/>
        <v>8</v>
      </c>
      <c r="BQ37">
        <v>6</v>
      </c>
      <c r="BR37" s="94" t="e">
        <f t="shared" si="18"/>
        <v>#DIV/0!</v>
      </c>
    </row>
    <row r="38" spans="1:70" x14ac:dyDescent="0.25">
      <c r="A38" s="97" t="s">
        <v>119</v>
      </c>
      <c r="B38" s="94" t="e">
        <f>SUM(BJ4:BJ59)</f>
        <v>#DIV/0!</v>
      </c>
      <c r="G38" s="112">
        <v>0</v>
      </c>
      <c r="H38" s="113" t="e">
        <f>L38*J38</f>
        <v>#DIV/0!</v>
      </c>
      <c r="I38" s="84">
        <v>0</v>
      </c>
      <c r="J38" s="85" t="e">
        <f t="shared" ref="J38:J48" si="20">Y38+AA38+AC38+AE38+AG38+AI38+AK38+AM38+AO38+AQ38+AS38</f>
        <v>#DIV/0!</v>
      </c>
      <c r="K38" s="89">
        <v>0</v>
      </c>
      <c r="L38" s="85" t="e">
        <f>AC20</f>
        <v>#DIV/0!</v>
      </c>
      <c r="M38" s="72">
        <v>0</v>
      </c>
      <c r="N38" s="63" t="e">
        <f>(1-$C$24)^$B$21</f>
        <v>#DIV/0!</v>
      </c>
      <c r="O38" s="62">
        <v>0</v>
      </c>
      <c r="P38" s="63" t="e">
        <f t="shared" ref="P38:P43" si="21">N38</f>
        <v>#DIV/0!</v>
      </c>
      <c r="Q38" s="12">
        <v>0</v>
      </c>
      <c r="R38" s="31" t="e">
        <f>P38*N38</f>
        <v>#DIV/0!</v>
      </c>
      <c r="S38" s="62">
        <v>0</v>
      </c>
      <c r="T38" s="117" t="e">
        <f>(1-$C$33)^(INT(B23*2*(1-B31)))</f>
        <v>#DIV/0!</v>
      </c>
      <c r="U38" s="80">
        <v>0</v>
      </c>
      <c r="V38" s="73" t="e">
        <f>R38*T38</f>
        <v>#DIV/0!</v>
      </c>
      <c r="W38" s="118" t="e">
        <f>C31</f>
        <v>#DIV/0!</v>
      </c>
      <c r="X38" s="12">
        <v>0</v>
      </c>
      <c r="Y38" s="68" t="e">
        <f>V38</f>
        <v>#DIV/0!</v>
      </c>
      <c r="Z38" s="12">
        <v>0</v>
      </c>
      <c r="AA38" s="68" t="e">
        <f>((1-W38)^Z39)*V39</f>
        <v>#DIV/0!</v>
      </c>
      <c r="AB38" s="12">
        <v>0</v>
      </c>
      <c r="AC38" s="68" t="e">
        <f>(((1-$W$38)^AB40))*V40</f>
        <v>#DIV/0!</v>
      </c>
      <c r="AD38" s="12">
        <v>0</v>
      </c>
      <c r="AE38" s="68" t="e">
        <f>(((1-$W$38)^AB41))*V41</f>
        <v>#DIV/0!</v>
      </c>
      <c r="AF38" s="12">
        <v>0</v>
      </c>
      <c r="AG38" s="68" t="e">
        <f>(((1-$W$38)^AB42))*V42</f>
        <v>#DIV/0!</v>
      </c>
      <c r="AH38" s="12">
        <v>0</v>
      </c>
      <c r="AI38" s="68" t="e">
        <f>(((1-$W$38)^AB43))*V43</f>
        <v>#DIV/0!</v>
      </c>
      <c r="AJ38" s="12">
        <v>0</v>
      </c>
      <c r="AK38" s="68" t="e">
        <f>(((1-$W$38)^AB44))*V44</f>
        <v>#DIV/0!</v>
      </c>
      <c r="AL38" s="12">
        <v>0</v>
      </c>
      <c r="AM38" s="68" t="e">
        <f>(((1-$W$38)^AB45))*V45</f>
        <v>#DIV/0!</v>
      </c>
      <c r="AN38" s="12">
        <v>0</v>
      </c>
      <c r="AO38" s="68" t="e">
        <f>(((1-$W$38)^AB46))*V46</f>
        <v>#DIV/0!</v>
      </c>
      <c r="AP38" s="12">
        <v>0</v>
      </c>
      <c r="AQ38" s="68" t="e">
        <f>(((1-$W$38)^AB47))*V47</f>
        <v>#DIV/0!</v>
      </c>
      <c r="AR38" s="12">
        <v>0</v>
      </c>
      <c r="AS38" s="68" t="e">
        <f>(((1-$W$38)^AB48))*V48</f>
        <v>#DIV/0!</v>
      </c>
      <c r="AV38" s="14">
        <v>0</v>
      </c>
      <c r="AW38" s="14">
        <v>1</v>
      </c>
      <c r="AX38" s="14">
        <v>2</v>
      </c>
      <c r="AY38" s="14">
        <v>3</v>
      </c>
      <c r="AZ38" s="14">
        <v>4</v>
      </c>
      <c r="BA38" s="14">
        <v>5</v>
      </c>
      <c r="BB38" s="14">
        <v>6</v>
      </c>
      <c r="BC38" s="14">
        <v>7</v>
      </c>
      <c r="BD38" s="14">
        <v>8</v>
      </c>
      <c r="BE38" s="14">
        <v>9</v>
      </c>
      <c r="BF38" s="14">
        <v>10</v>
      </c>
      <c r="BH38">
        <f t="shared" ref="BH38:BH43" si="22">BH32+1</f>
        <v>4</v>
      </c>
      <c r="BI38">
        <v>5</v>
      </c>
      <c r="BJ38" s="94" t="e">
        <f t="shared" ref="BJ38:BJ43" si="23">$H$28*H43</f>
        <v>#DIV/0!</v>
      </c>
      <c r="BP38">
        <f>BL11+1</f>
        <v>8</v>
      </c>
      <c r="BQ38">
        <v>7</v>
      </c>
      <c r="BR38" s="94" t="e">
        <f t="shared" si="18"/>
        <v>#DIV/0!</v>
      </c>
    </row>
    <row r="39" spans="1:70" x14ac:dyDescent="0.25">
      <c r="A39" s="98" t="s">
        <v>120</v>
      </c>
      <c r="B39" s="94" t="e">
        <f>SUM(BR4:BR47)</f>
        <v>#DIV/0!</v>
      </c>
      <c r="G39" s="78">
        <v>1</v>
      </c>
      <c r="H39" s="114" t="e">
        <f>L38*J39+L39*J38</f>
        <v>#DIV/0!</v>
      </c>
      <c r="I39" s="80">
        <v>1</v>
      </c>
      <c r="J39" s="73" t="e">
        <f t="shared" si="20"/>
        <v>#DIV/0!</v>
      </c>
      <c r="K39" s="82">
        <v>1</v>
      </c>
      <c r="L39" s="73" t="e">
        <f>AD20</f>
        <v>#DIV/0!</v>
      </c>
      <c r="M39" s="72">
        <v>1</v>
      </c>
      <c r="N39" s="63" t="e">
        <f>(($C$24)^M25)*((1-($C$24))^($B$21-M25))*HLOOKUP($B$21,$AV$24:$BF$34,M25+1)</f>
        <v>#DIV/0!</v>
      </c>
      <c r="O39" s="62">
        <v>1</v>
      </c>
      <c r="P39" s="63" t="e">
        <f t="shared" si="21"/>
        <v>#DIV/0!</v>
      </c>
      <c r="Q39" s="12">
        <v>1</v>
      </c>
      <c r="R39" s="31" t="e">
        <f>P39*N38+P38*N39</f>
        <v>#DIV/0!</v>
      </c>
      <c r="S39" s="62">
        <v>1</v>
      </c>
      <c r="T39" s="117" t="e">
        <f t="shared" ref="T39:T48" si="24">(($C$33)^S39)*((1-($C$33))^(INT($B$23*2*(1-$B$31))-S39))*HLOOKUP(INT($B$23*2*(1-$B$31)),$AV$24:$BF$34,S39+1)</f>
        <v>#DIV/0!</v>
      </c>
      <c r="U39" s="80">
        <v>1</v>
      </c>
      <c r="V39" s="73" t="e">
        <f>R39*T38+T39*R38</f>
        <v>#DIV/0!</v>
      </c>
      <c r="W39" s="119"/>
      <c r="X39" s="12">
        <v>1</v>
      </c>
      <c r="Y39" s="31"/>
      <c r="Z39" s="12">
        <v>1</v>
      </c>
      <c r="AA39" s="68" t="e">
        <f>(1-((1-W38)^Z39))*V39</f>
        <v>#DIV/0!</v>
      </c>
      <c r="AB39" s="12">
        <v>1</v>
      </c>
      <c r="AC39" s="68" t="e">
        <f>((($W$38)^M39)*((1-($W$38))^($U$26-M39))*HLOOKUP($U$26,$AV$24:$BF$34,M39+1))*V40</f>
        <v>#DIV/0!</v>
      </c>
      <c r="AD39" s="12">
        <v>1</v>
      </c>
      <c r="AE39" s="68" t="e">
        <f>((($W$38)^M39)*((1-($W$38))^($U$27-M39))*HLOOKUP($U$27,$AV$24:$BF$34,M39+1))*V41</f>
        <v>#DIV/0!</v>
      </c>
      <c r="AF39" s="12">
        <v>1</v>
      </c>
      <c r="AG39" s="68" t="e">
        <f>((($W$38)^M39)*((1-($W$38))^($U$28-M39))*HLOOKUP($U$28,$AV$24:$BF$34,M39+1))*V42</f>
        <v>#DIV/0!</v>
      </c>
      <c r="AH39" s="12">
        <v>1</v>
      </c>
      <c r="AI39" s="68" t="e">
        <f>((($W$38)^M39)*((1-($W$38))^($U$29-M39))*HLOOKUP($U$29,$AV$24:$BF$34,M39+1))*V43</f>
        <v>#DIV/0!</v>
      </c>
      <c r="AJ39" s="12">
        <v>1</v>
      </c>
      <c r="AK39" s="68" t="e">
        <f>((($W$38)^M39)*((1-($W$38))^($U$30-M39))*HLOOKUP($U$30,$AV$24:$BF$34,M39+1))*V44</f>
        <v>#DIV/0!</v>
      </c>
      <c r="AL39" s="12">
        <v>1</v>
      </c>
      <c r="AM39" s="68" t="e">
        <f>((($W$38)^Q39)*((1-($W$38))^($U$31-Q39))*HLOOKUP($U$31,$AV$24:$BF$34,Q39+1))*V45</f>
        <v>#DIV/0!</v>
      </c>
      <c r="AN39" s="12">
        <v>1</v>
      </c>
      <c r="AO39" s="68" t="e">
        <f>((($W$38)^Q39)*((1-($W$38))^($U$32-Q39))*HLOOKUP($U$32,$AV$24:$BF$34,Q39+1))*V46</f>
        <v>#DIV/0!</v>
      </c>
      <c r="AP39" s="12">
        <v>1</v>
      </c>
      <c r="AQ39" s="68" t="e">
        <f>((($W$38)^Q39)*((1-($W$38))^($U$33-Q39))*HLOOKUP($U$33,$AV$24:$BF$34,Q39+1))*V47</f>
        <v>#DIV/0!</v>
      </c>
      <c r="AR39" s="12">
        <v>1</v>
      </c>
      <c r="AS39" s="68" t="e">
        <f>((($W$38)^Q39)*((1-($W$38))^($U$34-Q39))*HLOOKUP($U$34,$AV$24:$BF$34,Q39+1))*V48</f>
        <v>#DIV/0!</v>
      </c>
      <c r="AV39" s="14">
        <v>1</v>
      </c>
      <c r="AW39">
        <v>1</v>
      </c>
      <c r="AX39">
        <v>2</v>
      </c>
      <c r="AY39">
        <v>3</v>
      </c>
      <c r="AZ39">
        <v>4</v>
      </c>
      <c r="BA39">
        <v>5</v>
      </c>
      <c r="BB39">
        <v>6</v>
      </c>
      <c r="BC39">
        <f>7</f>
        <v>7</v>
      </c>
      <c r="BD39">
        <v>8</v>
      </c>
      <c r="BE39">
        <v>9</v>
      </c>
      <c r="BF39">
        <v>10</v>
      </c>
      <c r="BH39">
        <f t="shared" si="22"/>
        <v>4</v>
      </c>
      <c r="BI39">
        <v>6</v>
      </c>
      <c r="BJ39" s="94" t="e">
        <f t="shared" si="23"/>
        <v>#DIV/0!</v>
      </c>
      <c r="BP39">
        <f t="shared" ref="BP39:BP46" si="25">BP31+1</f>
        <v>9</v>
      </c>
      <c r="BQ39">
        <v>0</v>
      </c>
      <c r="BR39" s="94" t="e">
        <f t="shared" ref="BR39:BR47" si="26">$H$33*H38</f>
        <v>#DIV/0!</v>
      </c>
    </row>
    <row r="40" spans="1:70" x14ac:dyDescent="0.25">
      <c r="G40" s="78">
        <v>2</v>
      </c>
      <c r="H40" s="114" t="e">
        <f>L38*J40+J39*L39+J38*L40</f>
        <v>#DIV/0!</v>
      </c>
      <c r="I40" s="80">
        <v>2</v>
      </c>
      <c r="J40" s="73" t="e">
        <f t="shared" si="20"/>
        <v>#DIV/0!</v>
      </c>
      <c r="K40" s="82">
        <v>2</v>
      </c>
      <c r="L40" s="73" t="e">
        <f>AE20</f>
        <v>#DIV/0!</v>
      </c>
      <c r="M40" s="72">
        <v>2</v>
      </c>
      <c r="N40" s="63" t="e">
        <f>(($C$24)^M26)*((1-($C$24))^($B$21-M26))*HLOOKUP($B$21,$AV$24:$BF$34,M26+1)</f>
        <v>#DIV/0!</v>
      </c>
      <c r="O40" s="62">
        <v>2</v>
      </c>
      <c r="P40" s="63" t="e">
        <f t="shared" si="21"/>
        <v>#DIV/0!</v>
      </c>
      <c r="Q40" s="12">
        <v>2</v>
      </c>
      <c r="R40" s="31" t="e">
        <f>P40*N38+P39*N39+P38*N40</f>
        <v>#DIV/0!</v>
      </c>
      <c r="S40" s="62">
        <v>2</v>
      </c>
      <c r="T40" s="117" t="e">
        <f t="shared" si="24"/>
        <v>#DIV/0!</v>
      </c>
      <c r="U40" s="80">
        <v>2</v>
      </c>
      <c r="V40" s="73" t="e">
        <f>R40*T38+T39*R39+R38*T40</f>
        <v>#DIV/0!</v>
      </c>
      <c r="W40" s="119"/>
      <c r="X40" s="12">
        <v>2</v>
      </c>
      <c r="Y40" s="31"/>
      <c r="Z40" s="12">
        <v>2</v>
      </c>
      <c r="AA40" s="68"/>
      <c r="AB40" s="12">
        <v>2</v>
      </c>
      <c r="AC40" s="68" t="e">
        <f>((($W$38)^M40)*((1-($W$38))^($U$26-M40))*HLOOKUP($U$26,$AV$24:$BF$34,M40+1))*V40</f>
        <v>#DIV/0!</v>
      </c>
      <c r="AD40" s="12">
        <v>2</v>
      </c>
      <c r="AE40" s="68" t="e">
        <f>((($W$38)^M40)*((1-($W$38))^($U$27-M40))*HLOOKUP($U$27,$AV$24:$BF$34,M40+1))*V41</f>
        <v>#DIV/0!</v>
      </c>
      <c r="AF40" s="12">
        <v>2</v>
      </c>
      <c r="AG40" s="68" t="e">
        <f>((($W$38)^M40)*((1-($W$38))^($U$28-M40))*HLOOKUP($U$28,$AV$24:$BF$34,M40+1))*V42</f>
        <v>#DIV/0!</v>
      </c>
      <c r="AH40" s="12">
        <v>2</v>
      </c>
      <c r="AI40" s="68" t="e">
        <f>((($W$38)^M40)*((1-($W$38))^($U$29-M40))*HLOOKUP($U$29,$AV$24:$BF$34,M40+1))*V43</f>
        <v>#DIV/0!</v>
      </c>
      <c r="AJ40" s="12">
        <v>2</v>
      </c>
      <c r="AK40" s="68" t="e">
        <f>((($W$38)^M40)*((1-($W$38))^($U$30-M40))*HLOOKUP($U$30,$AV$24:$BF$34,M40+1))*V44</f>
        <v>#DIV/0!</v>
      </c>
      <c r="AL40" s="12">
        <v>2</v>
      </c>
      <c r="AM40" s="68" t="e">
        <f>((($W$38)^Q40)*((1-($W$38))^($U$31-Q40))*HLOOKUP($U$31,$AV$24:$BF$34,Q40+1))*V45</f>
        <v>#DIV/0!</v>
      </c>
      <c r="AN40" s="12">
        <v>2</v>
      </c>
      <c r="AO40" s="68" t="e">
        <f>((($W$38)^Q40)*((1-($W$38))^($U$32-Q40))*HLOOKUP($U$32,$AV$24:$BF$34,Q40+1))*V46</f>
        <v>#DIV/0!</v>
      </c>
      <c r="AP40" s="12">
        <v>2</v>
      </c>
      <c r="AQ40" s="68" t="e">
        <f>((($W$38)^Q40)*((1-($W$38))^($U$33-Q40))*HLOOKUP($U$33,$AV$24:$BF$34,Q40+1))*V47</f>
        <v>#DIV/0!</v>
      </c>
      <c r="AR40" s="12">
        <v>2</v>
      </c>
      <c r="AS40" s="68" t="e">
        <f>((($W$38)^Q40)*((1-($W$38))^($U$34-Q40))*HLOOKUP($U$34,$AV$24:$BF$34,Q40+1))*V48</f>
        <v>#DIV/0!</v>
      </c>
      <c r="AV40" s="14">
        <v>2</v>
      </c>
      <c r="AX40">
        <v>1</v>
      </c>
      <c r="AY40">
        <v>3</v>
      </c>
      <c r="AZ40">
        <v>6</v>
      </c>
      <c r="BA40">
        <v>10</v>
      </c>
      <c r="BB40">
        <v>15</v>
      </c>
      <c r="BC40">
        <f>6+15</f>
        <v>21</v>
      </c>
      <c r="BD40">
        <f>21+7</f>
        <v>28</v>
      </c>
      <c r="BE40">
        <f>28+8</f>
        <v>36</v>
      </c>
      <c r="BF40">
        <f>36+9</f>
        <v>45</v>
      </c>
      <c r="BH40">
        <f t="shared" si="22"/>
        <v>4</v>
      </c>
      <c r="BI40">
        <v>7</v>
      </c>
      <c r="BJ40" s="94" t="e">
        <f t="shared" si="23"/>
        <v>#DIV/0!</v>
      </c>
      <c r="BP40">
        <f t="shared" si="25"/>
        <v>9</v>
      </c>
      <c r="BQ40">
        <v>1</v>
      </c>
      <c r="BR40" s="94" t="e">
        <f t="shared" si="26"/>
        <v>#DIV/0!</v>
      </c>
    </row>
    <row r="41" spans="1:70" x14ac:dyDescent="0.25">
      <c r="G41" s="78">
        <v>3</v>
      </c>
      <c r="H41" s="114" t="e">
        <f>J41*L38+J40*L39+L41*J38+L40*J39</f>
        <v>#DIV/0!</v>
      </c>
      <c r="I41" s="80">
        <v>3</v>
      </c>
      <c r="J41" s="73" t="e">
        <f t="shared" si="20"/>
        <v>#DIV/0!</v>
      </c>
      <c r="K41" s="82">
        <v>3</v>
      </c>
      <c r="L41" s="73" t="e">
        <f>AF20</f>
        <v>#DIV/0!</v>
      </c>
      <c r="M41" s="72">
        <v>3</v>
      </c>
      <c r="N41" s="63" t="e">
        <f>(($C$24)^M27)*((1-($C$24))^($B$21-M27))*HLOOKUP($B$21,$AV$24:$BF$34,M27+1)</f>
        <v>#DIV/0!</v>
      </c>
      <c r="O41" s="62">
        <v>3</v>
      </c>
      <c r="P41" s="63" t="e">
        <f t="shared" si="21"/>
        <v>#DIV/0!</v>
      </c>
      <c r="Q41" s="12">
        <v>3</v>
      </c>
      <c r="R41" s="31" t="e">
        <f>P41*N38+P40*N39+P39*N40+P38*N41</f>
        <v>#DIV/0!</v>
      </c>
      <c r="S41" s="62">
        <v>3</v>
      </c>
      <c r="T41" s="117" t="e">
        <f t="shared" si="24"/>
        <v>#DIV/0!</v>
      </c>
      <c r="U41" s="80">
        <v>3</v>
      </c>
      <c r="V41" s="73" t="e">
        <f>R41*T38+R40*T39+R39*T40+R38*T41</f>
        <v>#DIV/0!</v>
      </c>
      <c r="W41" s="119"/>
      <c r="X41" s="12">
        <v>3</v>
      </c>
      <c r="Y41" s="31"/>
      <c r="Z41" s="12">
        <v>3</v>
      </c>
      <c r="AA41" s="68"/>
      <c r="AB41" s="12">
        <v>3</v>
      </c>
      <c r="AC41" s="68"/>
      <c r="AD41" s="12">
        <v>3</v>
      </c>
      <c r="AE41" s="68" t="e">
        <f>((($W$38)^M41)*((1-($W$38))^($U$27-M41))*HLOOKUP($U$27,$AV$24:$BF$34,M41+1))*V41</f>
        <v>#DIV/0!</v>
      </c>
      <c r="AF41" s="12">
        <v>3</v>
      </c>
      <c r="AG41" s="68" t="e">
        <f>((($W$38)^M41)*((1-($W$38))^($U$28-M41))*HLOOKUP($U$28,$AV$24:$BF$34,M41+1))*V42</f>
        <v>#DIV/0!</v>
      </c>
      <c r="AH41" s="12">
        <v>3</v>
      </c>
      <c r="AI41" s="68" t="e">
        <f>((($W$38)^M41)*((1-($W$38))^($U$29-M41))*HLOOKUP($U$29,$AV$24:$BF$34,M41+1))*V43</f>
        <v>#DIV/0!</v>
      </c>
      <c r="AJ41" s="12">
        <v>3</v>
      </c>
      <c r="AK41" s="68" t="e">
        <f>((($W$38)^M41)*((1-($W$38))^($U$30-M41))*HLOOKUP($U$30,$AV$24:$BF$34,M41+1))*V44</f>
        <v>#DIV/0!</v>
      </c>
      <c r="AL41" s="12">
        <v>3</v>
      </c>
      <c r="AM41" s="68" t="e">
        <f>((($W$38)^Q41)*((1-($W$38))^($U$31-Q41))*HLOOKUP($U$31,$AV$24:$BF$34,Q41+1))*V45</f>
        <v>#DIV/0!</v>
      </c>
      <c r="AN41" s="12">
        <v>3</v>
      </c>
      <c r="AO41" s="68" t="e">
        <f>((($W$38)^Q41)*((1-($W$38))^($U$32-Q41))*HLOOKUP($U$32,$AV$24:$BF$34,Q41+1))*V46</f>
        <v>#DIV/0!</v>
      </c>
      <c r="AP41" s="12">
        <v>3</v>
      </c>
      <c r="AQ41" s="68" t="e">
        <f>((($W$38)^Q41)*((1-($W$38))^($U$33-Q41))*HLOOKUP($U$33,$AV$24:$BF$34,Q41+1))*V47</f>
        <v>#DIV/0!</v>
      </c>
      <c r="AR41" s="12">
        <v>3</v>
      </c>
      <c r="AS41" s="68" t="e">
        <f>((($W$38)^Q41)*((1-($W$38))^($U$34-Q41))*HLOOKUP($U$34,$AV$24:$BF$34,Q41+1))*V48</f>
        <v>#DIV/0!</v>
      </c>
      <c r="AV41" s="14">
        <v>3</v>
      </c>
      <c r="AY41">
        <v>1</v>
      </c>
      <c r="AZ41">
        <v>4</v>
      </c>
      <c r="BA41">
        <v>10</v>
      </c>
      <c r="BB41">
        <v>20</v>
      </c>
      <c r="BC41">
        <f>15+20</f>
        <v>35</v>
      </c>
      <c r="BD41">
        <f>21+35</f>
        <v>56</v>
      </c>
      <c r="BE41">
        <f>28+56</f>
        <v>84</v>
      </c>
      <c r="BF41">
        <f>36+84</f>
        <v>120</v>
      </c>
      <c r="BH41">
        <f t="shared" si="22"/>
        <v>4</v>
      </c>
      <c r="BI41">
        <v>8</v>
      </c>
      <c r="BJ41" s="94" t="e">
        <f t="shared" si="23"/>
        <v>#DIV/0!</v>
      </c>
      <c r="BP41">
        <f t="shared" si="25"/>
        <v>9</v>
      </c>
      <c r="BQ41">
        <v>2</v>
      </c>
      <c r="BR41" s="94" t="e">
        <f t="shared" si="26"/>
        <v>#DIV/0!</v>
      </c>
    </row>
    <row r="42" spans="1:70" ht="15" customHeight="1" x14ac:dyDescent="0.25">
      <c r="G42" s="78">
        <v>4</v>
      </c>
      <c r="H42" s="114" t="e">
        <f>J42*L38+J41*L39+J40*L40+J39*L41</f>
        <v>#DIV/0!</v>
      </c>
      <c r="I42" s="80">
        <v>4</v>
      </c>
      <c r="J42" s="73" t="e">
        <f t="shared" si="20"/>
        <v>#DIV/0!</v>
      </c>
      <c r="K42" s="82">
        <v>4</v>
      </c>
      <c r="L42" s="73"/>
      <c r="M42" s="72">
        <v>4</v>
      </c>
      <c r="N42" s="63" t="e">
        <f>(($C$24)^M28)*((1-($C$24))^($B$21-M28))*HLOOKUP($B$21,$AV$24:$BF$34,M28+1)</f>
        <v>#DIV/0!</v>
      </c>
      <c r="O42" s="62">
        <v>4</v>
      </c>
      <c r="P42" s="63" t="e">
        <f t="shared" si="21"/>
        <v>#DIV/0!</v>
      </c>
      <c r="Q42" s="12">
        <v>4</v>
      </c>
      <c r="R42" s="31" t="e">
        <f>P42*N38+P41*N39+P40*N40+P39*N41+P38*N42</f>
        <v>#DIV/0!</v>
      </c>
      <c r="S42" s="62">
        <v>4</v>
      </c>
      <c r="T42" s="117" t="e">
        <f t="shared" si="24"/>
        <v>#DIV/0!</v>
      </c>
      <c r="U42" s="80">
        <v>4</v>
      </c>
      <c r="V42" s="73" t="e">
        <f>T42*R38+T41*R39+T40*R40+T39*R41+T38*R42</f>
        <v>#DIV/0!</v>
      </c>
      <c r="W42" s="119"/>
      <c r="X42" s="12">
        <v>4</v>
      </c>
      <c r="Y42" s="31"/>
      <c r="Z42" s="12">
        <v>4</v>
      </c>
      <c r="AA42" s="68"/>
      <c r="AB42" s="12">
        <v>4</v>
      </c>
      <c r="AC42" s="68"/>
      <c r="AD42" s="12">
        <v>4</v>
      </c>
      <c r="AE42" s="68"/>
      <c r="AF42" s="12">
        <v>4</v>
      </c>
      <c r="AG42" s="68" t="e">
        <f>((($W$38)^M42)*((1-($W$38))^($U$28-M42))*HLOOKUP($U$28,$AV$24:$BF$34,M42+1))*V42</f>
        <v>#DIV/0!</v>
      </c>
      <c r="AH42" s="12">
        <v>4</v>
      </c>
      <c r="AI42" s="68" t="e">
        <f>((($W$38)^M42)*((1-($W$38))^($U$29-M42))*HLOOKUP($U$29,$AV$24:$BF$34,M42+1))*V43</f>
        <v>#DIV/0!</v>
      </c>
      <c r="AJ42" s="12">
        <v>4</v>
      </c>
      <c r="AK42" s="68" t="e">
        <f>((($W$38)^M42)*((1-($W$38))^($U$30-M42))*HLOOKUP($U$30,$AV$24:$BF$34,M42+1))*V44</f>
        <v>#DIV/0!</v>
      </c>
      <c r="AL42" s="12">
        <v>4</v>
      </c>
      <c r="AM42" s="68" t="e">
        <f>((($W$38)^Q42)*((1-($W$38))^($U$31-Q42))*HLOOKUP($U$31,$AV$24:$BF$34,Q42+1))*V45</f>
        <v>#DIV/0!</v>
      </c>
      <c r="AN42" s="12">
        <v>4</v>
      </c>
      <c r="AO42" s="68" t="e">
        <f>((($W$38)^Q42)*((1-($W$38))^($U$32-Q42))*HLOOKUP($U$32,$AV$24:$BF$34,Q42+1))*V46</f>
        <v>#DIV/0!</v>
      </c>
      <c r="AP42" s="12">
        <v>4</v>
      </c>
      <c r="AQ42" s="68" t="e">
        <f>((($W$38)^Q42)*((1-($W$38))^($U$33-Q42))*HLOOKUP($U$33,$AV$24:$BF$34,Q42+1))*V47</f>
        <v>#DIV/0!</v>
      </c>
      <c r="AR42" s="12">
        <v>4</v>
      </c>
      <c r="AS42" s="68" t="e">
        <f>((($W$38)^Q42)*((1-($W$38))^($U$34-Q42))*HLOOKUP($U$34,$AV$24:$BF$34,Q42+1))*V48</f>
        <v>#DIV/0!</v>
      </c>
      <c r="AV42" s="14">
        <v>4</v>
      </c>
      <c r="AZ42">
        <v>1</v>
      </c>
      <c r="BA42">
        <v>5</v>
      </c>
      <c r="BB42">
        <v>15</v>
      </c>
      <c r="BC42">
        <f>20+15</f>
        <v>35</v>
      </c>
      <c r="BD42">
        <f>35+35</f>
        <v>70</v>
      </c>
      <c r="BE42">
        <f>56+70</f>
        <v>126</v>
      </c>
      <c r="BF42">
        <f t="shared" ref="BF42:BF48" si="27">BE41+BE42</f>
        <v>210</v>
      </c>
      <c r="BH42">
        <f t="shared" si="22"/>
        <v>4</v>
      </c>
      <c r="BI42">
        <v>9</v>
      </c>
      <c r="BJ42" s="94" t="e">
        <f t="shared" si="23"/>
        <v>#DIV/0!</v>
      </c>
      <c r="BP42">
        <f t="shared" si="25"/>
        <v>9</v>
      </c>
      <c r="BQ42">
        <v>3</v>
      </c>
      <c r="BR42" s="94" t="e">
        <f t="shared" si="26"/>
        <v>#DIV/0!</v>
      </c>
    </row>
    <row r="43" spans="1:70" ht="15" customHeight="1" x14ac:dyDescent="0.25">
      <c r="G43" s="78">
        <v>5</v>
      </c>
      <c r="H43" s="114" t="e">
        <f>J43*L38+J42*L39+J41*L40+J40*L41</f>
        <v>#DIV/0!</v>
      </c>
      <c r="I43" s="80">
        <v>5</v>
      </c>
      <c r="J43" s="73" t="e">
        <f t="shared" si="20"/>
        <v>#DIV/0!</v>
      </c>
      <c r="K43" s="82">
        <v>5</v>
      </c>
      <c r="L43" s="73"/>
      <c r="M43" s="72">
        <v>5</v>
      </c>
      <c r="N43" s="63" t="e">
        <f>(($C$24)^M29)*((1-($C$24))^($B$21-M29))*HLOOKUP($B$21,$AV$24:$BF$34,M29+1)</f>
        <v>#DIV/0!</v>
      </c>
      <c r="O43" s="62">
        <v>5</v>
      </c>
      <c r="P43" s="63" t="e">
        <f t="shared" si="21"/>
        <v>#DIV/0!</v>
      </c>
      <c r="Q43" s="12">
        <v>5</v>
      </c>
      <c r="R43" s="31" t="e">
        <f>P43*N38+P42*N39+P41*N40+P40*N41+P39*N42+P38*N43</f>
        <v>#DIV/0!</v>
      </c>
      <c r="S43" s="62">
        <v>5</v>
      </c>
      <c r="T43" s="117" t="e">
        <f t="shared" si="24"/>
        <v>#DIV/0!</v>
      </c>
      <c r="U43" s="80">
        <v>5</v>
      </c>
      <c r="V43" s="73" t="e">
        <f>T43*R38+T42*R39+T41*R40+T40*R41+T39*R42+T38*R43</f>
        <v>#DIV/0!</v>
      </c>
      <c r="W43" s="119"/>
      <c r="X43" s="12">
        <v>5</v>
      </c>
      <c r="Y43" s="31"/>
      <c r="Z43" s="12">
        <v>5</v>
      </c>
      <c r="AA43" s="68"/>
      <c r="AB43" s="12">
        <v>5</v>
      </c>
      <c r="AC43" s="68"/>
      <c r="AD43" s="12">
        <v>5</v>
      </c>
      <c r="AE43" s="68"/>
      <c r="AF43" s="12">
        <v>5</v>
      </c>
      <c r="AG43" s="68"/>
      <c r="AH43" s="12">
        <v>5</v>
      </c>
      <c r="AI43" s="68" t="e">
        <f>((($W$38)^M43)*((1-($W$38))^($U$29-M43))*HLOOKUP($U$29,$AV$24:$BF$34,M43+1))*V43</f>
        <v>#DIV/0!</v>
      </c>
      <c r="AJ43" s="12">
        <v>5</v>
      </c>
      <c r="AK43" s="68" t="e">
        <f>((($W$38)^M43)*((1-($W$38))^($U$30-M43))*HLOOKUP($U$30,$AV$24:$BF$34,M43+1))*V44</f>
        <v>#DIV/0!</v>
      </c>
      <c r="AL43" s="12">
        <v>5</v>
      </c>
      <c r="AM43" s="68" t="e">
        <f>((($W$38)^Q43)*((1-($W$38))^($U$31-Q43))*HLOOKUP($U$31,$AV$24:$BF$34,Q43+1))*V45</f>
        <v>#DIV/0!</v>
      </c>
      <c r="AN43" s="12">
        <v>5</v>
      </c>
      <c r="AO43" s="68" t="e">
        <f>((($W$38)^Q43)*((1-($W$38))^($U$32-Q43))*HLOOKUP($U$32,$AV$24:$BF$34,Q43+1))*V46</f>
        <v>#DIV/0!</v>
      </c>
      <c r="AP43" s="12">
        <v>5</v>
      </c>
      <c r="AQ43" s="68" t="e">
        <f>((($W$38)^Q43)*((1-($W$38))^($U$33-Q43))*HLOOKUP($U$33,$AV$24:$BF$34,Q43+1))*V47</f>
        <v>#DIV/0!</v>
      </c>
      <c r="AR43" s="12">
        <v>5</v>
      </c>
      <c r="AS43" s="68" t="e">
        <f>((($W$38)^Q43)*((1-($W$38))^($U$34-Q43))*HLOOKUP($U$34,$AV$24:$BF$34,Q43+1))*V48</f>
        <v>#DIV/0!</v>
      </c>
      <c r="AV43" s="14">
        <v>5</v>
      </c>
      <c r="BA43">
        <v>1</v>
      </c>
      <c r="BB43">
        <v>6</v>
      </c>
      <c r="BC43">
        <f>15+6</f>
        <v>21</v>
      </c>
      <c r="BD43">
        <f>35+21</f>
        <v>56</v>
      </c>
      <c r="BE43">
        <f>70+56</f>
        <v>126</v>
      </c>
      <c r="BF43">
        <f t="shared" si="27"/>
        <v>252</v>
      </c>
      <c r="BH43">
        <f t="shared" si="22"/>
        <v>4</v>
      </c>
      <c r="BI43">
        <v>10</v>
      </c>
      <c r="BJ43" s="94" t="e">
        <f t="shared" si="23"/>
        <v>#DIV/0!</v>
      </c>
      <c r="BP43">
        <f t="shared" si="25"/>
        <v>9</v>
      </c>
      <c r="BQ43">
        <v>4</v>
      </c>
      <c r="BR43" s="94" t="e">
        <f t="shared" si="26"/>
        <v>#DIV/0!</v>
      </c>
    </row>
    <row r="44" spans="1:70" ht="15" customHeight="1" x14ac:dyDescent="0.25">
      <c r="G44" s="78">
        <v>6</v>
      </c>
      <c r="H44" s="114" t="e">
        <f>J44*L38+J43*L39+J42*L40+J41*L41</f>
        <v>#DIV/0!</v>
      </c>
      <c r="I44" s="80">
        <v>6</v>
      </c>
      <c r="J44" s="73" t="e">
        <f t="shared" si="20"/>
        <v>#DIV/0!</v>
      </c>
      <c r="K44" s="82">
        <v>6</v>
      </c>
      <c r="L44" s="73"/>
      <c r="M44" s="72"/>
      <c r="N44" s="31"/>
      <c r="O44" s="31"/>
      <c r="P44" s="31"/>
      <c r="Q44" s="12">
        <v>6</v>
      </c>
      <c r="R44" s="31" t="e">
        <f>P43*N39+P42*N40+P41*N41+P40*N42+P39*N43</f>
        <v>#DIV/0!</v>
      </c>
      <c r="S44" s="62">
        <v>6</v>
      </c>
      <c r="T44" s="117" t="e">
        <f t="shared" si="24"/>
        <v>#DIV/0!</v>
      </c>
      <c r="U44" s="80">
        <v>6</v>
      </c>
      <c r="V44" s="73" t="e">
        <f>T44*R38+T43*R39+T42*R40+T41*R41+T40*R42+T39*R43+T38*R44</f>
        <v>#DIV/0!</v>
      </c>
      <c r="W44" s="119"/>
      <c r="X44" s="12">
        <v>6</v>
      </c>
      <c r="Y44" s="31"/>
      <c r="Z44" s="12">
        <v>6</v>
      </c>
      <c r="AA44" s="68"/>
      <c r="AB44" s="12">
        <v>6</v>
      </c>
      <c r="AC44" s="68"/>
      <c r="AD44" s="12">
        <v>6</v>
      </c>
      <c r="AE44" s="68"/>
      <c r="AF44" s="12">
        <v>6</v>
      </c>
      <c r="AG44" s="68"/>
      <c r="AH44" s="12">
        <v>6</v>
      </c>
      <c r="AI44" s="68"/>
      <c r="AJ44" s="12">
        <v>6</v>
      </c>
      <c r="AK44" s="68" t="e">
        <f>((($W$38)^Q44)*((1-($W$38))^($U$30-Q44))*HLOOKUP($U$30,$AV$24:$BF$34,Q44+1))*V44</f>
        <v>#DIV/0!</v>
      </c>
      <c r="AL44" s="12">
        <v>6</v>
      </c>
      <c r="AM44" s="68" t="e">
        <f>((($W$38)^Q44)*((1-($W$38))^($U$31-Q44))*HLOOKUP($U$31,$AV$24:$BF$34,Q44+1))*V45</f>
        <v>#DIV/0!</v>
      </c>
      <c r="AN44" s="12">
        <v>6</v>
      </c>
      <c r="AO44" s="68" t="e">
        <f>((($W$38)^Q44)*((1-($W$38))^($U$32-Q44))*HLOOKUP($U$32,$AV$24:$BF$34,Q44+1))*V46</f>
        <v>#DIV/0!</v>
      </c>
      <c r="AP44" s="12">
        <v>6</v>
      </c>
      <c r="AQ44" s="68" t="e">
        <f>((($W$38)^Q44)*((1-($W$38))^($U$33-Q44))*HLOOKUP($U$33,$AV$24:$BF$34,Q44+1))*V47</f>
        <v>#DIV/0!</v>
      </c>
      <c r="AR44" s="12">
        <v>6</v>
      </c>
      <c r="AS44" s="68" t="e">
        <f>((($W$38)^Q44)*((1-($W$38))^($U$34-Q44))*HLOOKUP($U$34,$AV$24:$BF$34,Q44+1))*V48</f>
        <v>#DIV/0!</v>
      </c>
      <c r="AV44" s="24">
        <v>6</v>
      </c>
      <c r="BB44">
        <v>1</v>
      </c>
      <c r="BC44">
        <v>7</v>
      </c>
      <c r="BD44">
        <f>28</f>
        <v>28</v>
      </c>
      <c r="BE44">
        <f>56+28</f>
        <v>84</v>
      </c>
      <c r="BF44">
        <f t="shared" si="27"/>
        <v>210</v>
      </c>
      <c r="BH44">
        <f>BH39+1</f>
        <v>5</v>
      </c>
      <c r="BI44">
        <v>6</v>
      </c>
      <c r="BJ44" s="94" t="e">
        <f>$H$29*H44</f>
        <v>#DIV/0!</v>
      </c>
      <c r="BP44">
        <f t="shared" si="25"/>
        <v>9</v>
      </c>
      <c r="BQ44">
        <v>5</v>
      </c>
      <c r="BR44" s="94" t="e">
        <f t="shared" si="26"/>
        <v>#DIV/0!</v>
      </c>
    </row>
    <row r="45" spans="1:70" ht="15" customHeight="1" x14ac:dyDescent="0.25">
      <c r="A45" s="99" t="s">
        <v>4</v>
      </c>
      <c r="B45" s="99" t="s">
        <v>121</v>
      </c>
      <c r="C45" s="99" t="s">
        <v>122</v>
      </c>
      <c r="D45" s="99" t="s">
        <v>123</v>
      </c>
      <c r="E45" s="99" t="s">
        <v>124</v>
      </c>
      <c r="G45" s="78">
        <v>7</v>
      </c>
      <c r="H45" s="114" t="e">
        <f>J45*L38+J44*L39+J43*L40+J42*L41</f>
        <v>#DIV/0!</v>
      </c>
      <c r="I45" s="80">
        <v>7</v>
      </c>
      <c r="J45" s="73" t="e">
        <f t="shared" si="20"/>
        <v>#DIV/0!</v>
      </c>
      <c r="K45" s="82">
        <v>7</v>
      </c>
      <c r="L45" s="73"/>
      <c r="M45" s="72"/>
      <c r="N45" s="31"/>
      <c r="O45" s="31"/>
      <c r="P45" s="31"/>
      <c r="Q45" s="12">
        <v>7</v>
      </c>
      <c r="R45" s="31" t="e">
        <f>P43*N40+P42*N41+P41*N42+P40*N43</f>
        <v>#DIV/0!</v>
      </c>
      <c r="S45" s="62">
        <v>7</v>
      </c>
      <c r="T45" s="117" t="e">
        <f t="shared" si="24"/>
        <v>#DIV/0!</v>
      </c>
      <c r="U45" s="80">
        <v>7</v>
      </c>
      <c r="V45" s="73" t="e">
        <f>T45*R38+T44*R39+T43*R40+T42*R41+T41*R42+T40*R43+T39*R44+T38*R45</f>
        <v>#DIV/0!</v>
      </c>
      <c r="W45" s="119"/>
      <c r="X45" s="12">
        <v>7</v>
      </c>
      <c r="Y45" s="31"/>
      <c r="Z45" s="12">
        <v>7</v>
      </c>
      <c r="AA45" s="68"/>
      <c r="AB45" s="12">
        <v>7</v>
      </c>
      <c r="AC45" s="68"/>
      <c r="AD45" s="12">
        <v>7</v>
      </c>
      <c r="AE45" s="68"/>
      <c r="AF45" s="12">
        <v>7</v>
      </c>
      <c r="AG45" s="68"/>
      <c r="AH45" s="12">
        <v>7</v>
      </c>
      <c r="AI45" s="68"/>
      <c r="AJ45" s="12">
        <v>7</v>
      </c>
      <c r="AK45" s="68"/>
      <c r="AL45" s="12">
        <v>7</v>
      </c>
      <c r="AM45" s="68" t="e">
        <f>((($W$38)^Q45)*((1-($W$38))^($U$31-Q45))*HLOOKUP($U$31,$AV$24:$BF$34,Q45+1))*V45</f>
        <v>#DIV/0!</v>
      </c>
      <c r="AN45" s="12">
        <v>7</v>
      </c>
      <c r="AO45" s="68" t="e">
        <f>((($W$38)^Q45)*((1-($W$38))^($U$32-Q45))*HLOOKUP($U$32,$AV$24:$BF$34,Q45+1))*V46</f>
        <v>#DIV/0!</v>
      </c>
      <c r="AP45" s="12">
        <v>7</v>
      </c>
      <c r="AQ45" s="68" t="e">
        <f>((($W$38)^Q45)*((1-($W$38))^($U$33-Q45))*HLOOKUP($U$33,$AV$24:$BF$34,Q45+1))*V47</f>
        <v>#DIV/0!</v>
      </c>
      <c r="AR45" s="12">
        <v>7</v>
      </c>
      <c r="AS45" s="68" t="e">
        <f>((($W$38)^Q45)*((1-($W$38))^($U$34-Q45))*HLOOKUP($U$34,$AV$24:$BF$34,Q45+1))*V48</f>
        <v>#DIV/0!</v>
      </c>
      <c r="AV45" s="14">
        <v>7</v>
      </c>
      <c r="BC45">
        <v>1</v>
      </c>
      <c r="BD45">
        <v>8</v>
      </c>
      <c r="BE45">
        <f>28+8</f>
        <v>36</v>
      </c>
      <c r="BF45">
        <f t="shared" si="27"/>
        <v>120</v>
      </c>
      <c r="BH45">
        <f>BH40+1</f>
        <v>5</v>
      </c>
      <c r="BI45">
        <v>7</v>
      </c>
      <c r="BJ45" s="94" t="e">
        <f>$H$29*H45</f>
        <v>#DIV/0!</v>
      </c>
      <c r="BP45">
        <f t="shared" si="25"/>
        <v>9</v>
      </c>
      <c r="BQ45">
        <v>6</v>
      </c>
      <c r="BR45" s="94" t="e">
        <f t="shared" si="26"/>
        <v>#DIV/0!</v>
      </c>
    </row>
    <row r="46" spans="1:70" ht="15" customHeight="1" x14ac:dyDescent="0.25">
      <c r="A46" s="100" t="s">
        <v>125</v>
      </c>
      <c r="B46" s="100" t="s">
        <v>2</v>
      </c>
      <c r="C46" s="100" t="s">
        <v>126</v>
      </c>
      <c r="D46" s="100" t="s">
        <v>127</v>
      </c>
      <c r="E46" s="100" t="s">
        <v>128</v>
      </c>
      <c r="G46" s="78">
        <v>8</v>
      </c>
      <c r="H46" s="114" t="e">
        <f>J46*L38+J45*L39+J44*L40+J43*L41</f>
        <v>#DIV/0!</v>
      </c>
      <c r="I46" s="80">
        <v>8</v>
      </c>
      <c r="J46" s="73" t="e">
        <f t="shared" si="20"/>
        <v>#DIV/0!</v>
      </c>
      <c r="K46" s="82">
        <v>8</v>
      </c>
      <c r="L46" s="73"/>
      <c r="M46" s="72"/>
      <c r="N46" s="31"/>
      <c r="O46" s="31"/>
      <c r="P46" s="31"/>
      <c r="Q46" s="12">
        <v>8</v>
      </c>
      <c r="R46" s="31" t="e">
        <f>P43*N41+P42*N42+P41*N43</f>
        <v>#DIV/0!</v>
      </c>
      <c r="S46" s="62">
        <v>8</v>
      </c>
      <c r="T46" s="117" t="e">
        <f t="shared" si="24"/>
        <v>#DIV/0!</v>
      </c>
      <c r="U46" s="80">
        <v>8</v>
      </c>
      <c r="V46" s="73" t="e">
        <f>T46*R38+T45*R39+T44*R40+T43*R41+T42*R42+T41*R43+T40*R44+T39*R45+T38*R46</f>
        <v>#DIV/0!</v>
      </c>
      <c r="W46" s="119"/>
      <c r="X46" s="12">
        <v>8</v>
      </c>
      <c r="Y46" s="31"/>
      <c r="Z46" s="12">
        <v>8</v>
      </c>
      <c r="AA46" s="68"/>
      <c r="AB46" s="12">
        <v>8</v>
      </c>
      <c r="AC46" s="68"/>
      <c r="AD46" s="12">
        <v>8</v>
      </c>
      <c r="AE46" s="68"/>
      <c r="AF46" s="12">
        <v>8</v>
      </c>
      <c r="AG46" s="68"/>
      <c r="AH46" s="12">
        <v>8</v>
      </c>
      <c r="AI46" s="68"/>
      <c r="AJ46" s="12">
        <v>8</v>
      </c>
      <c r="AK46" s="68"/>
      <c r="AL46" s="12">
        <v>8</v>
      </c>
      <c r="AM46" s="68"/>
      <c r="AN46" s="12">
        <v>8</v>
      </c>
      <c r="AO46" s="68" t="e">
        <f>((($W$38)^Q46)*((1-($W$38))^($U$32-Q46))*HLOOKUP($U$32,$AV$24:$BF$34,Q46+1))*V46</f>
        <v>#DIV/0!</v>
      </c>
      <c r="AP46" s="12">
        <v>8</v>
      </c>
      <c r="AQ46" s="68" t="e">
        <f>((($W$38)^Q46)*((1-($W$38))^($U$33-Q46))*HLOOKUP($U$33,$AV$24:$BF$34,Q46+1))*V47</f>
        <v>#DIV/0!</v>
      </c>
      <c r="AR46" s="12">
        <v>8</v>
      </c>
      <c r="AS46" s="68" t="e">
        <f>((($W$38)^Q46)*((1-($W$38))^($U$34-Q46))*HLOOKUP($U$34,$AV$24:$BF$34,Q46+1))*V48</f>
        <v>#DIV/0!</v>
      </c>
      <c r="AV46" s="14">
        <v>8</v>
      </c>
      <c r="BD46">
        <v>1</v>
      </c>
      <c r="BE46">
        <v>9</v>
      </c>
      <c r="BF46">
        <f t="shared" si="27"/>
        <v>45</v>
      </c>
      <c r="BH46">
        <f>BH41+1</f>
        <v>5</v>
      </c>
      <c r="BI46">
        <v>8</v>
      </c>
      <c r="BJ46" s="94" t="e">
        <f>$H$29*H46</f>
        <v>#DIV/0!</v>
      </c>
      <c r="BP46">
        <f t="shared" si="25"/>
        <v>9</v>
      </c>
      <c r="BQ46">
        <v>7</v>
      </c>
      <c r="BR46" s="94" t="e">
        <f t="shared" si="26"/>
        <v>#DIV/0!</v>
      </c>
    </row>
    <row r="47" spans="1:70" ht="15" customHeight="1" x14ac:dyDescent="0.25">
      <c r="A47" s="100" t="s">
        <v>5</v>
      </c>
      <c r="B47" s="100" t="s">
        <v>2</v>
      </c>
      <c r="C47" s="100" t="s">
        <v>129</v>
      </c>
      <c r="D47" s="100" t="s">
        <v>130</v>
      </c>
      <c r="E47" s="100" t="s">
        <v>128</v>
      </c>
      <c r="G47" s="78">
        <v>9</v>
      </c>
      <c r="H47" s="114" t="e">
        <f>J47*L38+J46*L39+J45*L40+J44*L41</f>
        <v>#DIV/0!</v>
      </c>
      <c r="I47" s="80">
        <v>9</v>
      </c>
      <c r="J47" s="73" t="e">
        <f t="shared" si="20"/>
        <v>#DIV/0!</v>
      </c>
      <c r="K47" s="82">
        <v>9</v>
      </c>
      <c r="L47" s="73"/>
      <c r="M47" s="72"/>
      <c r="N47" s="31"/>
      <c r="O47" s="31"/>
      <c r="P47" s="31"/>
      <c r="Q47" s="12">
        <v>9</v>
      </c>
      <c r="R47" s="31" t="e">
        <f>P43*N42+P42*N43</f>
        <v>#DIV/0!</v>
      </c>
      <c r="S47" s="62">
        <v>9</v>
      </c>
      <c r="T47" s="117" t="e">
        <f t="shared" si="24"/>
        <v>#DIV/0!</v>
      </c>
      <c r="U47" s="80">
        <v>9</v>
      </c>
      <c r="V47" s="73" t="e">
        <f>T47*R38+T46*R39+T45*R40+T44*R41+T43*R42+T42*R43+T41*R44+T40*R45+T39*R46+T38*R47</f>
        <v>#DIV/0!</v>
      </c>
      <c r="W47" s="119"/>
      <c r="X47" s="12">
        <v>9</v>
      </c>
      <c r="Y47" s="31"/>
      <c r="Z47" s="12">
        <v>9</v>
      </c>
      <c r="AA47" s="68"/>
      <c r="AB47" s="12">
        <v>9</v>
      </c>
      <c r="AC47" s="68"/>
      <c r="AD47" s="12">
        <v>9</v>
      </c>
      <c r="AE47" s="68"/>
      <c r="AF47" s="12">
        <v>9</v>
      </c>
      <c r="AG47" s="68"/>
      <c r="AH47" s="12">
        <v>9</v>
      </c>
      <c r="AI47" s="68"/>
      <c r="AJ47" s="12">
        <v>9</v>
      </c>
      <c r="AK47" s="68"/>
      <c r="AL47" s="12">
        <v>9</v>
      </c>
      <c r="AM47" s="68"/>
      <c r="AN47" s="12">
        <v>9</v>
      </c>
      <c r="AO47" s="68"/>
      <c r="AP47" s="12">
        <v>9</v>
      </c>
      <c r="AQ47" s="68" t="e">
        <f>((($W$38)^Q47)*((1-($W$38))^($U$33-Q47))*HLOOKUP($U$33,$AV$24:$BF$34,Q47+1))*V47</f>
        <v>#DIV/0!</v>
      </c>
      <c r="AR47" s="12">
        <v>9</v>
      </c>
      <c r="AS47" s="68" t="e">
        <f>((($W$38)^Q47)*((1-($W$38))^($U$34-Q47))*HLOOKUP($U$34,$AV$24:$BF$34,Q47+1))*V48</f>
        <v>#DIV/0!</v>
      </c>
      <c r="AV47" s="24">
        <v>9</v>
      </c>
      <c r="BE47">
        <v>1</v>
      </c>
      <c r="BF47">
        <f t="shared" si="27"/>
        <v>10</v>
      </c>
      <c r="BH47">
        <f>BH42+1</f>
        <v>5</v>
      </c>
      <c r="BI47">
        <v>9</v>
      </c>
      <c r="BJ47" s="94" t="e">
        <f>$H$29*H47</f>
        <v>#DIV/0!</v>
      </c>
      <c r="BP47">
        <f>BL12+1</f>
        <v>9</v>
      </c>
      <c r="BQ47">
        <v>8</v>
      </c>
      <c r="BR47" s="94" t="e">
        <f t="shared" si="26"/>
        <v>#DIV/0!</v>
      </c>
    </row>
    <row r="48" spans="1:70" ht="15" customHeight="1" x14ac:dyDescent="0.25">
      <c r="A48" s="101" t="s">
        <v>125</v>
      </c>
      <c r="B48" s="101" t="s">
        <v>131</v>
      </c>
      <c r="C48" s="101" t="s">
        <v>129</v>
      </c>
      <c r="D48" s="102" t="s">
        <v>132</v>
      </c>
      <c r="E48" s="101" t="s">
        <v>128</v>
      </c>
      <c r="G48" s="79">
        <v>10</v>
      </c>
      <c r="H48" s="115" t="e">
        <f>J48*L38+J47*L39+J46*L40+J45*L41</f>
        <v>#DIV/0!</v>
      </c>
      <c r="I48" s="81">
        <v>10</v>
      </c>
      <c r="J48" s="76" t="e">
        <f t="shared" si="20"/>
        <v>#DIV/0!</v>
      </c>
      <c r="K48" s="83">
        <v>10</v>
      </c>
      <c r="L48" s="76"/>
      <c r="M48" s="72"/>
      <c r="N48" s="31"/>
      <c r="O48" s="31"/>
      <c r="P48" s="31"/>
      <c r="Q48" s="12">
        <v>10</v>
      </c>
      <c r="R48" s="31" t="e">
        <f>P43*N43</f>
        <v>#DIV/0!</v>
      </c>
      <c r="S48" s="62">
        <v>10</v>
      </c>
      <c r="T48" s="117" t="e">
        <f t="shared" si="24"/>
        <v>#DIV/0!</v>
      </c>
      <c r="U48" s="81">
        <v>10</v>
      </c>
      <c r="V48" s="76" t="e">
        <f>IF(((T48*R38+T47*R39+T46*R40+T45*R41+T44*R42+T43*R43+T42*R44+T41*R45+T40*R46+T39*R47+T38*R48)+V36)&lt;&gt;1,1-V36,(T48*R38+T47*R39+T46*R40+T45*R41+T44*R42+T43*R43+T42*R44+T41*R45+T40*R46+T39*R47+T38*R48))</f>
        <v>#DIV/0!</v>
      </c>
      <c r="W48" s="119"/>
      <c r="X48" s="12">
        <v>10</v>
      </c>
      <c r="Y48" s="31"/>
      <c r="Z48" s="12">
        <v>10</v>
      </c>
      <c r="AA48" s="68"/>
      <c r="AB48" s="12">
        <v>10</v>
      </c>
      <c r="AC48" s="68"/>
      <c r="AD48" s="12">
        <v>10</v>
      </c>
      <c r="AE48" s="68"/>
      <c r="AF48" s="12">
        <v>10</v>
      </c>
      <c r="AG48" s="68"/>
      <c r="AH48" s="12">
        <v>10</v>
      </c>
      <c r="AI48" s="68"/>
      <c r="AJ48" s="12">
        <v>10</v>
      </c>
      <c r="AK48" s="68"/>
      <c r="AL48" s="12">
        <v>10</v>
      </c>
      <c r="AM48" s="68"/>
      <c r="AN48" s="12">
        <v>10</v>
      </c>
      <c r="AO48" s="68"/>
      <c r="AP48" s="12">
        <v>10</v>
      </c>
      <c r="AQ48" s="68"/>
      <c r="AR48" s="12">
        <v>10</v>
      </c>
      <c r="AS48" s="68" t="e">
        <f>((($W$38)^Q48)*((1-($W$38))^($U$34-Q48))*HLOOKUP($U$34,$AV$24:$BF$34,Q48+1))*V48</f>
        <v>#DIV/0!</v>
      </c>
      <c r="AV48" s="14">
        <v>10</v>
      </c>
      <c r="BF48">
        <f t="shared" si="27"/>
        <v>1</v>
      </c>
      <c r="BH48">
        <f>BH43+1</f>
        <v>5</v>
      </c>
      <c r="BI48">
        <v>10</v>
      </c>
      <c r="BJ48" s="94" t="e">
        <f>$H$29*H48</f>
        <v>#DIV/0!</v>
      </c>
    </row>
    <row r="49" spans="1:62" ht="15" customHeight="1" x14ac:dyDescent="0.25">
      <c r="A49" s="101" t="s">
        <v>5</v>
      </c>
      <c r="B49" s="101" t="s">
        <v>131</v>
      </c>
      <c r="C49" s="101" t="s">
        <v>126</v>
      </c>
      <c r="D49" s="101" t="s">
        <v>133</v>
      </c>
      <c r="E49" s="101" t="s">
        <v>134</v>
      </c>
      <c r="G49" s="66"/>
      <c r="H49" s="67"/>
      <c r="I49" s="27"/>
      <c r="J49" s="27"/>
      <c r="K49" s="67"/>
      <c r="L49" s="67"/>
      <c r="O49" s="26"/>
      <c r="P49" s="26"/>
      <c r="Q49" s="26"/>
      <c r="R49" s="26"/>
      <c r="S49" s="66"/>
      <c r="T49" s="66"/>
      <c r="U49" s="66"/>
      <c r="V49" s="67"/>
      <c r="W49" s="27"/>
      <c r="X49" s="13"/>
      <c r="Y49" s="13"/>
      <c r="BH49">
        <f>BP14+1</f>
        <v>6</v>
      </c>
      <c r="BI49">
        <v>0</v>
      </c>
      <c r="BJ49" s="94" t="e">
        <f>$H$30*H38</f>
        <v>#DIV/0!</v>
      </c>
    </row>
    <row r="50" spans="1:62" x14ac:dyDescent="0.25">
      <c r="A50" s="103" t="s">
        <v>125</v>
      </c>
      <c r="B50" s="103" t="s">
        <v>1</v>
      </c>
      <c r="C50" s="103" t="s">
        <v>126</v>
      </c>
      <c r="D50" s="103" t="s">
        <v>135</v>
      </c>
      <c r="E50" s="103" t="s">
        <v>128</v>
      </c>
      <c r="BH50">
        <f>BH45+1</f>
        <v>6</v>
      </c>
      <c r="BI50">
        <v>7</v>
      </c>
      <c r="BJ50" s="94" t="e">
        <f>$H$30*H45</f>
        <v>#DIV/0!</v>
      </c>
    </row>
    <row r="51" spans="1:62" x14ac:dyDescent="0.25">
      <c r="A51" s="103" t="s">
        <v>5</v>
      </c>
      <c r="B51" s="103" t="s">
        <v>1</v>
      </c>
      <c r="C51" s="103" t="s">
        <v>126</v>
      </c>
      <c r="D51" s="103" t="s">
        <v>136</v>
      </c>
      <c r="E51" s="103" t="s">
        <v>134</v>
      </c>
      <c r="H51" s="94"/>
      <c r="BH51">
        <f>BH46+1</f>
        <v>6</v>
      </c>
      <c r="BI51">
        <v>8</v>
      </c>
      <c r="BJ51" s="94" t="e">
        <f>$H$30*H46</f>
        <v>#DIV/0!</v>
      </c>
    </row>
    <row r="52" spans="1:62" x14ac:dyDescent="0.25">
      <c r="BH52">
        <f>BH47+1</f>
        <v>6</v>
      </c>
      <c r="BI52">
        <v>9</v>
      </c>
      <c r="BJ52" s="94" t="e">
        <f>$H$30*H47</f>
        <v>#DIV/0!</v>
      </c>
    </row>
    <row r="53" spans="1:62" x14ac:dyDescent="0.25">
      <c r="BH53">
        <f>BH48+1</f>
        <v>6</v>
      </c>
      <c r="BI53">
        <v>10</v>
      </c>
      <c r="BJ53" s="94" t="e">
        <f>$H$30*H48</f>
        <v>#DIV/0!</v>
      </c>
    </row>
    <row r="54" spans="1:62" x14ac:dyDescent="0.25">
      <c r="BH54">
        <f>BH51+1</f>
        <v>7</v>
      </c>
      <c r="BI54">
        <v>8</v>
      </c>
      <c r="BJ54" s="94" t="e">
        <f>$H$31*H46</f>
        <v>#DIV/0!</v>
      </c>
    </row>
    <row r="55" spans="1:62" x14ac:dyDescent="0.25">
      <c r="BH55">
        <f>BH52+1</f>
        <v>7</v>
      </c>
      <c r="BI55">
        <v>9</v>
      </c>
      <c r="BJ55" s="94" t="e">
        <f>$H$31*H47</f>
        <v>#DIV/0!</v>
      </c>
    </row>
    <row r="56" spans="1:62" x14ac:dyDescent="0.25">
      <c r="BH56">
        <f>BH53+1</f>
        <v>7</v>
      </c>
      <c r="BI56">
        <v>10</v>
      </c>
      <c r="BJ56" s="94" t="e">
        <f>$H$31*H48</f>
        <v>#DIV/0!</v>
      </c>
    </row>
    <row r="57" spans="1:62" x14ac:dyDescent="0.25">
      <c r="BH57">
        <f>BH55+1</f>
        <v>8</v>
      </c>
      <c r="BI57">
        <v>9</v>
      </c>
      <c r="BJ57" s="94" t="e">
        <f>$H$32*H47</f>
        <v>#DIV/0!</v>
      </c>
    </row>
    <row r="58" spans="1:62" x14ac:dyDescent="0.25">
      <c r="BH58">
        <f>BH56+1</f>
        <v>8</v>
      </c>
      <c r="BI58">
        <v>10</v>
      </c>
      <c r="BJ58" s="94" t="e">
        <f>$H$32*H48</f>
        <v>#DIV/0!</v>
      </c>
    </row>
    <row r="59" spans="1:62" x14ac:dyDescent="0.25">
      <c r="BH59">
        <f>BH58+1</f>
        <v>9</v>
      </c>
      <c r="BI59">
        <v>10</v>
      </c>
      <c r="BJ59" s="94" t="e">
        <f>$H$33*H48</f>
        <v>#DIV/0!</v>
      </c>
    </row>
  </sheetData>
  <mergeCells count="2">
    <mergeCell ref="P1:Q1"/>
    <mergeCell ref="B3:C3"/>
  </mergeCells>
  <conditionalFormatting sqref="H24:H34">
    <cfRule type="cellIs" dxfId="3" priority="5" operator="greaterThan">
      <formula>0.15</formula>
    </cfRule>
  </conditionalFormatting>
  <conditionalFormatting sqref="H38:H48">
    <cfRule type="cellIs" dxfId="2" priority="1" operator="greaterThan">
      <formula>0.15</formula>
    </cfRule>
  </conditionalFormatting>
  <conditionalFormatting sqref="V24:V34">
    <cfRule type="cellIs" dxfId="1" priority="10" operator="greaterThan">
      <formula>0.15</formula>
    </cfRule>
  </conditionalFormatting>
  <conditionalFormatting sqref="V38:V48">
    <cfRule type="cellIs" dxfId="0" priority="9" operator="greaterThan">
      <formula>0.15</formula>
    </cfRule>
  </conditionalFormatting>
  <pageMargins left="0.7" right="0.7" top="0.75" bottom="0.75" header="0.3" footer="0.3"/>
  <pageSetup paperSize="9" fitToWidth="0"/>
  <drawing r:id="rId1"/>
  <legacyDrawing r:id="rId2"/>
  <extLst>
    <ext uri="smNativeData">
      <pm:sheetPrefs xmlns:pm="smNativeData" day="15952533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SIMULADOR_v5</vt:lpstr>
      <vt:lpstr>SIMULADOR_v4</vt:lpstr>
      <vt:lpstr>Eventos</vt:lpstr>
      <vt:lpstr>SIMULADOR_sinJC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Isaac Porta</cp:lastModifiedBy>
  <cp:revision>0</cp:revision>
  <dcterms:created xsi:type="dcterms:W3CDTF">2006-09-16T00:00:00Z</dcterms:created>
  <dcterms:modified xsi:type="dcterms:W3CDTF">2023-09-26T08:36:18Z</dcterms:modified>
</cp:coreProperties>
</file>