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94188B37-7211-42A4-A89E-595BE3AF6A39}" xr6:coauthVersionLast="47" xr6:coauthVersionMax="47" xr10:uidLastSave="{00000000-0000-0000-0000-000000000000}"/>
  <bookViews>
    <workbookView xWindow="-14505" yWindow="0" windowWidth="14610" windowHeight="17385" activeTab="1" xr2:uid="{00000000-000D-0000-FFFF-FFFF00000000}"/>
  </bookViews>
  <sheets>
    <sheet name="Resistencia" sheetId="1" r:id="rId1"/>
    <sheet name="Tabla_HTMS" sheetId="18" r:id="rId2"/>
    <sheet name="TablasEntreno" sheetId="2" r:id="rId3"/>
    <sheet name="Sueldos" sheetId="5" r:id="rId4"/>
    <sheet name="EntrenamientoManual" sheetId="3" r:id="rId5"/>
    <sheet name="Entrenador" sheetId="4" r:id="rId6"/>
    <sheet name="Tarjetas" sheetId="15" r:id="rId7"/>
    <sheet name="BajarEntrenamiento" sheetId="16" r:id="rId8"/>
    <sheet name="Aficionados" sheetId="17" r:id="rId9"/>
    <sheet name="Calificaciones_POS&lt;T60" sheetId="6" r:id="rId10"/>
    <sheet name="Calificaciones_POS&gt;T60" sheetId="7" r:id="rId11"/>
    <sheet name="Posesion" sheetId="8" r:id="rId12"/>
    <sheet name="Logros" sheetId="9" r:id="rId13"/>
    <sheet name="Estadio_Destruccion" sheetId="10" r:id="rId14"/>
    <sheet name="Bepero_penalty" sheetId="11" r:id="rId15"/>
    <sheet name="Forma" sheetId="12" r:id="rId16"/>
    <sheet name="Confianza_Esperitu" sheetId="13" r:id="rId17"/>
    <sheet name="Sustituciones"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18" l="1"/>
  <c r="M19" i="18" s="1"/>
  <c r="M20" i="18" s="1"/>
  <c r="M21" i="18" s="1"/>
  <c r="M22" i="18" s="1"/>
  <c r="M23" i="18" s="1"/>
  <c r="M24" i="18" s="1"/>
  <c r="M25" i="18" s="1"/>
  <c r="M26" i="18" s="1"/>
  <c r="M27" i="18" s="1"/>
  <c r="M28" i="18" s="1"/>
  <c r="M29" i="18" s="1"/>
  <c r="M30" i="18" s="1"/>
  <c r="M31" i="18" s="1"/>
  <c r="M32" i="18" s="1"/>
  <c r="M33" i="18" s="1"/>
  <c r="M34" i="18" s="1"/>
  <c r="M35" i="18" s="1"/>
  <c r="M36" i="18" s="1"/>
  <c r="K18" i="18"/>
  <c r="K19" i="18" s="1"/>
  <c r="K20" i="18" s="1"/>
  <c r="K21" i="18" s="1"/>
  <c r="K22" i="18" s="1"/>
  <c r="K23" i="18" s="1"/>
  <c r="K24" i="18" s="1"/>
  <c r="K25" i="18" s="1"/>
  <c r="K26" i="18" s="1"/>
  <c r="K27" i="18" s="1"/>
  <c r="K28" i="18" s="1"/>
  <c r="K29" i="18" s="1"/>
  <c r="K30" i="18" s="1"/>
  <c r="K31" i="18" s="1"/>
  <c r="K32" i="18" s="1"/>
  <c r="K33" i="18" s="1"/>
  <c r="K34" i="18" s="1"/>
  <c r="I18" i="18"/>
  <c r="I19" i="18" s="1"/>
  <c r="I20" i="18" s="1"/>
  <c r="I21" i="18" s="1"/>
  <c r="I22" i="18" s="1"/>
  <c r="I23" i="18" s="1"/>
  <c r="I24" i="18" s="1"/>
  <c r="I25" i="18" s="1"/>
  <c r="I26" i="18" s="1"/>
  <c r="I27" i="18" s="1"/>
  <c r="I28" i="18" s="1"/>
  <c r="I29" i="18" s="1"/>
  <c r="I30" i="18" s="1"/>
  <c r="I31" i="18" s="1"/>
  <c r="I32" i="18" s="1"/>
  <c r="I33" i="18" s="1"/>
  <c r="I34" i="18" s="1"/>
  <c r="G18" i="18"/>
  <c r="G19" i="18" s="1"/>
  <c r="G20" i="18" s="1"/>
  <c r="G21" i="18" s="1"/>
  <c r="G22" i="18" s="1"/>
  <c r="G23" i="18" s="1"/>
  <c r="G24" i="18" s="1"/>
  <c r="G25" i="18" s="1"/>
  <c r="G26" i="18" s="1"/>
  <c r="G27" i="18" s="1"/>
  <c r="G28" i="18" s="1"/>
  <c r="G29" i="18" s="1"/>
  <c r="G30" i="18" s="1"/>
  <c r="G31" i="18" s="1"/>
  <c r="G32" i="18" s="1"/>
  <c r="G33" i="18" s="1"/>
  <c r="G34" i="18" s="1"/>
  <c r="E18" i="18"/>
  <c r="E19" i="18" s="1"/>
  <c r="E20" i="18" s="1"/>
  <c r="E21" i="18" s="1"/>
  <c r="E22" i="18" s="1"/>
  <c r="E23" i="18" s="1"/>
  <c r="E24" i="18" s="1"/>
  <c r="E25" i="18" s="1"/>
  <c r="E26" i="18" s="1"/>
  <c r="E27" i="18" s="1"/>
  <c r="E28" i="18" s="1"/>
  <c r="E29" i="18" s="1"/>
  <c r="E30" i="18" s="1"/>
  <c r="E31" i="18" s="1"/>
  <c r="E32" i="18" s="1"/>
  <c r="E33" i="18" s="1"/>
  <c r="E34" i="18" s="1"/>
  <c r="C18" i="18"/>
  <c r="C19" i="18" s="1"/>
  <c r="C20" i="18" s="1"/>
  <c r="C21" i="18" s="1"/>
  <c r="C22" i="18" s="1"/>
  <c r="C23" i="18" s="1"/>
  <c r="C24" i="18" s="1"/>
  <c r="C25" i="18" s="1"/>
  <c r="C26" i="18" s="1"/>
  <c r="C27" i="18" s="1"/>
  <c r="C28" i="18" s="1"/>
  <c r="C29" i="18" s="1"/>
  <c r="C30" i="18" s="1"/>
  <c r="C31" i="18" s="1"/>
  <c r="C32" i="18" s="1"/>
  <c r="C33" i="18" s="1"/>
  <c r="C34" i="18" s="1"/>
  <c r="A18" i="18"/>
  <c r="A19" i="18" s="1"/>
  <c r="A20" i="18" s="1"/>
  <c r="A21" i="18" s="1"/>
  <c r="A22" i="18" s="1"/>
  <c r="A23" i="18" s="1"/>
  <c r="A24" i="18" s="1"/>
  <c r="A25" i="18" s="1"/>
  <c r="A26" i="18" s="1"/>
  <c r="A27" i="18" s="1"/>
  <c r="A28" i="18" s="1"/>
  <c r="A29" i="18" s="1"/>
  <c r="A30" i="18" s="1"/>
  <c r="A31" i="18" s="1"/>
  <c r="A32" i="18" s="1"/>
  <c r="A33" i="18" s="1"/>
  <c r="A34" i="18" s="1"/>
  <c r="M5" i="18"/>
  <c r="M6" i="18" s="1"/>
  <c r="M7" i="18" s="1"/>
  <c r="M8" i="18" s="1"/>
  <c r="M9" i="18" s="1"/>
  <c r="M10" i="18" s="1"/>
  <c r="K5" i="18"/>
  <c r="K6" i="18" s="1"/>
  <c r="K7" i="18" s="1"/>
  <c r="K8" i="18" s="1"/>
  <c r="K9" i="18" s="1"/>
  <c r="K10" i="18" s="1"/>
  <c r="I5" i="18"/>
  <c r="I6" i="18" s="1"/>
  <c r="I7" i="18" s="1"/>
  <c r="I8" i="18" s="1"/>
  <c r="I9" i="18" s="1"/>
  <c r="I10" i="18" s="1"/>
  <c r="G5" i="18"/>
  <c r="G6" i="18" s="1"/>
  <c r="G7" i="18" s="1"/>
  <c r="G8" i="18" s="1"/>
  <c r="G9" i="18" s="1"/>
  <c r="G10" i="18" s="1"/>
  <c r="E5" i="18"/>
  <c r="E6" i="18" s="1"/>
  <c r="E7" i="18" s="1"/>
  <c r="E8" i="18" s="1"/>
  <c r="E9" i="18" s="1"/>
  <c r="E10" i="18" s="1"/>
  <c r="C5" i="18"/>
  <c r="C6" i="18" s="1"/>
  <c r="C7" i="18" s="1"/>
  <c r="C8" i="18" s="1"/>
  <c r="C9" i="18" s="1"/>
  <c r="C10" i="18" s="1"/>
  <c r="A5" i="18"/>
  <c r="A6" i="18" s="1"/>
  <c r="A7" i="18" s="1"/>
  <c r="A8" i="18" s="1"/>
  <c r="A9" i="18" s="1"/>
  <c r="A10" i="18" s="1"/>
  <c r="C2" i="5"/>
  <c r="C3" i="5"/>
  <c r="C5" i="5"/>
  <c r="C6" i="5"/>
  <c r="C1"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<sst xmlns="http://schemas.openxmlformats.org/spreadsheetml/2006/main" count="1728" uniqueCount="1176">
  <si>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</si>
  <si>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</si>
  <si>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</si>
  <si>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</si>
  <si>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</si>
  <si>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</si>
  <si>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</si>
  <si>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</si>
  <si>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</si>
  <si>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</si>
  <si>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</si>
  <si>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</si>
  <si>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</si>
  <si>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</si>
  <si>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</si>
  <si>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</si>
  <si>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</si>
  <si>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</si>
  <si>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</si>
  <si>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</si>
  <si>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</si>
  <si>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</si>
  <si>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</si>
  <si>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</si>
  <si>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</si>
  <si>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</si>
  <si>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</si>
  <si>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</si>
  <si>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</si>
  <si>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</si>
  <si>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</si>
  <si>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</si>
  <si>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</si>
  <si>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</si>
  <si>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</si>
  <si>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</si>
  <si>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</si>
  <si>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</si>
  <si>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</si>
  <si>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</si>
  <si>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</si>
  <si>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</si>
  <si>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</si>
  <si>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</si>
  <si>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</si>
  <si>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</si>
  <si>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</si>
  <si>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</si>
  <si>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</si>
  <si>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</si>
  <si>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</si>
  <si>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</si>
  <si>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</si>
  <si>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</si>
  <si>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</si>
  <si>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</si>
  <si>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</si>
  <si>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</si>
  <si>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</si>
  <si>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</si>
  <si>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</si>
  <si>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</si>
  <si>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</si>
  <si>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</si>
  <si>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</si>
  <si>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</si>
  <si>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</si>
  <si>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</si>
  <si>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</si>
  <si>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</si>
  <si>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</si>
  <si>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</si>
  <si>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</si>
  <si>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</si>
  <si>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</si>
  <si>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</si>
  <si>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</si>
  <si>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</si>
  <si>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</si>
  <si>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</si>
  <si>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</si>
  <si>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</si>
  <si>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</si>
  <si>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</si>
  <si>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</si>
  <si>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</si>
  <si>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</si>
  <si>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</si>
  <si>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</si>
  <si>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</si>
  <si>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</si>
  <si>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</si>
  <si>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</si>
  <si>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</si>
  <si>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</si>
  <si>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</si>
  <si>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</si>
  <si>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</si>
  <si>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</si>
  <si>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</si>
  <si>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</si>
  <si>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</si>
  <si>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</si>
  <si>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</si>
  <si>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</si>
  <si>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</si>
  <si>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</si>
  <si>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</si>
  <si>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</si>
  <si>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</si>
  <si>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</si>
  <si>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</si>
  <si>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</si>
  <si>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</si>
  <si>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</si>
  <si>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</si>
  <si>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</si>
  <si>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</si>
  <si>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</si>
  <si>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</si>
  <si>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</si>
  <si>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</si>
  <si>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</si>
  <si>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</si>
  <si>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</si>
  <si>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</si>
  <si>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</si>
  <si>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</si>
  <si>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</si>
  <si>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</si>
  <si>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</si>
  <si>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</si>
  <si>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</si>
  <si>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</si>
  <si>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</si>
  <si>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</si>
  <si>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</si>
  <si>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</si>
  <si>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</si>
  <si>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</si>
  <si>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</si>
  <si>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</si>
  <si>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</si>
  <si>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</si>
  <si>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</si>
  <si>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</si>
  <si>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</si>
  <si>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</si>
  <si>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</si>
  <si>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</si>
  <si>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</si>
  <si>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</si>
  <si>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</si>
  <si>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</si>
  <si>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</si>
  <si>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</si>
  <si>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</si>
  <si>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</si>
  <si>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</si>
  <si>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</si>
  <si>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</si>
  <si>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</si>
  <si>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</si>
  <si>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</si>
  <si>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</si>
  <si>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</si>
  <si>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</si>
  <si>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</si>
  <si>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</si>
  <si>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</si>
  <si>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</si>
  <si>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</si>
  <si>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</si>
  <si>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</si>
  <si>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</si>
  <si>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</si>
  <si>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</si>
  <si>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</si>
  <si>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</si>
  <si>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</si>
  <si>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</si>
  <si>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</si>
  <si>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</si>
  <si>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</si>
  <si>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</si>
  <si>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</si>
  <si>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</si>
  <si>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</si>
  <si>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</si>
  <si>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</si>
  <si>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</si>
  <si>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</si>
  <si>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</si>
  <si>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</si>
  <si>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</si>
  <si>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</si>
  <si>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</si>
  <si>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</si>
  <si>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</si>
  <si>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</si>
  <si>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</si>
  <si>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</si>
  <si>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</si>
  <si>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</si>
  <si>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</si>
  <si>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</si>
  <si>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</si>
  <si>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</si>
  <si>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</si>
  <si>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</si>
  <si>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</si>
  <si>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</si>
  <si>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</si>
  <si>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</si>
  <si>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</si>
  <si>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</si>
  <si>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</si>
  <si>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</si>
  <si>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</si>
  <si>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</si>
  <si>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</si>
  <si>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</si>
  <si>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</si>
  <si>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</si>
  <si>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</si>
  <si>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</si>
  <si>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</si>
  <si>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</si>
  <si>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</si>
  <si>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</si>
  <si>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</si>
  <si>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</si>
  <si>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</si>
  <si>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</si>
  <si>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</si>
  <si>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</si>
  <si>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</si>
  <si>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</si>
  <si>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</si>
  <si>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</si>
  <si>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</si>
  <si>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</si>
  <si>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</si>
  <si>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</si>
  <si>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</si>
  <si>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</si>
  <si>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</si>
  <si>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</si>
  <si>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</si>
  <si>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</si>
  <si>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</si>
  <si>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</si>
  <si>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</si>
  <si>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</si>
  <si>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</si>
  <si>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</si>
  <si>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</si>
  <si>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</si>
  <si>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</si>
  <si>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</si>
  <si>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</si>
  <si>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</si>
  <si>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</si>
  <si>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</si>
  <si>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</si>
  <si>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</si>
  <si>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</si>
  <si>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</si>
  <si>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</si>
  <si>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</si>
  <si>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</si>
  <si>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</si>
  <si>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</si>
  <si>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</si>
  <si>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</si>
  <si>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</si>
  <si>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</si>
  <si>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</si>
  <si>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</si>
  <si>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</si>
  <si>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</si>
  <si>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</si>
  <si>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</si>
  <si>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</si>
  <si>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</si>
  <si>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</si>
  <si>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</si>
  <si>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</si>
  <si>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</si>
  <si>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</si>
  <si>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</si>
  <si>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</si>
  <si>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</si>
  <si>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</si>
  <si>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</si>
  <si>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</si>
  <si>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</si>
  <si>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</si>
  <si>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</si>
  <si>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</si>
  <si>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</si>
  <si>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</si>
  <si>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</si>
  <si>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</si>
  <si>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</si>
  <si>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</si>
  <si>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</si>
  <si>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</si>
  <si>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</si>
  <si>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</si>
  <si>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</si>
  <si>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</si>
  <si>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</si>
  <si>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</si>
  <si>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</si>
  <si>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</si>
  <si>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</si>
  <si>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</si>
  <si>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</si>
  <si>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</si>
  <si>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</si>
  <si>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</si>
  <si>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</si>
  <si>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</si>
  <si>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</si>
  <si>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</si>
  <si>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</si>
  <si>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</si>
  <si>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</si>
  <si>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</si>
  <si>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</si>
  <si>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</si>
  <si>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</si>
  <si>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</si>
  <si>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</si>
  <si>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</si>
  <si>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</si>
  <si>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</si>
  <si>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</si>
  <si>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</si>
  <si>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</si>
  <si>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</si>
  <si>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</si>
  <si>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</si>
  <si>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</si>
  <si>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</si>
  <si>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</si>
  <si>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</si>
  <si>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</si>
  <si>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</si>
  <si>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</si>
  <si>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</si>
  <si>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</si>
  <si>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</si>
  <si>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</si>
  <si>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</si>
  <si>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</si>
  <si>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</si>
  <si>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</si>
  <si>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</si>
  <si>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</si>
  <si>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</si>
  <si>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</si>
  <si>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</si>
  <si>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</si>
  <si>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</si>
  <si>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</si>
  <si>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</si>
  <si>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</si>
  <si>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</si>
  <si>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</si>
  <si>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</si>
  <si>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</si>
  <si>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</si>
  <si>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</si>
  <si>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</si>
  <si>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</si>
  <si>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</si>
  <si>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</si>
  <si>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</si>
  <si>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</si>
  <si>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</si>
  <si>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</si>
  <si>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</si>
  <si>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</si>
  <si>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</si>
  <si>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</si>
  <si>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</si>
  <si>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</si>
  <si>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</si>
  <si>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</si>
  <si>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</si>
  <si>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</si>
  <si>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</si>
  <si>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</si>
  <si>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</si>
  <si>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</si>
  <si>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</si>
  <si>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</si>
  <si>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</si>
  <si>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</si>
  <si>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</si>
  <si>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</si>
  <si>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</si>
  <si>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</si>
  <si>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</si>
  <si>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</si>
  <si>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</si>
  <si>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</si>
  <si>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</si>
  <si>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</si>
  <si>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</si>
  <si>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</si>
  <si>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</si>
  <si>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</si>
  <si>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</si>
  <si>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</si>
  <si>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</si>
  <si>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</si>
  <si>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</si>
  <si>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</si>
  <si>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</si>
  <si>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</si>
  <si>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</si>
  <si>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</si>
  <si>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</si>
  <si>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</si>
  <si>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</si>
  <si>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</si>
  <si>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</si>
  <si>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</si>
  <si>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</si>
  <si>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</si>
  <si>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</si>
  <si>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</si>
  <si>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</si>
  <si>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</si>
  <si>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</si>
  <si>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</si>
  <si>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</si>
  <si>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</si>
  <si>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</si>
  <si>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</si>
  <si>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</si>
  <si>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</si>
  <si>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</si>
  <si>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</si>
  <si>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</si>
  <si>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</si>
  <si>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</si>
  <si>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</si>
  <si>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</si>
  <si>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</si>
  <si>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</si>
  <si>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</si>
  <si>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</si>
  <si>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</si>
  <si>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</si>
  <si>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</si>
  <si>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</si>
  <si>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</si>
  <si>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</si>
  <si>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</si>
  <si>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</si>
  <si>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</si>
  <si>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</si>
  <si>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</si>
  <si>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</si>
  <si>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</si>
  <si>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</si>
  <si>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</si>
  <si>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</si>
  <si>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</si>
  <si>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</si>
  <si>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</si>
  <si>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</si>
  <si>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</si>
  <si>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</si>
  <si>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</si>
  <si>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</si>
  <si>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</si>
  <si>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</si>
  <si>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</si>
  <si>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</si>
  <si>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</si>
  <si>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</si>
  <si>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</si>
  <si>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</si>
  <si>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</si>
  <si>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</si>
  <si>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</si>
  <si>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</si>
  <si>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</si>
  <si>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</si>
  <si>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</si>
  <si>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</si>
  <si>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</si>
  <si>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</si>
  <si>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</si>
  <si>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</si>
  <si>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</si>
  <si>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</si>
  <si>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</si>
  <si>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</si>
  <si>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</si>
  <si>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</si>
  <si>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</si>
  <si>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</si>
  <si>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</si>
  <si>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</si>
  <si>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</si>
  <si>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</si>
  <si>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</si>
  <si>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</si>
  <si>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</si>
  <si>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</si>
  <si>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</si>
  <si>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</si>
  <si>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</si>
  <si>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</si>
  <si>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</si>
  <si>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</si>
  <si>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</si>
  <si>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</si>
  <si>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</si>
  <si>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</si>
  <si>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</si>
  <si>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</si>
  <si>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</si>
  <si>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</si>
  <si>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</si>
  <si>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</si>
  <si>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</si>
  <si>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</si>
  <si>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</si>
  <si>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</si>
  <si>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</si>
  <si>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</si>
  <si>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</si>
  <si>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</si>
  <si>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</si>
  <si>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</si>
  <si>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</si>
  <si>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</si>
  <si>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</si>
  <si>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</si>
  <si>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</si>
  <si>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</si>
  <si>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</si>
  <si>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</si>
  <si>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</si>
  <si>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</si>
  <si>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</si>
  <si>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</si>
  <si>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</si>
  <si>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</si>
  <si>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</si>
  <si>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</si>
  <si>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</si>
  <si>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</si>
  <si>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</si>
  <si>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</si>
  <si>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</si>
  <si>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</si>
  <si>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</si>
  <si>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</si>
  <si>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</si>
  <si>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</si>
  <si>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</si>
  <si>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</si>
  <si>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</si>
  <si>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</si>
  <si>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</si>
  <si>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</si>
  <si>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</si>
  <si>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</si>
  <si>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</si>
  <si>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</si>
  <si>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</si>
  <si>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</si>
  <si>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</si>
  <si>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</si>
  <si>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</si>
  <si>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</si>
  <si>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</si>
  <si>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</si>
  <si>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</si>
  <si>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</si>
  <si>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</si>
  <si>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</si>
  <si>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</si>
  <si>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</si>
  <si>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</si>
  <si>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</si>
  <si>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</si>
  <si>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</si>
  <si>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</si>
  <si>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</si>
  <si>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</si>
  <si>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</si>
  <si>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</si>
  <si>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</si>
  <si>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</si>
  <si>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</si>
  <si>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</si>
  <si>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</si>
  <si>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</si>
  <si>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</si>
  <si>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</si>
  <si>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</si>
  <si>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</si>
  <si>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</si>
  <si>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</si>
  <si>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</si>
  <si>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</si>
  <si>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</si>
  <si>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</si>
  <si>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</si>
  <si>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</si>
  <si>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</si>
  <si>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</si>
  <si>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</si>
  <si>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</si>
  <si>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</si>
  <si>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</si>
  <si>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</si>
  <si>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</si>
  <si>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</si>
  <si>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</si>
  <si>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</si>
  <si>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</si>
  <si>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</si>
  <si>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</si>
  <si>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</si>
  <si>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</si>
  <si>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</si>
  <si>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</si>
  <si>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</si>
  <si>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</si>
  <si>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</si>
  <si>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</si>
  <si>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</si>
  <si>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</si>
  <si>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</si>
  <si>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</si>
  <si>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</si>
  <si>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</si>
  <si>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</si>
  <si>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</si>
  <si>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</si>
  <si>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</si>
  <si>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</si>
  <si>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</si>
  <si>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</si>
  <si>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</si>
  <si>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</si>
  <si>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</si>
  <si>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</si>
  <si>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</si>
  <si>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</si>
  <si>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</si>
  <si>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</si>
  <si>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</si>
  <si>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</si>
  <si>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</si>
  <si>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</si>
  <si>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</si>
  <si>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</si>
  <si>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</si>
  <si>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</si>
  <si>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</si>
  <si>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</si>
  <si>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</si>
  <si>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</si>
  <si>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</si>
  <si>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</si>
  <si>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</si>
  <si>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</si>
  <si>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</si>
  <si>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</si>
  <si>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</si>
  <si>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</si>
  <si>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</si>
  <si>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</si>
  <si>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</si>
  <si>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</si>
  <si>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</si>
  <si>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</si>
  <si>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</si>
  <si>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</si>
  <si>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</si>
  <si>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</si>
  <si>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</si>
  <si>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</si>
  <si>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</si>
  <si>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</si>
  <si>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</si>
  <si>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</si>
  <si>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</si>
  <si>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</si>
  <si>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</si>
  <si>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</si>
  <si>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</si>
  <si>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</si>
  <si>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</si>
  <si>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</si>
  <si>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</si>
  <si>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</si>
  <si>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</si>
  <si>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</si>
  <si>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</si>
  <si>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</si>
  <si>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</si>
  <si>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</si>
  <si>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</si>
  <si>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</si>
  <si>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</si>
  <si>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</si>
  <si>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</si>
  <si>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</si>
  <si>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</si>
  <si>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</si>
  <si>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</si>
  <si>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</si>
  <si>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</si>
  <si>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</si>
  <si>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</si>
  <si>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</si>
  <si>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</si>
  <si>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</si>
  <si>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</si>
  <si>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</si>
  <si>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</si>
  <si>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</si>
  <si>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</si>
  <si>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</si>
  <si>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</si>
  <si>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</si>
  <si>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</si>
  <si>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</si>
  <si>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</si>
  <si>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</si>
  <si>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</si>
  <si>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</si>
  <si>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</si>
  <si>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</si>
  <si>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</si>
  <si>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</si>
  <si>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</si>
  <si>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</si>
  <si>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</si>
  <si>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</si>
  <si>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</si>
  <si>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</si>
  <si>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</si>
  <si>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</si>
  <si>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</si>
  <si>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</si>
  <si>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</si>
  <si>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</si>
  <si>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</si>
  <si>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</si>
  <si>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</si>
  <si>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</si>
  <si>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</si>
  <si>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</si>
  <si>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</si>
  <si>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</si>
  <si>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</si>
  <si>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</si>
  <si>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</si>
  <si>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</si>
  <si>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</si>
  <si>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</si>
  <si>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</si>
  <si>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</si>
  <si>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</si>
  <si>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</si>
  <si>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</si>
  <si>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</si>
  <si>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</si>
  <si>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</si>
  <si>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</si>
  <si>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</si>
  <si>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</si>
  <si>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</si>
  <si>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</si>
  <si>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</si>
  <si>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</si>
  <si>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</si>
  <si>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</si>
  <si>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</si>
  <si>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</si>
  <si>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</si>
  <si>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</si>
  <si>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</si>
  <si>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</si>
  <si>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</si>
  <si>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</si>
  <si>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</si>
  <si>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</si>
  <si>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</si>
  <si>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</si>
  <si>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</si>
  <si>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</si>
  <si>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</si>
  <si>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</si>
  <si>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</si>
  <si>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</si>
  <si>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</si>
  <si>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</si>
  <si>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</si>
  <si>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</si>
  <si>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</si>
  <si>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</si>
  <si>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</si>
  <si>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</si>
  <si>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</si>
  <si>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</si>
  <si>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</si>
  <si>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</si>
  <si>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</si>
  <si>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</si>
  <si>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</si>
  <si>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</si>
  <si>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</si>
  <si>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</si>
  <si>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</si>
  <si>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</si>
  <si>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</si>
  <si>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</si>
  <si>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</si>
  <si>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</si>
  <si>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</si>
  <si>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</si>
  <si>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</si>
  <si>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</si>
  <si>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</si>
  <si>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</si>
  <si>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</si>
  <si>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</si>
  <si>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</si>
  <si>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</si>
  <si>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</si>
  <si>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</si>
  <si>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</si>
  <si>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</si>
  <si>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</si>
  <si>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</si>
  <si>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</si>
  <si>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</si>
  <si>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</si>
  <si>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</si>
  <si>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</si>
  <si>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</si>
  <si>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</si>
  <si>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</si>
  <si>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</si>
  <si>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</si>
  <si>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</si>
  <si>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</si>
  <si>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</si>
  <si>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</si>
  <si>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</si>
  <si>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</si>
  <si>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</si>
  <si>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</si>
  <si>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</si>
  <si>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</si>
  <si>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</si>
  <si>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</si>
  <si>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</si>
  <si>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</si>
  <si>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</si>
  <si>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</si>
  <si>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</si>
  <si>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</si>
  <si>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</si>
  <si>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</si>
  <si>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</si>
  <si>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</si>
  <si>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</si>
  <si>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</si>
  <si>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</si>
  <si>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</si>
  <si>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</si>
  <si>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</si>
  <si>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</si>
  <si>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</si>
  <si>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</si>
  <si>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</si>
  <si>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</si>
  <si>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</si>
  <si>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</si>
  <si>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</si>
  <si>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</si>
  <si>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</si>
  <si>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</si>
  <si>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</si>
  <si>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</si>
  <si>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</si>
  <si>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</si>
  <si>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</si>
  <si>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</si>
  <si>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</si>
  <si>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</si>
  <si>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</si>
  <si>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</si>
  <si>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</si>
  <si>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</si>
  <si>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</si>
  <si>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</si>
  <si>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</si>
  <si>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</si>
  <si>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</si>
  <si>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</si>
  <si>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</si>
  <si>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</si>
  <si>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</si>
  <si>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</si>
  <si>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</si>
  <si>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</si>
  <si>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</si>
  <si>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</si>
  <si>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</si>
  <si>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</si>
  <si>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</si>
  <si>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</si>
  <si>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</si>
  <si>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</si>
  <si>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</si>
  <si>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</si>
  <si>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</si>
  <si>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</si>
  <si>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</si>
  <si>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</si>
  <si>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</si>
  <si>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</si>
  <si>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</si>
  <si>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</si>
  <si>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</si>
  <si>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</si>
  <si>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</si>
  <si>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</si>
  <si>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</si>
  <si>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</si>
  <si>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</si>
  <si>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</si>
  <si>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</si>
  <si>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</si>
  <si>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</si>
  <si>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</si>
  <si>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</si>
  <si>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</si>
  <si>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</si>
  <si>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</si>
  <si>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</si>
  <si>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</si>
  <si>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</si>
  <si>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</si>
  <si>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</si>
  <si>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</si>
  <si>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</si>
  <si>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</si>
  <si>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</si>
  <si>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</si>
  <si>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</si>
  <si>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</si>
  <si>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</si>
  <si>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</si>
  <si>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</si>
  <si>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</si>
  <si>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</si>
  <si>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</si>
  <si>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</si>
  <si>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</si>
  <si>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</si>
  <si>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</si>
  <si>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</si>
  <si>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</si>
  <si>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</si>
  <si>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</si>
  <si>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</si>
  <si>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</si>
  <si>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</si>
  <si>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</si>
  <si>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</si>
  <si>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</si>
  <si>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</si>
  <si>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</si>
  <si>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</si>
  <si>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</si>
  <si>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</si>
  <si>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</si>
  <si>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</si>
  <si>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</si>
  <si>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</si>
  <si>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</si>
  <si>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</si>
  <si>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</si>
  <si>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</si>
  <si>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</si>
  <si>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</si>
  <si>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</si>
  <si>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</si>
  <si>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</si>
  <si>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</si>
  <si>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</si>
  <si>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</si>
  <si>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</si>
  <si>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</si>
  <si>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</si>
  <si>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</si>
  <si>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</si>
  <si>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</si>
  <si>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</si>
  <si>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</si>
  <si>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</si>
  <si>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</si>
  <si>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</si>
  <si>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</si>
  <si>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</si>
  <si>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</si>
  <si>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</si>
  <si>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</si>
  <si>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</si>
  <si>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</si>
  <si>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</si>
  <si>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</si>
  <si>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</si>
  <si>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</si>
  <si>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</si>
  <si>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</si>
  <si>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</si>
  <si>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</si>
  <si>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</si>
  <si>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</si>
  <si>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</si>
  <si>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</si>
  <si>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</si>
  <si>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</si>
  <si>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</si>
  <si>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</si>
  <si>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</si>
  <si>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</si>
  <si>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</si>
  <si>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</si>
  <si>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</si>
  <si>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</si>
  <si>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</si>
  <si>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</si>
  <si>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</si>
  <si>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</si>
  <si>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</si>
  <si>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</si>
  <si>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</si>
  <si>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</si>
  <si>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</si>
  <si>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</si>
  <si>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</si>
  <si>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</si>
  <si>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</si>
  <si>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</si>
  <si>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</si>
  <si>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</si>
  <si>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</si>
  <si>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</si>
  <si>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</si>
  <si>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</si>
  <si>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</si>
  <si>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</si>
  <si>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</si>
  <si>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</si>
  <si>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</si>
  <si>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</si>
  <si>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</si>
  <si>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</si>
  <si>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</si>
  <si>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</si>
  <si>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</si>
  <si>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</si>
  <si>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</si>
  <si>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</si>
  <si>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</si>
  <si>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</si>
  <si>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</si>
  <si>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</si>
  <si>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</si>
  <si>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</si>
  <si>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</si>
  <si>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</si>
  <si>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</si>
  <si>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</si>
  <si>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</si>
  <si>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</si>
  <si>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</si>
  <si>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</si>
  <si>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</si>
  <si>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</si>
  <si>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</si>
  <si>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</si>
  <si>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</si>
  <si>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</si>
  <si>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</si>
  <si>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</si>
  <si>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</si>
  <si>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</si>
  <si>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</si>
  <si>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</si>
  <si>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</si>
  <si>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</si>
  <si>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</si>
  <si>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</si>
  <si>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</si>
  <si>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</si>
  <si>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</si>
  <si>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</si>
  <si>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</si>
  <si>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</si>
  <si>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</si>
  <si>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</si>
  <si>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</si>
  <si>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</si>
  <si>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</si>
  <si>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</si>
  <si>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</si>
  <si>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</si>
  <si>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</si>
  <si>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</si>
  <si>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</si>
  <si>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</si>
  <si>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</si>
  <si>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</si>
  <si>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</si>
  <si>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</si>
  <si>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</si>
  <si>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</si>
  <si>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</si>
  <si>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</si>
  <si>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</si>
  <si>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</si>
  <si>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</si>
  <si>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</si>
  <si>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</si>
  <si>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</si>
  <si>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</si>
  <si>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</si>
  <si>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</si>
  <si>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</si>
  <si>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</si>
  <si>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</si>
  <si>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</si>
  <si>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</si>
  <si>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</si>
  <si>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</si>
  <si>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</si>
  <si>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</si>
  <si>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</si>
  <si>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</si>
  <si>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</si>
  <si>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</si>
  <si>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</si>
  <si>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</si>
  <si>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</si>
  <si>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</si>
  <si>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</si>
  <si>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</si>
  <si>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</si>
  <si>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</si>
  <si>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</si>
  <si>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</si>
  <si>
    <t>Nivel</t>
  </si>
  <si>
    <t>Puntos</t>
  </si>
  <si>
    <t>Anotacion</t>
  </si>
  <si>
    <t>JUVENILES</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</si>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</sst>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48">
    <xf numFmtId="0" fontId="0" fillId="0" borderId="0" xfId="0"/>
    <xf numFmtId="0" fontId="2" fillId="0" borderId="0" xfId="0" applyFont="1"/>
    <xf numFmtId="0" fontId="3" fillId="0" borderId="0" xfId="0" applyFont="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0" borderId="0" xfId="0" applyFont="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0" fontId="0" fillId="0" borderId="0" xfId="0"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Font="1" applyFill="1" applyBorder="1"/>
    <xf numFmtId="10" fontId="1" fillId="0" borderId="0" xfId="0" applyNumberFormat="1" applyFont="1"/>
    <xf numFmtId="0" fontId="22" fillId="0" borderId="0" xfId="0" applyFont="1"/>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0" borderId="1" xfId="0" applyBorder="1" applyAlignment="1">
      <alignment horizontal="center" wrapText="1"/>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Alignment="1">
      <alignment horizontal="right" wrapText="1"/>
    </xf>
    <xf numFmtId="165" fontId="0" fillId="14" borderId="0" xfId="0" applyNumberFormat="1" applyFill="1" applyAlignment="1">
      <alignment horizontal="center" wrapText="1"/>
    </xf>
    <xf numFmtId="0" fontId="0" fillId="21" borderId="0" xfId="0" applyFill="1" applyAlignment="1">
      <alignment horizontal="right" wrapText="1"/>
    </xf>
    <xf numFmtId="165" fontId="0" fillId="21" borderId="0" xfId="0" applyNumberFormat="1" applyFill="1" applyAlignment="1">
      <alignment horizontal="center" wrapText="1"/>
    </xf>
    <xf numFmtId="0" fontId="1" fillId="2" borderId="0" xfId="0" applyFont="1" applyFill="1"/>
    <xf numFmtId="166" fontId="0" fillId="0" borderId="0" xfId="0" applyNumberFormat="1" applyAlignment="1">
      <alignment horizontal="center"/>
    </xf>
    <xf numFmtId="166" fontId="31" fillId="0" borderId="0" xfId="0" applyNumberFormat="1" applyFont="1" applyAlignment="1">
      <alignment horizontal="center" wrapText="1"/>
    </xf>
    <xf numFmtId="0" fontId="0" fillId="0" borderId="0" xfId="0" applyAlignment="1">
      <alignment horizontal="left"/>
    </xf>
    <xf numFmtId="0" fontId="0" fillId="2" borderId="1" xfId="0" applyFill="1" applyBorder="1" applyAlignment="1">
      <alignment horizontal="left" wrapText="1"/>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center" wrapText="1"/>
    </xf>
    <xf numFmtId="0" fontId="0" fillId="15" borderId="0" xfId="0" applyFill="1" applyAlignment="1">
      <alignment horizontal="right" wrapText="1"/>
    </xf>
    <xf numFmtId="165" fontId="0" fillId="15" borderId="0" xfId="0" applyNumberFormat="1" applyFill="1" applyAlignment="1">
      <alignment horizontal="center" wrapText="1"/>
    </xf>
    <xf numFmtId="0" fontId="0" fillId="29" borderId="0" xfId="0" applyFill="1" applyAlignment="1">
      <alignment horizontal="right" wrapText="1"/>
    </xf>
    <xf numFmtId="165" fontId="0" fillId="29" borderId="0" xfId="0" applyNumberFormat="1" applyFill="1" applyAlignment="1">
      <alignment horizontal="center" wrapText="1"/>
    </xf>
    <xf numFmtId="0" fontId="0" fillId="0" borderId="0" xfId="0" applyAlignment="1">
      <alignment horizontal="right" wrapText="1"/>
    </xf>
    <xf numFmtId="0" fontId="33" fillId="0" borderId="0" xfId="0" applyFont="1" applyAlignment="1">
      <alignment horizontal="center"/>
    </xf>
    <xf numFmtId="168" fontId="33" fillId="0" borderId="0" xfId="0" applyNumberFormat="1" applyFont="1" applyAlignment="1">
      <alignment horizontal="center"/>
    </xf>
    <xf numFmtId="0" fontId="1" fillId="0" borderId="0" xfId="0" applyFont="1" applyAlignment="1">
      <alignment horizontal="center"/>
    </xf>
    <xf numFmtId="0" fontId="1" fillId="0" borderId="1" xfId="0" applyFont="1" applyBorder="1" applyAlignment="1">
      <alignment horizontal="center" wrapText="1"/>
    </xf>
    <xf numFmtId="0" fontId="22" fillId="0" borderId="0" xfId="0" applyFont="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Alignment="1">
      <alignment horizontal="center"/>
    </xf>
    <xf numFmtId="168" fontId="22" fillId="13" borderId="0" xfId="2" applyNumberFormat="1" applyFont="1" applyFill="1" applyAlignment="1">
      <alignment horizontal="center"/>
    </xf>
    <xf numFmtId="0" fontId="35" fillId="26" borderId="0" xfId="0" applyFont="1" applyFill="1" applyAlignment="1">
      <alignment horizontal="right" wrapText="1"/>
    </xf>
    <xf numFmtId="165" fontId="35" fillId="26" borderId="0" xfId="0" applyNumberFormat="1" applyFont="1" applyFill="1" applyAlignment="1">
      <alignment horizontal="center" wrapText="1"/>
    </xf>
    <xf numFmtId="0" fontId="7" fillId="0" borderId="0" xfId="0" applyFont="1"/>
    <xf numFmtId="0" fontId="7" fillId="0" borderId="0" xfId="0" applyFont="1" applyAlignment="1">
      <alignment horizontal="center"/>
    </xf>
    <xf numFmtId="0" fontId="7" fillId="26" borderId="0" xfId="0" applyFont="1" applyFill="1" applyAlignment="1">
      <alignment horizontal="right" wrapText="1"/>
    </xf>
    <xf numFmtId="165" fontId="7" fillId="26" borderId="0" xfId="0" applyNumberFormat="1" applyFont="1" applyFill="1" applyAlignment="1">
      <alignment horizontal="center" wrapText="1"/>
    </xf>
    <xf numFmtId="0" fontId="6" fillId="26" borderId="0" xfId="0" applyFont="1" applyFill="1" applyAlignment="1">
      <alignment horizontal="right" wrapText="1"/>
    </xf>
    <xf numFmtId="165" fontId="6" fillId="26" borderId="0" xfId="0" applyNumberFormat="1" applyFont="1" applyFill="1" applyAlignment="1">
      <alignment horizontal="center" wrapText="1"/>
    </xf>
    <xf numFmtId="0" fontId="36" fillId="0" borderId="0" xfId="0" applyFont="1"/>
    <xf numFmtId="0" fontId="37" fillId="0" borderId="0" xfId="0"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7" fillId="2" borderId="1" xfId="0" applyNumberFormat="1" applyFont="1" applyFill="1" applyBorder="1" applyAlignment="1">
      <alignment wrapText="1"/>
    </xf>
    <xf numFmtId="0" fontId="1" fillId="30" borderId="0" xfId="0" applyFont="1" applyFill="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28" fillId="0" borderId="1" xfId="0" applyFont="1" applyBorder="1" applyAlignment="1">
      <alignment horizontal="center"/>
    </xf>
    <xf numFmtId="0" fontId="0" fillId="2" borderId="0" xfId="0" applyFill="1" applyAlignment="1">
      <alignment horizontal="center"/>
    </xf>
  </cellXfs>
  <cellStyles count="4">
    <cellStyle name="Hipervínculo" xfId="3" builtinId="8"/>
    <cellStyle name="Moneda" xfId="2" builtinId="4"/>
    <cellStyle name="Normal" xfId="0" builtinId="0"/>
    <cellStyle name="Porcentaje" xfId="1" builtinId="5"/>
  </cellStyles>
  <dxfs count="16">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3.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5.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6.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2" customWidth="1"/>
    <col min="9" max="23" width="4.85546875" bestFit="1" customWidth="1"/>
    <col min="24" max="24" width="6.28515625"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1"/>
      <c r="Y1" s="3" t="s">
        <v>1</v>
      </c>
    </row>
    <row r="2" spans="1:45" x14ac:dyDescent="0.25">
      <c r="A2" s="4" t="s">
        <v>2</v>
      </c>
      <c r="B2" s="5">
        <v>17</v>
      </c>
      <c r="C2" s="5">
        <v>18</v>
      </c>
      <c r="D2" s="5">
        <v>19</v>
      </c>
      <c r="E2" s="5">
        <v>20</v>
      </c>
      <c r="F2" s="5">
        <v>21</v>
      </c>
      <c r="G2" s="6">
        <v>22</v>
      </c>
      <c r="H2" s="5">
        <v>23</v>
      </c>
      <c r="I2" s="5">
        <v>24</v>
      </c>
      <c r="J2" s="5">
        <v>25</v>
      </c>
      <c r="K2" s="5">
        <v>26</v>
      </c>
      <c r="L2" s="5">
        <v>27</v>
      </c>
      <c r="M2" s="5">
        <v>28</v>
      </c>
      <c r="N2" s="5">
        <v>29</v>
      </c>
      <c r="O2" s="5">
        <v>30</v>
      </c>
      <c r="P2" s="5">
        <v>31</v>
      </c>
      <c r="Q2" s="5">
        <v>32</v>
      </c>
      <c r="R2" s="5">
        <v>33</v>
      </c>
      <c r="S2" s="5">
        <v>34</v>
      </c>
      <c r="T2" s="5">
        <v>35</v>
      </c>
      <c r="U2" s="5">
        <v>36</v>
      </c>
      <c r="V2" s="5">
        <v>37</v>
      </c>
      <c r="W2" s="5">
        <v>38</v>
      </c>
      <c r="X2" s="7"/>
      <c r="Y2" s="1" t="s">
        <v>3</v>
      </c>
    </row>
    <row r="3" spans="1:45" ht="16.5" thickBot="1" x14ac:dyDescent="0.3">
      <c r="A3" s="8">
        <v>0.05</v>
      </c>
      <c r="B3" s="200">
        <v>3.2</v>
      </c>
      <c r="C3" s="200">
        <v>3.7</v>
      </c>
      <c r="D3" s="200">
        <v>4.0999999999999996</v>
      </c>
      <c r="E3" s="200">
        <v>4.4000000000000004</v>
      </c>
      <c r="F3" s="200">
        <v>4.5999999999999996</v>
      </c>
      <c r="G3" s="201">
        <v>4.7</v>
      </c>
      <c r="H3" s="200">
        <v>4.55</v>
      </c>
      <c r="I3" s="200">
        <v>4.4000000000000004</v>
      </c>
      <c r="J3" s="200">
        <v>4.25</v>
      </c>
      <c r="K3" s="200">
        <v>4.0999999999999996</v>
      </c>
      <c r="L3" s="200">
        <v>3.95</v>
      </c>
      <c r="M3" s="200">
        <v>3.8</v>
      </c>
      <c r="N3" s="200">
        <v>3.6500000000000004</v>
      </c>
      <c r="O3" s="200">
        <v>3.5</v>
      </c>
      <c r="P3" s="200">
        <v>3.3499999999999996</v>
      </c>
      <c r="Q3" s="200">
        <v>3.1500000000000004</v>
      </c>
      <c r="R3" s="200">
        <v>2.95</v>
      </c>
      <c r="S3" s="200">
        <v>2.65</v>
      </c>
      <c r="T3" s="200">
        <v>2.2999999999999998</v>
      </c>
      <c r="U3" s="200">
        <v>1.9</v>
      </c>
      <c r="V3" s="200">
        <v>1.4500000000000002</v>
      </c>
      <c r="W3" s="200">
        <v>0.95</v>
      </c>
      <c r="X3" s="11"/>
      <c r="Y3" s="1"/>
    </row>
    <row r="4" spans="1:45" ht="16.5" thickBot="1" x14ac:dyDescent="0.3">
      <c r="A4" s="8">
        <v>0.06</v>
      </c>
      <c r="B4" s="200">
        <v>3.5700000000000003</v>
      </c>
      <c r="C4" s="200">
        <v>4.07</v>
      </c>
      <c r="D4" s="200">
        <v>4.47</v>
      </c>
      <c r="E4" s="200">
        <v>4.7699999999999996</v>
      </c>
      <c r="F4" s="200">
        <v>4.97</v>
      </c>
      <c r="G4" s="201">
        <v>5.07</v>
      </c>
      <c r="H4" s="200">
        <v>4.92</v>
      </c>
      <c r="I4" s="200">
        <v>4.7699999999999996</v>
      </c>
      <c r="J4" s="200">
        <v>4.62</v>
      </c>
      <c r="K4" s="200">
        <v>4.47</v>
      </c>
      <c r="L4" s="200">
        <v>4.32</v>
      </c>
      <c r="M4" s="200">
        <v>4.17</v>
      </c>
      <c r="N4" s="200">
        <v>4.0199999999999996</v>
      </c>
      <c r="O4" s="200">
        <v>3.87</v>
      </c>
      <c r="P4" s="200">
        <v>3.7199999999999998</v>
      </c>
      <c r="Q4" s="200">
        <v>3.5199999999999996</v>
      </c>
      <c r="R4" s="200">
        <v>3.3200000000000003</v>
      </c>
      <c r="S4" s="200">
        <v>3.0199999999999996</v>
      </c>
      <c r="T4" s="200">
        <v>2.67</v>
      </c>
      <c r="U4" s="200">
        <v>2.27</v>
      </c>
      <c r="V4" s="200">
        <v>1.8199999999999998</v>
      </c>
      <c r="W4" s="200">
        <v>1.3199999999999998</v>
      </c>
      <c r="X4" s="11"/>
      <c r="Y4" s="12" t="s">
        <v>4</v>
      </c>
      <c r="Z4" s="12">
        <v>0</v>
      </c>
      <c r="AA4" s="12">
        <v>5</v>
      </c>
      <c r="AB4" s="12">
        <v>10</v>
      </c>
      <c r="AC4" s="12">
        <v>15</v>
      </c>
      <c r="AD4" s="12">
        <v>20</v>
      </c>
      <c r="AE4" s="12">
        <v>25</v>
      </c>
      <c r="AF4" s="12">
        <v>30</v>
      </c>
      <c r="AG4" s="12">
        <v>35</v>
      </c>
      <c r="AH4" s="12">
        <v>40</v>
      </c>
      <c r="AI4" s="12">
        <v>45</v>
      </c>
      <c r="AJ4" s="12">
        <v>50</v>
      </c>
      <c r="AK4" s="12">
        <v>55</v>
      </c>
      <c r="AL4" s="12">
        <v>60</v>
      </c>
      <c r="AM4" s="12">
        <v>65</v>
      </c>
      <c r="AN4" s="12">
        <v>70</v>
      </c>
      <c r="AO4" s="12">
        <v>75</v>
      </c>
      <c r="AP4" s="12">
        <v>80</v>
      </c>
      <c r="AQ4" s="12">
        <v>85</v>
      </c>
      <c r="AR4" s="12">
        <v>90</v>
      </c>
      <c r="AS4" s="12" t="s">
        <v>5</v>
      </c>
    </row>
    <row r="5" spans="1:45" ht="16.5" thickBot="1" x14ac:dyDescent="0.3">
      <c r="A5" s="8">
        <v>7.0000000000000007E-2</v>
      </c>
      <c r="B5" s="200">
        <v>3.92</v>
      </c>
      <c r="C5" s="200">
        <v>4.42</v>
      </c>
      <c r="D5" s="200">
        <v>4.82</v>
      </c>
      <c r="E5" s="200">
        <v>5.12</v>
      </c>
      <c r="F5" s="200">
        <v>5.32</v>
      </c>
      <c r="G5" s="202">
        <v>5.42</v>
      </c>
      <c r="H5" s="200">
        <v>5.27</v>
      </c>
      <c r="I5" s="200">
        <v>5.12</v>
      </c>
      <c r="J5" s="200">
        <v>4.97</v>
      </c>
      <c r="K5" s="200">
        <v>4.82</v>
      </c>
      <c r="L5" s="200">
        <v>4.67</v>
      </c>
      <c r="M5" s="200">
        <v>4.5199999999999996</v>
      </c>
      <c r="N5" s="200">
        <v>4.37</v>
      </c>
      <c r="O5" s="200">
        <v>4.22</v>
      </c>
      <c r="P5" s="200">
        <v>4.07</v>
      </c>
      <c r="Q5" s="200">
        <v>3.87</v>
      </c>
      <c r="R5" s="200">
        <v>3.67</v>
      </c>
      <c r="S5" s="200">
        <v>3.37</v>
      </c>
      <c r="T5" s="200">
        <v>3.0199999999999996</v>
      </c>
      <c r="U5" s="200">
        <v>2.62</v>
      </c>
      <c r="V5" s="200">
        <v>2.17</v>
      </c>
      <c r="W5" s="200">
        <v>1.67</v>
      </c>
      <c r="X5" s="11"/>
      <c r="Y5" s="12">
        <v>9</v>
      </c>
      <c r="Z5" s="12">
        <v>100</v>
      </c>
      <c r="AA5" s="12">
        <v>100</v>
      </c>
      <c r="AB5" s="12">
        <v>100</v>
      </c>
      <c r="AC5" s="12">
        <v>100</v>
      </c>
      <c r="AD5" s="12">
        <v>100</v>
      </c>
      <c r="AE5" s="12">
        <v>100</v>
      </c>
      <c r="AF5" s="12">
        <v>100</v>
      </c>
      <c r="AG5" s="12">
        <v>100</v>
      </c>
      <c r="AH5" s="12">
        <v>100</v>
      </c>
      <c r="AI5" s="12">
        <v>100</v>
      </c>
      <c r="AJ5" s="12">
        <v>100</v>
      </c>
      <c r="AK5" s="12">
        <v>100</v>
      </c>
      <c r="AL5" s="12">
        <v>100</v>
      </c>
      <c r="AM5" s="12">
        <v>100</v>
      </c>
      <c r="AN5" s="12">
        <v>100</v>
      </c>
      <c r="AO5" s="12">
        <v>100</v>
      </c>
      <c r="AP5" s="12">
        <v>100</v>
      </c>
      <c r="AQ5" s="12">
        <v>100</v>
      </c>
      <c r="AR5" s="12">
        <v>99</v>
      </c>
      <c r="AS5" s="12">
        <v>99.95</v>
      </c>
    </row>
    <row r="6" spans="1:45" ht="19.5" thickBot="1" x14ac:dyDescent="0.35">
      <c r="A6" s="8">
        <v>0.08</v>
      </c>
      <c r="B6" s="200">
        <v>4.24</v>
      </c>
      <c r="C6" s="200">
        <v>4.74</v>
      </c>
      <c r="D6" s="200">
        <v>5.14</v>
      </c>
      <c r="E6" s="200">
        <v>5.44</v>
      </c>
      <c r="F6" s="200">
        <v>5.64</v>
      </c>
      <c r="G6" s="201">
        <v>5.74</v>
      </c>
      <c r="H6" s="200">
        <v>5.59</v>
      </c>
      <c r="I6" s="200">
        <v>5.44</v>
      </c>
      <c r="J6" s="200">
        <v>5.29</v>
      </c>
      <c r="K6" s="200">
        <v>5.14</v>
      </c>
      <c r="L6" s="200">
        <v>4.99</v>
      </c>
      <c r="M6" s="200">
        <v>4.84</v>
      </c>
      <c r="N6" s="200">
        <v>4.6900000000000004</v>
      </c>
      <c r="O6" s="200">
        <v>4.54</v>
      </c>
      <c r="P6" s="200">
        <v>4.3899999999999997</v>
      </c>
      <c r="Q6" s="200">
        <v>4.1900000000000004</v>
      </c>
      <c r="R6" s="200">
        <v>3.99</v>
      </c>
      <c r="S6" s="200">
        <v>3.6900000000000004</v>
      </c>
      <c r="T6" s="200">
        <v>3.34</v>
      </c>
      <c r="U6" s="200">
        <v>2.94</v>
      </c>
      <c r="V6" s="200">
        <v>2.4900000000000002</v>
      </c>
      <c r="W6" s="200">
        <v>1.9900000000000002</v>
      </c>
      <c r="X6" s="14"/>
      <c r="Y6" s="12">
        <v>8.9</v>
      </c>
      <c r="Z6" s="12">
        <v>100</v>
      </c>
      <c r="AA6" s="12">
        <v>100</v>
      </c>
      <c r="AB6" s="12">
        <v>100</v>
      </c>
      <c r="AC6" s="12">
        <v>100</v>
      </c>
      <c r="AD6" s="12">
        <v>100</v>
      </c>
      <c r="AE6" s="12">
        <v>100</v>
      </c>
      <c r="AF6" s="12">
        <v>100</v>
      </c>
      <c r="AG6" s="12">
        <v>100</v>
      </c>
      <c r="AH6" s="12">
        <v>100</v>
      </c>
      <c r="AI6" s="12">
        <v>100</v>
      </c>
      <c r="AJ6" s="12">
        <v>100</v>
      </c>
      <c r="AK6" s="12">
        <v>100</v>
      </c>
      <c r="AL6" s="12">
        <v>100</v>
      </c>
      <c r="AM6" s="12">
        <v>100</v>
      </c>
      <c r="AN6" s="12">
        <v>100</v>
      </c>
      <c r="AO6" s="12">
        <v>100</v>
      </c>
      <c r="AP6" s="12">
        <v>100</v>
      </c>
      <c r="AQ6" s="12">
        <v>100</v>
      </c>
      <c r="AR6" s="12">
        <v>98</v>
      </c>
      <c r="AS6" s="12">
        <v>99.89</v>
      </c>
    </row>
    <row r="7" spans="1:45" ht="16.5" thickBot="1" x14ac:dyDescent="0.3">
      <c r="A7" s="8">
        <v>0.09</v>
      </c>
      <c r="B7" s="200">
        <v>4.53</v>
      </c>
      <c r="C7" s="200">
        <v>5.03</v>
      </c>
      <c r="D7" s="200">
        <v>5.43</v>
      </c>
      <c r="E7" s="200">
        <v>5.73</v>
      </c>
      <c r="F7" s="200">
        <v>5.93</v>
      </c>
      <c r="G7" s="203">
        <v>6.03</v>
      </c>
      <c r="H7" s="200">
        <v>5.88</v>
      </c>
      <c r="I7" s="200">
        <v>5.73</v>
      </c>
      <c r="J7" s="200">
        <v>5.58</v>
      </c>
      <c r="K7" s="200">
        <v>5.43</v>
      </c>
      <c r="L7" s="200">
        <v>5.28</v>
      </c>
      <c r="M7" s="200">
        <v>5.13</v>
      </c>
      <c r="N7" s="200">
        <v>4.9800000000000004</v>
      </c>
      <c r="O7" s="200">
        <v>4.83</v>
      </c>
      <c r="P7" s="200">
        <v>4.68</v>
      </c>
      <c r="Q7" s="200">
        <v>4.4800000000000004</v>
      </c>
      <c r="R7" s="200">
        <v>4.28</v>
      </c>
      <c r="S7" s="200">
        <v>3.9800000000000004</v>
      </c>
      <c r="T7" s="200">
        <v>3.63</v>
      </c>
      <c r="U7" s="200">
        <v>3.2300000000000004</v>
      </c>
      <c r="V7" s="200">
        <v>2.78</v>
      </c>
      <c r="W7" s="200">
        <v>2.2799999999999998</v>
      </c>
      <c r="X7" s="11"/>
      <c r="Y7" s="12">
        <v>8.8000000000000007</v>
      </c>
      <c r="Z7" s="12">
        <v>100</v>
      </c>
      <c r="AA7" s="12">
        <v>100</v>
      </c>
      <c r="AB7" s="12">
        <v>100</v>
      </c>
      <c r="AC7" s="12">
        <v>100</v>
      </c>
      <c r="AD7" s="12">
        <v>100</v>
      </c>
      <c r="AE7" s="12">
        <v>100</v>
      </c>
      <c r="AF7" s="12">
        <v>100</v>
      </c>
      <c r="AG7" s="12">
        <v>100</v>
      </c>
      <c r="AH7" s="12">
        <v>100</v>
      </c>
      <c r="AI7" s="12">
        <v>100</v>
      </c>
      <c r="AJ7" s="12">
        <v>100</v>
      </c>
      <c r="AK7" s="12">
        <v>100</v>
      </c>
      <c r="AL7" s="12">
        <v>100</v>
      </c>
      <c r="AM7" s="12">
        <v>100</v>
      </c>
      <c r="AN7" s="12">
        <v>100</v>
      </c>
      <c r="AO7" s="12">
        <v>100</v>
      </c>
      <c r="AP7" s="12">
        <v>100</v>
      </c>
      <c r="AQ7" s="12">
        <v>100</v>
      </c>
      <c r="AR7" s="12">
        <v>97</v>
      </c>
      <c r="AS7" s="12">
        <v>99.84</v>
      </c>
    </row>
    <row r="8" spans="1:45" ht="19.5" thickBot="1" x14ac:dyDescent="0.35">
      <c r="A8" s="15">
        <v>0.1</v>
      </c>
      <c r="B8" s="16">
        <v>4.8099999999999996</v>
      </c>
      <c r="C8" s="16">
        <v>5.31</v>
      </c>
      <c r="D8" s="16">
        <v>5.71</v>
      </c>
      <c r="E8" s="16">
        <v>6.01</v>
      </c>
      <c r="F8" s="16">
        <v>6.21</v>
      </c>
      <c r="G8" s="10">
        <v>6.31</v>
      </c>
      <c r="H8" s="16">
        <v>6.16</v>
      </c>
      <c r="I8" s="204">
        <v>6.01</v>
      </c>
      <c r="J8" s="16">
        <v>5.86</v>
      </c>
      <c r="K8" s="16">
        <v>5.71</v>
      </c>
      <c r="L8" s="16">
        <v>5.56</v>
      </c>
      <c r="M8" s="17">
        <v>5.41</v>
      </c>
      <c r="N8" s="17">
        <v>5.26</v>
      </c>
      <c r="O8" s="17">
        <v>5.1100000000000003</v>
      </c>
      <c r="P8" s="17">
        <v>4.96</v>
      </c>
      <c r="Q8" s="16">
        <v>4.76</v>
      </c>
      <c r="R8" s="16">
        <v>4.5599999999999996</v>
      </c>
      <c r="S8" s="16">
        <v>4.26</v>
      </c>
      <c r="T8" s="16">
        <v>3.91</v>
      </c>
      <c r="U8" s="16">
        <v>3.51</v>
      </c>
      <c r="V8" s="16">
        <v>3.0599999999999996</v>
      </c>
      <c r="W8" s="16">
        <v>2.56</v>
      </c>
      <c r="X8" s="11"/>
      <c r="Y8" s="12">
        <v>8.6999999999999993</v>
      </c>
      <c r="Z8" s="12">
        <v>100</v>
      </c>
      <c r="AA8" s="12">
        <v>100</v>
      </c>
      <c r="AB8" s="12">
        <v>100</v>
      </c>
      <c r="AC8" s="12">
        <v>100</v>
      </c>
      <c r="AD8" s="12">
        <v>100</v>
      </c>
      <c r="AE8" s="12">
        <v>100</v>
      </c>
      <c r="AF8" s="12">
        <v>100</v>
      </c>
      <c r="AG8" s="12">
        <v>100</v>
      </c>
      <c r="AH8" s="12">
        <v>100</v>
      </c>
      <c r="AI8" s="12">
        <v>100</v>
      </c>
      <c r="AJ8" s="12">
        <v>100</v>
      </c>
      <c r="AK8" s="12">
        <v>100</v>
      </c>
      <c r="AL8" s="12">
        <v>100</v>
      </c>
      <c r="AM8" s="12">
        <v>100</v>
      </c>
      <c r="AN8" s="12">
        <v>100</v>
      </c>
      <c r="AO8" s="12">
        <v>100</v>
      </c>
      <c r="AP8" s="12">
        <v>100</v>
      </c>
      <c r="AQ8" s="12">
        <v>100</v>
      </c>
      <c r="AR8" s="12">
        <v>96</v>
      </c>
      <c r="AS8" s="12">
        <v>99.79</v>
      </c>
    </row>
    <row r="9" spans="1:45" ht="16.5" thickBot="1" x14ac:dyDescent="0.3">
      <c r="A9" s="8">
        <v>0.11</v>
      </c>
      <c r="B9" s="9">
        <v>5.0599999999999996</v>
      </c>
      <c r="C9" s="9">
        <v>5.56</v>
      </c>
      <c r="D9" s="9">
        <v>5.96</v>
      </c>
      <c r="E9" s="9">
        <v>6.26</v>
      </c>
      <c r="F9" s="9">
        <v>6.46</v>
      </c>
      <c r="G9" s="13">
        <v>6.56</v>
      </c>
      <c r="H9" s="9">
        <v>6.41</v>
      </c>
      <c r="I9" s="9">
        <v>6.26</v>
      </c>
      <c r="J9" s="9">
        <v>6.11</v>
      </c>
      <c r="K9" s="205">
        <v>5.96</v>
      </c>
      <c r="L9" s="9">
        <v>5.81</v>
      </c>
      <c r="M9" s="9">
        <v>5.66</v>
      </c>
      <c r="N9" s="9">
        <v>5.51</v>
      </c>
      <c r="O9" s="9">
        <v>5.36</v>
      </c>
      <c r="P9" s="9">
        <v>5.21</v>
      </c>
      <c r="Q9" s="9">
        <v>5.01</v>
      </c>
      <c r="R9" s="9">
        <v>4.8099999999999996</v>
      </c>
      <c r="S9" s="9">
        <v>4.51</v>
      </c>
      <c r="T9" s="9">
        <v>4.16</v>
      </c>
      <c r="U9" s="9">
        <v>3.76</v>
      </c>
      <c r="V9" s="9">
        <v>3.3099999999999996</v>
      </c>
      <c r="W9" s="9">
        <v>2.81</v>
      </c>
      <c r="X9" s="11"/>
      <c r="Y9" s="12">
        <v>8.6</v>
      </c>
      <c r="Z9" s="12">
        <v>100</v>
      </c>
      <c r="AA9" s="12">
        <v>100</v>
      </c>
      <c r="AB9" s="12">
        <v>100</v>
      </c>
      <c r="AC9" s="12">
        <v>100</v>
      </c>
      <c r="AD9" s="12">
        <v>100</v>
      </c>
      <c r="AE9" s="12">
        <v>100</v>
      </c>
      <c r="AF9" s="12">
        <v>100</v>
      </c>
      <c r="AG9" s="12">
        <v>100</v>
      </c>
      <c r="AH9" s="12">
        <v>100</v>
      </c>
      <c r="AI9" s="12">
        <v>100</v>
      </c>
      <c r="AJ9" s="12">
        <v>100</v>
      </c>
      <c r="AK9" s="12">
        <v>100</v>
      </c>
      <c r="AL9" s="12">
        <v>100</v>
      </c>
      <c r="AM9" s="12">
        <v>100</v>
      </c>
      <c r="AN9" s="12">
        <v>100</v>
      </c>
      <c r="AO9" s="12">
        <v>100</v>
      </c>
      <c r="AP9" s="12">
        <v>100</v>
      </c>
      <c r="AQ9" s="12">
        <v>98</v>
      </c>
      <c r="AR9" s="12">
        <v>95</v>
      </c>
      <c r="AS9" s="12">
        <v>99.63</v>
      </c>
    </row>
    <row r="10" spans="1:45" ht="19.5" thickBot="1" x14ac:dyDescent="0.35">
      <c r="A10" s="15">
        <v>0.12</v>
      </c>
      <c r="B10" s="16">
        <v>5.3</v>
      </c>
      <c r="C10" s="16">
        <v>5.8</v>
      </c>
      <c r="D10" s="16">
        <v>6.2</v>
      </c>
      <c r="E10" s="16">
        <v>6.5</v>
      </c>
      <c r="F10" s="16">
        <v>6.7</v>
      </c>
      <c r="G10" s="10">
        <v>6.8</v>
      </c>
      <c r="H10" s="16">
        <v>6.65</v>
      </c>
      <c r="I10" s="16">
        <v>6.5</v>
      </c>
      <c r="J10" s="16">
        <v>6.35</v>
      </c>
      <c r="K10" s="16">
        <v>6.2</v>
      </c>
      <c r="L10" s="204">
        <v>6.05</v>
      </c>
      <c r="M10" s="17">
        <v>5.9</v>
      </c>
      <c r="N10" s="17">
        <v>5.75</v>
      </c>
      <c r="O10" s="17">
        <v>5.6</v>
      </c>
      <c r="P10" s="17">
        <v>5.45</v>
      </c>
      <c r="Q10" s="17">
        <v>5.25</v>
      </c>
      <c r="R10" s="17">
        <v>5.05</v>
      </c>
      <c r="S10" s="17">
        <v>4.75</v>
      </c>
      <c r="T10" s="17">
        <v>4.4000000000000004</v>
      </c>
      <c r="U10" s="17">
        <v>4</v>
      </c>
      <c r="V10" s="17">
        <v>3.55</v>
      </c>
      <c r="W10" s="17">
        <v>3.05</v>
      </c>
      <c r="X10" s="7"/>
      <c r="Y10" s="12">
        <v>8.5</v>
      </c>
      <c r="Z10" s="12">
        <v>100</v>
      </c>
      <c r="AA10" s="12">
        <v>100</v>
      </c>
      <c r="AB10" s="12">
        <v>100</v>
      </c>
      <c r="AC10" s="12">
        <v>100</v>
      </c>
      <c r="AD10" s="12">
        <v>100</v>
      </c>
      <c r="AE10" s="12">
        <v>100</v>
      </c>
      <c r="AF10" s="12">
        <v>100</v>
      </c>
      <c r="AG10" s="12">
        <v>100</v>
      </c>
      <c r="AH10" s="12">
        <v>100</v>
      </c>
      <c r="AI10" s="12">
        <v>100</v>
      </c>
      <c r="AJ10" s="12">
        <v>100</v>
      </c>
      <c r="AK10" s="12">
        <v>100</v>
      </c>
      <c r="AL10" s="12">
        <v>100</v>
      </c>
      <c r="AM10" s="12">
        <v>100</v>
      </c>
      <c r="AN10" s="12">
        <v>100</v>
      </c>
      <c r="AO10" s="12">
        <v>100</v>
      </c>
      <c r="AP10" s="12">
        <v>100</v>
      </c>
      <c r="AQ10" s="12">
        <v>98</v>
      </c>
      <c r="AR10" s="12">
        <v>94</v>
      </c>
      <c r="AS10" s="12">
        <v>99.58</v>
      </c>
    </row>
    <row r="11" spans="1:45" ht="16.5" thickBot="1" x14ac:dyDescent="0.3">
      <c r="A11" s="8">
        <v>0.13</v>
      </c>
      <c r="B11" s="9">
        <v>5.52</v>
      </c>
      <c r="C11" s="9">
        <v>6.02</v>
      </c>
      <c r="D11" s="9">
        <v>6.42</v>
      </c>
      <c r="E11" s="9">
        <v>6.72</v>
      </c>
      <c r="F11" s="9">
        <v>6.92</v>
      </c>
      <c r="G11" s="18">
        <v>7.02</v>
      </c>
      <c r="H11" s="9">
        <v>6.87</v>
      </c>
      <c r="I11" s="9">
        <v>6.72</v>
      </c>
      <c r="J11" s="9">
        <v>6.57</v>
      </c>
      <c r="K11" s="9">
        <v>6.42</v>
      </c>
      <c r="L11" s="9">
        <v>6.27</v>
      </c>
      <c r="M11" s="9">
        <v>6.12</v>
      </c>
      <c r="N11" s="205">
        <v>5.97</v>
      </c>
      <c r="O11" s="9">
        <v>5.82</v>
      </c>
      <c r="P11" s="9">
        <v>5.67</v>
      </c>
      <c r="Q11" s="9">
        <v>5.47</v>
      </c>
      <c r="R11" s="9">
        <v>5.27</v>
      </c>
      <c r="S11" s="9">
        <v>4.97</v>
      </c>
      <c r="T11" s="9">
        <v>4.62</v>
      </c>
      <c r="U11" s="9">
        <v>4.22</v>
      </c>
      <c r="V11" s="9">
        <v>3.7699999999999996</v>
      </c>
      <c r="W11" s="9">
        <v>3.2699999999999996</v>
      </c>
      <c r="X11" s="11"/>
      <c r="Y11" s="12">
        <v>8.4</v>
      </c>
      <c r="Z11" s="12">
        <v>100</v>
      </c>
      <c r="AA11" s="12">
        <v>100</v>
      </c>
      <c r="AB11" s="12">
        <v>100</v>
      </c>
      <c r="AC11" s="12">
        <v>100</v>
      </c>
      <c r="AD11" s="12">
        <v>100</v>
      </c>
      <c r="AE11" s="12">
        <v>100</v>
      </c>
      <c r="AF11" s="12">
        <v>100</v>
      </c>
      <c r="AG11" s="12">
        <v>100</v>
      </c>
      <c r="AH11" s="12">
        <v>100</v>
      </c>
      <c r="AI11" s="12">
        <v>100</v>
      </c>
      <c r="AJ11" s="12">
        <v>100</v>
      </c>
      <c r="AK11" s="12">
        <v>100</v>
      </c>
      <c r="AL11" s="12">
        <v>100</v>
      </c>
      <c r="AM11" s="12">
        <v>100</v>
      </c>
      <c r="AN11" s="12">
        <v>100</v>
      </c>
      <c r="AO11" s="12">
        <v>100</v>
      </c>
      <c r="AP11" s="12">
        <v>99</v>
      </c>
      <c r="AQ11" s="12">
        <v>96</v>
      </c>
      <c r="AR11" s="12">
        <v>93</v>
      </c>
      <c r="AS11" s="12">
        <v>99.37</v>
      </c>
    </row>
    <row r="12" spans="1:45" ht="16.5" thickBot="1" x14ac:dyDescent="0.3">
      <c r="A12" s="8">
        <v>0.14000000000000001</v>
      </c>
      <c r="B12" s="9">
        <v>5.72</v>
      </c>
      <c r="C12" s="9">
        <v>6.22</v>
      </c>
      <c r="D12" s="9">
        <v>6.62</v>
      </c>
      <c r="E12" s="9">
        <v>6.92</v>
      </c>
      <c r="F12" s="9">
        <v>7.1199999999999992</v>
      </c>
      <c r="G12" s="10">
        <v>7.2200000000000006</v>
      </c>
      <c r="H12" s="9">
        <v>7.07</v>
      </c>
      <c r="I12" s="9">
        <v>6.92</v>
      </c>
      <c r="J12" s="9">
        <v>6.77</v>
      </c>
      <c r="K12" s="9">
        <v>6.62</v>
      </c>
      <c r="L12" s="9">
        <v>6.47</v>
      </c>
      <c r="M12" s="9">
        <v>6.32</v>
      </c>
      <c r="N12" s="9">
        <v>6.17</v>
      </c>
      <c r="O12" s="205">
        <v>6.02</v>
      </c>
      <c r="P12" s="9">
        <v>5.87</v>
      </c>
      <c r="Q12" s="9">
        <v>5.67</v>
      </c>
      <c r="R12" s="9">
        <v>5.47</v>
      </c>
      <c r="S12" s="9">
        <v>5.17</v>
      </c>
      <c r="T12" s="9">
        <v>4.82</v>
      </c>
      <c r="U12" s="9">
        <v>4.42</v>
      </c>
      <c r="V12" s="9">
        <v>3.9699999999999998</v>
      </c>
      <c r="W12" s="9">
        <v>3.4699999999999998</v>
      </c>
      <c r="X12" s="11"/>
      <c r="Y12" s="12">
        <v>8.3000000000000007</v>
      </c>
      <c r="Z12" s="12">
        <v>100</v>
      </c>
      <c r="AA12" s="12">
        <v>100</v>
      </c>
      <c r="AB12" s="12">
        <v>100</v>
      </c>
      <c r="AC12" s="12">
        <v>100</v>
      </c>
      <c r="AD12" s="12">
        <v>100</v>
      </c>
      <c r="AE12" s="12">
        <v>100</v>
      </c>
      <c r="AF12" s="12">
        <v>100</v>
      </c>
      <c r="AG12" s="12">
        <v>100</v>
      </c>
      <c r="AH12" s="12">
        <v>100</v>
      </c>
      <c r="AI12" s="12">
        <v>100</v>
      </c>
      <c r="AJ12" s="12">
        <v>100</v>
      </c>
      <c r="AK12" s="12">
        <v>100</v>
      </c>
      <c r="AL12" s="12">
        <v>100</v>
      </c>
      <c r="AM12" s="12">
        <v>100</v>
      </c>
      <c r="AN12" s="12">
        <v>100</v>
      </c>
      <c r="AO12" s="12">
        <v>100</v>
      </c>
      <c r="AP12" s="12">
        <v>99</v>
      </c>
      <c r="AQ12" s="12">
        <v>95</v>
      </c>
      <c r="AR12" s="12">
        <v>92</v>
      </c>
      <c r="AS12" s="12">
        <v>99.26</v>
      </c>
    </row>
    <row r="13" spans="1:45" ht="16.5" thickBot="1" x14ac:dyDescent="0.3">
      <c r="A13" s="8">
        <v>0.15</v>
      </c>
      <c r="B13" s="9">
        <v>5.91</v>
      </c>
      <c r="C13" s="9">
        <v>6.41</v>
      </c>
      <c r="D13" s="9">
        <v>6.81</v>
      </c>
      <c r="E13" s="9">
        <v>7.1099999999999994</v>
      </c>
      <c r="F13" s="9">
        <v>7.3100000000000005</v>
      </c>
      <c r="G13" s="10">
        <v>7.41</v>
      </c>
      <c r="H13" s="9">
        <v>7.26</v>
      </c>
      <c r="I13" s="9">
        <v>7.1099999999999994</v>
      </c>
      <c r="J13" s="9">
        <v>6.96</v>
      </c>
      <c r="K13" s="9">
        <v>6.81</v>
      </c>
      <c r="L13" s="9">
        <v>6.66</v>
      </c>
      <c r="M13" s="9">
        <v>6.51</v>
      </c>
      <c r="N13" s="9">
        <v>6.36</v>
      </c>
      <c r="O13" s="9">
        <v>6.21</v>
      </c>
      <c r="P13" s="205">
        <v>6.06</v>
      </c>
      <c r="Q13" s="9">
        <v>5.86</v>
      </c>
      <c r="R13" s="9">
        <v>5.66</v>
      </c>
      <c r="S13" s="9">
        <v>5.36</v>
      </c>
      <c r="T13" s="9">
        <v>5.01</v>
      </c>
      <c r="U13" s="9">
        <v>4.6100000000000003</v>
      </c>
      <c r="V13" s="9">
        <v>4.16</v>
      </c>
      <c r="W13" s="9">
        <v>3.66</v>
      </c>
      <c r="X13" s="11"/>
      <c r="Y13" s="12">
        <v>8.1999999999999993</v>
      </c>
      <c r="Z13" s="12">
        <v>100</v>
      </c>
      <c r="AA13" s="12">
        <v>100</v>
      </c>
      <c r="AB13" s="12">
        <v>100</v>
      </c>
      <c r="AC13" s="12">
        <v>100</v>
      </c>
      <c r="AD13" s="12">
        <v>100</v>
      </c>
      <c r="AE13" s="12">
        <v>100</v>
      </c>
      <c r="AF13" s="12">
        <v>100</v>
      </c>
      <c r="AG13" s="12">
        <v>100</v>
      </c>
      <c r="AH13" s="12">
        <v>100</v>
      </c>
      <c r="AI13" s="12">
        <v>100</v>
      </c>
      <c r="AJ13" s="12">
        <v>100</v>
      </c>
      <c r="AK13" s="12">
        <v>100</v>
      </c>
      <c r="AL13" s="12">
        <v>100</v>
      </c>
      <c r="AM13" s="12">
        <v>100</v>
      </c>
      <c r="AN13" s="12">
        <v>100</v>
      </c>
      <c r="AO13" s="12">
        <v>100</v>
      </c>
      <c r="AP13" s="12">
        <v>97</v>
      </c>
      <c r="AQ13" s="12">
        <v>94</v>
      </c>
      <c r="AR13" s="12">
        <v>91</v>
      </c>
      <c r="AS13" s="12">
        <v>99.05</v>
      </c>
    </row>
    <row r="14" spans="1:45" ht="16.5" thickBot="1" x14ac:dyDescent="0.3">
      <c r="A14" s="8">
        <v>0.16</v>
      </c>
      <c r="B14" s="9">
        <v>6.09</v>
      </c>
      <c r="C14" s="9">
        <v>6.59</v>
      </c>
      <c r="D14" s="9">
        <v>6.99</v>
      </c>
      <c r="E14" s="9">
        <v>7.2899999999999991</v>
      </c>
      <c r="F14" s="9">
        <v>7.49</v>
      </c>
      <c r="G14" s="13">
        <v>7.59</v>
      </c>
      <c r="H14" s="9">
        <v>7.4399999999999995</v>
      </c>
      <c r="I14" s="9">
        <v>7.2899999999999991</v>
      </c>
      <c r="J14" s="9">
        <v>7.1400000000000006</v>
      </c>
      <c r="K14" s="9">
        <v>6.99</v>
      </c>
      <c r="L14" s="9">
        <v>6.84</v>
      </c>
      <c r="M14" s="9">
        <v>6.69</v>
      </c>
      <c r="N14" s="9">
        <v>6.54</v>
      </c>
      <c r="O14" s="9">
        <v>6.39</v>
      </c>
      <c r="P14" s="9">
        <v>6.24</v>
      </c>
      <c r="Q14" s="205">
        <v>6.04</v>
      </c>
      <c r="R14" s="9">
        <v>5.84</v>
      </c>
      <c r="S14" s="9">
        <v>5.54</v>
      </c>
      <c r="T14" s="9">
        <v>5.19</v>
      </c>
      <c r="U14" s="9">
        <v>4.79</v>
      </c>
      <c r="V14" s="9">
        <v>4.34</v>
      </c>
      <c r="W14" s="9">
        <v>3.84</v>
      </c>
      <c r="X14" s="11"/>
      <c r="Y14" s="12">
        <v>8.1</v>
      </c>
      <c r="Z14" s="12">
        <v>100</v>
      </c>
      <c r="AA14" s="12">
        <v>100</v>
      </c>
      <c r="AB14" s="12">
        <v>100</v>
      </c>
      <c r="AC14" s="12">
        <v>100</v>
      </c>
      <c r="AD14" s="12">
        <v>100</v>
      </c>
      <c r="AE14" s="12">
        <v>100</v>
      </c>
      <c r="AF14" s="12">
        <v>100</v>
      </c>
      <c r="AG14" s="12">
        <v>100</v>
      </c>
      <c r="AH14" s="12">
        <v>100</v>
      </c>
      <c r="AI14" s="12">
        <v>100</v>
      </c>
      <c r="AJ14" s="12">
        <v>100</v>
      </c>
      <c r="AK14" s="12">
        <v>100</v>
      </c>
      <c r="AL14" s="12">
        <v>100</v>
      </c>
      <c r="AM14" s="12">
        <v>100</v>
      </c>
      <c r="AN14" s="12">
        <v>100</v>
      </c>
      <c r="AO14" s="12">
        <v>100</v>
      </c>
      <c r="AP14" s="12">
        <v>97</v>
      </c>
      <c r="AQ14" s="12">
        <v>93</v>
      </c>
      <c r="AR14" s="12">
        <v>90</v>
      </c>
      <c r="AS14" s="12">
        <v>98.95</v>
      </c>
    </row>
    <row r="15" spans="1:45" ht="19.5" thickBot="1" x14ac:dyDescent="0.35">
      <c r="A15" s="15">
        <v>0.17</v>
      </c>
      <c r="B15" s="16">
        <v>6.25</v>
      </c>
      <c r="C15" s="16">
        <v>6.75</v>
      </c>
      <c r="D15" s="16">
        <v>7.15</v>
      </c>
      <c r="E15" s="16">
        <v>7.4499999999999993</v>
      </c>
      <c r="F15" s="16">
        <v>7.65</v>
      </c>
      <c r="G15" s="10">
        <v>7.75</v>
      </c>
      <c r="H15" s="16">
        <v>7.6</v>
      </c>
      <c r="I15" s="16">
        <v>7.4499999999999993</v>
      </c>
      <c r="J15" s="16">
        <v>7.3000000000000007</v>
      </c>
      <c r="K15" s="16">
        <v>7.15</v>
      </c>
      <c r="L15" s="16">
        <v>7</v>
      </c>
      <c r="M15" s="17">
        <v>6.85</v>
      </c>
      <c r="N15" s="17">
        <v>6.7</v>
      </c>
      <c r="O15" s="17">
        <v>6.55</v>
      </c>
      <c r="P15" s="17">
        <v>6.4</v>
      </c>
      <c r="Q15" s="16">
        <v>6.2</v>
      </c>
      <c r="R15" s="204">
        <v>6</v>
      </c>
      <c r="S15" s="16">
        <v>5.7</v>
      </c>
      <c r="T15" s="16">
        <v>5.35</v>
      </c>
      <c r="U15" s="16">
        <v>4.95</v>
      </c>
      <c r="V15" s="16">
        <v>4.5</v>
      </c>
      <c r="W15" s="16">
        <v>4</v>
      </c>
      <c r="X15" s="14"/>
      <c r="Y15" s="12">
        <v>8</v>
      </c>
      <c r="Z15" s="12">
        <v>100</v>
      </c>
      <c r="AA15" s="12">
        <v>100</v>
      </c>
      <c r="AB15" s="12">
        <v>100</v>
      </c>
      <c r="AC15" s="12">
        <v>100</v>
      </c>
      <c r="AD15" s="12">
        <v>100</v>
      </c>
      <c r="AE15" s="12">
        <v>100</v>
      </c>
      <c r="AF15" s="12">
        <v>100</v>
      </c>
      <c r="AG15" s="12">
        <v>100</v>
      </c>
      <c r="AH15" s="12">
        <v>100</v>
      </c>
      <c r="AI15" s="12">
        <v>99</v>
      </c>
      <c r="AJ15" s="12">
        <v>100</v>
      </c>
      <c r="AK15" s="12">
        <v>100</v>
      </c>
      <c r="AL15" s="12">
        <v>100</v>
      </c>
      <c r="AM15" s="12">
        <v>100</v>
      </c>
      <c r="AN15" s="12">
        <v>100</v>
      </c>
      <c r="AO15" s="12">
        <v>99</v>
      </c>
      <c r="AP15" s="12">
        <v>95</v>
      </c>
      <c r="AQ15" s="12">
        <v>92</v>
      </c>
      <c r="AR15" s="12">
        <v>89</v>
      </c>
      <c r="AS15" s="12">
        <v>98.63</v>
      </c>
    </row>
    <row r="16" spans="1:45" ht="16.5" thickBot="1" x14ac:dyDescent="0.3">
      <c r="A16" s="8">
        <v>0.18</v>
      </c>
      <c r="B16" s="9">
        <v>6.4</v>
      </c>
      <c r="C16" s="9">
        <v>6.9</v>
      </c>
      <c r="D16" s="9">
        <v>7.3000000000000007</v>
      </c>
      <c r="E16" s="9">
        <v>7.6</v>
      </c>
      <c r="F16" s="9">
        <v>7.8000000000000007</v>
      </c>
      <c r="G16" s="18">
        <v>7.9</v>
      </c>
      <c r="H16" s="9">
        <v>7.75</v>
      </c>
      <c r="I16" s="9">
        <v>7.6</v>
      </c>
      <c r="J16" s="9">
        <v>7.4499999999999993</v>
      </c>
      <c r="K16" s="9">
        <v>7.3000000000000007</v>
      </c>
      <c r="L16" s="9">
        <v>7.15</v>
      </c>
      <c r="M16" s="9">
        <v>7</v>
      </c>
      <c r="N16" s="9">
        <v>6.85</v>
      </c>
      <c r="O16" s="9">
        <v>6.7</v>
      </c>
      <c r="P16" s="9">
        <v>6.55</v>
      </c>
      <c r="Q16" s="9">
        <v>6.35</v>
      </c>
      <c r="R16" s="9">
        <v>6.15</v>
      </c>
      <c r="S16" s="205">
        <v>5.85</v>
      </c>
      <c r="T16" s="9">
        <v>5.5</v>
      </c>
      <c r="U16" s="9">
        <v>5.0999999999999996</v>
      </c>
      <c r="V16" s="9">
        <v>4.6500000000000004</v>
      </c>
      <c r="W16" s="9">
        <v>4.1500000000000004</v>
      </c>
      <c r="X16" s="11"/>
      <c r="Y16" s="12">
        <v>7.9</v>
      </c>
      <c r="Z16" s="12">
        <v>100</v>
      </c>
      <c r="AA16" s="12">
        <v>100</v>
      </c>
      <c r="AB16" s="12">
        <v>100</v>
      </c>
      <c r="AC16" s="12">
        <v>100</v>
      </c>
      <c r="AD16" s="12">
        <v>100</v>
      </c>
      <c r="AE16" s="12">
        <v>100</v>
      </c>
      <c r="AF16" s="12">
        <v>100</v>
      </c>
      <c r="AG16" s="12">
        <v>100</v>
      </c>
      <c r="AH16" s="12">
        <v>100</v>
      </c>
      <c r="AI16" s="12">
        <v>99</v>
      </c>
      <c r="AJ16" s="12">
        <v>100</v>
      </c>
      <c r="AK16" s="12">
        <v>100</v>
      </c>
      <c r="AL16" s="12">
        <v>100</v>
      </c>
      <c r="AM16" s="12">
        <v>100</v>
      </c>
      <c r="AN16" s="12">
        <v>100</v>
      </c>
      <c r="AO16" s="12">
        <v>98</v>
      </c>
      <c r="AP16" s="12">
        <v>95</v>
      </c>
      <c r="AQ16" s="12">
        <v>92</v>
      </c>
      <c r="AR16" s="12">
        <v>88</v>
      </c>
      <c r="AS16" s="12">
        <v>98.53</v>
      </c>
    </row>
    <row r="17" spans="1:45" ht="16.5" thickBot="1" x14ac:dyDescent="0.3">
      <c r="A17" s="8">
        <v>0.19</v>
      </c>
      <c r="B17" s="9">
        <v>6.54</v>
      </c>
      <c r="C17" s="9">
        <v>7.0399999999999991</v>
      </c>
      <c r="D17" s="9">
        <v>7.4399999999999995</v>
      </c>
      <c r="E17" s="9">
        <v>7.74</v>
      </c>
      <c r="F17" s="9">
        <v>7.9399999999999995</v>
      </c>
      <c r="G17" s="13">
        <v>8.0399999999999991</v>
      </c>
      <c r="H17" s="9">
        <v>7.8900000000000006</v>
      </c>
      <c r="I17" s="9">
        <v>7.74</v>
      </c>
      <c r="J17" s="9">
        <v>7.59</v>
      </c>
      <c r="K17" s="9">
        <v>7.4399999999999995</v>
      </c>
      <c r="L17" s="9">
        <v>7.2899999999999991</v>
      </c>
      <c r="M17" s="9">
        <v>7.1400000000000006</v>
      </c>
      <c r="N17" s="9">
        <v>6.99</v>
      </c>
      <c r="O17" s="9">
        <v>6.84</v>
      </c>
      <c r="P17" s="9">
        <v>6.69</v>
      </c>
      <c r="Q17" s="9">
        <v>6.49</v>
      </c>
      <c r="R17" s="9">
        <v>6.29</v>
      </c>
      <c r="S17" s="205">
        <v>5.99</v>
      </c>
      <c r="T17" s="9">
        <v>5.64</v>
      </c>
      <c r="U17" s="9">
        <v>5.24</v>
      </c>
      <c r="V17" s="9">
        <v>4.79</v>
      </c>
      <c r="W17" s="9">
        <v>4.29</v>
      </c>
      <c r="X17" s="11"/>
      <c r="Y17" s="12">
        <v>7.8</v>
      </c>
      <c r="Z17" s="12">
        <v>100</v>
      </c>
      <c r="AA17" s="12">
        <v>100</v>
      </c>
      <c r="AB17" s="12">
        <v>100</v>
      </c>
      <c r="AC17" s="12">
        <v>100</v>
      </c>
      <c r="AD17" s="12">
        <v>100</v>
      </c>
      <c r="AE17" s="12">
        <v>100</v>
      </c>
      <c r="AF17" s="12">
        <v>100</v>
      </c>
      <c r="AG17" s="12">
        <v>100</v>
      </c>
      <c r="AH17" s="12">
        <v>100</v>
      </c>
      <c r="AI17" s="12">
        <v>98</v>
      </c>
      <c r="AJ17" s="12">
        <v>100</v>
      </c>
      <c r="AK17" s="12">
        <v>100</v>
      </c>
      <c r="AL17" s="12">
        <v>100</v>
      </c>
      <c r="AM17" s="12">
        <v>100</v>
      </c>
      <c r="AN17" s="12">
        <v>100</v>
      </c>
      <c r="AO17" s="12">
        <v>97</v>
      </c>
      <c r="AP17" s="12">
        <v>94</v>
      </c>
      <c r="AQ17" s="12">
        <v>91</v>
      </c>
      <c r="AR17" s="12">
        <v>87</v>
      </c>
      <c r="AS17" s="12">
        <v>98.26</v>
      </c>
    </row>
    <row r="18" spans="1:45" ht="19.5" thickBot="1" x14ac:dyDescent="0.35">
      <c r="A18" s="15">
        <v>0.2</v>
      </c>
      <c r="B18" s="19">
        <v>6.67</v>
      </c>
      <c r="C18" s="19">
        <v>7.17</v>
      </c>
      <c r="D18" s="19">
        <v>7.57</v>
      </c>
      <c r="E18" s="19">
        <v>7.8699999999999992</v>
      </c>
      <c r="F18" s="19">
        <v>8.07</v>
      </c>
      <c r="G18" s="16">
        <v>8.17</v>
      </c>
      <c r="H18" s="19">
        <v>8.02</v>
      </c>
      <c r="I18" s="19">
        <v>7.8699999999999992</v>
      </c>
      <c r="J18" s="19">
        <v>7.7200000000000006</v>
      </c>
      <c r="K18" s="19">
        <v>7.57</v>
      </c>
      <c r="L18" s="19">
        <v>7.42</v>
      </c>
      <c r="M18" s="19">
        <v>7.27</v>
      </c>
      <c r="N18" s="19">
        <v>7.1199999999999992</v>
      </c>
      <c r="O18" s="19">
        <v>6.97</v>
      </c>
      <c r="P18" s="19">
        <v>6.82</v>
      </c>
      <c r="Q18" s="19">
        <v>6.62</v>
      </c>
      <c r="R18" s="19">
        <v>6.42</v>
      </c>
      <c r="S18" s="206">
        <v>6.12</v>
      </c>
      <c r="T18" s="19">
        <v>5.77</v>
      </c>
      <c r="U18" s="19">
        <v>5.37</v>
      </c>
      <c r="V18" s="19">
        <v>4.92</v>
      </c>
      <c r="W18" s="19">
        <v>4.42</v>
      </c>
      <c r="X18" s="11"/>
      <c r="Y18" s="12">
        <v>7.7</v>
      </c>
      <c r="Z18" s="12">
        <v>100</v>
      </c>
      <c r="AA18" s="12">
        <v>100</v>
      </c>
      <c r="AB18" s="12">
        <v>100</v>
      </c>
      <c r="AC18" s="12">
        <v>100</v>
      </c>
      <c r="AD18" s="12">
        <v>100</v>
      </c>
      <c r="AE18" s="12">
        <v>100</v>
      </c>
      <c r="AF18" s="12">
        <v>100</v>
      </c>
      <c r="AG18" s="12">
        <v>100</v>
      </c>
      <c r="AH18" s="12">
        <v>100</v>
      </c>
      <c r="AI18" s="12">
        <v>97</v>
      </c>
      <c r="AJ18" s="12">
        <v>100</v>
      </c>
      <c r="AK18" s="12">
        <v>100</v>
      </c>
      <c r="AL18" s="12">
        <v>100</v>
      </c>
      <c r="AM18" s="12">
        <v>100</v>
      </c>
      <c r="AN18" s="12">
        <v>99</v>
      </c>
      <c r="AO18" s="12">
        <v>96</v>
      </c>
      <c r="AP18" s="12">
        <v>93</v>
      </c>
      <c r="AQ18" s="12">
        <v>89</v>
      </c>
      <c r="AR18" s="12">
        <v>86</v>
      </c>
      <c r="AS18" s="12">
        <v>97.89</v>
      </c>
    </row>
    <row r="19" spans="1:45" ht="16.5" thickBot="1" x14ac:dyDescent="0.3">
      <c r="A19" s="8">
        <v>0.21</v>
      </c>
      <c r="B19" s="9">
        <v>6.8</v>
      </c>
      <c r="C19" s="9">
        <v>7.3000000000000007</v>
      </c>
      <c r="D19" s="9">
        <v>7.6999999999999993</v>
      </c>
      <c r="E19" s="9">
        <v>8</v>
      </c>
      <c r="F19" s="9">
        <v>8.1999999999999993</v>
      </c>
      <c r="G19" s="18">
        <v>8.3000000000000007</v>
      </c>
      <c r="H19" s="9">
        <v>8.15</v>
      </c>
      <c r="I19" s="9">
        <v>8</v>
      </c>
      <c r="J19" s="9">
        <v>7.85</v>
      </c>
      <c r="K19" s="9">
        <v>7.6999999999999993</v>
      </c>
      <c r="L19" s="9">
        <v>7.5500000000000007</v>
      </c>
      <c r="M19" s="9">
        <v>7.4</v>
      </c>
      <c r="N19" s="9">
        <v>7.25</v>
      </c>
      <c r="O19" s="9">
        <v>7.1</v>
      </c>
      <c r="P19" s="9">
        <v>6.95</v>
      </c>
      <c r="Q19" s="9">
        <v>6.75</v>
      </c>
      <c r="R19" s="9">
        <v>6.55</v>
      </c>
      <c r="S19" s="205">
        <v>6.25</v>
      </c>
      <c r="T19" s="9">
        <v>5.9</v>
      </c>
      <c r="U19" s="9">
        <v>5.5</v>
      </c>
      <c r="V19" s="9">
        <v>5.05</v>
      </c>
      <c r="W19" s="9">
        <v>4.55</v>
      </c>
      <c r="X19" s="11"/>
      <c r="Y19" s="12">
        <v>7.6</v>
      </c>
      <c r="Z19" s="12">
        <v>100</v>
      </c>
      <c r="AA19" s="12">
        <v>100</v>
      </c>
      <c r="AB19" s="12">
        <v>100</v>
      </c>
      <c r="AC19" s="12">
        <v>100</v>
      </c>
      <c r="AD19" s="12">
        <v>100</v>
      </c>
      <c r="AE19" s="12">
        <v>100</v>
      </c>
      <c r="AF19" s="12">
        <v>100</v>
      </c>
      <c r="AG19" s="12">
        <v>100</v>
      </c>
      <c r="AH19" s="12">
        <v>100</v>
      </c>
      <c r="AI19" s="12">
        <v>96</v>
      </c>
      <c r="AJ19" s="12">
        <v>100</v>
      </c>
      <c r="AK19" s="12">
        <v>100</v>
      </c>
      <c r="AL19" s="12">
        <v>100</v>
      </c>
      <c r="AM19" s="12">
        <v>100</v>
      </c>
      <c r="AN19" s="12">
        <v>98</v>
      </c>
      <c r="AO19" s="12">
        <v>95</v>
      </c>
      <c r="AP19" s="12">
        <v>91</v>
      </c>
      <c r="AQ19" s="12">
        <v>88</v>
      </c>
      <c r="AR19" s="12">
        <v>85</v>
      </c>
      <c r="AS19" s="12">
        <v>97.53</v>
      </c>
    </row>
    <row r="20" spans="1:45" ht="16.5" thickBot="1" x14ac:dyDescent="0.3">
      <c r="A20" s="8">
        <v>0.22</v>
      </c>
      <c r="B20" s="9">
        <v>6.91</v>
      </c>
      <c r="C20" s="9">
        <v>7.41</v>
      </c>
      <c r="D20" s="9">
        <v>7.8100000000000005</v>
      </c>
      <c r="E20" s="9">
        <v>8.11</v>
      </c>
      <c r="F20" s="9">
        <v>8.31</v>
      </c>
      <c r="G20" s="10">
        <v>8.33</v>
      </c>
      <c r="H20" s="9">
        <v>8.26</v>
      </c>
      <c r="I20" s="9">
        <v>8.11</v>
      </c>
      <c r="J20" s="9">
        <v>7.9600000000000009</v>
      </c>
      <c r="K20" s="9">
        <v>7.8100000000000005</v>
      </c>
      <c r="L20" s="9">
        <v>7.66</v>
      </c>
      <c r="M20" s="9">
        <v>7.51</v>
      </c>
      <c r="N20" s="9">
        <v>7.3599999999999994</v>
      </c>
      <c r="O20" s="9">
        <v>7.2100000000000009</v>
      </c>
      <c r="P20" s="9">
        <v>7.0600000000000005</v>
      </c>
      <c r="Q20" s="9">
        <v>6.86</v>
      </c>
      <c r="R20" s="9">
        <v>6.66</v>
      </c>
      <c r="S20" s="9">
        <v>6.36</v>
      </c>
      <c r="T20" s="205">
        <v>6.01</v>
      </c>
      <c r="U20" s="9">
        <v>5.61</v>
      </c>
      <c r="V20" s="9">
        <v>5.16</v>
      </c>
      <c r="W20" s="9">
        <v>4.66</v>
      </c>
      <c r="X20" s="11"/>
      <c r="Y20" s="12">
        <v>7.5</v>
      </c>
      <c r="Z20" s="12">
        <v>100</v>
      </c>
      <c r="AA20" s="12">
        <v>100</v>
      </c>
      <c r="AB20" s="12">
        <v>100</v>
      </c>
      <c r="AC20" s="12">
        <v>100</v>
      </c>
      <c r="AD20" s="12">
        <v>100</v>
      </c>
      <c r="AE20" s="12">
        <v>100</v>
      </c>
      <c r="AF20" s="12">
        <v>100</v>
      </c>
      <c r="AG20" s="12">
        <v>100</v>
      </c>
      <c r="AH20" s="12">
        <v>100</v>
      </c>
      <c r="AI20" s="12">
        <v>96</v>
      </c>
      <c r="AJ20" s="12">
        <v>100</v>
      </c>
      <c r="AK20" s="12">
        <v>100</v>
      </c>
      <c r="AL20" s="12">
        <v>100</v>
      </c>
      <c r="AM20" s="12">
        <v>100</v>
      </c>
      <c r="AN20" s="12">
        <v>98</v>
      </c>
      <c r="AO20" s="12">
        <v>95</v>
      </c>
      <c r="AP20" s="12">
        <v>91</v>
      </c>
      <c r="AQ20" s="12">
        <v>88</v>
      </c>
      <c r="AR20" s="12">
        <v>84</v>
      </c>
      <c r="AS20" s="12">
        <v>97.47</v>
      </c>
    </row>
    <row r="21" spans="1:45" ht="16.5" thickBot="1" x14ac:dyDescent="0.3">
      <c r="A21" s="8">
        <v>0.23</v>
      </c>
      <c r="B21" s="9">
        <v>7.01</v>
      </c>
      <c r="C21" s="9">
        <v>7.51</v>
      </c>
      <c r="D21" s="9">
        <v>7.91</v>
      </c>
      <c r="E21" s="9">
        <v>8.2100000000000009</v>
      </c>
      <c r="F21" s="9">
        <v>8.33</v>
      </c>
      <c r="G21" s="10">
        <v>8.33</v>
      </c>
      <c r="H21" s="9">
        <v>8.33</v>
      </c>
      <c r="I21" s="9">
        <v>8.2100000000000009</v>
      </c>
      <c r="J21" s="9">
        <v>8.06</v>
      </c>
      <c r="K21" s="9">
        <v>7.91</v>
      </c>
      <c r="L21" s="9">
        <v>7.76</v>
      </c>
      <c r="M21" s="9">
        <v>7.6099999999999994</v>
      </c>
      <c r="N21" s="9">
        <v>7.4600000000000009</v>
      </c>
      <c r="O21" s="9">
        <v>7.3100000000000005</v>
      </c>
      <c r="P21" s="9">
        <v>7.16</v>
      </c>
      <c r="Q21" s="9">
        <v>6.96</v>
      </c>
      <c r="R21" s="9">
        <v>6.76</v>
      </c>
      <c r="S21" s="9">
        <v>6.46</v>
      </c>
      <c r="T21" s="205">
        <v>6.11</v>
      </c>
      <c r="U21" s="9">
        <v>5.71</v>
      </c>
      <c r="V21" s="9">
        <v>5.26</v>
      </c>
      <c r="W21" s="9">
        <v>4.76</v>
      </c>
      <c r="X21" s="11"/>
      <c r="Y21" s="12">
        <v>7.4</v>
      </c>
      <c r="Z21" s="12">
        <v>100</v>
      </c>
      <c r="AA21" s="12">
        <v>100</v>
      </c>
      <c r="AB21" s="12">
        <v>100</v>
      </c>
      <c r="AC21" s="12">
        <v>100</v>
      </c>
      <c r="AD21" s="12">
        <v>100</v>
      </c>
      <c r="AE21" s="12">
        <v>100</v>
      </c>
      <c r="AF21" s="12">
        <v>100</v>
      </c>
      <c r="AG21" s="12">
        <v>100</v>
      </c>
      <c r="AH21" s="12">
        <v>99</v>
      </c>
      <c r="AI21" s="12">
        <v>96</v>
      </c>
      <c r="AJ21" s="12">
        <v>100</v>
      </c>
      <c r="AK21" s="12">
        <v>100</v>
      </c>
      <c r="AL21" s="12">
        <v>100</v>
      </c>
      <c r="AM21" s="12">
        <v>100</v>
      </c>
      <c r="AN21" s="12">
        <v>97</v>
      </c>
      <c r="AO21" s="12">
        <v>94</v>
      </c>
      <c r="AP21" s="12">
        <v>90</v>
      </c>
      <c r="AQ21" s="12">
        <v>87</v>
      </c>
      <c r="AR21" s="12">
        <v>83</v>
      </c>
      <c r="AS21" s="12">
        <v>97.16</v>
      </c>
    </row>
    <row r="22" spans="1:45" ht="16.5" thickBot="1" x14ac:dyDescent="0.3">
      <c r="A22" s="8">
        <v>0.24</v>
      </c>
      <c r="B22" s="9">
        <v>7.1099999999999994</v>
      </c>
      <c r="C22" s="9">
        <v>7.6099999999999994</v>
      </c>
      <c r="D22" s="9">
        <v>8.01</v>
      </c>
      <c r="E22" s="9">
        <v>8.31</v>
      </c>
      <c r="F22" s="9">
        <v>8.33</v>
      </c>
      <c r="G22" s="10">
        <v>8.33</v>
      </c>
      <c r="H22" s="9">
        <v>8.33</v>
      </c>
      <c r="I22" s="9">
        <v>8.31</v>
      </c>
      <c r="J22" s="9">
        <v>8.16</v>
      </c>
      <c r="K22" s="9">
        <v>8.01</v>
      </c>
      <c r="L22" s="9">
        <v>7.8599999999999994</v>
      </c>
      <c r="M22" s="9">
        <v>7.7100000000000009</v>
      </c>
      <c r="N22" s="9">
        <v>7.5600000000000005</v>
      </c>
      <c r="O22" s="9">
        <v>7.41</v>
      </c>
      <c r="P22" s="9">
        <v>7.26</v>
      </c>
      <c r="Q22" s="9">
        <v>7.0600000000000005</v>
      </c>
      <c r="R22" s="9">
        <v>6.86</v>
      </c>
      <c r="S22" s="9">
        <v>6.56</v>
      </c>
      <c r="T22" s="205">
        <v>6.21</v>
      </c>
      <c r="U22" s="9">
        <v>5.81</v>
      </c>
      <c r="V22" s="9">
        <v>5.36</v>
      </c>
      <c r="W22" s="9">
        <v>4.8600000000000003</v>
      </c>
      <c r="X22" s="11"/>
      <c r="Y22" s="12">
        <v>7.3</v>
      </c>
      <c r="Z22" s="12">
        <v>100</v>
      </c>
      <c r="AA22" s="12">
        <v>100</v>
      </c>
      <c r="AB22" s="12">
        <v>100</v>
      </c>
      <c r="AC22" s="12">
        <v>100</v>
      </c>
      <c r="AD22" s="12">
        <v>100</v>
      </c>
      <c r="AE22" s="12">
        <v>100</v>
      </c>
      <c r="AF22" s="12">
        <v>100</v>
      </c>
      <c r="AG22" s="12">
        <v>100</v>
      </c>
      <c r="AH22" s="12">
        <v>98</v>
      </c>
      <c r="AI22" s="12">
        <v>95</v>
      </c>
      <c r="AJ22" s="12">
        <v>100</v>
      </c>
      <c r="AK22" s="12">
        <v>100</v>
      </c>
      <c r="AL22" s="12">
        <v>100</v>
      </c>
      <c r="AM22" s="12">
        <v>100</v>
      </c>
      <c r="AN22" s="12">
        <v>96</v>
      </c>
      <c r="AO22" s="12">
        <v>93</v>
      </c>
      <c r="AP22" s="12">
        <v>89</v>
      </c>
      <c r="AQ22" s="12">
        <v>86</v>
      </c>
      <c r="AR22" s="12">
        <v>82</v>
      </c>
      <c r="AS22" s="12">
        <v>96.79</v>
      </c>
    </row>
    <row r="23" spans="1:45" ht="16.5" thickBot="1" x14ac:dyDescent="0.3">
      <c r="A23" s="8">
        <v>0.25</v>
      </c>
      <c r="B23" s="9">
        <v>7.1999999999999993</v>
      </c>
      <c r="C23" s="9">
        <v>7.6999999999999993</v>
      </c>
      <c r="D23" s="9">
        <v>8.1</v>
      </c>
      <c r="E23" s="9">
        <v>8.33</v>
      </c>
      <c r="F23" s="9">
        <v>8.33</v>
      </c>
      <c r="G23" s="10">
        <v>8.33</v>
      </c>
      <c r="H23" s="9">
        <v>8.33</v>
      </c>
      <c r="I23" s="9">
        <v>8.33</v>
      </c>
      <c r="J23" s="9">
        <v>8.25</v>
      </c>
      <c r="K23" s="9">
        <v>8.1</v>
      </c>
      <c r="L23" s="9">
        <v>7.9499999999999993</v>
      </c>
      <c r="M23" s="9">
        <v>7.8000000000000007</v>
      </c>
      <c r="N23" s="9">
        <v>7.65</v>
      </c>
      <c r="O23" s="9">
        <v>7.5</v>
      </c>
      <c r="P23" s="9">
        <v>7.35</v>
      </c>
      <c r="Q23" s="9">
        <v>7.15</v>
      </c>
      <c r="R23" s="9">
        <v>6.95</v>
      </c>
      <c r="S23" s="9">
        <v>6.65</v>
      </c>
      <c r="T23" s="205">
        <v>6.3</v>
      </c>
      <c r="U23" s="9">
        <v>5.9</v>
      </c>
      <c r="V23" s="9">
        <v>5.45</v>
      </c>
      <c r="W23" s="9">
        <v>4.95</v>
      </c>
      <c r="X23" s="11"/>
      <c r="Y23" s="12">
        <v>7.2</v>
      </c>
      <c r="Z23" s="12">
        <v>100</v>
      </c>
      <c r="AA23" s="12">
        <v>100</v>
      </c>
      <c r="AB23" s="12">
        <v>100</v>
      </c>
      <c r="AC23" s="12">
        <v>100</v>
      </c>
      <c r="AD23" s="12">
        <v>100</v>
      </c>
      <c r="AE23" s="12">
        <v>100</v>
      </c>
      <c r="AF23" s="12">
        <v>100</v>
      </c>
      <c r="AG23" s="12">
        <v>100</v>
      </c>
      <c r="AH23" s="12">
        <v>98</v>
      </c>
      <c r="AI23" s="12">
        <v>94</v>
      </c>
      <c r="AJ23" s="12">
        <v>100</v>
      </c>
      <c r="AK23" s="12">
        <v>100</v>
      </c>
      <c r="AL23" s="12">
        <v>100</v>
      </c>
      <c r="AM23" s="12">
        <v>99</v>
      </c>
      <c r="AN23" s="12">
        <v>95</v>
      </c>
      <c r="AO23" s="12">
        <v>92</v>
      </c>
      <c r="AP23" s="12">
        <v>88</v>
      </c>
      <c r="AQ23" s="12">
        <v>85</v>
      </c>
      <c r="AR23" s="12">
        <v>81</v>
      </c>
      <c r="AS23" s="12">
        <v>96.42</v>
      </c>
    </row>
    <row r="24" spans="1:45" ht="16.5" thickBot="1" x14ac:dyDescent="0.3">
      <c r="A24" s="8">
        <v>0.26</v>
      </c>
      <c r="B24" s="9">
        <v>7.2799999999999994</v>
      </c>
      <c r="C24" s="9">
        <v>7.7799999999999994</v>
      </c>
      <c r="D24" s="9">
        <v>8.18</v>
      </c>
      <c r="E24" s="9">
        <v>8.33</v>
      </c>
      <c r="F24" s="9">
        <v>8.33</v>
      </c>
      <c r="G24" s="10">
        <v>8.33</v>
      </c>
      <c r="H24" s="9">
        <v>8.33</v>
      </c>
      <c r="I24" s="9">
        <v>8.33</v>
      </c>
      <c r="J24" s="9">
        <v>8.33</v>
      </c>
      <c r="K24" s="9">
        <v>8.18</v>
      </c>
      <c r="L24" s="9">
        <v>8.0299999999999994</v>
      </c>
      <c r="M24" s="9">
        <v>7.8800000000000008</v>
      </c>
      <c r="N24" s="9">
        <v>7.73</v>
      </c>
      <c r="O24" s="9">
        <v>7.58</v>
      </c>
      <c r="P24" s="9">
        <v>7.43</v>
      </c>
      <c r="Q24" s="9">
        <v>7.23</v>
      </c>
      <c r="R24" s="9">
        <v>7.0299999999999994</v>
      </c>
      <c r="S24" s="9">
        <v>6.73</v>
      </c>
      <c r="T24" s="9">
        <v>6.38</v>
      </c>
      <c r="U24" s="205">
        <v>5.98</v>
      </c>
      <c r="V24" s="9">
        <v>5.53</v>
      </c>
      <c r="W24" s="9">
        <v>5.03</v>
      </c>
      <c r="X24" s="11"/>
      <c r="Y24" s="12">
        <v>7.1</v>
      </c>
      <c r="Z24" s="12">
        <v>100</v>
      </c>
      <c r="AA24" s="12">
        <v>100</v>
      </c>
      <c r="AB24" s="12">
        <v>100</v>
      </c>
      <c r="AC24" s="12">
        <v>100</v>
      </c>
      <c r="AD24" s="12">
        <v>100</v>
      </c>
      <c r="AE24" s="12">
        <v>100</v>
      </c>
      <c r="AF24" s="12">
        <v>100</v>
      </c>
      <c r="AG24" s="12">
        <v>100</v>
      </c>
      <c r="AH24" s="12">
        <v>97</v>
      </c>
      <c r="AI24" s="12">
        <v>94</v>
      </c>
      <c r="AJ24" s="12">
        <v>100</v>
      </c>
      <c r="AK24" s="12">
        <v>100</v>
      </c>
      <c r="AL24" s="12">
        <v>100</v>
      </c>
      <c r="AM24" s="12">
        <v>98</v>
      </c>
      <c r="AN24" s="12">
        <v>95</v>
      </c>
      <c r="AO24" s="12">
        <v>91</v>
      </c>
      <c r="AP24" s="12">
        <v>87</v>
      </c>
      <c r="AQ24" s="12">
        <v>84</v>
      </c>
      <c r="AR24" s="12">
        <v>80</v>
      </c>
      <c r="AS24" s="12">
        <v>96.11</v>
      </c>
    </row>
    <row r="25" spans="1:45" ht="16.5" thickBot="1" x14ac:dyDescent="0.3">
      <c r="A25" s="8">
        <v>0.27</v>
      </c>
      <c r="B25" s="9">
        <v>7.3599999999999994</v>
      </c>
      <c r="C25" s="9">
        <v>7.8599999999999994</v>
      </c>
      <c r="D25" s="9">
        <v>8.26</v>
      </c>
      <c r="E25" s="9">
        <v>8.33</v>
      </c>
      <c r="F25" s="9">
        <v>8.33</v>
      </c>
      <c r="G25" s="10">
        <v>8.33</v>
      </c>
      <c r="H25" s="9">
        <v>8.33</v>
      </c>
      <c r="I25" s="9">
        <v>8.33</v>
      </c>
      <c r="J25" s="9">
        <v>8.33</v>
      </c>
      <c r="K25" s="9">
        <v>8.26</v>
      </c>
      <c r="L25" s="9">
        <v>8.11</v>
      </c>
      <c r="M25" s="9">
        <v>7.9600000000000009</v>
      </c>
      <c r="N25" s="9">
        <v>7.8100000000000005</v>
      </c>
      <c r="O25" s="9">
        <v>7.66</v>
      </c>
      <c r="P25" s="9">
        <v>7.51</v>
      </c>
      <c r="Q25" s="9">
        <v>7.3100000000000005</v>
      </c>
      <c r="R25" s="9">
        <v>7.1099999999999994</v>
      </c>
      <c r="S25" s="9">
        <v>6.81</v>
      </c>
      <c r="T25" s="9">
        <v>6.46</v>
      </c>
      <c r="U25" s="205">
        <v>6.06</v>
      </c>
      <c r="V25" s="9">
        <v>5.61</v>
      </c>
      <c r="W25" s="9">
        <v>5.1100000000000003</v>
      </c>
      <c r="X25" s="11"/>
      <c r="Y25" s="12">
        <v>7</v>
      </c>
      <c r="Z25" s="12">
        <v>100</v>
      </c>
      <c r="AA25" s="12">
        <v>100</v>
      </c>
      <c r="AB25" s="12">
        <v>100</v>
      </c>
      <c r="AC25" s="12">
        <v>100</v>
      </c>
      <c r="AD25" s="12">
        <v>100</v>
      </c>
      <c r="AE25" s="12">
        <v>100</v>
      </c>
      <c r="AF25" s="12">
        <v>100</v>
      </c>
      <c r="AG25" s="12">
        <v>100</v>
      </c>
      <c r="AH25" s="12">
        <v>96</v>
      </c>
      <c r="AI25" s="12">
        <v>93</v>
      </c>
      <c r="AJ25" s="12">
        <v>100</v>
      </c>
      <c r="AK25" s="12">
        <v>100</v>
      </c>
      <c r="AL25" s="12">
        <v>100</v>
      </c>
      <c r="AM25" s="12">
        <v>97</v>
      </c>
      <c r="AN25" s="12">
        <v>94</v>
      </c>
      <c r="AO25" s="12">
        <v>90</v>
      </c>
      <c r="AP25" s="12">
        <v>86</v>
      </c>
      <c r="AQ25" s="12">
        <v>82</v>
      </c>
      <c r="AR25" s="12">
        <v>79</v>
      </c>
      <c r="AS25" s="12">
        <v>95.79</v>
      </c>
    </row>
    <row r="26" spans="1:45" ht="16.5" thickBot="1" x14ac:dyDescent="0.3">
      <c r="A26" s="8">
        <v>0.28000000000000003</v>
      </c>
      <c r="B26" s="9">
        <v>7.43</v>
      </c>
      <c r="C26" s="9">
        <v>7.93</v>
      </c>
      <c r="D26" s="9">
        <v>8.33</v>
      </c>
      <c r="E26" s="9">
        <v>8.33</v>
      </c>
      <c r="F26" s="9">
        <v>8.33</v>
      </c>
      <c r="G26" s="10">
        <v>8.33</v>
      </c>
      <c r="H26" s="9">
        <v>8.33</v>
      </c>
      <c r="I26" s="9">
        <v>8.33</v>
      </c>
      <c r="J26" s="9">
        <v>8.33</v>
      </c>
      <c r="K26" s="9">
        <v>8.33</v>
      </c>
      <c r="L26" s="9">
        <v>8.18</v>
      </c>
      <c r="M26" s="9">
        <v>8.0299999999999994</v>
      </c>
      <c r="N26" s="9">
        <v>7.8800000000000008</v>
      </c>
      <c r="O26" s="9">
        <v>7.73</v>
      </c>
      <c r="P26" s="9">
        <v>7.58</v>
      </c>
      <c r="Q26" s="9">
        <v>7.3800000000000008</v>
      </c>
      <c r="R26" s="9">
        <v>7.18</v>
      </c>
      <c r="S26" s="9">
        <v>6.88</v>
      </c>
      <c r="T26" s="9">
        <v>6.53</v>
      </c>
      <c r="U26" s="205">
        <v>6.13</v>
      </c>
      <c r="V26" s="9">
        <v>5.68</v>
      </c>
      <c r="W26" s="9">
        <v>5.18</v>
      </c>
      <c r="X26" s="11"/>
      <c r="Y26" s="12">
        <v>6.9</v>
      </c>
      <c r="Z26" s="12">
        <v>100</v>
      </c>
      <c r="AA26" s="12">
        <v>100</v>
      </c>
      <c r="AB26" s="12">
        <v>100</v>
      </c>
      <c r="AC26" s="12">
        <v>100</v>
      </c>
      <c r="AD26" s="12">
        <v>100</v>
      </c>
      <c r="AE26" s="12">
        <v>100</v>
      </c>
      <c r="AF26" s="12">
        <v>100</v>
      </c>
      <c r="AG26" s="12">
        <v>100</v>
      </c>
      <c r="AH26" s="12">
        <v>96</v>
      </c>
      <c r="AI26" s="12">
        <v>92</v>
      </c>
      <c r="AJ26" s="12">
        <v>100</v>
      </c>
      <c r="AK26" s="12">
        <v>100</v>
      </c>
      <c r="AL26" s="12">
        <v>100</v>
      </c>
      <c r="AM26" s="12">
        <v>96</v>
      </c>
      <c r="AN26" s="12">
        <v>93</v>
      </c>
      <c r="AO26" s="12">
        <v>89</v>
      </c>
      <c r="AP26" s="12">
        <v>85</v>
      </c>
      <c r="AQ26" s="12">
        <v>82</v>
      </c>
      <c r="AR26" s="12">
        <v>78</v>
      </c>
      <c r="AS26" s="12">
        <v>95.32</v>
      </c>
    </row>
    <row r="27" spans="1:45" ht="16.5" thickBot="1" x14ac:dyDescent="0.3">
      <c r="A27" s="8">
        <v>0.28999999999999998</v>
      </c>
      <c r="B27" s="9">
        <v>7.5</v>
      </c>
      <c r="C27" s="9">
        <v>8</v>
      </c>
      <c r="D27" s="9">
        <v>8.33</v>
      </c>
      <c r="E27" s="9">
        <v>8.33</v>
      </c>
      <c r="F27" s="9">
        <v>8.33</v>
      </c>
      <c r="G27" s="10">
        <v>8.33</v>
      </c>
      <c r="H27" s="9">
        <v>8.33</v>
      </c>
      <c r="I27" s="9">
        <v>8.33</v>
      </c>
      <c r="J27" s="9">
        <v>8.33</v>
      </c>
      <c r="K27" s="9">
        <v>8.33</v>
      </c>
      <c r="L27" s="9">
        <v>8.25</v>
      </c>
      <c r="M27" s="9">
        <v>8.1</v>
      </c>
      <c r="N27" s="9">
        <v>7.9499999999999993</v>
      </c>
      <c r="O27" s="9">
        <v>7.8000000000000007</v>
      </c>
      <c r="P27" s="9">
        <v>7.65</v>
      </c>
      <c r="Q27" s="9">
        <v>7.4499999999999993</v>
      </c>
      <c r="R27" s="9">
        <v>7.25</v>
      </c>
      <c r="S27" s="9">
        <v>6.95</v>
      </c>
      <c r="T27" s="9">
        <v>6.6</v>
      </c>
      <c r="U27" s="205">
        <v>6.2</v>
      </c>
      <c r="V27" s="9">
        <v>5.75</v>
      </c>
      <c r="W27" s="9">
        <v>5.25</v>
      </c>
      <c r="X27" s="11"/>
      <c r="Y27" s="12">
        <v>6.8</v>
      </c>
      <c r="Z27" s="12">
        <v>100</v>
      </c>
      <c r="AA27" s="12">
        <v>100</v>
      </c>
      <c r="AB27" s="12">
        <v>100</v>
      </c>
      <c r="AC27" s="12">
        <v>100</v>
      </c>
      <c r="AD27" s="12">
        <v>100</v>
      </c>
      <c r="AE27" s="12">
        <v>100</v>
      </c>
      <c r="AF27" s="12">
        <v>100</v>
      </c>
      <c r="AG27" s="12">
        <v>99</v>
      </c>
      <c r="AH27" s="12">
        <v>95</v>
      </c>
      <c r="AI27" s="12">
        <v>91</v>
      </c>
      <c r="AJ27" s="12">
        <v>100</v>
      </c>
      <c r="AK27" s="12">
        <v>100</v>
      </c>
      <c r="AL27" s="12">
        <v>99</v>
      </c>
      <c r="AM27" s="12">
        <v>95</v>
      </c>
      <c r="AN27" s="12">
        <v>91</v>
      </c>
      <c r="AO27" s="12">
        <v>88</v>
      </c>
      <c r="AP27" s="12">
        <v>84</v>
      </c>
      <c r="AQ27" s="12">
        <v>80</v>
      </c>
      <c r="AR27" s="12">
        <v>77</v>
      </c>
      <c r="AS27" s="12">
        <v>94.68</v>
      </c>
    </row>
    <row r="28" spans="1:45" ht="16.5" thickBot="1" x14ac:dyDescent="0.3">
      <c r="A28" s="8">
        <v>0.3</v>
      </c>
      <c r="B28" s="9">
        <v>7.5600000000000005</v>
      </c>
      <c r="C28" s="9">
        <v>8.06</v>
      </c>
      <c r="D28" s="9">
        <v>8.33</v>
      </c>
      <c r="E28" s="9">
        <v>8.33</v>
      </c>
      <c r="F28" s="9">
        <v>8.33</v>
      </c>
      <c r="G28" s="10">
        <v>8.33</v>
      </c>
      <c r="H28" s="9">
        <v>8.33</v>
      </c>
      <c r="I28" s="9">
        <v>8.33</v>
      </c>
      <c r="J28" s="9">
        <v>8.33</v>
      </c>
      <c r="K28" s="9">
        <v>8.33</v>
      </c>
      <c r="L28" s="9">
        <v>8.31</v>
      </c>
      <c r="M28" s="9">
        <v>8.16</v>
      </c>
      <c r="N28" s="9">
        <v>8.01</v>
      </c>
      <c r="O28" s="9">
        <v>7.8599999999999994</v>
      </c>
      <c r="P28" s="9">
        <v>7.7100000000000009</v>
      </c>
      <c r="Q28" s="9">
        <v>7.51</v>
      </c>
      <c r="R28" s="9">
        <v>7.3100000000000005</v>
      </c>
      <c r="S28" s="9">
        <v>7.01</v>
      </c>
      <c r="T28" s="9">
        <v>6.66</v>
      </c>
      <c r="U28" s="205">
        <v>6.26</v>
      </c>
      <c r="V28" s="9">
        <v>5.81</v>
      </c>
      <c r="W28" s="9">
        <v>5.31</v>
      </c>
      <c r="X28" s="11"/>
      <c r="Y28" s="12">
        <v>6.7</v>
      </c>
      <c r="Z28" s="12">
        <v>100</v>
      </c>
      <c r="AA28" s="12">
        <v>100</v>
      </c>
      <c r="AB28" s="12">
        <v>100</v>
      </c>
      <c r="AC28" s="12">
        <v>100</v>
      </c>
      <c r="AD28" s="12">
        <v>100</v>
      </c>
      <c r="AE28" s="12">
        <v>100</v>
      </c>
      <c r="AF28" s="12">
        <v>100</v>
      </c>
      <c r="AG28" s="12">
        <v>99</v>
      </c>
      <c r="AH28" s="12">
        <v>95</v>
      </c>
      <c r="AI28" s="12">
        <v>91</v>
      </c>
      <c r="AJ28" s="12">
        <v>100</v>
      </c>
      <c r="AK28" s="12">
        <v>100</v>
      </c>
      <c r="AL28" s="12">
        <v>99</v>
      </c>
      <c r="AM28" s="12">
        <v>95</v>
      </c>
      <c r="AN28" s="12">
        <v>91</v>
      </c>
      <c r="AO28" s="12">
        <v>87</v>
      </c>
      <c r="AP28" s="12">
        <v>84</v>
      </c>
      <c r="AQ28" s="12">
        <v>80</v>
      </c>
      <c r="AR28" s="12">
        <v>76</v>
      </c>
      <c r="AS28" s="12">
        <v>94.58</v>
      </c>
    </row>
    <row r="29" spans="1:45" ht="16.5" thickBot="1" x14ac:dyDescent="0.3">
      <c r="A29" s="8">
        <v>0.31</v>
      </c>
      <c r="B29" s="9">
        <v>7.6199999999999992</v>
      </c>
      <c r="C29" s="9">
        <v>8.1199999999999992</v>
      </c>
      <c r="D29" s="9">
        <v>8.33</v>
      </c>
      <c r="E29" s="9">
        <v>8.33</v>
      </c>
      <c r="F29" s="9">
        <v>8.33</v>
      </c>
      <c r="G29" s="10">
        <v>8.33</v>
      </c>
      <c r="H29" s="9">
        <v>8.33</v>
      </c>
      <c r="I29" s="9">
        <v>8.33</v>
      </c>
      <c r="J29" s="9">
        <v>8.33</v>
      </c>
      <c r="K29" s="9">
        <v>8.33</v>
      </c>
      <c r="L29" s="9">
        <v>8.33</v>
      </c>
      <c r="M29" s="9">
        <v>8.2200000000000006</v>
      </c>
      <c r="N29" s="9">
        <v>8.07</v>
      </c>
      <c r="O29" s="9">
        <v>7.92</v>
      </c>
      <c r="P29" s="9">
        <v>7.77</v>
      </c>
      <c r="Q29" s="9">
        <v>7.57</v>
      </c>
      <c r="R29" s="9">
        <v>7.3699999999999992</v>
      </c>
      <c r="S29" s="9">
        <v>7.07</v>
      </c>
      <c r="T29" s="9">
        <v>6.72</v>
      </c>
      <c r="U29" s="205">
        <v>6.32</v>
      </c>
      <c r="V29" s="9">
        <v>5.87</v>
      </c>
      <c r="W29" s="9">
        <v>5.37</v>
      </c>
      <c r="X29" s="11"/>
      <c r="Y29" s="12">
        <v>6.6</v>
      </c>
      <c r="Z29" s="12">
        <v>100</v>
      </c>
      <c r="AA29" s="12">
        <v>100</v>
      </c>
      <c r="AB29" s="12">
        <v>100</v>
      </c>
      <c r="AC29" s="12">
        <v>100</v>
      </c>
      <c r="AD29" s="12">
        <v>100</v>
      </c>
      <c r="AE29" s="12">
        <v>100</v>
      </c>
      <c r="AF29" s="12">
        <v>100</v>
      </c>
      <c r="AG29" s="12">
        <v>98</v>
      </c>
      <c r="AH29" s="12">
        <v>94</v>
      </c>
      <c r="AI29" s="12">
        <v>90</v>
      </c>
      <c r="AJ29" s="12">
        <v>100</v>
      </c>
      <c r="AK29" s="12">
        <v>100</v>
      </c>
      <c r="AL29" s="12">
        <v>97</v>
      </c>
      <c r="AM29" s="12">
        <v>94</v>
      </c>
      <c r="AN29" s="12">
        <v>90</v>
      </c>
      <c r="AO29" s="12">
        <v>86</v>
      </c>
      <c r="AP29" s="12">
        <v>82</v>
      </c>
      <c r="AQ29" s="12">
        <v>78</v>
      </c>
      <c r="AR29" s="12">
        <v>75</v>
      </c>
      <c r="AS29" s="12">
        <v>93.89</v>
      </c>
    </row>
    <row r="30" spans="1:45" ht="16.5" thickBot="1" x14ac:dyDescent="0.3">
      <c r="A30" s="8">
        <v>0.32</v>
      </c>
      <c r="B30" s="9">
        <v>7.67</v>
      </c>
      <c r="C30" s="9">
        <v>8.17</v>
      </c>
      <c r="D30" s="9">
        <v>8.33</v>
      </c>
      <c r="E30" s="9">
        <v>8.33</v>
      </c>
      <c r="F30" s="9">
        <v>8.33</v>
      </c>
      <c r="G30" s="10">
        <v>8.33</v>
      </c>
      <c r="H30" s="9">
        <v>8.33</v>
      </c>
      <c r="I30" s="9">
        <v>8.33</v>
      </c>
      <c r="J30" s="9">
        <v>8.33</v>
      </c>
      <c r="K30" s="9">
        <v>8.33</v>
      </c>
      <c r="L30" s="9">
        <v>8.33</v>
      </c>
      <c r="M30" s="9">
        <v>8.27</v>
      </c>
      <c r="N30" s="9">
        <v>8.1199999999999992</v>
      </c>
      <c r="O30" s="9">
        <v>7.9700000000000006</v>
      </c>
      <c r="P30" s="9">
        <v>7.82</v>
      </c>
      <c r="Q30" s="9">
        <v>7.6199999999999992</v>
      </c>
      <c r="R30" s="9">
        <v>7.42</v>
      </c>
      <c r="S30" s="9">
        <v>7.1199999999999992</v>
      </c>
      <c r="T30" s="9">
        <v>6.77</v>
      </c>
      <c r="U30" s="205">
        <v>6.37</v>
      </c>
      <c r="V30" s="9">
        <v>5.92</v>
      </c>
      <c r="W30" s="9">
        <v>5.42</v>
      </c>
      <c r="X30" s="11"/>
      <c r="Y30" s="12">
        <v>6.5</v>
      </c>
      <c r="Z30" s="12">
        <v>100</v>
      </c>
      <c r="AA30" s="12">
        <v>100</v>
      </c>
      <c r="AB30" s="12">
        <v>100</v>
      </c>
      <c r="AC30" s="12">
        <v>100</v>
      </c>
      <c r="AD30" s="12">
        <v>100</v>
      </c>
      <c r="AE30" s="12">
        <v>100</v>
      </c>
      <c r="AF30" s="12">
        <v>100</v>
      </c>
      <c r="AG30" s="12">
        <v>97</v>
      </c>
      <c r="AH30" s="12">
        <v>93</v>
      </c>
      <c r="AI30" s="12">
        <v>90</v>
      </c>
      <c r="AJ30" s="12">
        <v>100</v>
      </c>
      <c r="AK30" s="12">
        <v>100</v>
      </c>
      <c r="AL30" s="12">
        <v>97</v>
      </c>
      <c r="AM30" s="12">
        <v>93</v>
      </c>
      <c r="AN30" s="12">
        <v>89</v>
      </c>
      <c r="AO30" s="12">
        <v>85</v>
      </c>
      <c r="AP30" s="12">
        <v>82</v>
      </c>
      <c r="AQ30" s="12">
        <v>78</v>
      </c>
      <c r="AR30" s="12">
        <v>74</v>
      </c>
      <c r="AS30" s="12">
        <v>93.58</v>
      </c>
    </row>
    <row r="31" spans="1:45" ht="16.5" thickBot="1" x14ac:dyDescent="0.3">
      <c r="A31" s="8">
        <v>0.33</v>
      </c>
      <c r="B31" s="9">
        <v>7.7200000000000006</v>
      </c>
      <c r="C31" s="9">
        <v>8.2200000000000006</v>
      </c>
      <c r="D31" s="9">
        <v>8.33</v>
      </c>
      <c r="E31" s="9">
        <v>8.33</v>
      </c>
      <c r="F31" s="9">
        <v>8.33</v>
      </c>
      <c r="G31" s="10">
        <v>8.33</v>
      </c>
      <c r="H31" s="9">
        <v>8.33</v>
      </c>
      <c r="I31" s="9">
        <v>8.33</v>
      </c>
      <c r="J31" s="9">
        <v>8.33</v>
      </c>
      <c r="K31" s="9">
        <v>8.33</v>
      </c>
      <c r="L31" s="9">
        <v>8.33</v>
      </c>
      <c r="M31" s="9">
        <v>8.32</v>
      </c>
      <c r="N31" s="9">
        <v>8.17</v>
      </c>
      <c r="O31" s="9">
        <v>8.02</v>
      </c>
      <c r="P31" s="9">
        <v>7.8699999999999992</v>
      </c>
      <c r="Q31" s="9">
        <v>7.67</v>
      </c>
      <c r="R31" s="9">
        <v>7.4700000000000006</v>
      </c>
      <c r="S31" s="9">
        <v>7.17</v>
      </c>
      <c r="T31" s="9">
        <v>6.82</v>
      </c>
      <c r="U31" s="9">
        <v>6.42</v>
      </c>
      <c r="V31" s="205">
        <v>5.97</v>
      </c>
      <c r="W31" s="9">
        <v>5.47</v>
      </c>
      <c r="X31" s="11"/>
      <c r="Y31" s="12">
        <v>6.4</v>
      </c>
      <c r="Z31" s="12">
        <v>100</v>
      </c>
      <c r="AA31" s="12">
        <v>100</v>
      </c>
      <c r="AB31" s="12">
        <v>100</v>
      </c>
      <c r="AC31" s="12">
        <v>100</v>
      </c>
      <c r="AD31" s="12">
        <v>100</v>
      </c>
      <c r="AE31" s="12">
        <v>100</v>
      </c>
      <c r="AF31" s="12">
        <v>100</v>
      </c>
      <c r="AG31" s="12">
        <v>97</v>
      </c>
      <c r="AH31" s="12">
        <v>93</v>
      </c>
      <c r="AI31" s="12">
        <v>89</v>
      </c>
      <c r="AJ31" s="12">
        <v>100</v>
      </c>
      <c r="AK31" s="12">
        <v>100</v>
      </c>
      <c r="AL31" s="12">
        <v>96</v>
      </c>
      <c r="AM31" s="12">
        <v>93</v>
      </c>
      <c r="AN31" s="12">
        <v>89</v>
      </c>
      <c r="AO31" s="12">
        <v>85</v>
      </c>
      <c r="AP31" s="12">
        <v>81</v>
      </c>
      <c r="AQ31" s="12">
        <v>77</v>
      </c>
      <c r="AR31" s="12">
        <v>73</v>
      </c>
      <c r="AS31" s="12">
        <v>93.32</v>
      </c>
    </row>
    <row r="32" spans="1:45" ht="16.5" thickBot="1" x14ac:dyDescent="0.3">
      <c r="A32" s="8">
        <v>0.34</v>
      </c>
      <c r="B32" s="9">
        <v>7.77</v>
      </c>
      <c r="C32" s="9">
        <v>8.27</v>
      </c>
      <c r="D32" s="9">
        <v>8.33</v>
      </c>
      <c r="E32" s="9">
        <v>8.33</v>
      </c>
      <c r="F32" s="9">
        <v>8.33</v>
      </c>
      <c r="G32" s="10">
        <v>8.33</v>
      </c>
      <c r="H32" s="9">
        <v>8.33</v>
      </c>
      <c r="I32" s="9">
        <v>8.33</v>
      </c>
      <c r="J32" s="9">
        <v>8.33</v>
      </c>
      <c r="K32" s="9">
        <v>8.33</v>
      </c>
      <c r="L32" s="9">
        <v>8.33</v>
      </c>
      <c r="M32" s="9">
        <v>8.33</v>
      </c>
      <c r="N32" s="9">
        <v>8.2200000000000006</v>
      </c>
      <c r="O32" s="9">
        <v>8.07</v>
      </c>
      <c r="P32" s="9">
        <v>7.92</v>
      </c>
      <c r="Q32" s="9">
        <v>7.7200000000000006</v>
      </c>
      <c r="R32" s="9">
        <v>7.52</v>
      </c>
      <c r="S32" s="9">
        <v>7.2200000000000006</v>
      </c>
      <c r="T32" s="9">
        <v>6.87</v>
      </c>
      <c r="U32" s="9">
        <v>6.47</v>
      </c>
      <c r="V32" s="205">
        <v>6.02</v>
      </c>
      <c r="W32" s="9">
        <v>5.52</v>
      </c>
      <c r="X32" s="11"/>
      <c r="Y32" s="12">
        <v>6.3</v>
      </c>
      <c r="Z32" s="12">
        <v>100</v>
      </c>
      <c r="AA32" s="12">
        <v>100</v>
      </c>
      <c r="AB32" s="12">
        <v>100</v>
      </c>
      <c r="AC32" s="12">
        <v>100</v>
      </c>
      <c r="AD32" s="12">
        <v>100</v>
      </c>
      <c r="AE32" s="12">
        <v>100</v>
      </c>
      <c r="AF32" s="12">
        <v>100</v>
      </c>
      <c r="AG32" s="12">
        <v>96</v>
      </c>
      <c r="AH32" s="12">
        <v>92</v>
      </c>
      <c r="AI32" s="12">
        <v>88</v>
      </c>
      <c r="AJ32" s="12">
        <v>100</v>
      </c>
      <c r="AK32" s="12">
        <v>99</v>
      </c>
      <c r="AL32" s="12">
        <v>95</v>
      </c>
      <c r="AM32" s="12">
        <v>91</v>
      </c>
      <c r="AN32" s="12">
        <v>88</v>
      </c>
      <c r="AO32" s="12">
        <v>84</v>
      </c>
      <c r="AP32" s="12">
        <v>80</v>
      </c>
      <c r="AQ32" s="12">
        <v>76</v>
      </c>
      <c r="AR32" s="12">
        <v>72</v>
      </c>
      <c r="AS32" s="12">
        <v>92.68</v>
      </c>
    </row>
    <row r="33" spans="1:45" ht="16.5" thickBot="1" x14ac:dyDescent="0.3">
      <c r="A33" s="8">
        <v>0.35</v>
      </c>
      <c r="B33" s="9">
        <v>7.8100000000000005</v>
      </c>
      <c r="C33" s="9">
        <v>8.31</v>
      </c>
      <c r="D33" s="9">
        <v>8.33</v>
      </c>
      <c r="E33" s="9">
        <v>8.33</v>
      </c>
      <c r="F33" s="9">
        <v>8.33</v>
      </c>
      <c r="G33" s="10">
        <v>8.33</v>
      </c>
      <c r="H33" s="9">
        <v>8.33</v>
      </c>
      <c r="I33" s="9">
        <v>8.33</v>
      </c>
      <c r="J33" s="9">
        <v>8.33</v>
      </c>
      <c r="K33" s="9">
        <v>8.33</v>
      </c>
      <c r="L33" s="9">
        <v>8.33</v>
      </c>
      <c r="M33" s="9">
        <v>8.33</v>
      </c>
      <c r="N33" s="9">
        <v>8.26</v>
      </c>
      <c r="O33" s="9">
        <v>8.11</v>
      </c>
      <c r="P33" s="9">
        <v>7.9600000000000009</v>
      </c>
      <c r="Q33" s="9">
        <v>7.76</v>
      </c>
      <c r="R33" s="9">
        <v>7.5600000000000005</v>
      </c>
      <c r="S33" s="9">
        <v>7.26</v>
      </c>
      <c r="T33" s="9">
        <v>6.91</v>
      </c>
      <c r="U33" s="9">
        <v>6.51</v>
      </c>
      <c r="V33" s="205">
        <v>6.06</v>
      </c>
      <c r="W33" s="9">
        <v>5.56</v>
      </c>
      <c r="X33" s="11"/>
      <c r="Y33" s="12">
        <v>6.2</v>
      </c>
      <c r="Z33" s="12">
        <v>100</v>
      </c>
      <c r="AA33" s="12">
        <v>100</v>
      </c>
      <c r="AB33" s="12">
        <v>100</v>
      </c>
      <c r="AC33" s="12">
        <v>100</v>
      </c>
      <c r="AD33" s="12">
        <v>100</v>
      </c>
      <c r="AE33" s="12">
        <v>100</v>
      </c>
      <c r="AF33" s="12">
        <v>99</v>
      </c>
      <c r="AG33" s="12">
        <v>95</v>
      </c>
      <c r="AH33" s="12">
        <v>91</v>
      </c>
      <c r="AI33" s="12">
        <v>87</v>
      </c>
      <c r="AJ33" s="12">
        <v>100</v>
      </c>
      <c r="AK33" s="12">
        <v>98</v>
      </c>
      <c r="AL33" s="12">
        <v>94</v>
      </c>
      <c r="AM33" s="12">
        <v>90</v>
      </c>
      <c r="AN33" s="12">
        <v>86</v>
      </c>
      <c r="AO33" s="12">
        <v>82</v>
      </c>
      <c r="AP33" s="12">
        <v>78</v>
      </c>
      <c r="AQ33" s="12">
        <v>75</v>
      </c>
      <c r="AR33" s="12">
        <v>71</v>
      </c>
      <c r="AS33" s="12">
        <v>91.89</v>
      </c>
    </row>
    <row r="34" spans="1:45" ht="16.5" thickBot="1" x14ac:dyDescent="0.3">
      <c r="A34" s="8">
        <v>0.36</v>
      </c>
      <c r="B34" s="9">
        <v>7.85</v>
      </c>
      <c r="C34" s="9">
        <v>8.33</v>
      </c>
      <c r="D34" s="9">
        <v>8.33</v>
      </c>
      <c r="E34" s="9">
        <v>8.33</v>
      </c>
      <c r="F34" s="9">
        <v>8.33</v>
      </c>
      <c r="G34" s="10">
        <v>8.33</v>
      </c>
      <c r="H34" s="9">
        <v>8.33</v>
      </c>
      <c r="I34" s="9">
        <v>8.33</v>
      </c>
      <c r="J34" s="9">
        <v>8.33</v>
      </c>
      <c r="K34" s="9">
        <v>8.33</v>
      </c>
      <c r="L34" s="9">
        <v>8.33</v>
      </c>
      <c r="M34" s="9">
        <v>8.33</v>
      </c>
      <c r="N34" s="9">
        <v>8.3000000000000007</v>
      </c>
      <c r="O34" s="9">
        <v>8.15</v>
      </c>
      <c r="P34" s="9">
        <v>8</v>
      </c>
      <c r="Q34" s="9">
        <v>7.8000000000000007</v>
      </c>
      <c r="R34" s="9">
        <v>7.6</v>
      </c>
      <c r="S34" s="9">
        <v>7.3000000000000007</v>
      </c>
      <c r="T34" s="9">
        <v>6.95</v>
      </c>
      <c r="U34" s="9">
        <v>6.55</v>
      </c>
      <c r="V34" s="205">
        <v>6.1</v>
      </c>
      <c r="W34" s="9">
        <v>5.6</v>
      </c>
      <c r="X34" s="11"/>
      <c r="Y34" s="12">
        <v>6.1</v>
      </c>
      <c r="Z34" s="12">
        <v>100</v>
      </c>
      <c r="AA34" s="12">
        <v>100</v>
      </c>
      <c r="AB34" s="12">
        <v>100</v>
      </c>
      <c r="AC34" s="12">
        <v>100</v>
      </c>
      <c r="AD34" s="12">
        <v>100</v>
      </c>
      <c r="AE34" s="12">
        <v>100</v>
      </c>
      <c r="AF34" s="12">
        <v>99</v>
      </c>
      <c r="AG34" s="12">
        <v>95</v>
      </c>
      <c r="AH34" s="12">
        <v>91</v>
      </c>
      <c r="AI34" s="12">
        <v>86</v>
      </c>
      <c r="AJ34" s="12">
        <v>100</v>
      </c>
      <c r="AK34" s="12">
        <v>98</v>
      </c>
      <c r="AL34" s="12">
        <v>93</v>
      </c>
      <c r="AM34" s="12">
        <v>89</v>
      </c>
      <c r="AN34" s="12">
        <v>86</v>
      </c>
      <c r="AO34" s="12">
        <v>81</v>
      </c>
      <c r="AP34" s="12">
        <v>78</v>
      </c>
      <c r="AQ34" s="12">
        <v>74</v>
      </c>
      <c r="AR34" s="12">
        <v>70</v>
      </c>
      <c r="AS34" s="12">
        <v>91.58</v>
      </c>
    </row>
    <row r="35" spans="1:45" ht="16.5" thickBot="1" x14ac:dyDescent="0.3">
      <c r="A35" s="8">
        <v>0.37</v>
      </c>
      <c r="B35" s="9">
        <v>7.8800000000000008</v>
      </c>
      <c r="C35" s="9">
        <v>8.33</v>
      </c>
      <c r="D35" s="9">
        <v>8.33</v>
      </c>
      <c r="E35" s="9">
        <v>8.33</v>
      </c>
      <c r="F35" s="9">
        <v>8.33</v>
      </c>
      <c r="G35" s="10">
        <v>8.33</v>
      </c>
      <c r="H35" s="9">
        <v>8.33</v>
      </c>
      <c r="I35" s="9">
        <v>8.33</v>
      </c>
      <c r="J35" s="9">
        <v>8.33</v>
      </c>
      <c r="K35" s="9">
        <v>8.33</v>
      </c>
      <c r="L35" s="9">
        <v>8.33</v>
      </c>
      <c r="M35" s="9">
        <v>8.33</v>
      </c>
      <c r="N35" s="9">
        <v>8.33</v>
      </c>
      <c r="O35" s="9">
        <v>8.18</v>
      </c>
      <c r="P35" s="9">
        <v>8.0299999999999994</v>
      </c>
      <c r="Q35" s="9">
        <v>7.83</v>
      </c>
      <c r="R35" s="9">
        <v>7.6300000000000008</v>
      </c>
      <c r="S35" s="9">
        <v>7.33</v>
      </c>
      <c r="T35" s="9">
        <v>6.98</v>
      </c>
      <c r="U35" s="9">
        <v>6.58</v>
      </c>
      <c r="V35" s="205">
        <v>6.13</v>
      </c>
      <c r="W35" s="9">
        <v>5.63</v>
      </c>
      <c r="X35" s="11"/>
      <c r="Y35" s="12">
        <v>6</v>
      </c>
      <c r="Z35" s="12">
        <v>100</v>
      </c>
      <c r="AA35" s="12">
        <v>100</v>
      </c>
      <c r="AB35" s="12">
        <v>100</v>
      </c>
      <c r="AC35" s="12">
        <v>100</v>
      </c>
      <c r="AD35" s="12">
        <v>100</v>
      </c>
      <c r="AE35" s="12">
        <v>100</v>
      </c>
      <c r="AF35" s="12">
        <v>98</v>
      </c>
      <c r="AG35" s="12">
        <v>94</v>
      </c>
      <c r="AH35" s="12">
        <v>90</v>
      </c>
      <c r="AI35" s="12">
        <v>86</v>
      </c>
      <c r="AJ35" s="12">
        <v>100</v>
      </c>
      <c r="AK35" s="12">
        <v>97</v>
      </c>
      <c r="AL35" s="12">
        <v>93</v>
      </c>
      <c r="AM35" s="12">
        <v>89</v>
      </c>
      <c r="AN35" s="12">
        <v>85</v>
      </c>
      <c r="AO35" s="12">
        <v>81</v>
      </c>
      <c r="AP35" s="12">
        <v>77</v>
      </c>
      <c r="AQ35" s="12">
        <v>73</v>
      </c>
      <c r="AR35" s="12">
        <v>69</v>
      </c>
      <c r="AS35" s="12">
        <v>91.16</v>
      </c>
    </row>
    <row r="36" spans="1:45" ht="16.5" thickBot="1" x14ac:dyDescent="0.3">
      <c r="A36" s="8">
        <v>0.38</v>
      </c>
      <c r="B36" s="9">
        <v>7.92</v>
      </c>
      <c r="C36" s="9">
        <v>8.33</v>
      </c>
      <c r="D36" s="9">
        <v>8.33</v>
      </c>
      <c r="E36" s="9">
        <v>8.33</v>
      </c>
      <c r="F36" s="9">
        <v>8.33</v>
      </c>
      <c r="G36" s="10">
        <v>8.33</v>
      </c>
      <c r="H36" s="9">
        <v>8.33</v>
      </c>
      <c r="I36" s="9">
        <v>8.33</v>
      </c>
      <c r="J36" s="9">
        <v>8.33</v>
      </c>
      <c r="K36" s="9">
        <v>8.33</v>
      </c>
      <c r="L36" s="9">
        <v>8.33</v>
      </c>
      <c r="M36" s="9">
        <v>8.33</v>
      </c>
      <c r="N36" s="9">
        <v>8.33</v>
      </c>
      <c r="O36" s="9">
        <v>8.2200000000000006</v>
      </c>
      <c r="P36" s="9">
        <v>8.07</v>
      </c>
      <c r="Q36" s="9">
        <v>7.8699999999999992</v>
      </c>
      <c r="R36" s="9">
        <v>7.67</v>
      </c>
      <c r="S36" s="9">
        <v>7.3699999999999992</v>
      </c>
      <c r="T36" s="9">
        <v>7.02</v>
      </c>
      <c r="U36" s="9">
        <v>6.62</v>
      </c>
      <c r="V36" s="205">
        <v>6.17</v>
      </c>
      <c r="W36" s="9">
        <v>5.67</v>
      </c>
      <c r="X36" s="11"/>
      <c r="Y36" s="12">
        <v>5.9</v>
      </c>
      <c r="Z36" s="12">
        <v>100</v>
      </c>
      <c r="AA36" s="12">
        <v>100</v>
      </c>
      <c r="AB36" s="12">
        <v>100</v>
      </c>
      <c r="AC36" s="12">
        <v>100</v>
      </c>
      <c r="AD36" s="12">
        <v>100</v>
      </c>
      <c r="AE36" s="12">
        <v>100</v>
      </c>
      <c r="AF36" s="12">
        <v>98</v>
      </c>
      <c r="AG36" s="12">
        <v>94</v>
      </c>
      <c r="AH36" s="12">
        <v>90</v>
      </c>
      <c r="AI36" s="12">
        <v>86</v>
      </c>
      <c r="AJ36" s="12">
        <v>100</v>
      </c>
      <c r="AK36" s="12">
        <v>96</v>
      </c>
      <c r="AL36" s="12">
        <v>92</v>
      </c>
      <c r="AM36" s="12">
        <v>88</v>
      </c>
      <c r="AN36" s="12">
        <v>84</v>
      </c>
      <c r="AO36" s="12">
        <v>80</v>
      </c>
      <c r="AP36" s="12">
        <v>76</v>
      </c>
      <c r="AQ36" s="12">
        <v>72</v>
      </c>
      <c r="AR36" s="12">
        <v>68</v>
      </c>
      <c r="AS36" s="12">
        <v>90.74</v>
      </c>
    </row>
    <row r="37" spans="1:45" ht="16.5" thickBot="1" x14ac:dyDescent="0.3">
      <c r="A37" s="8">
        <v>0.39</v>
      </c>
      <c r="B37" s="9">
        <v>7.9499999999999993</v>
      </c>
      <c r="C37" s="9">
        <v>8.33</v>
      </c>
      <c r="D37" s="9">
        <v>8.33</v>
      </c>
      <c r="E37" s="9">
        <v>8.33</v>
      </c>
      <c r="F37" s="9">
        <v>8.33</v>
      </c>
      <c r="G37" s="10">
        <v>8.33</v>
      </c>
      <c r="H37" s="9">
        <v>8.33</v>
      </c>
      <c r="I37" s="9">
        <v>8.33</v>
      </c>
      <c r="J37" s="9">
        <v>8.33</v>
      </c>
      <c r="K37" s="9">
        <v>8.33</v>
      </c>
      <c r="L37" s="9">
        <v>8.33</v>
      </c>
      <c r="M37" s="9">
        <v>8.33</v>
      </c>
      <c r="N37" s="9">
        <v>8.33</v>
      </c>
      <c r="O37" s="9">
        <v>8.25</v>
      </c>
      <c r="P37" s="9">
        <v>8.1</v>
      </c>
      <c r="Q37" s="9">
        <v>7.9</v>
      </c>
      <c r="R37" s="9">
        <v>7.6999999999999993</v>
      </c>
      <c r="S37" s="9">
        <v>7.4</v>
      </c>
      <c r="T37" s="9">
        <v>7.0500000000000007</v>
      </c>
      <c r="U37" s="9">
        <v>6.65</v>
      </c>
      <c r="V37" s="205">
        <v>6.2</v>
      </c>
      <c r="W37" s="9">
        <v>5.7</v>
      </c>
      <c r="X37" s="11"/>
      <c r="Y37" s="12">
        <v>5.8</v>
      </c>
      <c r="Z37" s="12">
        <v>100</v>
      </c>
      <c r="AA37" s="12">
        <v>100</v>
      </c>
      <c r="AB37" s="12">
        <v>100</v>
      </c>
      <c r="AC37" s="12">
        <v>100</v>
      </c>
      <c r="AD37" s="12">
        <v>100</v>
      </c>
      <c r="AE37" s="12">
        <v>100</v>
      </c>
      <c r="AF37" s="12">
        <v>97</v>
      </c>
      <c r="AG37" s="12">
        <v>93</v>
      </c>
      <c r="AH37" s="12">
        <v>89</v>
      </c>
      <c r="AI37" s="12">
        <v>85</v>
      </c>
      <c r="AJ37" s="12">
        <v>100</v>
      </c>
      <c r="AK37" s="12">
        <v>96</v>
      </c>
      <c r="AL37" s="12">
        <v>91</v>
      </c>
      <c r="AM37" s="12">
        <v>88</v>
      </c>
      <c r="AN37" s="12">
        <v>84</v>
      </c>
      <c r="AO37" s="12">
        <v>79</v>
      </c>
      <c r="AP37" s="12">
        <v>76</v>
      </c>
      <c r="AQ37" s="12">
        <v>71</v>
      </c>
      <c r="AR37" s="12">
        <v>67</v>
      </c>
      <c r="AS37" s="12">
        <v>90.32</v>
      </c>
    </row>
    <row r="38" spans="1:45" ht="16.5" thickBot="1" x14ac:dyDescent="0.3">
      <c r="A38" s="8">
        <v>0.4</v>
      </c>
      <c r="B38" s="9">
        <v>7.98</v>
      </c>
      <c r="C38" s="9">
        <v>8.33</v>
      </c>
      <c r="D38" s="9">
        <v>8.33</v>
      </c>
      <c r="E38" s="9">
        <v>8.33</v>
      </c>
      <c r="F38" s="9">
        <v>8.33</v>
      </c>
      <c r="G38" s="10">
        <v>8.33</v>
      </c>
      <c r="H38" s="9">
        <v>8.33</v>
      </c>
      <c r="I38" s="9">
        <v>8.33</v>
      </c>
      <c r="J38" s="9">
        <v>8.33</v>
      </c>
      <c r="K38" s="9">
        <v>8.33</v>
      </c>
      <c r="L38" s="9">
        <v>8.33</v>
      </c>
      <c r="M38" s="9">
        <v>8.33</v>
      </c>
      <c r="N38" s="9">
        <v>8.33</v>
      </c>
      <c r="O38" s="9">
        <v>8.2799999999999994</v>
      </c>
      <c r="P38" s="9">
        <v>8.1300000000000008</v>
      </c>
      <c r="Q38" s="9">
        <v>7.93</v>
      </c>
      <c r="R38" s="9">
        <v>7.73</v>
      </c>
      <c r="S38" s="9">
        <v>7.43</v>
      </c>
      <c r="T38" s="9">
        <v>7.08</v>
      </c>
      <c r="U38" s="9">
        <v>6.68</v>
      </c>
      <c r="V38" s="205">
        <v>6.23</v>
      </c>
      <c r="W38" s="9">
        <v>5.73</v>
      </c>
      <c r="X38" s="11"/>
      <c r="Y38" s="12">
        <v>5.7</v>
      </c>
      <c r="Z38" s="12">
        <v>100</v>
      </c>
      <c r="AA38" s="12">
        <v>100</v>
      </c>
      <c r="AB38" s="12">
        <v>100</v>
      </c>
      <c r="AC38" s="12">
        <v>100</v>
      </c>
      <c r="AD38" s="12">
        <v>100</v>
      </c>
      <c r="AE38" s="12">
        <v>100</v>
      </c>
      <c r="AF38" s="12">
        <v>97</v>
      </c>
      <c r="AG38" s="12">
        <v>93</v>
      </c>
      <c r="AH38" s="12">
        <v>88</v>
      </c>
      <c r="AI38" s="12">
        <v>85</v>
      </c>
      <c r="AJ38" s="12">
        <v>99</v>
      </c>
      <c r="AK38" s="12">
        <v>95</v>
      </c>
      <c r="AL38" s="12">
        <v>90</v>
      </c>
      <c r="AM38" s="12">
        <v>87</v>
      </c>
      <c r="AN38" s="12">
        <v>83</v>
      </c>
      <c r="AO38" s="12">
        <v>78</v>
      </c>
      <c r="AP38" s="12">
        <v>75</v>
      </c>
      <c r="AQ38" s="12">
        <v>70</v>
      </c>
      <c r="AR38" s="12">
        <v>66</v>
      </c>
      <c r="AS38" s="12">
        <v>89.79</v>
      </c>
    </row>
    <row r="39" spans="1:45" ht="16.5" thickBot="1" x14ac:dyDescent="0.3">
      <c r="A39" s="20">
        <v>0.41</v>
      </c>
      <c r="B39" s="9">
        <v>8.01</v>
      </c>
      <c r="C39" s="9">
        <v>8.33</v>
      </c>
      <c r="D39" s="9">
        <v>8.33</v>
      </c>
      <c r="E39" s="9">
        <v>8.33</v>
      </c>
      <c r="F39" s="9">
        <v>8.33</v>
      </c>
      <c r="G39" s="10">
        <v>8.33</v>
      </c>
      <c r="H39" s="9">
        <v>8.33</v>
      </c>
      <c r="I39" s="9">
        <v>8.33</v>
      </c>
      <c r="J39" s="9">
        <v>8.33</v>
      </c>
      <c r="K39" s="9">
        <v>8.33</v>
      </c>
      <c r="L39" s="9">
        <v>8.33</v>
      </c>
      <c r="M39" s="9">
        <v>8.33</v>
      </c>
      <c r="N39" s="9">
        <v>8.33</v>
      </c>
      <c r="O39" s="9">
        <v>8.31</v>
      </c>
      <c r="P39" s="9">
        <v>8.16</v>
      </c>
      <c r="Q39" s="9">
        <v>7.9600000000000009</v>
      </c>
      <c r="R39" s="9">
        <v>7.76</v>
      </c>
      <c r="S39" s="9">
        <v>7.4600000000000009</v>
      </c>
      <c r="T39" s="9">
        <v>7.1099999999999994</v>
      </c>
      <c r="U39" s="9">
        <v>6.71</v>
      </c>
      <c r="V39" s="9">
        <v>6.26</v>
      </c>
      <c r="W39" s="9">
        <v>5.76</v>
      </c>
      <c r="X39" s="11"/>
      <c r="Y39" s="12">
        <v>5.6</v>
      </c>
      <c r="Z39" s="12">
        <v>100</v>
      </c>
      <c r="AA39" s="12">
        <v>100</v>
      </c>
      <c r="AB39" s="12">
        <v>100</v>
      </c>
      <c r="AC39" s="12">
        <v>100</v>
      </c>
      <c r="AD39" s="12">
        <v>100</v>
      </c>
      <c r="AE39" s="12">
        <v>100</v>
      </c>
      <c r="AF39" s="12">
        <v>97</v>
      </c>
      <c r="AG39" s="12">
        <v>93</v>
      </c>
      <c r="AH39" s="12">
        <v>88</v>
      </c>
      <c r="AI39" s="12">
        <v>84</v>
      </c>
      <c r="AJ39" s="12">
        <v>99</v>
      </c>
      <c r="AK39" s="12">
        <v>95</v>
      </c>
      <c r="AL39" s="12">
        <v>90</v>
      </c>
      <c r="AM39" s="12">
        <v>86</v>
      </c>
      <c r="AN39" s="12">
        <v>82</v>
      </c>
      <c r="AO39" s="12">
        <v>78</v>
      </c>
      <c r="AP39" s="12">
        <v>74</v>
      </c>
      <c r="AQ39" s="12">
        <v>69</v>
      </c>
      <c r="AR39" s="12">
        <v>65</v>
      </c>
      <c r="AS39" s="12">
        <v>89.47</v>
      </c>
    </row>
    <row r="40" spans="1:45" ht="16.5" thickBot="1" x14ac:dyDescent="0.3">
      <c r="A40" s="20">
        <v>0.42</v>
      </c>
      <c r="B40" s="9">
        <v>8.0299999999999994</v>
      </c>
      <c r="C40" s="9">
        <v>8.33</v>
      </c>
      <c r="D40" s="9">
        <v>8.33</v>
      </c>
      <c r="E40" s="9">
        <v>8.33</v>
      </c>
      <c r="F40" s="9">
        <v>8.33</v>
      </c>
      <c r="G40" s="10">
        <v>8.33</v>
      </c>
      <c r="H40" s="9">
        <v>8.33</v>
      </c>
      <c r="I40" s="9">
        <v>8.33</v>
      </c>
      <c r="J40" s="9">
        <v>8.33</v>
      </c>
      <c r="K40" s="9">
        <v>8.33</v>
      </c>
      <c r="L40" s="9">
        <v>8.33</v>
      </c>
      <c r="M40" s="9">
        <v>8.33</v>
      </c>
      <c r="N40" s="9">
        <v>8.33</v>
      </c>
      <c r="O40" s="9">
        <v>8.33</v>
      </c>
      <c r="P40" s="9">
        <v>8.18</v>
      </c>
      <c r="Q40" s="9">
        <v>7.98</v>
      </c>
      <c r="R40" s="9">
        <v>7.7799999999999994</v>
      </c>
      <c r="S40" s="9">
        <v>7.48</v>
      </c>
      <c r="T40" s="9">
        <v>7.1300000000000008</v>
      </c>
      <c r="U40" s="9">
        <v>6.73</v>
      </c>
      <c r="V40" s="9">
        <v>6.28</v>
      </c>
      <c r="W40" s="9">
        <v>5.78</v>
      </c>
      <c r="X40" s="11"/>
      <c r="Y40" s="12">
        <v>5.5</v>
      </c>
      <c r="Z40" s="12">
        <v>100</v>
      </c>
      <c r="AA40" s="12">
        <v>100</v>
      </c>
      <c r="AB40" s="12">
        <v>100</v>
      </c>
      <c r="AC40" s="12">
        <v>100</v>
      </c>
      <c r="AD40" s="12">
        <v>100</v>
      </c>
      <c r="AE40" s="12">
        <v>100</v>
      </c>
      <c r="AF40" s="12">
        <v>96</v>
      </c>
      <c r="AG40" s="12">
        <v>92</v>
      </c>
      <c r="AH40" s="12">
        <v>87</v>
      </c>
      <c r="AI40" s="12">
        <v>83</v>
      </c>
      <c r="AJ40" s="12">
        <v>98</v>
      </c>
      <c r="AK40" s="12">
        <v>94</v>
      </c>
      <c r="AL40" s="12">
        <v>89</v>
      </c>
      <c r="AM40" s="12">
        <v>85</v>
      </c>
      <c r="AN40" s="12">
        <v>81</v>
      </c>
      <c r="AO40" s="12">
        <v>77</v>
      </c>
      <c r="AP40" s="12">
        <v>73</v>
      </c>
      <c r="AQ40" s="12">
        <v>68</v>
      </c>
      <c r="AR40" s="12">
        <v>64</v>
      </c>
      <c r="AS40" s="12">
        <v>88.79</v>
      </c>
    </row>
    <row r="41" spans="1:45" ht="16.5" thickBot="1" x14ac:dyDescent="0.3">
      <c r="A41" s="20">
        <v>0.43</v>
      </c>
      <c r="B41" s="9">
        <v>8.0500000000000007</v>
      </c>
      <c r="C41" s="9">
        <v>8.33</v>
      </c>
      <c r="D41" s="9">
        <v>8.33</v>
      </c>
      <c r="E41" s="9">
        <v>8.33</v>
      </c>
      <c r="F41" s="9">
        <v>8.33</v>
      </c>
      <c r="G41" s="10">
        <v>8.33</v>
      </c>
      <c r="H41" s="9">
        <v>8.33</v>
      </c>
      <c r="I41" s="9">
        <v>8.33</v>
      </c>
      <c r="J41" s="9">
        <v>8.33</v>
      </c>
      <c r="K41" s="9">
        <v>8.33</v>
      </c>
      <c r="L41" s="9">
        <v>8.33</v>
      </c>
      <c r="M41" s="9">
        <v>8.33</v>
      </c>
      <c r="N41" s="9">
        <v>8.33</v>
      </c>
      <c r="O41" s="9">
        <v>8.33</v>
      </c>
      <c r="P41" s="9">
        <v>8.1999999999999993</v>
      </c>
      <c r="Q41" s="9">
        <v>8</v>
      </c>
      <c r="R41" s="9">
        <v>7.8000000000000007</v>
      </c>
      <c r="S41" s="9">
        <v>7.5</v>
      </c>
      <c r="T41" s="9">
        <v>7.15</v>
      </c>
      <c r="U41" s="9">
        <v>6.75</v>
      </c>
      <c r="V41" s="9">
        <v>6.3</v>
      </c>
      <c r="W41" s="9">
        <v>5.8</v>
      </c>
      <c r="X41" s="11"/>
      <c r="Y41" s="12">
        <v>5.4</v>
      </c>
      <c r="Z41" s="12">
        <v>100</v>
      </c>
      <c r="AA41" s="12">
        <v>100</v>
      </c>
      <c r="AB41" s="12">
        <v>100</v>
      </c>
      <c r="AC41" s="12">
        <v>100</v>
      </c>
      <c r="AD41" s="12">
        <v>100</v>
      </c>
      <c r="AE41" s="12">
        <v>99</v>
      </c>
      <c r="AF41" s="12">
        <v>95</v>
      </c>
      <c r="AG41" s="12">
        <v>91</v>
      </c>
      <c r="AH41" s="12">
        <v>87</v>
      </c>
      <c r="AI41" s="12">
        <v>82</v>
      </c>
      <c r="AJ41" s="12">
        <v>97</v>
      </c>
      <c r="AK41" s="12">
        <v>93</v>
      </c>
      <c r="AL41" s="12">
        <v>88</v>
      </c>
      <c r="AM41" s="12">
        <v>84</v>
      </c>
      <c r="AN41" s="12">
        <v>80</v>
      </c>
      <c r="AO41" s="12">
        <v>76</v>
      </c>
      <c r="AP41" s="12">
        <v>72</v>
      </c>
      <c r="AQ41" s="12">
        <v>67</v>
      </c>
      <c r="AR41" s="12">
        <v>63</v>
      </c>
      <c r="AS41" s="12">
        <v>88.11</v>
      </c>
    </row>
    <row r="42" spans="1:45" ht="16.5" thickBot="1" x14ac:dyDescent="0.3">
      <c r="A42" s="20">
        <v>0.44</v>
      </c>
      <c r="B42" s="9">
        <v>8.08</v>
      </c>
      <c r="C42" s="9">
        <v>8.33</v>
      </c>
      <c r="D42" s="9">
        <v>8.33</v>
      </c>
      <c r="E42" s="9">
        <v>8.33</v>
      </c>
      <c r="F42" s="9">
        <v>8.33</v>
      </c>
      <c r="G42" s="10">
        <v>8.33</v>
      </c>
      <c r="H42" s="9">
        <v>8.33</v>
      </c>
      <c r="I42" s="9">
        <v>8.33</v>
      </c>
      <c r="J42" s="9">
        <v>8.33</v>
      </c>
      <c r="K42" s="9">
        <v>8.33</v>
      </c>
      <c r="L42" s="9">
        <v>8.33</v>
      </c>
      <c r="M42" s="9">
        <v>8.33</v>
      </c>
      <c r="N42" s="9">
        <v>8.33</v>
      </c>
      <c r="O42" s="9">
        <v>8.33</v>
      </c>
      <c r="P42" s="9">
        <v>8.23</v>
      </c>
      <c r="Q42" s="9">
        <v>8.0299999999999994</v>
      </c>
      <c r="R42" s="9">
        <v>7.83</v>
      </c>
      <c r="S42" s="9">
        <v>7.5299999999999994</v>
      </c>
      <c r="T42" s="9">
        <v>7.18</v>
      </c>
      <c r="U42" s="9">
        <v>6.78</v>
      </c>
      <c r="V42" s="9">
        <v>6.33</v>
      </c>
      <c r="W42" s="9">
        <v>5.83</v>
      </c>
      <c r="X42" s="11"/>
      <c r="Y42" s="12">
        <v>5.3</v>
      </c>
      <c r="Z42" s="12">
        <v>100</v>
      </c>
      <c r="AA42" s="12">
        <v>100</v>
      </c>
      <c r="AB42" s="12">
        <v>100</v>
      </c>
      <c r="AC42" s="12">
        <v>100</v>
      </c>
      <c r="AD42" s="12">
        <v>100</v>
      </c>
      <c r="AE42" s="12">
        <v>99</v>
      </c>
      <c r="AF42" s="12">
        <v>95</v>
      </c>
      <c r="AG42" s="12">
        <v>91</v>
      </c>
      <c r="AH42" s="12">
        <v>86</v>
      </c>
      <c r="AI42" s="12">
        <v>82</v>
      </c>
      <c r="AJ42" s="12">
        <v>97</v>
      </c>
      <c r="AK42" s="12">
        <v>92</v>
      </c>
      <c r="AL42" s="12">
        <v>88</v>
      </c>
      <c r="AM42" s="12">
        <v>84</v>
      </c>
      <c r="AN42" s="12">
        <v>80</v>
      </c>
      <c r="AO42" s="12">
        <v>75</v>
      </c>
      <c r="AP42" s="12">
        <v>71</v>
      </c>
      <c r="AQ42" s="12">
        <v>67</v>
      </c>
      <c r="AR42" s="12">
        <v>62</v>
      </c>
      <c r="AS42" s="12">
        <v>87.84</v>
      </c>
    </row>
    <row r="43" spans="1:45" ht="16.5" thickBot="1" x14ac:dyDescent="0.3">
      <c r="A43" s="20">
        <v>0.45</v>
      </c>
      <c r="B43" s="9">
        <v>8.1</v>
      </c>
      <c r="C43" s="9">
        <v>8.33</v>
      </c>
      <c r="D43" s="9">
        <v>8.33</v>
      </c>
      <c r="E43" s="9">
        <v>8.33</v>
      </c>
      <c r="F43" s="9">
        <v>8.33</v>
      </c>
      <c r="G43" s="10">
        <v>8.33</v>
      </c>
      <c r="H43" s="9">
        <v>8.33</v>
      </c>
      <c r="I43" s="9">
        <v>8.33</v>
      </c>
      <c r="J43" s="9">
        <v>8.33</v>
      </c>
      <c r="K43" s="9">
        <v>8.33</v>
      </c>
      <c r="L43" s="9">
        <v>8.33</v>
      </c>
      <c r="M43" s="9">
        <v>8.33</v>
      </c>
      <c r="N43" s="9">
        <v>8.33</v>
      </c>
      <c r="O43" s="9">
        <v>8.33</v>
      </c>
      <c r="P43" s="9">
        <v>8.25</v>
      </c>
      <c r="Q43" s="9">
        <v>8.0500000000000007</v>
      </c>
      <c r="R43" s="9">
        <v>7.85</v>
      </c>
      <c r="S43" s="9">
        <v>7.5500000000000007</v>
      </c>
      <c r="T43" s="9">
        <v>7.1999999999999993</v>
      </c>
      <c r="U43" s="9">
        <v>6.8</v>
      </c>
      <c r="V43" s="9">
        <v>6.35</v>
      </c>
      <c r="W43" s="9">
        <v>5.85</v>
      </c>
      <c r="X43" s="11"/>
      <c r="Y43" s="12">
        <v>5.2</v>
      </c>
      <c r="Z43" s="12">
        <v>100</v>
      </c>
      <c r="AA43" s="12">
        <v>100</v>
      </c>
      <c r="AB43" s="12">
        <v>100</v>
      </c>
      <c r="AC43" s="12">
        <v>100</v>
      </c>
      <c r="AD43" s="12">
        <v>100</v>
      </c>
      <c r="AE43" s="12">
        <v>99</v>
      </c>
      <c r="AF43" s="12">
        <v>94</v>
      </c>
      <c r="AG43" s="12">
        <v>90</v>
      </c>
      <c r="AH43" s="12">
        <v>86</v>
      </c>
      <c r="AI43" s="12">
        <v>81</v>
      </c>
      <c r="AJ43" s="12">
        <v>96</v>
      </c>
      <c r="AK43" s="12">
        <v>91</v>
      </c>
      <c r="AL43" s="12">
        <v>87</v>
      </c>
      <c r="AM43" s="12">
        <v>83</v>
      </c>
      <c r="AN43" s="12">
        <v>78</v>
      </c>
      <c r="AO43" s="12">
        <v>74</v>
      </c>
      <c r="AP43" s="12">
        <v>70</v>
      </c>
      <c r="AQ43" s="12">
        <v>66</v>
      </c>
      <c r="AR43" s="12">
        <v>61</v>
      </c>
      <c r="AS43" s="12">
        <v>87.16</v>
      </c>
    </row>
    <row r="44" spans="1:45" ht="16.5" thickBot="1" x14ac:dyDescent="0.3">
      <c r="A44" s="20">
        <v>0.46</v>
      </c>
      <c r="B44" s="9">
        <v>8.11</v>
      </c>
      <c r="C44" s="9">
        <v>8.33</v>
      </c>
      <c r="D44" s="9">
        <v>8.33</v>
      </c>
      <c r="E44" s="9">
        <v>8.33</v>
      </c>
      <c r="F44" s="9">
        <v>8.33</v>
      </c>
      <c r="G44" s="10">
        <v>8.33</v>
      </c>
      <c r="H44" s="9">
        <v>8.33</v>
      </c>
      <c r="I44" s="9">
        <v>8.33</v>
      </c>
      <c r="J44" s="9">
        <v>8.33</v>
      </c>
      <c r="K44" s="9">
        <v>8.33</v>
      </c>
      <c r="L44" s="9">
        <v>8.33</v>
      </c>
      <c r="M44" s="9">
        <v>8.33</v>
      </c>
      <c r="N44" s="9">
        <v>8.33</v>
      </c>
      <c r="O44" s="9">
        <v>8.33</v>
      </c>
      <c r="P44" s="9">
        <v>8.26</v>
      </c>
      <c r="Q44" s="9">
        <v>8.06</v>
      </c>
      <c r="R44" s="9">
        <v>7.8599999999999994</v>
      </c>
      <c r="S44" s="9">
        <v>7.5600000000000005</v>
      </c>
      <c r="T44" s="9">
        <v>7.2100000000000009</v>
      </c>
      <c r="U44" s="9">
        <v>6.81</v>
      </c>
      <c r="V44" s="9">
        <v>6.36</v>
      </c>
      <c r="W44" s="9">
        <v>5.86</v>
      </c>
      <c r="X44" s="11"/>
      <c r="Y44" s="12">
        <v>5.0999999999999996</v>
      </c>
      <c r="Z44" s="12">
        <v>100</v>
      </c>
      <c r="AA44" s="12">
        <v>100</v>
      </c>
      <c r="AB44" s="12">
        <v>100</v>
      </c>
      <c r="AC44" s="12">
        <v>100</v>
      </c>
      <c r="AD44" s="12">
        <v>100</v>
      </c>
      <c r="AE44" s="12">
        <v>98</v>
      </c>
      <c r="AF44" s="12">
        <v>94</v>
      </c>
      <c r="AG44" s="12">
        <v>89</v>
      </c>
      <c r="AH44" s="12">
        <v>85</v>
      </c>
      <c r="AI44" s="12">
        <v>81</v>
      </c>
      <c r="AJ44" s="12">
        <v>95</v>
      </c>
      <c r="AK44" s="12">
        <v>91</v>
      </c>
      <c r="AL44" s="12">
        <v>86</v>
      </c>
      <c r="AM44" s="12">
        <v>82</v>
      </c>
      <c r="AN44" s="12">
        <v>78</v>
      </c>
      <c r="AO44" s="12">
        <v>73</v>
      </c>
      <c r="AP44" s="12">
        <v>69</v>
      </c>
      <c r="AQ44" s="12">
        <v>64</v>
      </c>
      <c r="AR44" s="12">
        <v>60</v>
      </c>
      <c r="AS44" s="12">
        <v>86.58</v>
      </c>
    </row>
    <row r="45" spans="1:45" ht="16.5" thickBot="1" x14ac:dyDescent="0.3">
      <c r="A45" s="20">
        <v>0.47</v>
      </c>
      <c r="B45" s="9">
        <v>8.1300000000000008</v>
      </c>
      <c r="C45" s="9">
        <v>8.33</v>
      </c>
      <c r="D45" s="9">
        <v>8.33</v>
      </c>
      <c r="E45" s="9">
        <v>8.33</v>
      </c>
      <c r="F45" s="9">
        <v>8.33</v>
      </c>
      <c r="G45" s="10">
        <v>8.33</v>
      </c>
      <c r="H45" s="9">
        <v>8.33</v>
      </c>
      <c r="I45" s="9">
        <v>8.33</v>
      </c>
      <c r="J45" s="9">
        <v>8.33</v>
      </c>
      <c r="K45" s="9">
        <v>8.33</v>
      </c>
      <c r="L45" s="9">
        <v>8.33</v>
      </c>
      <c r="M45" s="9">
        <v>8.33</v>
      </c>
      <c r="N45" s="9">
        <v>8.33</v>
      </c>
      <c r="O45" s="9">
        <v>8.33</v>
      </c>
      <c r="P45" s="9">
        <v>8.2799999999999994</v>
      </c>
      <c r="Q45" s="9">
        <v>8.08</v>
      </c>
      <c r="R45" s="9">
        <v>7.8800000000000008</v>
      </c>
      <c r="S45" s="9">
        <v>7.58</v>
      </c>
      <c r="T45" s="9">
        <v>7.23</v>
      </c>
      <c r="U45" s="9">
        <v>6.83</v>
      </c>
      <c r="V45" s="9">
        <v>6.38</v>
      </c>
      <c r="W45" s="9">
        <v>5.88</v>
      </c>
      <c r="X45" s="11"/>
      <c r="Y45" s="12">
        <v>5</v>
      </c>
      <c r="Z45" s="12">
        <v>100</v>
      </c>
      <c r="AA45" s="12">
        <v>100</v>
      </c>
      <c r="AB45" s="12">
        <v>100</v>
      </c>
      <c r="AC45" s="12">
        <v>100</v>
      </c>
      <c r="AD45" s="12">
        <v>100</v>
      </c>
      <c r="AE45" s="12">
        <v>97</v>
      </c>
      <c r="AF45" s="12">
        <v>93</v>
      </c>
      <c r="AG45" s="12">
        <v>89</v>
      </c>
      <c r="AH45" s="12">
        <v>84</v>
      </c>
      <c r="AI45" s="12">
        <v>80</v>
      </c>
      <c r="AJ45" s="12">
        <v>95</v>
      </c>
      <c r="AK45" s="12">
        <v>90</v>
      </c>
      <c r="AL45" s="12">
        <v>85</v>
      </c>
      <c r="AM45" s="12">
        <v>81</v>
      </c>
      <c r="AN45" s="12">
        <v>77</v>
      </c>
      <c r="AO45" s="12">
        <v>72</v>
      </c>
      <c r="AP45" s="12">
        <v>68</v>
      </c>
      <c r="AQ45" s="12">
        <v>63</v>
      </c>
      <c r="AR45" s="12">
        <v>59</v>
      </c>
      <c r="AS45" s="12">
        <v>85.95</v>
      </c>
    </row>
    <row r="46" spans="1:45" x14ac:dyDescent="0.25">
      <c r="A46" s="20">
        <v>0.48</v>
      </c>
      <c r="B46" s="9">
        <v>8.15</v>
      </c>
      <c r="C46" s="9">
        <v>8.33</v>
      </c>
      <c r="D46" s="9">
        <v>8.33</v>
      </c>
      <c r="E46" s="9">
        <v>8.33</v>
      </c>
      <c r="F46" s="9">
        <v>8.33</v>
      </c>
      <c r="G46" s="10">
        <v>8.33</v>
      </c>
      <c r="H46" s="9">
        <v>8.33</v>
      </c>
      <c r="I46" s="9">
        <v>8.33</v>
      </c>
      <c r="J46" s="9">
        <v>8.33</v>
      </c>
      <c r="K46" s="9">
        <v>8.33</v>
      </c>
      <c r="L46" s="9">
        <v>8.33</v>
      </c>
      <c r="M46" s="9">
        <v>8.33</v>
      </c>
      <c r="N46" s="9">
        <v>8.33</v>
      </c>
      <c r="O46" s="9">
        <v>8.33</v>
      </c>
      <c r="P46" s="9">
        <v>8.3000000000000007</v>
      </c>
      <c r="Q46" s="9">
        <v>8.1</v>
      </c>
      <c r="R46" s="9">
        <v>7.9</v>
      </c>
      <c r="S46" s="9">
        <v>7.6</v>
      </c>
      <c r="T46" s="9">
        <v>7.25</v>
      </c>
      <c r="U46" s="9">
        <v>6.85</v>
      </c>
      <c r="V46" s="9">
        <v>6.4</v>
      </c>
      <c r="W46" s="9">
        <v>5.9</v>
      </c>
      <c r="X46" s="11"/>
    </row>
    <row r="47" spans="1:45" x14ac:dyDescent="0.25">
      <c r="A47" s="20">
        <v>0.49</v>
      </c>
      <c r="B47" s="9">
        <v>8.16</v>
      </c>
      <c r="C47" s="9">
        <v>8.33</v>
      </c>
      <c r="D47" s="9">
        <v>8.33</v>
      </c>
      <c r="E47" s="9">
        <v>8.33</v>
      </c>
      <c r="F47" s="9">
        <v>8.33</v>
      </c>
      <c r="G47" s="10">
        <v>8.33</v>
      </c>
      <c r="H47" s="9">
        <v>8.33</v>
      </c>
      <c r="I47" s="9">
        <v>8.33</v>
      </c>
      <c r="J47" s="9">
        <v>8.33</v>
      </c>
      <c r="K47" s="9">
        <v>8.33</v>
      </c>
      <c r="L47" s="9">
        <v>8.33</v>
      </c>
      <c r="M47" s="9">
        <v>8.33</v>
      </c>
      <c r="N47" s="9">
        <v>8.33</v>
      </c>
      <c r="O47" s="9">
        <v>8.33</v>
      </c>
      <c r="P47" s="9">
        <v>8.31</v>
      </c>
      <c r="Q47" s="9">
        <v>8.11</v>
      </c>
      <c r="R47" s="9">
        <v>7.91</v>
      </c>
      <c r="S47" s="9">
        <v>7.6099999999999994</v>
      </c>
      <c r="T47" s="9">
        <v>7.26</v>
      </c>
      <c r="U47" s="9">
        <v>6.86</v>
      </c>
      <c r="V47" s="9">
        <v>6.41</v>
      </c>
      <c r="W47" s="9">
        <v>5.91</v>
      </c>
      <c r="X47" s="11"/>
    </row>
    <row r="48" spans="1:45" x14ac:dyDescent="0.25">
      <c r="A48" s="20">
        <v>0.5</v>
      </c>
      <c r="B48" s="9">
        <v>8.18</v>
      </c>
      <c r="C48" s="9">
        <v>8.33</v>
      </c>
      <c r="D48" s="9">
        <v>8.33</v>
      </c>
      <c r="E48" s="9">
        <v>8.33</v>
      </c>
      <c r="F48" s="9">
        <v>8.33</v>
      </c>
      <c r="G48" s="10">
        <v>8.33</v>
      </c>
      <c r="H48" s="9">
        <v>8.33</v>
      </c>
      <c r="I48" s="9">
        <v>8.33</v>
      </c>
      <c r="J48" s="9">
        <v>8.33</v>
      </c>
      <c r="K48" s="9">
        <v>8.33</v>
      </c>
      <c r="L48" s="9">
        <v>8.33</v>
      </c>
      <c r="M48" s="9">
        <v>8.33</v>
      </c>
      <c r="N48" s="9">
        <v>8.33</v>
      </c>
      <c r="O48" s="9">
        <v>8.33</v>
      </c>
      <c r="P48" s="9">
        <v>8.33</v>
      </c>
      <c r="Q48" s="9">
        <v>8.1300000000000008</v>
      </c>
      <c r="R48" s="9">
        <v>7.93</v>
      </c>
      <c r="S48" s="9">
        <v>7.63</v>
      </c>
      <c r="T48" s="9">
        <v>7.2799999999999994</v>
      </c>
      <c r="U48" s="9">
        <v>6.88</v>
      </c>
      <c r="V48" s="9">
        <v>6.43</v>
      </c>
      <c r="W48" s="9">
        <v>5.93</v>
      </c>
      <c r="X48" s="11"/>
    </row>
    <row r="49" spans="1:24" x14ac:dyDescent="0.25">
      <c r="A49" s="21"/>
      <c r="B49" s="21"/>
      <c r="C49" s="21"/>
      <c r="D49" s="21"/>
      <c r="E49" s="21"/>
      <c r="F49" s="21"/>
    </row>
    <row r="50" spans="1:24" x14ac:dyDescent="0.25">
      <c r="A50" s="1" t="s">
        <v>6</v>
      </c>
      <c r="B50" s="21"/>
      <c r="C50" s="21"/>
      <c r="D50" s="21"/>
      <c r="E50" s="21"/>
      <c r="F50" s="21"/>
      <c r="G50" s="21"/>
      <c r="I50" s="21"/>
      <c r="J50" s="21"/>
      <c r="K50" s="21"/>
      <c r="L50" s="21"/>
      <c r="M50" s="21"/>
      <c r="N50" s="21"/>
      <c r="O50" s="21"/>
      <c r="P50" s="21"/>
      <c r="Q50" s="21"/>
      <c r="R50" s="21"/>
      <c r="S50" s="21"/>
      <c r="T50" s="21"/>
      <c r="U50" s="21"/>
      <c r="V50" s="21"/>
      <c r="W50" s="21"/>
      <c r="X50" s="21"/>
    </row>
    <row r="51" spans="1:24" x14ac:dyDescent="0.25">
      <c r="A51" s="1" t="s">
        <v>7</v>
      </c>
      <c r="B51" s="21"/>
      <c r="C51" s="21"/>
      <c r="D51" s="21"/>
      <c r="E51" s="21"/>
      <c r="F51" s="21"/>
      <c r="G51" s="21"/>
      <c r="I51" s="21"/>
      <c r="J51" s="21"/>
      <c r="K51" s="21"/>
      <c r="L51" s="21"/>
      <c r="M51" s="21"/>
      <c r="N51" s="21"/>
      <c r="O51" s="21"/>
      <c r="P51" s="21"/>
      <c r="Q51" s="21"/>
      <c r="R51" s="21"/>
      <c r="S51" s="21"/>
      <c r="T51" s="21"/>
      <c r="U51" s="21"/>
      <c r="V51" s="21"/>
      <c r="W51" s="21"/>
      <c r="X51" s="21"/>
    </row>
    <row r="52" spans="1:24" x14ac:dyDescent="0.25">
      <c r="A52" s="1" t="s">
        <v>8</v>
      </c>
      <c r="B52" s="21"/>
      <c r="C52" s="21"/>
      <c r="D52" s="21"/>
      <c r="E52" s="21"/>
      <c r="F52" s="21"/>
      <c r="G52" s="21"/>
      <c r="I52" s="21"/>
      <c r="J52" s="21"/>
      <c r="K52" s="21"/>
      <c r="L52" s="21"/>
      <c r="M52" s="21"/>
      <c r="N52" s="21"/>
      <c r="O52" s="21"/>
      <c r="P52" s="21"/>
      <c r="Q52" s="21"/>
      <c r="R52" s="21"/>
      <c r="S52" s="21"/>
      <c r="T52" s="21"/>
      <c r="U52" s="21"/>
      <c r="V52" s="21"/>
      <c r="W52" s="21"/>
      <c r="X52" s="21"/>
    </row>
    <row r="53" spans="1:24" x14ac:dyDescent="0.25">
      <c r="A53" s="21"/>
      <c r="B53" s="21"/>
      <c r="C53" s="21"/>
      <c r="D53" s="21"/>
      <c r="E53" s="21"/>
      <c r="F53" s="21"/>
      <c r="G53" s="21"/>
      <c r="I53" s="21"/>
      <c r="J53" s="21"/>
      <c r="K53" s="21"/>
      <c r="L53" s="21"/>
      <c r="M53" s="21"/>
      <c r="N53" s="21"/>
      <c r="O53" s="21"/>
      <c r="P53" s="21"/>
      <c r="Q53" s="21"/>
      <c r="R53" s="21"/>
      <c r="S53" s="21"/>
      <c r="T53" s="21"/>
      <c r="U53" s="21"/>
      <c r="V53" s="21"/>
      <c r="W53" s="21"/>
      <c r="X53" s="21"/>
    </row>
    <row r="54" spans="1:24" x14ac:dyDescent="0.25">
      <c r="A54" s="21"/>
      <c r="B54" s="21"/>
      <c r="C54" s="21"/>
      <c r="D54" s="21"/>
      <c r="E54" s="21"/>
      <c r="F54" s="21"/>
      <c r="G54" s="21"/>
      <c r="I54" s="21"/>
      <c r="J54" s="21"/>
      <c r="K54" s="21"/>
      <c r="L54" s="21"/>
      <c r="M54" s="21"/>
      <c r="N54" s="21"/>
      <c r="O54" s="21"/>
      <c r="P54" s="21"/>
      <c r="Q54" s="21"/>
      <c r="R54" s="21"/>
      <c r="S54" s="21"/>
      <c r="T54" s="21"/>
      <c r="U54" s="21"/>
      <c r="V54" s="21"/>
      <c r="W54" s="21"/>
      <c r="X54" s="21"/>
    </row>
    <row r="55" spans="1:24" x14ac:dyDescent="0.25">
      <c r="A55" s="21"/>
      <c r="B55" s="21"/>
      <c r="C55" s="21"/>
      <c r="D55" s="21"/>
      <c r="E55" s="21"/>
      <c r="F55" s="21"/>
      <c r="G55" s="21"/>
      <c r="I55" s="21"/>
      <c r="J55" s="21"/>
      <c r="K55" s="21"/>
      <c r="L55" s="21"/>
      <c r="M55" s="21"/>
      <c r="N55" s="21"/>
      <c r="O55" s="21"/>
      <c r="P55" s="21"/>
      <c r="Q55" s="21"/>
      <c r="R55" s="21"/>
      <c r="S55" s="21"/>
      <c r="T55" s="21"/>
      <c r="U55" s="21"/>
      <c r="V55" s="21"/>
      <c r="W55" s="21"/>
      <c r="X55" s="21"/>
    </row>
    <row r="56" spans="1:24" x14ac:dyDescent="0.25">
      <c r="A56" s="23" t="s">
        <v>9</v>
      </c>
      <c r="B56" s="21"/>
      <c r="C56" s="21"/>
      <c r="D56" s="21"/>
      <c r="E56" s="21"/>
      <c r="F56" s="21"/>
    </row>
    <row r="57" spans="1:24" x14ac:dyDescent="0.25">
      <c r="A57" s="21"/>
      <c r="B57" s="21"/>
      <c r="C57" s="21"/>
      <c r="D57" s="21"/>
      <c r="E57" s="21"/>
      <c r="F57" s="21"/>
    </row>
    <row r="58" spans="1:24" x14ac:dyDescent="0.25">
      <c r="A58" s="24" t="s">
        <v>10</v>
      </c>
      <c r="B58" s="24" t="s">
        <v>11</v>
      </c>
      <c r="C58" s="24" t="s">
        <v>12</v>
      </c>
      <c r="D58" s="24" t="s">
        <v>13</v>
      </c>
      <c r="E58" s="24" t="s">
        <v>14</v>
      </c>
      <c r="F58" s="24" t="s">
        <v>15</v>
      </c>
      <c r="H58" s="22" t="s">
        <v>16</v>
      </c>
    </row>
    <row r="59" spans="1:24" ht="23.25" x14ac:dyDescent="0.25">
      <c r="A59" s="25">
        <v>17</v>
      </c>
      <c r="B59" s="209" t="s">
        <v>17</v>
      </c>
      <c r="C59" s="26" t="s">
        <v>18</v>
      </c>
      <c r="D59" s="210" t="s">
        <v>19</v>
      </c>
      <c r="E59" s="210" t="s">
        <v>19</v>
      </c>
      <c r="F59" s="27" t="s">
        <v>20</v>
      </c>
      <c r="H59" s="28" t="s">
        <v>21</v>
      </c>
    </row>
    <row r="60" spans="1:24" ht="23.25" x14ac:dyDescent="0.25">
      <c r="A60" s="29">
        <v>18</v>
      </c>
      <c r="B60" s="209"/>
      <c r="C60" s="26" t="s">
        <v>22</v>
      </c>
      <c r="D60" s="210"/>
      <c r="E60" s="210"/>
      <c r="F60" s="27" t="s">
        <v>23</v>
      </c>
      <c r="H60" s="22" t="s">
        <v>24</v>
      </c>
    </row>
    <row r="61" spans="1:24" x14ac:dyDescent="0.25">
      <c r="A61" s="25">
        <v>19</v>
      </c>
      <c r="B61" s="209"/>
      <c r="C61" s="30"/>
      <c r="D61" s="210"/>
      <c r="E61" s="210"/>
      <c r="F61" s="31"/>
      <c r="H61" s="22" t="s">
        <v>25</v>
      </c>
      <c r="I61" s="21"/>
    </row>
    <row r="62" spans="1:24" x14ac:dyDescent="0.25">
      <c r="A62" s="29">
        <v>20</v>
      </c>
      <c r="B62" s="209"/>
      <c r="C62" s="27" t="s">
        <v>19</v>
      </c>
      <c r="D62" s="211" t="s">
        <v>20</v>
      </c>
      <c r="E62" s="27" t="s">
        <v>20</v>
      </c>
      <c r="F62" s="31"/>
      <c r="H62" s="22" t="s">
        <v>26</v>
      </c>
    </row>
    <row r="63" spans="1:24" ht="23.25" x14ac:dyDescent="0.25">
      <c r="A63" s="25">
        <v>21</v>
      </c>
      <c r="B63" s="212" t="s">
        <v>18</v>
      </c>
      <c r="C63" s="27" t="s">
        <v>27</v>
      </c>
      <c r="D63" s="211"/>
      <c r="E63" s="27" t="s">
        <v>23</v>
      </c>
      <c r="F63" s="31"/>
      <c r="H63" s="22" t="s">
        <v>28</v>
      </c>
    </row>
    <row r="64" spans="1:24" x14ac:dyDescent="0.25">
      <c r="A64" s="29">
        <v>22</v>
      </c>
      <c r="B64" s="212"/>
      <c r="C64" s="31"/>
      <c r="D64" s="211"/>
      <c r="E64" s="31"/>
      <c r="F64" s="31"/>
      <c r="H64" s="22" t="s">
        <v>29</v>
      </c>
    </row>
    <row r="65" spans="1:8" x14ac:dyDescent="0.25">
      <c r="A65" s="25">
        <v>23</v>
      </c>
      <c r="B65" s="212"/>
      <c r="C65" s="31"/>
      <c r="D65" s="211"/>
      <c r="E65" s="31"/>
      <c r="F65" s="31"/>
    </row>
    <row r="66" spans="1:8" x14ac:dyDescent="0.25">
      <c r="A66" s="29">
        <v>24</v>
      </c>
      <c r="B66" s="212"/>
      <c r="C66" s="31"/>
      <c r="D66" s="211"/>
      <c r="E66" s="31"/>
      <c r="F66" s="31"/>
      <c r="H66" s="22" t="s">
        <v>30</v>
      </c>
    </row>
    <row r="67" spans="1:8" x14ac:dyDescent="0.25">
      <c r="A67" s="25">
        <v>25</v>
      </c>
      <c r="B67" s="212"/>
      <c r="C67" s="31"/>
      <c r="D67" s="210" t="s">
        <v>19</v>
      </c>
      <c r="E67" s="31"/>
      <c r="F67" s="31"/>
      <c r="H67" s="22" t="s">
        <v>31</v>
      </c>
    </row>
    <row r="68" spans="1:8" x14ac:dyDescent="0.25">
      <c r="A68" s="29">
        <v>26</v>
      </c>
      <c r="B68" s="212"/>
      <c r="C68" s="210" t="s">
        <v>19</v>
      </c>
      <c r="D68" s="210"/>
      <c r="E68" s="31"/>
      <c r="F68" s="31"/>
    </row>
    <row r="69" spans="1:8" x14ac:dyDescent="0.25">
      <c r="A69" s="25">
        <v>27</v>
      </c>
      <c r="B69" s="209" t="s">
        <v>17</v>
      </c>
      <c r="C69" s="210"/>
      <c r="D69" s="210"/>
      <c r="E69" s="31"/>
      <c r="F69" s="31"/>
    </row>
    <row r="70" spans="1:8" x14ac:dyDescent="0.25">
      <c r="A70" s="29">
        <v>28</v>
      </c>
      <c r="B70" s="209"/>
      <c r="C70" s="212" t="s">
        <v>18</v>
      </c>
      <c r="D70" s="210"/>
      <c r="E70" s="31"/>
      <c r="F70" s="31"/>
      <c r="H70" s="22" t="s">
        <v>32</v>
      </c>
    </row>
    <row r="71" spans="1:8" x14ac:dyDescent="0.25">
      <c r="A71" s="25">
        <v>29</v>
      </c>
      <c r="B71" s="209"/>
      <c r="C71" s="212"/>
      <c r="D71" s="210"/>
      <c r="E71" s="31"/>
      <c r="F71" s="31"/>
    </row>
    <row r="72" spans="1:8" x14ac:dyDescent="0.25">
      <c r="A72" s="29">
        <v>30</v>
      </c>
      <c r="B72" s="209"/>
      <c r="C72" s="212"/>
      <c r="D72" s="212" t="s">
        <v>18</v>
      </c>
      <c r="E72" s="31"/>
      <c r="F72" s="31"/>
      <c r="H72" s="22" t="s">
        <v>33</v>
      </c>
    </row>
    <row r="73" spans="1:8" x14ac:dyDescent="0.25">
      <c r="A73" s="25">
        <v>31</v>
      </c>
      <c r="B73" s="209"/>
      <c r="C73" s="212"/>
      <c r="D73" s="212"/>
      <c r="E73" s="27" t="s">
        <v>19</v>
      </c>
      <c r="F73" s="31"/>
    </row>
    <row r="74" spans="1:8" x14ac:dyDescent="0.25">
      <c r="A74" s="29">
        <v>32</v>
      </c>
      <c r="B74" s="209"/>
      <c r="C74" s="212"/>
      <c r="D74" s="212"/>
      <c r="E74" s="27" t="s">
        <v>27</v>
      </c>
      <c r="F74" s="31"/>
      <c r="H74" s="22" t="s">
        <v>34</v>
      </c>
    </row>
    <row r="75" spans="1:8" ht="23.25" x14ac:dyDescent="0.25">
      <c r="A75" s="25">
        <v>33</v>
      </c>
      <c r="B75" s="209"/>
      <c r="C75" s="209" t="s">
        <v>17</v>
      </c>
      <c r="D75" s="212"/>
      <c r="E75" s="26" t="s">
        <v>18</v>
      </c>
      <c r="F75" s="26" t="s">
        <v>18</v>
      </c>
    </row>
    <row r="76" spans="1:8" x14ac:dyDescent="0.25">
      <c r="A76" s="29">
        <v>34</v>
      </c>
      <c r="B76" s="213" t="s">
        <v>35</v>
      </c>
      <c r="C76" s="209"/>
      <c r="D76" s="212"/>
      <c r="E76" s="26" t="s">
        <v>22</v>
      </c>
      <c r="F76" s="26" t="s">
        <v>22</v>
      </c>
      <c r="H76" s="22" t="s">
        <v>36</v>
      </c>
    </row>
    <row r="77" spans="1:8" x14ac:dyDescent="0.25">
      <c r="A77" s="25">
        <v>35</v>
      </c>
      <c r="B77" s="213"/>
      <c r="C77" s="213" t="s">
        <v>35</v>
      </c>
      <c r="D77" s="209" t="s">
        <v>17</v>
      </c>
      <c r="E77" s="209" t="s">
        <v>17</v>
      </c>
      <c r="F77" s="30"/>
    </row>
    <row r="78" spans="1:8" ht="23.25" x14ac:dyDescent="0.25">
      <c r="A78" s="29">
        <v>36</v>
      </c>
      <c r="B78" s="213"/>
      <c r="C78" s="213"/>
      <c r="D78" s="209"/>
      <c r="E78" s="209"/>
      <c r="F78" s="32" t="s">
        <v>17</v>
      </c>
      <c r="H78" s="22" t="s">
        <v>37</v>
      </c>
    </row>
    <row r="79" spans="1:8" x14ac:dyDescent="0.25">
      <c r="A79" s="208" t="s">
        <v>38</v>
      </c>
      <c r="B79" s="208"/>
      <c r="C79" s="208"/>
      <c r="D79" s="208"/>
      <c r="E79" s="208"/>
      <c r="F79" s="208"/>
    </row>
    <row r="80" spans="1:8" x14ac:dyDescent="0.25">
      <c r="A80" s="21"/>
      <c r="B80" s="21"/>
      <c r="C80" s="21"/>
      <c r="D80" s="21"/>
      <c r="E80" s="21"/>
      <c r="F80" s="21"/>
      <c r="H80" s="22" t="s">
        <v>39</v>
      </c>
    </row>
    <row r="81" spans="1:24" x14ac:dyDescent="0.25">
      <c r="A81" s="21"/>
      <c r="B81" s="21"/>
      <c r="C81" s="21"/>
      <c r="D81" s="21"/>
      <c r="E81" s="21"/>
      <c r="F81" s="21"/>
    </row>
    <row r="82" spans="1:24" x14ac:dyDescent="0.25">
      <c r="A82" s="21"/>
      <c r="B82" s="21"/>
      <c r="C82" s="21"/>
      <c r="D82" s="21"/>
      <c r="E82" s="21"/>
      <c r="F82" s="21"/>
      <c r="H82" s="22" t="s">
        <v>40</v>
      </c>
    </row>
    <row r="83" spans="1:24" x14ac:dyDescent="0.25">
      <c r="A83" s="21"/>
      <c r="B83" s="21"/>
      <c r="C83" s="21"/>
      <c r="D83" s="21"/>
      <c r="E83" s="21"/>
      <c r="F83" s="21"/>
    </row>
    <row r="84" spans="1:24" x14ac:dyDescent="0.25">
      <c r="A84" t="s">
        <v>41</v>
      </c>
      <c r="B84" s="21"/>
      <c r="C84" s="21"/>
      <c r="D84" s="21"/>
      <c r="E84" s="21"/>
      <c r="F84" s="21"/>
    </row>
    <row r="85" spans="1:24" x14ac:dyDescent="0.25">
      <c r="A85" t="s">
        <v>42</v>
      </c>
      <c r="B85" s="21"/>
      <c r="C85" s="21"/>
      <c r="D85" s="21"/>
      <c r="E85" s="21"/>
      <c r="F85" s="21"/>
    </row>
    <row r="86" spans="1:24" x14ac:dyDescent="0.25">
      <c r="A86" s="21" t="s">
        <v>43</v>
      </c>
      <c r="B86" s="21"/>
      <c r="C86" s="21"/>
      <c r="D86" s="21"/>
      <c r="E86" s="21"/>
      <c r="F86" s="21"/>
    </row>
    <row r="87" spans="1:24" x14ac:dyDescent="0.25">
      <c r="A87" s="21"/>
      <c r="B87" s="21"/>
      <c r="C87" s="21"/>
      <c r="D87" s="21"/>
      <c r="E87" s="21"/>
      <c r="F87" s="21"/>
      <c r="G87" s="21"/>
      <c r="I87" s="21"/>
      <c r="J87" s="21"/>
      <c r="K87" s="21"/>
      <c r="L87" s="21"/>
      <c r="M87" s="21"/>
      <c r="N87" s="21"/>
      <c r="O87" s="21"/>
      <c r="P87" s="21"/>
      <c r="Q87" s="21"/>
      <c r="R87" s="21"/>
      <c r="S87" s="21"/>
      <c r="T87" s="21"/>
      <c r="U87" s="21"/>
      <c r="V87" s="21"/>
      <c r="W87" s="21"/>
      <c r="X87" s="21"/>
    </row>
    <row r="88" spans="1:24" x14ac:dyDescent="0.25">
      <c r="A88" s="21"/>
      <c r="B88" s="21"/>
      <c r="C88" s="21"/>
      <c r="D88" s="21"/>
      <c r="E88" s="21"/>
      <c r="F88" s="21"/>
      <c r="G88" s="21"/>
      <c r="I88" s="21"/>
      <c r="J88" s="21"/>
      <c r="K88" s="21"/>
      <c r="L88" s="21"/>
      <c r="M88" s="21"/>
      <c r="N88" s="21"/>
      <c r="O88" s="21"/>
      <c r="P88" s="21"/>
      <c r="Q88" s="21"/>
      <c r="R88" s="21"/>
      <c r="S88" s="21"/>
      <c r="T88" s="21"/>
      <c r="U88" s="21"/>
      <c r="V88" s="21"/>
      <c r="W88" s="21"/>
      <c r="X88" s="21"/>
    </row>
    <row r="89" spans="1:24" x14ac:dyDescent="0.25">
      <c r="A89" s="21"/>
      <c r="B89" s="21"/>
      <c r="C89" s="21"/>
      <c r="D89" s="21"/>
      <c r="E89" s="21"/>
      <c r="F89" s="21"/>
      <c r="G89" s="21"/>
      <c r="I89" s="21"/>
      <c r="J89" s="21"/>
      <c r="K89" s="21"/>
      <c r="L89" s="21"/>
      <c r="M89" s="21"/>
      <c r="N89" s="21"/>
      <c r="O89" s="21"/>
      <c r="P89" s="21"/>
      <c r="Q89" s="21"/>
      <c r="R89" s="21"/>
      <c r="S89" s="21"/>
      <c r="T89" s="21"/>
      <c r="U89" s="21"/>
      <c r="V89" s="21"/>
      <c r="W89" s="21"/>
      <c r="X89" s="21"/>
    </row>
    <row r="90" spans="1:24" x14ac:dyDescent="0.25">
      <c r="A90" s="21"/>
      <c r="B90" s="21"/>
      <c r="C90" s="21"/>
      <c r="D90" s="21"/>
      <c r="E90" s="21"/>
      <c r="F90" s="21"/>
      <c r="G90" s="21"/>
      <c r="I90" s="21"/>
      <c r="J90" s="21"/>
      <c r="K90" s="21"/>
      <c r="L90" s="21"/>
      <c r="M90" s="21"/>
      <c r="N90" s="21"/>
      <c r="O90" s="21"/>
      <c r="P90" s="21"/>
      <c r="Q90" s="21"/>
      <c r="R90" s="21"/>
      <c r="S90" s="21"/>
      <c r="T90" s="21"/>
      <c r="U90" s="21"/>
      <c r="V90" s="21"/>
      <c r="W90" s="21"/>
      <c r="X90" s="21"/>
    </row>
    <row r="91" spans="1:24" x14ac:dyDescent="0.25">
      <c r="A91" s="21"/>
      <c r="B91" s="21"/>
      <c r="C91" s="21"/>
      <c r="D91" s="21"/>
      <c r="E91" s="21"/>
      <c r="F91" s="21"/>
      <c r="G91" s="21"/>
      <c r="I91" s="21"/>
      <c r="J91" s="21"/>
      <c r="K91" s="21"/>
      <c r="L91" s="21"/>
      <c r="M91" s="21"/>
      <c r="N91" s="21"/>
      <c r="O91" s="21"/>
      <c r="P91" s="21"/>
      <c r="Q91" s="21"/>
      <c r="R91" s="21"/>
      <c r="S91" s="21"/>
      <c r="T91" s="21"/>
      <c r="U91" s="21"/>
      <c r="V91" s="21"/>
      <c r="W91" s="21"/>
      <c r="X91" s="21"/>
    </row>
    <row r="92" spans="1:24" x14ac:dyDescent="0.25">
      <c r="A92" s="21"/>
      <c r="B92" s="21"/>
      <c r="C92" s="21"/>
      <c r="D92" s="21"/>
      <c r="E92" s="21"/>
      <c r="F92" s="21"/>
      <c r="G92" s="21"/>
      <c r="I92" s="21"/>
      <c r="J92" s="21"/>
      <c r="K92" s="21"/>
      <c r="L92" s="21"/>
      <c r="M92" s="21"/>
      <c r="N92" s="21"/>
      <c r="O92" s="21"/>
      <c r="P92" s="21"/>
      <c r="Q92" s="21"/>
      <c r="R92" s="21"/>
      <c r="S92" s="21"/>
      <c r="T92" s="21"/>
      <c r="U92" s="21"/>
      <c r="V92" s="21"/>
      <c r="W92" s="21"/>
      <c r="X92" s="21"/>
    </row>
    <row r="93" spans="1:24" x14ac:dyDescent="0.25">
      <c r="A93" s="21"/>
      <c r="B93" s="21"/>
      <c r="C93" s="21"/>
      <c r="D93" s="21"/>
      <c r="E93" s="21"/>
      <c r="F93" s="21"/>
      <c r="G93" s="21"/>
      <c r="I93" s="21"/>
      <c r="J93" s="21"/>
      <c r="K93" s="21"/>
      <c r="L93" s="21"/>
      <c r="M93" s="21"/>
      <c r="N93" s="21"/>
      <c r="O93" s="21"/>
      <c r="P93" s="21"/>
      <c r="Q93" s="21"/>
      <c r="R93" s="21"/>
      <c r="S93" s="21"/>
      <c r="T93" s="21"/>
      <c r="U93" s="21"/>
      <c r="V93" s="21"/>
      <c r="W93" s="21"/>
      <c r="X93" s="21"/>
    </row>
    <row r="94" spans="1:24" x14ac:dyDescent="0.25">
      <c r="A94" s="21"/>
      <c r="B94" s="21"/>
      <c r="C94" s="21"/>
      <c r="D94" s="21"/>
      <c r="E94" s="21"/>
      <c r="F94" s="21"/>
      <c r="G94" s="21"/>
      <c r="I94" s="21"/>
      <c r="J94" s="21"/>
      <c r="K94" s="21"/>
      <c r="L94" s="21"/>
      <c r="M94" s="21"/>
      <c r="N94" s="21"/>
      <c r="O94" s="21"/>
      <c r="P94" s="21"/>
      <c r="Q94" s="21"/>
      <c r="R94" s="21"/>
      <c r="S94" s="21"/>
      <c r="T94" s="21"/>
      <c r="U94" s="21"/>
      <c r="V94" s="21"/>
      <c r="W94" s="21"/>
      <c r="X94" s="21"/>
    </row>
    <row r="95" spans="1:24" x14ac:dyDescent="0.25">
      <c r="A95" s="21"/>
      <c r="B95" s="21"/>
      <c r="C95" s="21"/>
      <c r="D95" s="21"/>
      <c r="E95" s="21"/>
      <c r="F95" s="21"/>
      <c r="G95" s="21"/>
      <c r="I95" s="21"/>
      <c r="J95" s="21"/>
      <c r="K95" s="21"/>
      <c r="L95" s="21"/>
      <c r="M95" s="21"/>
      <c r="N95" s="21"/>
      <c r="O95" s="21"/>
      <c r="P95" s="21"/>
      <c r="Q95" s="21"/>
      <c r="R95" s="21"/>
      <c r="S95" s="21"/>
      <c r="T95" s="21"/>
      <c r="U95" s="21"/>
      <c r="V95" s="21"/>
      <c r="W95" s="21"/>
      <c r="X95" s="21"/>
    </row>
    <row r="96" spans="1:24" x14ac:dyDescent="0.25">
      <c r="A96" s="21"/>
      <c r="B96" s="21"/>
      <c r="C96" s="21"/>
      <c r="D96" s="21"/>
      <c r="E96" s="21"/>
      <c r="F96" s="21"/>
      <c r="G96" s="21"/>
      <c r="I96" s="21"/>
      <c r="J96" s="21"/>
      <c r="K96" s="21"/>
      <c r="L96" s="21"/>
      <c r="M96" s="21"/>
      <c r="N96" s="21"/>
      <c r="O96" s="21"/>
      <c r="P96" s="21"/>
      <c r="Q96" s="21"/>
      <c r="R96" s="21"/>
      <c r="S96" s="21"/>
      <c r="T96" s="21"/>
      <c r="U96" s="21"/>
      <c r="V96" s="21"/>
      <c r="W96" s="21"/>
      <c r="X96" s="21"/>
    </row>
    <row r="97" spans="1:24" x14ac:dyDescent="0.25">
      <c r="A97" s="21"/>
      <c r="B97" s="21"/>
      <c r="C97" s="21"/>
      <c r="D97" s="21"/>
      <c r="E97" s="21"/>
      <c r="F97" s="21"/>
      <c r="G97" s="21"/>
      <c r="I97" s="21"/>
      <c r="J97" s="21"/>
      <c r="K97" s="21"/>
      <c r="L97" s="21"/>
      <c r="M97" s="21"/>
      <c r="N97" s="21"/>
      <c r="O97" s="21"/>
      <c r="P97" s="21"/>
      <c r="Q97" s="21"/>
      <c r="R97" s="21"/>
      <c r="S97" s="21"/>
      <c r="T97" s="21"/>
      <c r="U97" s="21"/>
      <c r="V97" s="21"/>
      <c r="W97" s="21"/>
      <c r="X97" s="21"/>
    </row>
    <row r="98" spans="1:24" x14ac:dyDescent="0.25">
      <c r="A98" s="21"/>
      <c r="B98" s="21"/>
      <c r="C98" s="21"/>
      <c r="D98" s="21"/>
      <c r="E98" s="21"/>
      <c r="F98" s="21"/>
      <c r="G98" s="21"/>
      <c r="I98" s="21"/>
      <c r="J98" s="21"/>
      <c r="K98" s="21"/>
      <c r="L98" s="21"/>
      <c r="M98" s="21"/>
      <c r="N98" s="21"/>
      <c r="O98" s="21"/>
      <c r="P98" s="21"/>
      <c r="Q98" s="21"/>
      <c r="R98" s="21"/>
      <c r="S98" s="21"/>
      <c r="T98" s="21"/>
      <c r="U98" s="21"/>
      <c r="V98" s="21"/>
      <c r="W98" s="21"/>
      <c r="X98" s="21"/>
    </row>
    <row r="99" spans="1:24" x14ac:dyDescent="0.25">
      <c r="A99" s="21"/>
      <c r="B99" s="21"/>
      <c r="C99" s="21"/>
      <c r="D99" s="21"/>
      <c r="E99" s="21"/>
      <c r="F99" s="21"/>
      <c r="G99" s="21"/>
      <c r="I99" s="21"/>
      <c r="J99" s="21"/>
      <c r="K99" s="21"/>
      <c r="L99" s="21"/>
      <c r="M99" s="21"/>
      <c r="N99" s="21"/>
      <c r="O99" s="21"/>
      <c r="P99" s="21"/>
      <c r="Q99" s="21"/>
      <c r="R99" s="21"/>
      <c r="S99" s="21"/>
      <c r="T99" s="21"/>
      <c r="U99" s="21"/>
      <c r="V99" s="21"/>
      <c r="W99" s="21"/>
      <c r="X99" s="21"/>
    </row>
    <row r="100" spans="1:24" x14ac:dyDescent="0.25">
      <c r="A100" s="21"/>
      <c r="B100" s="21"/>
      <c r="C100" s="21"/>
      <c r="D100" s="21"/>
      <c r="E100" s="21"/>
      <c r="F100" s="21"/>
      <c r="G100" s="21"/>
      <c r="I100" s="21"/>
      <c r="J100" s="21"/>
      <c r="K100" s="21"/>
      <c r="L100" s="21"/>
      <c r="M100" s="21"/>
      <c r="N100" s="21"/>
      <c r="O100" s="21"/>
      <c r="P100" s="21"/>
      <c r="Q100" s="21"/>
      <c r="R100" s="21"/>
      <c r="S100" s="21"/>
      <c r="T100" s="21"/>
      <c r="U100" s="21"/>
      <c r="V100" s="21"/>
      <c r="W100" s="21"/>
      <c r="X100" s="21"/>
    </row>
    <row r="101" spans="1:24" x14ac:dyDescent="0.25">
      <c r="A101" s="21"/>
      <c r="B101" s="21"/>
      <c r="C101" s="21"/>
      <c r="D101" s="21"/>
      <c r="E101" s="21"/>
      <c r="F101" s="21"/>
      <c r="G101" s="21"/>
      <c r="I101" s="21"/>
      <c r="J101" s="21"/>
      <c r="K101" s="21"/>
      <c r="L101" s="21"/>
      <c r="M101" s="21"/>
      <c r="N101" s="21"/>
      <c r="O101" s="21"/>
      <c r="P101" s="21"/>
      <c r="Q101" s="21"/>
      <c r="R101" s="21"/>
      <c r="S101" s="21"/>
      <c r="T101" s="21"/>
      <c r="U101" s="21"/>
      <c r="V101" s="21"/>
      <c r="W101" s="21"/>
      <c r="X101" s="21"/>
    </row>
    <row r="102" spans="1:24" x14ac:dyDescent="0.25">
      <c r="A102" s="21"/>
      <c r="B102" s="21"/>
      <c r="C102" s="21"/>
      <c r="D102" s="21"/>
      <c r="E102" s="21"/>
      <c r="F102" s="21"/>
      <c r="G102" s="21"/>
      <c r="I102" s="21"/>
      <c r="J102" s="21"/>
      <c r="K102" s="21"/>
      <c r="L102" s="21"/>
      <c r="M102" s="21"/>
      <c r="N102" s="21"/>
      <c r="O102" s="21"/>
      <c r="P102" s="21"/>
      <c r="Q102" s="21"/>
      <c r="R102" s="21"/>
      <c r="S102" s="21"/>
      <c r="T102" s="21"/>
      <c r="U102" s="21"/>
      <c r="V102" s="21"/>
      <c r="W102" s="21"/>
      <c r="X102" s="21"/>
    </row>
    <row r="103" spans="1:24" x14ac:dyDescent="0.25">
      <c r="A103" s="21"/>
      <c r="B103" s="21"/>
      <c r="C103" s="21"/>
      <c r="D103" s="21"/>
      <c r="E103" s="21"/>
      <c r="F103" s="21"/>
      <c r="G103" s="21"/>
      <c r="I103" s="21"/>
      <c r="J103" s="21"/>
      <c r="K103" s="21"/>
      <c r="L103" s="21"/>
      <c r="M103" s="21"/>
      <c r="N103" s="21"/>
      <c r="O103" s="21"/>
      <c r="P103" s="21"/>
      <c r="Q103" s="21"/>
      <c r="R103" s="21"/>
      <c r="S103" s="21"/>
      <c r="T103" s="21"/>
      <c r="U103" s="21"/>
      <c r="V103" s="21"/>
      <c r="W103" s="21"/>
      <c r="X103" s="21"/>
    </row>
    <row r="104" spans="1:24" x14ac:dyDescent="0.25">
      <c r="A104" s="21"/>
      <c r="B104" s="21"/>
      <c r="C104" s="21"/>
      <c r="D104" s="21"/>
      <c r="E104" s="21"/>
      <c r="F104" s="21"/>
      <c r="G104" s="21"/>
      <c r="I104" s="21"/>
      <c r="J104" s="21"/>
      <c r="K104" s="21"/>
      <c r="L104" s="21"/>
      <c r="M104" s="21"/>
      <c r="N104" s="21"/>
      <c r="O104" s="21"/>
      <c r="P104" s="21"/>
      <c r="Q104" s="21"/>
      <c r="R104" s="21"/>
      <c r="S104" s="21"/>
      <c r="T104" s="21"/>
      <c r="U104" s="21"/>
      <c r="V104" s="21"/>
      <c r="W104" s="21"/>
      <c r="X104" s="21"/>
    </row>
    <row r="105" spans="1:24" x14ac:dyDescent="0.25">
      <c r="A105" s="21"/>
      <c r="B105" s="21"/>
      <c r="C105" s="21"/>
      <c r="D105" s="21"/>
      <c r="E105" s="21"/>
      <c r="F105" s="21"/>
      <c r="G105" s="21"/>
      <c r="I105" s="21"/>
      <c r="J105" s="21"/>
      <c r="K105" s="21"/>
      <c r="L105" s="21"/>
      <c r="M105" s="21"/>
      <c r="N105" s="21"/>
      <c r="O105" s="21"/>
      <c r="P105" s="21"/>
      <c r="Q105" s="21"/>
      <c r="R105" s="21"/>
      <c r="S105" s="21"/>
      <c r="T105" s="21"/>
      <c r="U105" s="21"/>
      <c r="V105" s="21"/>
      <c r="W105" s="21"/>
      <c r="X105" s="21"/>
    </row>
    <row r="106" spans="1:24" x14ac:dyDescent="0.25">
      <c r="A106" s="21"/>
      <c r="B106" s="21"/>
      <c r="C106" s="21"/>
      <c r="D106" s="21"/>
      <c r="E106" s="21"/>
      <c r="F106" s="21"/>
      <c r="G106" s="21"/>
      <c r="I106" s="21"/>
      <c r="J106" s="21"/>
      <c r="K106" s="21"/>
      <c r="L106" s="21"/>
      <c r="M106" s="21"/>
      <c r="N106" s="21"/>
      <c r="O106" s="21"/>
      <c r="P106" s="21"/>
      <c r="Q106" s="21"/>
      <c r="R106" s="21"/>
      <c r="S106" s="21"/>
      <c r="T106" s="21"/>
      <c r="U106" s="21"/>
      <c r="V106" s="21"/>
      <c r="W106" s="21"/>
      <c r="X106" s="21"/>
    </row>
    <row r="107" spans="1:24" x14ac:dyDescent="0.25">
      <c r="A107" s="21"/>
      <c r="B107" s="21"/>
      <c r="C107" s="21"/>
      <c r="D107" s="21"/>
      <c r="E107" s="21"/>
      <c r="F107" s="21"/>
      <c r="G107" s="21"/>
      <c r="I107" s="21"/>
      <c r="J107" s="21"/>
      <c r="K107" s="21"/>
      <c r="L107" s="21"/>
      <c r="M107" s="21"/>
      <c r="N107" s="21"/>
      <c r="O107" s="21"/>
      <c r="P107" s="21"/>
      <c r="Q107" s="21"/>
      <c r="R107" s="21"/>
      <c r="S107" s="21"/>
      <c r="T107" s="21"/>
      <c r="U107" s="21"/>
      <c r="V107" s="21"/>
      <c r="W107" s="21"/>
      <c r="X107" s="21"/>
    </row>
    <row r="108" spans="1:24" x14ac:dyDescent="0.25">
      <c r="A108" s="21"/>
      <c r="B108" s="21"/>
      <c r="C108" s="21"/>
      <c r="D108" s="21"/>
      <c r="E108" s="21"/>
      <c r="F108" s="21"/>
      <c r="G108" s="21"/>
      <c r="I108" s="21"/>
      <c r="J108" s="21"/>
      <c r="K108" s="21"/>
      <c r="L108" s="21"/>
      <c r="M108" s="21"/>
      <c r="N108" s="21"/>
      <c r="O108" s="21"/>
      <c r="P108" s="21"/>
      <c r="Q108" s="21"/>
      <c r="R108" s="21"/>
      <c r="S108" s="21"/>
      <c r="T108" s="21"/>
      <c r="U108" s="21"/>
      <c r="V108" s="21"/>
      <c r="W108" s="21"/>
      <c r="X108" s="21"/>
    </row>
    <row r="109" spans="1:24" x14ac:dyDescent="0.25">
      <c r="A109" s="21"/>
      <c r="B109" s="21"/>
      <c r="C109" s="21"/>
      <c r="D109" s="21"/>
      <c r="E109" s="21"/>
      <c r="F109" s="21"/>
      <c r="G109" s="21"/>
      <c r="I109" s="21"/>
      <c r="J109" s="21"/>
      <c r="K109" s="21"/>
      <c r="L109" s="21"/>
      <c r="M109" s="21"/>
      <c r="N109" s="21"/>
      <c r="O109" s="21"/>
      <c r="P109" s="21"/>
      <c r="Q109" s="21"/>
      <c r="R109" s="21"/>
      <c r="S109" s="21"/>
      <c r="T109" s="21"/>
      <c r="U109" s="21"/>
      <c r="V109" s="21"/>
      <c r="W109" s="21"/>
      <c r="X109" s="21"/>
    </row>
    <row r="110" spans="1:24" x14ac:dyDescent="0.25">
      <c r="A110" s="21"/>
      <c r="B110" s="21"/>
      <c r="C110" s="21"/>
      <c r="D110" s="21"/>
      <c r="E110" s="21"/>
      <c r="F110" s="21"/>
      <c r="G110" s="21"/>
      <c r="I110" s="21"/>
      <c r="J110" s="21"/>
      <c r="K110" s="21"/>
      <c r="L110" s="21"/>
      <c r="M110" s="21"/>
      <c r="N110" s="21"/>
      <c r="O110" s="21"/>
      <c r="P110" s="21"/>
      <c r="Q110" s="21"/>
      <c r="R110" s="21"/>
      <c r="S110" s="21"/>
      <c r="T110" s="21"/>
      <c r="U110" s="21"/>
      <c r="V110" s="21"/>
      <c r="W110" s="21"/>
      <c r="X110" s="21"/>
    </row>
    <row r="111" spans="1:24" x14ac:dyDescent="0.25">
      <c r="A111" s="21"/>
      <c r="B111" s="21"/>
      <c r="C111" s="21"/>
      <c r="D111" s="21"/>
      <c r="E111" s="21"/>
      <c r="F111" s="21"/>
      <c r="G111" s="21"/>
      <c r="I111" s="21"/>
      <c r="J111" s="21"/>
      <c r="K111" s="21"/>
      <c r="L111" s="21"/>
      <c r="M111" s="21"/>
      <c r="N111" s="21"/>
      <c r="O111" s="21"/>
      <c r="P111" s="21"/>
      <c r="Q111" s="21"/>
      <c r="R111" s="21"/>
      <c r="S111" s="21"/>
      <c r="T111" s="21"/>
      <c r="U111" s="21"/>
      <c r="V111" s="21"/>
      <c r="W111" s="21"/>
      <c r="X111" s="21"/>
    </row>
    <row r="112" spans="1:24" x14ac:dyDescent="0.25">
      <c r="A112" s="21"/>
      <c r="B112" s="21"/>
      <c r="C112" s="21"/>
      <c r="D112" s="21"/>
      <c r="E112" s="21"/>
      <c r="F112" s="21"/>
      <c r="G112" s="21"/>
      <c r="I112" s="21"/>
      <c r="J112" s="21"/>
      <c r="K112" s="21"/>
      <c r="L112" s="21"/>
      <c r="M112" s="21"/>
      <c r="N112" s="21"/>
      <c r="O112" s="21"/>
      <c r="P112" s="21"/>
      <c r="Q112" s="21"/>
      <c r="R112" s="21"/>
      <c r="S112" s="21"/>
      <c r="T112" s="21"/>
      <c r="U112" s="21"/>
      <c r="V112" s="21"/>
      <c r="W112" s="21"/>
      <c r="X112" s="21"/>
    </row>
    <row r="113" spans="1:24" x14ac:dyDescent="0.25">
      <c r="A113" s="21"/>
      <c r="B113" s="21"/>
      <c r="C113" s="21"/>
      <c r="D113" s="21"/>
      <c r="E113" s="21"/>
      <c r="F113" s="21"/>
      <c r="G113" s="21"/>
      <c r="I113" s="21"/>
      <c r="J113" s="21"/>
      <c r="K113" s="21"/>
      <c r="L113" s="21"/>
      <c r="M113" s="21"/>
      <c r="N113" s="21"/>
      <c r="O113" s="21"/>
      <c r="P113" s="21"/>
      <c r="Q113" s="21"/>
      <c r="R113" s="21"/>
      <c r="S113" s="21"/>
      <c r="T113" s="21"/>
      <c r="U113" s="21"/>
      <c r="V113" s="21"/>
      <c r="W113" s="21"/>
      <c r="X113" s="21"/>
    </row>
    <row r="114" spans="1:24" x14ac:dyDescent="0.25">
      <c r="A114" s="21"/>
      <c r="B114" s="21"/>
      <c r="C114" s="21"/>
      <c r="D114" s="21"/>
      <c r="E114" s="21"/>
      <c r="F114" s="21"/>
      <c r="G114" s="21"/>
      <c r="I114" s="21"/>
      <c r="J114" s="21"/>
      <c r="K114" s="21"/>
      <c r="L114" s="21"/>
      <c r="M114" s="21"/>
      <c r="N114" s="21"/>
      <c r="O114" s="21"/>
      <c r="P114" s="21"/>
      <c r="Q114" s="21"/>
      <c r="R114" s="21"/>
      <c r="S114" s="21"/>
      <c r="T114" s="21"/>
      <c r="U114" s="21"/>
      <c r="V114" s="21"/>
      <c r="W114" s="21"/>
      <c r="X114" s="21"/>
    </row>
    <row r="115" spans="1:24" x14ac:dyDescent="0.25">
      <c r="A115" s="21"/>
      <c r="B115" s="21"/>
      <c r="C115" s="21"/>
      <c r="D115" s="21"/>
      <c r="E115" s="21"/>
      <c r="F115" s="21"/>
      <c r="G115" s="21"/>
      <c r="I115" s="21"/>
      <c r="J115" s="21"/>
      <c r="K115" s="21"/>
      <c r="L115" s="21"/>
      <c r="M115" s="21"/>
      <c r="N115" s="21"/>
      <c r="O115" s="21"/>
      <c r="P115" s="21"/>
      <c r="Q115" s="21"/>
      <c r="R115" s="21"/>
      <c r="S115" s="21"/>
      <c r="T115" s="21"/>
      <c r="U115" s="21"/>
      <c r="V115" s="21"/>
      <c r="W115" s="21"/>
      <c r="X115" s="21"/>
    </row>
    <row r="116" spans="1:24" x14ac:dyDescent="0.25">
      <c r="A116" s="21"/>
      <c r="B116" s="21"/>
      <c r="C116" s="21"/>
      <c r="D116" s="21"/>
      <c r="E116" s="21"/>
      <c r="F116" s="21"/>
      <c r="G116" s="21"/>
      <c r="I116" s="21"/>
      <c r="J116" s="21"/>
      <c r="K116" s="21"/>
      <c r="L116" s="21"/>
      <c r="M116" s="21"/>
      <c r="N116" s="21"/>
      <c r="O116" s="21"/>
      <c r="P116" s="21"/>
      <c r="Q116" s="21"/>
      <c r="R116" s="21"/>
      <c r="S116" s="21"/>
      <c r="T116" s="21"/>
      <c r="U116" s="21"/>
      <c r="V116" s="21"/>
      <c r="W116" s="21"/>
      <c r="X116" s="21"/>
    </row>
    <row r="117" spans="1:24" x14ac:dyDescent="0.25">
      <c r="A117" s="21"/>
      <c r="B117" s="21"/>
      <c r="C117" s="21"/>
      <c r="D117" s="21"/>
      <c r="E117" s="21"/>
      <c r="F117" s="21"/>
      <c r="G117" s="21"/>
      <c r="I117" s="21"/>
      <c r="J117" s="21"/>
      <c r="K117" s="21"/>
      <c r="L117" s="21"/>
      <c r="M117" s="21"/>
      <c r="N117" s="21"/>
      <c r="O117" s="21"/>
      <c r="P117" s="21"/>
      <c r="Q117" s="21"/>
      <c r="R117" s="21"/>
      <c r="S117" s="21"/>
      <c r="T117" s="21"/>
      <c r="U117" s="21"/>
      <c r="V117" s="21"/>
      <c r="W117" s="21"/>
      <c r="X117" s="21"/>
    </row>
    <row r="118" spans="1:24" x14ac:dyDescent="0.25">
      <c r="A118" s="21"/>
      <c r="B118" s="21"/>
      <c r="C118" s="21"/>
      <c r="D118" s="21"/>
      <c r="E118" s="21"/>
      <c r="F118" s="21"/>
      <c r="G118" s="21"/>
      <c r="I118" s="21"/>
      <c r="J118" s="21"/>
      <c r="K118" s="21"/>
      <c r="L118" s="21"/>
      <c r="M118" s="21"/>
      <c r="N118" s="21"/>
      <c r="O118" s="21"/>
      <c r="P118" s="21"/>
      <c r="Q118" s="21"/>
      <c r="R118" s="21"/>
      <c r="S118" s="21"/>
      <c r="T118" s="21"/>
      <c r="U118" s="21"/>
      <c r="V118" s="21"/>
      <c r="W118" s="21"/>
      <c r="X118" s="21"/>
    </row>
    <row r="119" spans="1:24" x14ac:dyDescent="0.25">
      <c r="A119" s="21"/>
      <c r="B119" s="21"/>
      <c r="C119" s="21"/>
      <c r="D119" s="21"/>
      <c r="E119" s="21"/>
      <c r="F119" s="21"/>
      <c r="G119" s="21"/>
      <c r="I119" s="21"/>
      <c r="J119" s="21"/>
      <c r="K119" s="21"/>
      <c r="L119" s="21"/>
      <c r="M119" s="21"/>
      <c r="N119" s="21"/>
      <c r="O119" s="21"/>
      <c r="P119" s="21"/>
      <c r="Q119" s="21"/>
      <c r="R119" s="21"/>
      <c r="S119" s="21"/>
      <c r="T119" s="21"/>
      <c r="U119" s="21"/>
      <c r="V119" s="21"/>
      <c r="W119" s="21"/>
      <c r="X119" s="21"/>
    </row>
    <row r="120" spans="1:24" x14ac:dyDescent="0.25">
      <c r="A120" s="21"/>
      <c r="B120" s="21"/>
      <c r="C120" s="21"/>
      <c r="D120" s="21"/>
      <c r="E120" s="21"/>
      <c r="F120" s="21"/>
      <c r="G120" s="21"/>
      <c r="I120" s="21"/>
      <c r="J120" s="21"/>
      <c r="K120" s="21"/>
      <c r="L120" s="21"/>
      <c r="M120" s="21"/>
      <c r="N120" s="21"/>
      <c r="O120" s="21"/>
      <c r="P120" s="21"/>
      <c r="Q120" s="21"/>
      <c r="R120" s="21"/>
      <c r="S120" s="21"/>
      <c r="T120" s="21"/>
      <c r="U120" s="21"/>
      <c r="V120" s="21"/>
      <c r="W120" s="21"/>
      <c r="X120" s="21"/>
    </row>
    <row r="121" spans="1:24" x14ac:dyDescent="0.25">
      <c r="A121" s="21"/>
      <c r="B121" s="21"/>
      <c r="C121" s="21"/>
      <c r="D121" s="21"/>
      <c r="E121" s="21"/>
      <c r="F121" s="21"/>
      <c r="G121" s="21"/>
      <c r="I121" s="21"/>
      <c r="J121" s="21"/>
      <c r="K121" s="21"/>
      <c r="L121" s="21"/>
      <c r="M121" s="21"/>
      <c r="N121" s="21"/>
      <c r="O121" s="21"/>
      <c r="P121" s="21"/>
      <c r="Q121" s="21"/>
      <c r="R121" s="21"/>
      <c r="S121" s="21"/>
      <c r="T121" s="21"/>
      <c r="U121" s="21"/>
      <c r="V121" s="21"/>
      <c r="W121" s="21"/>
      <c r="X121" s="21"/>
    </row>
    <row r="122" spans="1:24" x14ac:dyDescent="0.25">
      <c r="A122" s="21"/>
      <c r="B122" s="21"/>
      <c r="C122" s="21"/>
      <c r="D122" s="21"/>
      <c r="E122" s="21"/>
      <c r="F122" s="21"/>
      <c r="G122" s="21"/>
      <c r="I122" s="21"/>
      <c r="J122" s="21"/>
      <c r="K122" s="21"/>
      <c r="L122" s="21"/>
      <c r="M122" s="21"/>
      <c r="N122" s="21"/>
      <c r="O122" s="21"/>
      <c r="P122" s="21"/>
      <c r="Q122" s="21"/>
      <c r="R122" s="21"/>
      <c r="S122" s="21"/>
      <c r="T122" s="21"/>
      <c r="U122" s="21"/>
      <c r="V122" s="21"/>
      <c r="W122" s="21"/>
      <c r="X122" s="21"/>
    </row>
    <row r="123" spans="1:24" x14ac:dyDescent="0.25">
      <c r="A123" s="21"/>
      <c r="B123" s="21"/>
      <c r="C123" s="21"/>
      <c r="D123" s="21"/>
      <c r="E123" s="21"/>
      <c r="F123" s="21"/>
      <c r="G123" s="21"/>
      <c r="I123" s="21"/>
      <c r="J123" s="21"/>
      <c r="K123" s="21"/>
      <c r="L123" s="21"/>
      <c r="M123" s="21"/>
      <c r="N123" s="21"/>
      <c r="O123" s="21"/>
      <c r="P123" s="21"/>
      <c r="Q123" s="21"/>
      <c r="R123" s="21"/>
      <c r="S123" s="21"/>
      <c r="T123" s="21"/>
      <c r="U123" s="21"/>
      <c r="V123" s="21"/>
      <c r="W123" s="21"/>
      <c r="X123" s="21"/>
    </row>
    <row r="124" spans="1:24" x14ac:dyDescent="0.25">
      <c r="A124" s="21"/>
      <c r="B124" s="21"/>
      <c r="C124" s="21"/>
      <c r="D124" s="21"/>
      <c r="E124" s="21"/>
      <c r="F124" s="21"/>
      <c r="G124" s="21"/>
      <c r="I124" s="21"/>
      <c r="J124" s="21"/>
      <c r="K124" s="21"/>
      <c r="L124" s="21"/>
      <c r="M124" s="21"/>
      <c r="N124" s="21"/>
      <c r="O124" s="21"/>
      <c r="P124" s="21"/>
      <c r="Q124" s="21"/>
      <c r="R124" s="21"/>
      <c r="S124" s="21"/>
      <c r="T124" s="21"/>
      <c r="U124" s="21"/>
      <c r="V124" s="21"/>
      <c r="W124" s="21"/>
      <c r="X124" s="21"/>
    </row>
    <row r="125" spans="1:24" x14ac:dyDescent="0.25">
      <c r="A125" s="21"/>
      <c r="B125" s="21"/>
      <c r="C125" s="21"/>
      <c r="D125" s="21"/>
      <c r="E125" s="21"/>
      <c r="F125" s="21"/>
    </row>
    <row r="126" spans="1:24" x14ac:dyDescent="0.25">
      <c r="A126" s="21"/>
      <c r="B126" s="21"/>
      <c r="C126" s="21"/>
      <c r="D126" s="21"/>
      <c r="E126" s="21"/>
      <c r="F126" s="21"/>
    </row>
    <row r="127" spans="1:24" x14ac:dyDescent="0.25">
      <c r="A127" s="21"/>
      <c r="B127" s="21"/>
      <c r="C127" s="21"/>
      <c r="D127" s="21"/>
      <c r="E127" s="21"/>
      <c r="F127" s="21"/>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B3:W48">
    <cfRule type="cellIs" dxfId="15" priority="1" operator="greaterThan">
      <formula>6.99</formula>
    </cfRule>
    <cfRule type="cellIs" dxfId="14" priority="2" operator="lessThan">
      <formula>4.6</formula>
    </cfRule>
  </conditionalFormatting>
  <conditionalFormatting sqref="Z5:AS45">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1" t="s">
        <v>232</v>
      </c>
      <c r="C1" s="71" t="s">
        <v>233</v>
      </c>
      <c r="F1" s="240" t="s">
        <v>234</v>
      </c>
      <c r="G1" s="240"/>
      <c r="H1" s="240" t="s">
        <v>235</v>
      </c>
      <c r="I1" s="240"/>
      <c r="J1" s="240" t="s">
        <v>236</v>
      </c>
      <c r="K1" s="240"/>
      <c r="L1" s="240" t="s">
        <v>237</v>
      </c>
      <c r="M1" s="240"/>
      <c r="N1" s="240" t="s">
        <v>238</v>
      </c>
      <c r="O1" s="240"/>
    </row>
    <row r="2" spans="1:17" ht="19.5" thickBot="1" x14ac:dyDescent="0.35">
      <c r="F2" s="72" t="s">
        <v>239</v>
      </c>
      <c r="G2" s="72" t="s">
        <v>240</v>
      </c>
      <c r="H2" s="241"/>
      <c r="I2" s="242"/>
      <c r="J2" s="241"/>
      <c r="K2" s="242"/>
      <c r="L2" s="72" t="s">
        <v>239</v>
      </c>
      <c r="M2" s="72" t="s">
        <v>240</v>
      </c>
      <c r="N2" s="241"/>
      <c r="O2" s="242"/>
    </row>
    <row r="3" spans="1:17" x14ac:dyDescent="0.25">
      <c r="A3" t="s">
        <v>241</v>
      </c>
      <c r="C3" t="s">
        <v>242</v>
      </c>
      <c r="E3" s="73" t="s">
        <v>243</v>
      </c>
      <c r="F3" s="234">
        <v>0.64709000000000005</v>
      </c>
      <c r="G3" s="234"/>
      <c r="H3" s="234">
        <v>0.97192999999999996</v>
      </c>
      <c r="I3" s="234"/>
      <c r="J3" s="74"/>
      <c r="K3" s="74"/>
      <c r="L3" s="74"/>
      <c r="M3" s="74"/>
      <c r="N3" s="74"/>
      <c r="O3" s="75"/>
      <c r="P3" s="76">
        <f>F3+H3+H4+F4</f>
        <v>2.2834299999999996</v>
      </c>
      <c r="Q3" s="76"/>
    </row>
    <row r="4" spans="1:17" ht="15.75" thickBot="1" x14ac:dyDescent="0.3">
      <c r="A4" t="s">
        <v>244</v>
      </c>
      <c r="C4" t="s">
        <v>245</v>
      </c>
      <c r="E4" s="77" t="s">
        <v>246</v>
      </c>
      <c r="F4" s="239">
        <v>0.26545000000000002</v>
      </c>
      <c r="G4" s="239"/>
      <c r="H4" s="239">
        <v>0.39895999999999998</v>
      </c>
      <c r="I4" s="239"/>
      <c r="J4" s="78"/>
      <c r="K4" s="78"/>
      <c r="L4" s="78"/>
      <c r="M4" s="78"/>
      <c r="N4" s="78"/>
      <c r="O4" s="79"/>
      <c r="P4" s="76"/>
      <c r="Q4" s="76"/>
    </row>
    <row r="5" spans="1:17" x14ac:dyDescent="0.25">
      <c r="A5" t="s">
        <v>247</v>
      </c>
      <c r="C5" t="s">
        <v>247</v>
      </c>
      <c r="E5" s="73" t="s">
        <v>248</v>
      </c>
      <c r="F5" s="74">
        <v>0.50017999999999996</v>
      </c>
      <c r="G5" s="74">
        <v>0.25008999999999998</v>
      </c>
      <c r="H5" s="234">
        <v>1</v>
      </c>
      <c r="I5" s="234"/>
      <c r="J5" s="74"/>
      <c r="K5" s="74"/>
      <c r="L5" s="74"/>
      <c r="M5" s="74"/>
      <c r="N5" s="74"/>
      <c r="O5" s="75"/>
      <c r="P5" s="76">
        <f>F5+G5+H5+J6</f>
        <v>2.02515</v>
      </c>
      <c r="Q5" s="76"/>
    </row>
    <row r="6" spans="1:17" ht="15.75" thickBot="1" x14ac:dyDescent="0.3">
      <c r="E6" s="77" t="s">
        <v>249</v>
      </c>
      <c r="F6" s="78"/>
      <c r="G6" s="78"/>
      <c r="H6" s="78"/>
      <c r="I6" s="78"/>
      <c r="J6" s="239">
        <v>0.27488000000000001</v>
      </c>
      <c r="K6" s="239"/>
      <c r="L6" s="78"/>
      <c r="M6" s="78"/>
      <c r="N6" s="78"/>
      <c r="O6" s="79"/>
      <c r="P6" s="76"/>
      <c r="Q6" s="76"/>
    </row>
    <row r="7" spans="1:17" ht="18.75" x14ac:dyDescent="0.3">
      <c r="A7" t="s">
        <v>250</v>
      </c>
      <c r="C7" s="71" t="s">
        <v>251</v>
      </c>
      <c r="E7" s="73" t="s">
        <v>252</v>
      </c>
      <c r="F7" s="74">
        <v>0.35504999999999998</v>
      </c>
      <c r="G7" s="74">
        <v>0.17752000000000001</v>
      </c>
      <c r="H7" s="234">
        <v>0.72296000000000005</v>
      </c>
      <c r="I7" s="234"/>
      <c r="J7" s="74"/>
      <c r="K7" s="74"/>
      <c r="L7" s="74"/>
      <c r="M7" s="74"/>
      <c r="N7" s="74"/>
      <c r="O7" s="75"/>
      <c r="P7" s="76">
        <f>F7+G7+H7+J8</f>
        <v>1.6189</v>
      </c>
    </row>
    <row r="8" spans="1:17" ht="15.75" thickBot="1" x14ac:dyDescent="0.3">
      <c r="A8" t="s">
        <v>253</v>
      </c>
      <c r="E8" s="77" t="s">
        <v>254</v>
      </c>
      <c r="F8" s="78"/>
      <c r="G8" s="78"/>
      <c r="H8" s="78"/>
      <c r="I8" s="78"/>
      <c r="J8" s="239">
        <v>0.36337000000000003</v>
      </c>
      <c r="K8" s="239"/>
      <c r="L8" s="78"/>
      <c r="M8" s="78"/>
      <c r="N8" s="78"/>
      <c r="O8" s="79"/>
      <c r="P8" s="76"/>
    </row>
    <row r="9" spans="1:17" x14ac:dyDescent="0.25">
      <c r="C9" t="s">
        <v>242</v>
      </c>
      <c r="E9" s="73" t="s">
        <v>255</v>
      </c>
      <c r="F9" s="74">
        <v>0.65615999999999997</v>
      </c>
      <c r="G9" s="74"/>
      <c r="H9" s="234">
        <v>0.78437000000000001</v>
      </c>
      <c r="I9" s="234"/>
      <c r="J9" s="74"/>
      <c r="K9" s="74"/>
      <c r="L9" s="74"/>
      <c r="M9" s="74"/>
      <c r="N9" s="74"/>
      <c r="O9" s="75"/>
      <c r="P9" s="76">
        <f>F9+H9+J10+L11</f>
        <v>1.8734299999999999</v>
      </c>
    </row>
    <row r="10" spans="1:17" x14ac:dyDescent="0.25">
      <c r="A10" t="s">
        <v>256</v>
      </c>
      <c r="C10" t="s">
        <v>245</v>
      </c>
      <c r="E10" s="80" t="s">
        <v>257</v>
      </c>
      <c r="F10" s="81"/>
      <c r="G10" s="81"/>
      <c r="H10" s="81"/>
      <c r="I10" s="81"/>
      <c r="J10" s="238">
        <v>0.1464</v>
      </c>
      <c r="K10" s="238"/>
      <c r="L10" s="81"/>
      <c r="M10" s="81"/>
      <c r="N10" s="81"/>
      <c r="O10" s="82"/>
      <c r="P10" s="76"/>
    </row>
    <row r="11" spans="1:17" ht="15.75" thickBot="1" x14ac:dyDescent="0.3">
      <c r="A11" t="s">
        <v>258</v>
      </c>
      <c r="C11" t="s">
        <v>247</v>
      </c>
      <c r="E11" s="77" t="s">
        <v>259</v>
      </c>
      <c r="F11" s="78"/>
      <c r="G11" s="78"/>
      <c r="H11" s="78"/>
      <c r="I11" s="78"/>
      <c r="J11" s="83"/>
      <c r="K11" s="83"/>
      <c r="L11" s="78">
        <v>0.28649999999999998</v>
      </c>
      <c r="M11" s="78"/>
      <c r="N11" s="78"/>
      <c r="O11" s="79"/>
      <c r="P11" s="76"/>
    </row>
    <row r="12" spans="1:17" x14ac:dyDescent="0.25">
      <c r="E12" s="73" t="s">
        <v>260</v>
      </c>
      <c r="F12" s="234">
        <v>0.42514999999999997</v>
      </c>
      <c r="G12" s="234"/>
      <c r="H12" s="234">
        <v>0.85</v>
      </c>
      <c r="I12" s="234"/>
      <c r="J12" s="74"/>
      <c r="K12" s="74"/>
      <c r="L12" s="74"/>
      <c r="M12" s="74"/>
      <c r="N12" s="74"/>
      <c r="O12" s="75"/>
      <c r="P12" s="76">
        <f>F12+H12+J13</f>
        <v>1.5087999999999999</v>
      </c>
    </row>
    <row r="13" spans="1:17" ht="19.5" thickBot="1" x14ac:dyDescent="0.35">
      <c r="A13" s="71" t="s">
        <v>261</v>
      </c>
      <c r="C13" s="84" t="s">
        <v>262</v>
      </c>
      <c r="E13" s="77" t="s">
        <v>263</v>
      </c>
      <c r="F13" s="78"/>
      <c r="G13" s="78"/>
      <c r="H13" s="78"/>
      <c r="I13" s="78"/>
      <c r="J13" s="239">
        <v>0.23365</v>
      </c>
      <c r="K13" s="239"/>
      <c r="L13" s="78"/>
      <c r="M13" s="78"/>
      <c r="N13" s="78"/>
      <c r="O13" s="79"/>
      <c r="P13" s="76"/>
    </row>
    <row r="14" spans="1:17" x14ac:dyDescent="0.25">
      <c r="C14" s="84" t="s">
        <v>264</v>
      </c>
      <c r="E14" s="73" t="s">
        <v>265</v>
      </c>
      <c r="F14" s="74">
        <v>1</v>
      </c>
      <c r="G14" s="74"/>
      <c r="H14" s="234">
        <v>0.51382000000000005</v>
      </c>
      <c r="I14" s="234"/>
      <c r="J14" s="74"/>
      <c r="K14" s="74"/>
      <c r="L14" s="74"/>
      <c r="M14" s="74"/>
      <c r="N14" s="74"/>
      <c r="O14" s="75"/>
      <c r="P14" s="76">
        <f>F14+H14+J15+L16</f>
        <v>1.88497</v>
      </c>
      <c r="Q14" s="76"/>
    </row>
    <row r="15" spans="1:17" x14ac:dyDescent="0.25">
      <c r="A15" t="s">
        <v>241</v>
      </c>
      <c r="C15" s="84" t="s">
        <v>266</v>
      </c>
      <c r="E15" s="80" t="s">
        <v>267</v>
      </c>
      <c r="F15" s="81"/>
      <c r="G15" s="81"/>
      <c r="H15" s="81"/>
      <c r="I15" s="81"/>
      <c r="J15" s="238">
        <v>4.3869999999999999E-2</v>
      </c>
      <c r="K15" s="238"/>
      <c r="L15" s="81"/>
      <c r="M15" s="81"/>
      <c r="N15" s="81"/>
      <c r="O15" s="82"/>
      <c r="P15" s="76"/>
      <c r="Q15" s="76"/>
    </row>
    <row r="16" spans="1:17" ht="15.75" thickBot="1" x14ac:dyDescent="0.3">
      <c r="A16" t="s">
        <v>244</v>
      </c>
      <c r="C16" s="84" t="s">
        <v>268</v>
      </c>
      <c r="E16" s="77" t="s">
        <v>269</v>
      </c>
      <c r="F16" s="78"/>
      <c r="G16" s="78"/>
      <c r="H16" s="78"/>
      <c r="I16" s="78"/>
      <c r="J16" s="83"/>
      <c r="K16" s="83"/>
      <c r="L16" s="78">
        <v>0.32728000000000002</v>
      </c>
      <c r="M16" s="78"/>
      <c r="N16" s="78"/>
      <c r="O16" s="79"/>
      <c r="P16" s="76"/>
      <c r="Q16" s="76"/>
    </row>
    <row r="17" spans="1:16" x14ac:dyDescent="0.25">
      <c r="A17" t="s">
        <v>247</v>
      </c>
      <c r="C17" s="84" t="s">
        <v>270</v>
      </c>
      <c r="E17" s="73" t="s">
        <v>271</v>
      </c>
      <c r="F17" s="74">
        <v>0.91232999999999997</v>
      </c>
      <c r="G17" s="74"/>
      <c r="H17" s="234">
        <v>0.46146999999999999</v>
      </c>
      <c r="I17" s="234"/>
      <c r="J17" s="74"/>
      <c r="K17" s="74"/>
      <c r="L17" s="74"/>
      <c r="M17" s="74"/>
      <c r="N17" s="74"/>
      <c r="O17" s="75"/>
      <c r="P17" s="76">
        <f>F17+H17+J18+L19</f>
        <v>2.0396200000000002</v>
      </c>
    </row>
    <row r="18" spans="1:16" x14ac:dyDescent="0.25">
      <c r="A18" t="s">
        <v>256</v>
      </c>
      <c r="C18" s="84" t="s">
        <v>272</v>
      </c>
      <c r="E18" s="80" t="s">
        <v>273</v>
      </c>
      <c r="F18" s="81"/>
      <c r="G18" s="81"/>
      <c r="H18" s="81"/>
      <c r="I18" s="81"/>
      <c r="J18" s="238">
        <v>0.15035999999999999</v>
      </c>
      <c r="K18" s="238"/>
      <c r="L18" s="81"/>
      <c r="M18" s="81"/>
      <c r="N18" s="81"/>
      <c r="O18" s="82"/>
      <c r="P18" s="76"/>
    </row>
    <row r="19" spans="1:16" ht="15.75" thickBot="1" x14ac:dyDescent="0.3">
      <c r="A19" t="s">
        <v>258</v>
      </c>
      <c r="C19" s="84" t="s">
        <v>274</v>
      </c>
      <c r="E19" s="77" t="s">
        <v>275</v>
      </c>
      <c r="F19" s="78"/>
      <c r="G19" s="78"/>
      <c r="H19" s="78"/>
      <c r="I19" s="78"/>
      <c r="J19" s="83"/>
      <c r="K19" s="83"/>
      <c r="L19" s="78">
        <v>0.51546000000000003</v>
      </c>
      <c r="M19" s="78"/>
      <c r="N19" s="78"/>
      <c r="O19" s="79"/>
      <c r="P19" s="76"/>
    </row>
    <row r="20" spans="1:16" x14ac:dyDescent="0.25">
      <c r="C20" s="84" t="s">
        <v>276</v>
      </c>
      <c r="E20" s="73" t="s">
        <v>277</v>
      </c>
      <c r="F20" s="74">
        <v>0.69059999999999999</v>
      </c>
      <c r="G20" s="74"/>
      <c r="H20" s="234">
        <v>0.38878000000000001</v>
      </c>
      <c r="I20" s="234"/>
      <c r="J20" s="74"/>
      <c r="K20" s="74"/>
      <c r="L20" s="74"/>
      <c r="M20" s="74"/>
      <c r="N20" s="74"/>
      <c r="O20" s="75"/>
      <c r="P20" s="76">
        <f>F20+H20+J21+L22</f>
        <v>1.9173399999999998</v>
      </c>
    </row>
    <row r="21" spans="1:16" ht="18.75" x14ac:dyDescent="0.3">
      <c r="A21" s="71" t="s">
        <v>236</v>
      </c>
      <c r="C21" s="84" t="s">
        <v>278</v>
      </c>
      <c r="E21" s="80" t="s">
        <v>279</v>
      </c>
      <c r="F21" s="81"/>
      <c r="G21" s="81"/>
      <c r="H21" s="81"/>
      <c r="I21" s="81"/>
      <c r="J21" s="238">
        <v>0.2099</v>
      </c>
      <c r="K21" s="238"/>
      <c r="L21" s="81"/>
      <c r="M21" s="81"/>
      <c r="N21" s="81"/>
      <c r="O21" s="82"/>
      <c r="P21" s="76"/>
    </row>
    <row r="22" spans="1:16" ht="15.75" thickBot="1" x14ac:dyDescent="0.3">
      <c r="C22" s="84" t="s">
        <v>280</v>
      </c>
      <c r="E22" s="77" t="s">
        <v>281</v>
      </c>
      <c r="F22" s="78"/>
      <c r="G22" s="78"/>
      <c r="H22" s="78"/>
      <c r="I22" s="78"/>
      <c r="J22" s="83"/>
      <c r="K22" s="83"/>
      <c r="L22" s="78">
        <v>0.62805999999999995</v>
      </c>
      <c r="M22" s="78"/>
      <c r="N22" s="78"/>
      <c r="O22" s="79"/>
      <c r="P22" s="76"/>
    </row>
    <row r="23" spans="1:16" x14ac:dyDescent="0.25">
      <c r="A23" t="s">
        <v>282</v>
      </c>
      <c r="C23" s="84" t="s">
        <v>283</v>
      </c>
      <c r="E23" s="73" t="s">
        <v>284</v>
      </c>
      <c r="F23" s="74">
        <v>0.68315000000000003</v>
      </c>
      <c r="G23" s="74"/>
      <c r="H23" s="234">
        <v>0.70006000000000002</v>
      </c>
      <c r="I23" s="234"/>
      <c r="J23" s="74"/>
      <c r="K23" s="74"/>
      <c r="L23" s="74"/>
      <c r="M23" s="74"/>
      <c r="N23" s="74"/>
      <c r="O23" s="75"/>
      <c r="P23" s="76">
        <f>F23+H23+J24+L25</f>
        <v>1.85917</v>
      </c>
    </row>
    <row r="24" spans="1:16" x14ac:dyDescent="0.25">
      <c r="A24" t="s">
        <v>285</v>
      </c>
      <c r="C24" s="84" t="s">
        <v>286</v>
      </c>
      <c r="E24" s="80" t="s">
        <v>287</v>
      </c>
      <c r="F24" s="81"/>
      <c r="G24" s="81"/>
      <c r="H24" s="81"/>
      <c r="I24" s="81"/>
      <c r="J24" s="238">
        <v>0.152</v>
      </c>
      <c r="K24" s="238"/>
      <c r="L24" s="81"/>
      <c r="M24" s="81"/>
      <c r="N24" s="81"/>
      <c r="O24" s="82"/>
      <c r="P24" s="76"/>
    </row>
    <row r="25" spans="1:16" ht="15.75" thickBot="1" x14ac:dyDescent="0.3">
      <c r="A25" t="s">
        <v>288</v>
      </c>
      <c r="C25" s="84" t="s">
        <v>289</v>
      </c>
      <c r="E25" s="77" t="s">
        <v>290</v>
      </c>
      <c r="F25" s="78"/>
      <c r="G25" s="78"/>
      <c r="H25" s="78"/>
      <c r="I25" s="78"/>
      <c r="J25" s="83"/>
      <c r="K25" s="83"/>
      <c r="L25" s="78">
        <v>0.32396000000000003</v>
      </c>
      <c r="M25" s="78"/>
      <c r="N25" s="78"/>
      <c r="O25" s="79"/>
      <c r="P25" s="76"/>
    </row>
    <row r="26" spans="1:16" x14ac:dyDescent="0.25">
      <c r="C26" s="84" t="s">
        <v>291</v>
      </c>
      <c r="E26" s="73" t="s">
        <v>292</v>
      </c>
      <c r="F26" s="74">
        <v>0.18545</v>
      </c>
      <c r="G26" s="74">
        <v>9.2719999999999997E-2</v>
      </c>
      <c r="H26" s="234">
        <v>0.42459999999999998</v>
      </c>
      <c r="I26" s="234"/>
      <c r="J26" s="74"/>
      <c r="K26" s="74"/>
      <c r="L26" s="74"/>
      <c r="M26" s="74"/>
      <c r="N26" s="227"/>
      <c r="O26" s="229"/>
      <c r="P26" s="76">
        <f>F26+G26+H26+J27+L28+M28+N28</f>
        <v>2.4103300000000001</v>
      </c>
    </row>
    <row r="27" spans="1:16" x14ac:dyDescent="0.25">
      <c r="A27" t="s">
        <v>293</v>
      </c>
      <c r="C27" s="84" t="s">
        <v>294</v>
      </c>
      <c r="E27" s="80" t="s">
        <v>295</v>
      </c>
      <c r="F27" s="81"/>
      <c r="G27" s="81"/>
      <c r="H27" s="81"/>
      <c r="I27" s="81"/>
      <c r="J27" s="238">
        <v>1</v>
      </c>
      <c r="K27" s="238"/>
      <c r="L27" s="81"/>
      <c r="M27" s="81"/>
      <c r="N27" s="230"/>
      <c r="O27" s="231"/>
      <c r="P27" s="76"/>
    </row>
    <row r="28" spans="1:16" ht="15.75" thickBot="1" x14ac:dyDescent="0.3">
      <c r="A28" t="s">
        <v>296</v>
      </c>
      <c r="C28" s="84" t="s">
        <v>297</v>
      </c>
      <c r="E28" s="77" t="s">
        <v>298</v>
      </c>
      <c r="F28" s="78"/>
      <c r="G28" s="78"/>
      <c r="H28" s="78"/>
      <c r="I28" s="78"/>
      <c r="J28" s="83"/>
      <c r="K28" s="83"/>
      <c r="L28" s="78">
        <v>0.24451999999999999</v>
      </c>
      <c r="M28" s="78">
        <v>0.1226</v>
      </c>
      <c r="N28" s="232">
        <v>0.34044000000000002</v>
      </c>
      <c r="O28" s="233"/>
      <c r="P28" s="76"/>
    </row>
    <row r="29" spans="1:16" x14ac:dyDescent="0.25">
      <c r="C29" s="84" t="s">
        <v>299</v>
      </c>
      <c r="E29" s="73" t="s">
        <v>300</v>
      </c>
      <c r="F29" s="74">
        <v>0.27438000000000001</v>
      </c>
      <c r="G29" s="74">
        <v>0.13719000000000001</v>
      </c>
      <c r="H29" s="234">
        <v>0.62792999999999999</v>
      </c>
      <c r="I29" s="234"/>
      <c r="J29" s="74"/>
      <c r="K29" s="74"/>
      <c r="L29" s="74"/>
      <c r="M29" s="74"/>
      <c r="N29" s="227"/>
      <c r="O29" s="229"/>
      <c r="P29" s="76">
        <f>F29+G29+H29+L30+M30+N30+J33</f>
        <v>2.4474499999999999</v>
      </c>
    </row>
    <row r="30" spans="1:16" ht="15.75" thickBot="1" x14ac:dyDescent="0.3">
      <c r="A30" t="s">
        <v>301</v>
      </c>
      <c r="C30" s="84" t="s">
        <v>302</v>
      </c>
      <c r="E30" s="77" t="s">
        <v>303</v>
      </c>
      <c r="F30" s="78"/>
      <c r="G30" s="78"/>
      <c r="H30" s="83"/>
      <c r="I30" s="83"/>
      <c r="J30" s="78"/>
      <c r="K30" s="78"/>
      <c r="L30" s="78">
        <v>0.14949999999999999</v>
      </c>
      <c r="M30" s="78">
        <v>7.3999999999999996E-2</v>
      </c>
      <c r="N30" s="232">
        <v>0.23748</v>
      </c>
      <c r="O30" s="233"/>
      <c r="P30" s="76"/>
    </row>
    <row r="31" spans="1:16" x14ac:dyDescent="0.25">
      <c r="C31" s="84" t="s">
        <v>304</v>
      </c>
      <c r="E31" s="73" t="s">
        <v>305</v>
      </c>
      <c r="F31" s="74">
        <v>0.11212</v>
      </c>
      <c r="G31" s="74">
        <v>5.6059999999999999E-2</v>
      </c>
      <c r="H31" s="234">
        <v>0.23462</v>
      </c>
      <c r="I31" s="234"/>
      <c r="J31" s="74"/>
      <c r="K31" s="74"/>
      <c r="L31" s="74"/>
      <c r="M31" s="74"/>
      <c r="N31" s="227"/>
      <c r="O31" s="229"/>
      <c r="P31" s="76">
        <f>F31+G31+H31+L32+M32+N32+J33</f>
        <v>2.2090299999999998</v>
      </c>
    </row>
    <row r="32" spans="1:16" ht="15.75" thickBot="1" x14ac:dyDescent="0.3">
      <c r="C32" s="84" t="s">
        <v>306</v>
      </c>
      <c r="E32" s="77" t="s">
        <v>307</v>
      </c>
      <c r="F32" s="78"/>
      <c r="G32" s="78"/>
      <c r="H32" s="83"/>
      <c r="I32" s="83"/>
      <c r="J32" s="78"/>
      <c r="K32" s="78"/>
      <c r="L32" s="78">
        <v>0.23788000000000001</v>
      </c>
      <c r="M32" s="78">
        <v>0.11894</v>
      </c>
      <c r="N32" s="232">
        <v>0.50244</v>
      </c>
      <c r="O32" s="233"/>
      <c r="P32" s="76"/>
    </row>
    <row r="33" spans="1:16" ht="15.75" thickBot="1" x14ac:dyDescent="0.3">
      <c r="C33" s="84" t="s">
        <v>308</v>
      </c>
      <c r="E33" s="85" t="s">
        <v>309</v>
      </c>
      <c r="F33" s="86"/>
      <c r="G33" s="86"/>
      <c r="H33" s="86"/>
      <c r="I33" s="86"/>
      <c r="J33" s="235">
        <v>0.94696999999999998</v>
      </c>
      <c r="K33" s="235"/>
      <c r="L33" s="86"/>
      <c r="M33" s="86"/>
      <c r="N33" s="236"/>
      <c r="O33" s="237"/>
      <c r="P33" s="76"/>
    </row>
    <row r="34" spans="1:16" x14ac:dyDescent="0.25">
      <c r="E34" s="73" t="s">
        <v>310</v>
      </c>
      <c r="F34" s="234">
        <v>0.15762999999999999</v>
      </c>
      <c r="G34" s="234"/>
      <c r="H34" s="234">
        <v>0.36070000000000002</v>
      </c>
      <c r="I34" s="234"/>
      <c r="J34" s="74"/>
      <c r="K34" s="74"/>
      <c r="L34" s="74"/>
      <c r="M34" s="74"/>
      <c r="N34" s="227"/>
      <c r="O34" s="229"/>
      <c r="P34" s="76">
        <f>F34+H34+J35+L36+N36</f>
        <v>1.8655399999999998</v>
      </c>
    </row>
    <row r="35" spans="1:16" x14ac:dyDescent="0.25">
      <c r="E35" s="80" t="s">
        <v>311</v>
      </c>
      <c r="F35" s="81"/>
      <c r="G35" s="81"/>
      <c r="H35" s="81"/>
      <c r="I35" s="81"/>
      <c r="J35" s="238">
        <v>0.85</v>
      </c>
      <c r="K35" s="238"/>
      <c r="L35" s="81"/>
      <c r="M35" s="81"/>
      <c r="N35" s="230"/>
      <c r="O35" s="231"/>
      <c r="P35" s="76"/>
    </row>
    <row r="36" spans="1:16" ht="15.75" thickBot="1" x14ac:dyDescent="0.3">
      <c r="A36" s="33" t="s">
        <v>312</v>
      </c>
      <c r="E36" s="77" t="s">
        <v>313</v>
      </c>
      <c r="F36" s="78"/>
      <c r="G36" s="78"/>
      <c r="H36" s="78"/>
      <c r="I36" s="78"/>
      <c r="J36" s="83"/>
      <c r="K36" s="83"/>
      <c r="L36" s="78">
        <v>0.20784</v>
      </c>
      <c r="M36" s="78"/>
      <c r="N36" s="232">
        <v>0.28937000000000002</v>
      </c>
      <c r="O36" s="233"/>
      <c r="P36" s="76"/>
    </row>
    <row r="37" spans="1:16" x14ac:dyDescent="0.25">
      <c r="A37" t="s">
        <v>314</v>
      </c>
      <c r="E37" s="73" t="s">
        <v>315</v>
      </c>
      <c r="F37" s="234">
        <v>0.20368</v>
      </c>
      <c r="G37" s="234"/>
      <c r="H37" s="234">
        <v>0.33767000000000003</v>
      </c>
      <c r="I37" s="234"/>
      <c r="J37" s="74"/>
      <c r="K37" s="74"/>
      <c r="L37" s="74"/>
      <c r="M37" s="74"/>
      <c r="N37" s="227"/>
      <c r="O37" s="229"/>
      <c r="P37" s="76">
        <f>F37+H37+J38+L39+L40+N40</f>
        <v>2.5172699999999999</v>
      </c>
    </row>
    <row r="38" spans="1:16" x14ac:dyDescent="0.25">
      <c r="A38" t="s">
        <v>316</v>
      </c>
      <c r="E38" s="80" t="s">
        <v>317</v>
      </c>
      <c r="F38" s="81"/>
      <c r="G38" s="81"/>
      <c r="H38" s="81"/>
      <c r="I38" s="81"/>
      <c r="J38" s="238">
        <v>0.89815999999999996</v>
      </c>
      <c r="K38" s="238"/>
      <c r="L38" s="81"/>
      <c r="M38" s="81"/>
      <c r="N38" s="230"/>
      <c r="O38" s="231"/>
      <c r="P38" s="76"/>
    </row>
    <row r="39" spans="1:16" x14ac:dyDescent="0.25">
      <c r="A39" t="s">
        <v>318</v>
      </c>
      <c r="E39" s="80" t="s">
        <v>319</v>
      </c>
      <c r="F39" s="81"/>
      <c r="G39" s="81"/>
      <c r="H39" s="81"/>
      <c r="I39" s="81"/>
      <c r="J39" s="87"/>
      <c r="K39" s="87"/>
      <c r="L39" s="81">
        <v>0.57364000000000004</v>
      </c>
      <c r="M39" s="81"/>
      <c r="N39" s="230"/>
      <c r="O39" s="231"/>
      <c r="P39" s="76"/>
    </row>
    <row r="40" spans="1:16" ht="15.75" thickBot="1" x14ac:dyDescent="0.3">
      <c r="A40" t="s">
        <v>320</v>
      </c>
      <c r="E40" s="77" t="s">
        <v>321</v>
      </c>
      <c r="F40" s="78"/>
      <c r="G40" s="78"/>
      <c r="H40" s="78"/>
      <c r="I40" s="78"/>
      <c r="J40" s="83"/>
      <c r="K40" s="83"/>
      <c r="L40" s="78">
        <v>0.26422000000000001</v>
      </c>
      <c r="M40" s="78"/>
      <c r="N40" s="232">
        <v>0.2399</v>
      </c>
      <c r="O40" s="233"/>
      <c r="P40" s="76"/>
    </row>
    <row r="41" spans="1:16" x14ac:dyDescent="0.25">
      <c r="E41" s="73" t="s">
        <v>322</v>
      </c>
      <c r="F41" s="74">
        <v>0.34708</v>
      </c>
      <c r="G41" s="74"/>
      <c r="H41" s="234">
        <v>0.20830000000000001</v>
      </c>
      <c r="I41" s="234"/>
      <c r="J41" s="74"/>
      <c r="K41" s="74"/>
      <c r="L41" s="74"/>
      <c r="M41" s="74"/>
      <c r="N41" s="227"/>
      <c r="O41" s="229"/>
      <c r="P41" s="76">
        <f>F41+H41+J42+L43+L44+N44</f>
        <v>2.29189</v>
      </c>
    </row>
    <row r="42" spans="1:16" x14ac:dyDescent="0.25">
      <c r="E42" s="80" t="s">
        <v>323</v>
      </c>
      <c r="F42" s="81"/>
      <c r="G42" s="81"/>
      <c r="H42" s="81"/>
      <c r="I42" s="81"/>
      <c r="J42" s="238">
        <v>0.52559999999999996</v>
      </c>
      <c r="K42" s="238"/>
      <c r="L42" s="81"/>
      <c r="M42" s="81"/>
      <c r="N42" s="230"/>
      <c r="O42" s="231"/>
      <c r="P42" s="76"/>
    </row>
    <row r="43" spans="1:16" x14ac:dyDescent="0.25">
      <c r="A43" s="33"/>
      <c r="E43" s="80" t="s">
        <v>324</v>
      </c>
      <c r="F43" s="81"/>
      <c r="G43" s="81"/>
      <c r="H43" s="81"/>
      <c r="I43" s="81"/>
      <c r="J43" s="87"/>
      <c r="K43" s="87"/>
      <c r="L43" s="81">
        <v>0.84328000000000003</v>
      </c>
      <c r="M43" s="81"/>
      <c r="N43" s="230"/>
      <c r="O43" s="231"/>
      <c r="P43" s="76"/>
    </row>
    <row r="44" spans="1:16" ht="15.75" thickBot="1" x14ac:dyDescent="0.3">
      <c r="A44" s="33" t="s">
        <v>325</v>
      </c>
      <c r="E44" s="77" t="s">
        <v>326</v>
      </c>
      <c r="F44" s="78"/>
      <c r="G44" s="78"/>
      <c r="H44" s="78"/>
      <c r="I44" s="78"/>
      <c r="J44" s="83"/>
      <c r="K44" s="83"/>
      <c r="L44" s="78">
        <v>0.23543</v>
      </c>
      <c r="M44" s="78"/>
      <c r="N44" s="232">
        <v>0.13220000000000001</v>
      </c>
      <c r="O44" s="233"/>
      <c r="P44" s="76"/>
    </row>
    <row r="45" spans="1:16" x14ac:dyDescent="0.25">
      <c r="A45" t="s">
        <v>327</v>
      </c>
      <c r="E45" s="73" t="s">
        <v>328</v>
      </c>
      <c r="F45" s="74">
        <v>0.47361999999999999</v>
      </c>
      <c r="G45" s="74"/>
      <c r="H45" s="234">
        <v>0.28101999999999999</v>
      </c>
      <c r="I45" s="234"/>
      <c r="J45" s="74"/>
      <c r="K45" s="74"/>
      <c r="L45" s="74"/>
      <c r="M45" s="74"/>
      <c r="N45" s="227"/>
      <c r="O45" s="229"/>
      <c r="P45" s="76">
        <f>F45+H45+L46+L47+N47+J51</f>
        <v>2.2079800000000001</v>
      </c>
    </row>
    <row r="46" spans="1:16" x14ac:dyDescent="0.25">
      <c r="E46" s="80" t="s">
        <v>329</v>
      </c>
      <c r="F46" s="81"/>
      <c r="G46" s="81"/>
      <c r="H46" s="87"/>
      <c r="I46" s="87"/>
      <c r="J46" s="81"/>
      <c r="K46" s="81"/>
      <c r="L46" s="81">
        <v>0.71950000000000003</v>
      </c>
      <c r="M46" s="81"/>
      <c r="N46" s="230"/>
      <c r="O46" s="231"/>
      <c r="P46" s="76"/>
    </row>
    <row r="47" spans="1:16" ht="15.75" thickBot="1" x14ac:dyDescent="0.3">
      <c r="A47" t="s">
        <v>330</v>
      </c>
      <c r="E47" s="77" t="s">
        <v>331</v>
      </c>
      <c r="F47" s="78"/>
      <c r="G47" s="78"/>
      <c r="H47" s="83"/>
      <c r="I47" s="83"/>
      <c r="J47" s="78"/>
      <c r="K47" s="78"/>
      <c r="L47" s="78">
        <v>0.20451</v>
      </c>
      <c r="M47" s="78"/>
      <c r="N47" s="232">
        <v>9.1600000000000001E-2</v>
      </c>
      <c r="O47" s="233"/>
      <c r="P47" s="76"/>
    </row>
    <row r="48" spans="1:16" x14ac:dyDescent="0.25">
      <c r="A48" t="s">
        <v>332</v>
      </c>
      <c r="E48" s="73" t="s">
        <v>333</v>
      </c>
      <c r="F48" s="74">
        <v>0.17321</v>
      </c>
      <c r="G48" s="74"/>
      <c r="H48" s="234">
        <v>9.2929999999999999E-2</v>
      </c>
      <c r="I48" s="234"/>
      <c r="J48" s="74"/>
      <c r="K48" s="74"/>
      <c r="L48" s="74"/>
      <c r="M48" s="74"/>
      <c r="N48" s="227"/>
      <c r="O48" s="229"/>
      <c r="P48" s="76">
        <f>F48+H48+L49+L50+N50+J51</f>
        <v>2.12704</v>
      </c>
    </row>
    <row r="49" spans="1:17" x14ac:dyDescent="0.25">
      <c r="A49" t="s">
        <v>334</v>
      </c>
      <c r="E49" s="80" t="s">
        <v>335</v>
      </c>
      <c r="F49" s="81"/>
      <c r="G49" s="81"/>
      <c r="H49" s="87"/>
      <c r="I49" s="87"/>
      <c r="J49" s="81"/>
      <c r="K49" s="81"/>
      <c r="L49" s="81">
        <v>1</v>
      </c>
      <c r="M49" s="81"/>
      <c r="N49" s="230"/>
      <c r="O49" s="231"/>
      <c r="P49" s="76"/>
    </row>
    <row r="50" spans="1:17" ht="15.75" thickBot="1" x14ac:dyDescent="0.3">
      <c r="A50" t="s">
        <v>336</v>
      </c>
      <c r="C50" s="84" t="s">
        <v>262</v>
      </c>
      <c r="E50" s="77" t="s">
        <v>337</v>
      </c>
      <c r="F50" s="78"/>
      <c r="G50" s="78"/>
      <c r="H50" s="83"/>
      <c r="I50" s="83"/>
      <c r="J50" s="78"/>
      <c r="K50" s="78"/>
      <c r="L50" s="78">
        <v>0.26967000000000002</v>
      </c>
      <c r="M50" s="78"/>
      <c r="N50" s="232">
        <v>0.1535</v>
      </c>
      <c r="O50" s="233"/>
      <c r="P50" s="76"/>
    </row>
    <row r="51" spans="1:17" ht="15.75" thickBot="1" x14ac:dyDescent="0.3">
      <c r="C51" s="84" t="s">
        <v>264</v>
      </c>
      <c r="E51" s="85" t="s">
        <v>338</v>
      </c>
      <c r="F51" s="86"/>
      <c r="G51" s="86"/>
      <c r="H51" s="86"/>
      <c r="I51" s="86"/>
      <c r="J51" s="235">
        <v>0.43773000000000001</v>
      </c>
      <c r="K51" s="235"/>
      <c r="L51" s="86"/>
      <c r="M51" s="86"/>
      <c r="N51" s="236"/>
      <c r="O51" s="237"/>
      <c r="P51" s="76"/>
    </row>
    <row r="52" spans="1:17" x14ac:dyDescent="0.25">
      <c r="A52" t="s">
        <v>339</v>
      </c>
      <c r="C52" s="84" t="s">
        <v>266</v>
      </c>
      <c r="E52" s="73" t="s">
        <v>340</v>
      </c>
      <c r="F52" s="74">
        <v>0.28996</v>
      </c>
      <c r="G52" s="74"/>
      <c r="H52" s="234">
        <v>0.25344</v>
      </c>
      <c r="I52" s="234"/>
      <c r="J52" s="74"/>
      <c r="K52" s="74"/>
      <c r="L52" s="74"/>
      <c r="M52" s="74"/>
      <c r="N52" s="227"/>
      <c r="O52" s="229"/>
      <c r="P52" s="76">
        <f>F52+H52+J53+L54+L55+N55</f>
        <v>2.0821799999999997</v>
      </c>
    </row>
    <row r="53" spans="1:17" x14ac:dyDescent="0.25">
      <c r="A53" t="s">
        <v>341</v>
      </c>
      <c r="C53" s="84" t="s">
        <v>268</v>
      </c>
      <c r="E53" s="80" t="s">
        <v>342</v>
      </c>
      <c r="F53" s="81"/>
      <c r="G53" s="81"/>
      <c r="H53" s="81"/>
      <c r="I53" s="81"/>
      <c r="J53" s="238">
        <v>0.65949000000000002</v>
      </c>
      <c r="K53" s="238"/>
      <c r="L53" s="81"/>
      <c r="M53" s="81"/>
      <c r="N53" s="230"/>
      <c r="O53" s="231"/>
      <c r="P53" s="76"/>
    </row>
    <row r="54" spans="1:17" x14ac:dyDescent="0.25">
      <c r="A54" t="s">
        <v>343</v>
      </c>
      <c r="C54" s="84" t="s">
        <v>270</v>
      </c>
      <c r="E54" s="80" t="s">
        <v>344</v>
      </c>
      <c r="F54" s="81"/>
      <c r="G54" s="81"/>
      <c r="H54" s="81"/>
      <c r="I54" s="81"/>
      <c r="J54" s="87"/>
      <c r="K54" s="87"/>
      <c r="L54" s="81">
        <v>0.56411</v>
      </c>
      <c r="M54" s="81"/>
      <c r="N54" s="230"/>
      <c r="O54" s="231"/>
      <c r="P54" s="76"/>
    </row>
    <row r="55" spans="1:17" ht="15.75" thickBot="1" x14ac:dyDescent="0.3">
      <c r="A55" t="s">
        <v>345</v>
      </c>
      <c r="C55" s="84" t="s">
        <v>272</v>
      </c>
      <c r="E55" s="77" t="s">
        <v>346</v>
      </c>
      <c r="F55" s="78"/>
      <c r="G55" s="78"/>
      <c r="H55" s="78"/>
      <c r="I55" s="78"/>
      <c r="J55" s="83"/>
      <c r="K55" s="83"/>
      <c r="L55" s="78">
        <v>0.14326</v>
      </c>
      <c r="M55" s="78"/>
      <c r="N55" s="232">
        <v>0.17191999999999999</v>
      </c>
      <c r="O55" s="233"/>
      <c r="P55" s="76"/>
    </row>
    <row r="56" spans="1:17" x14ac:dyDescent="0.25">
      <c r="A56" t="s">
        <v>347</v>
      </c>
      <c r="C56" s="84" t="s">
        <v>274</v>
      </c>
      <c r="E56" s="73" t="s">
        <v>348</v>
      </c>
      <c r="F56" s="74"/>
      <c r="G56" s="74"/>
      <c r="H56" s="74"/>
      <c r="I56" s="74"/>
      <c r="J56" s="88"/>
      <c r="K56" s="88"/>
      <c r="L56" s="74">
        <v>0.19162000000000001</v>
      </c>
      <c r="M56" s="74"/>
      <c r="N56" s="227"/>
      <c r="O56" s="229"/>
      <c r="P56" s="76">
        <f>L56+L57+L58+L59+N58+N59</f>
        <v>2.1837599999999999</v>
      </c>
    </row>
    <row r="57" spans="1:17" x14ac:dyDescent="0.25">
      <c r="C57" s="84" t="s">
        <v>276</v>
      </c>
      <c r="E57" s="80" t="s">
        <v>349</v>
      </c>
      <c r="F57" s="81"/>
      <c r="G57" s="81"/>
      <c r="H57" s="81"/>
      <c r="I57" s="81"/>
      <c r="J57" s="87"/>
      <c r="K57" s="87"/>
      <c r="L57" s="81">
        <v>0.49523</v>
      </c>
      <c r="M57" s="81"/>
      <c r="N57" s="230"/>
      <c r="O57" s="231"/>
      <c r="P57" s="76"/>
    </row>
    <row r="58" spans="1:17" x14ac:dyDescent="0.25">
      <c r="C58" s="84" t="s">
        <v>278</v>
      </c>
      <c r="E58" s="80" t="s">
        <v>350</v>
      </c>
      <c r="F58" s="81"/>
      <c r="G58" s="81"/>
      <c r="H58" s="81"/>
      <c r="I58" s="81"/>
      <c r="J58" s="87"/>
      <c r="K58" s="87"/>
      <c r="L58" s="81">
        <v>0.47439999999999999</v>
      </c>
      <c r="M58" s="81"/>
      <c r="N58" s="230">
        <v>0.60697000000000001</v>
      </c>
      <c r="O58" s="231"/>
      <c r="P58" s="76"/>
    </row>
    <row r="59" spans="1:17" ht="15.75" thickBot="1" x14ac:dyDescent="0.3">
      <c r="C59" s="84" t="s">
        <v>280</v>
      </c>
      <c r="E59" s="77" t="s">
        <v>351</v>
      </c>
      <c r="F59" s="78"/>
      <c r="G59" s="78"/>
      <c r="H59" s="78"/>
      <c r="I59" s="78"/>
      <c r="J59" s="83"/>
      <c r="K59" s="83"/>
      <c r="L59" s="78">
        <v>0.16774</v>
      </c>
      <c r="M59" s="78"/>
      <c r="N59" s="232">
        <v>0.24779999999999999</v>
      </c>
      <c r="O59" s="233"/>
      <c r="P59" s="76"/>
    </row>
    <row r="60" spans="1:17" x14ac:dyDescent="0.25">
      <c r="C60" s="84" t="s">
        <v>283</v>
      </c>
      <c r="E60" s="73" t="s">
        <v>352</v>
      </c>
      <c r="F60" s="74"/>
      <c r="G60" s="74"/>
      <c r="H60" s="74"/>
      <c r="I60" s="74"/>
      <c r="J60" s="227">
        <v>0.45617999999999997</v>
      </c>
      <c r="K60" s="228"/>
      <c r="L60" s="74"/>
      <c r="M60" s="74"/>
      <c r="N60" s="227"/>
      <c r="O60" s="229"/>
      <c r="P60" s="76">
        <f>J60+L62+N62+L63+L64+N64</f>
        <v>2.0612399999999997</v>
      </c>
    </row>
    <row r="61" spans="1:17" x14ac:dyDescent="0.25">
      <c r="C61" s="84" t="s">
        <v>286</v>
      </c>
      <c r="E61" s="80" t="s">
        <v>353</v>
      </c>
      <c r="F61" s="81"/>
      <c r="G61" s="81"/>
      <c r="H61" s="81"/>
      <c r="I61" s="81"/>
      <c r="J61" s="81"/>
      <c r="K61" s="81"/>
      <c r="L61" s="81">
        <v>0.28649999999999998</v>
      </c>
      <c r="M61" s="81"/>
      <c r="N61" s="230">
        <v>0.80176999999999998</v>
      </c>
      <c r="O61" s="231"/>
      <c r="P61" s="76">
        <f>J60+L61+N61+L63+L64+N64</f>
        <v>2.4324300000000001</v>
      </c>
      <c r="Q61" t="s">
        <v>354</v>
      </c>
    </row>
    <row r="62" spans="1:17" x14ac:dyDescent="0.25">
      <c r="C62" s="84" t="s">
        <v>289</v>
      </c>
      <c r="E62" s="80" t="s">
        <v>355</v>
      </c>
      <c r="F62" s="81"/>
      <c r="G62" s="81"/>
      <c r="H62" s="81"/>
      <c r="I62" s="81"/>
      <c r="J62" s="81"/>
      <c r="K62" s="81"/>
      <c r="L62" s="81">
        <v>0.20932000000000001</v>
      </c>
      <c r="M62" s="81"/>
      <c r="N62" s="230">
        <v>0.50775999999999999</v>
      </c>
      <c r="O62" s="231"/>
      <c r="P62" s="76"/>
    </row>
    <row r="63" spans="1:17" x14ac:dyDescent="0.25">
      <c r="C63" s="84" t="s">
        <v>291</v>
      </c>
      <c r="E63" s="80" t="s">
        <v>356</v>
      </c>
      <c r="F63" s="81"/>
      <c r="G63" s="81"/>
      <c r="H63" s="81"/>
      <c r="I63" s="81"/>
      <c r="J63" s="81"/>
      <c r="K63" s="81"/>
      <c r="L63" s="81">
        <v>0.14599000000000001</v>
      </c>
      <c r="M63" s="81"/>
      <c r="N63" s="230"/>
      <c r="O63" s="231"/>
      <c r="P63" s="76"/>
    </row>
    <row r="64" spans="1:17" ht="15.75" thickBot="1" x14ac:dyDescent="0.3">
      <c r="C64" s="84" t="s">
        <v>294</v>
      </c>
      <c r="E64" s="77" t="s">
        <v>357</v>
      </c>
      <c r="F64" s="78"/>
      <c r="G64" s="78"/>
      <c r="H64" s="78"/>
      <c r="I64" s="78"/>
      <c r="J64" s="78"/>
      <c r="K64" s="78"/>
      <c r="L64" s="78">
        <v>0.12414</v>
      </c>
      <c r="M64" s="78"/>
      <c r="N64" s="232">
        <v>0.61785000000000001</v>
      </c>
      <c r="O64" s="233"/>
      <c r="P64" s="76"/>
    </row>
    <row r="65" spans="3:17" x14ac:dyDescent="0.25">
      <c r="C65" s="84" t="s">
        <v>297</v>
      </c>
      <c r="E65" s="73" t="s">
        <v>358</v>
      </c>
      <c r="F65" s="74"/>
      <c r="G65" s="74"/>
      <c r="H65" s="74"/>
      <c r="I65" s="74"/>
      <c r="J65" s="74"/>
      <c r="K65" s="74"/>
      <c r="L65" s="74">
        <v>0.23763000000000001</v>
      </c>
      <c r="M65" s="74"/>
      <c r="N65" s="227">
        <v>1</v>
      </c>
      <c r="O65" s="229"/>
      <c r="P65" s="76">
        <f>L65+N65+L66+L67+N67</f>
        <v>1.8703959999999999</v>
      </c>
      <c r="Q65" s="76"/>
    </row>
    <row r="66" spans="3:17" x14ac:dyDescent="0.25">
      <c r="C66" s="84" t="s">
        <v>299</v>
      </c>
      <c r="E66" s="80" t="s">
        <v>359</v>
      </c>
      <c r="F66" s="81"/>
      <c r="G66" s="81"/>
      <c r="H66" s="81"/>
      <c r="I66" s="81"/>
      <c r="J66" s="81"/>
      <c r="K66" s="81"/>
      <c r="L66" s="81">
        <v>0.17316000000000001</v>
      </c>
      <c r="M66" s="81"/>
      <c r="N66" s="230"/>
      <c r="O66" s="231"/>
      <c r="P66" s="76"/>
      <c r="Q66" s="76"/>
    </row>
    <row r="67" spans="3:17" ht="15.75" thickBot="1" x14ac:dyDescent="0.3">
      <c r="C67" s="84" t="s">
        <v>302</v>
      </c>
      <c r="E67" s="77" t="s">
        <v>360</v>
      </c>
      <c r="F67" s="78"/>
      <c r="G67" s="78"/>
      <c r="H67" s="78"/>
      <c r="I67" s="78"/>
      <c r="J67" s="78"/>
      <c r="K67" s="78"/>
      <c r="L67" s="78">
        <v>0.12317</v>
      </c>
      <c r="M67" s="78"/>
      <c r="N67" s="232">
        <v>0.33643600000000001</v>
      </c>
      <c r="O67" s="233"/>
      <c r="P67" s="76"/>
      <c r="Q67" s="76"/>
    </row>
    <row r="68" spans="3:17" x14ac:dyDescent="0.25">
      <c r="C68" s="84" t="s">
        <v>304</v>
      </c>
      <c r="E68" s="73" t="s">
        <v>361</v>
      </c>
      <c r="F68" s="74"/>
      <c r="G68" s="74"/>
      <c r="H68" s="74"/>
      <c r="I68" s="74"/>
      <c r="J68" s="74"/>
      <c r="K68" s="74"/>
      <c r="L68" s="74">
        <v>0.20199</v>
      </c>
      <c r="M68" s="74"/>
      <c r="N68" s="227">
        <v>0.85</v>
      </c>
      <c r="O68" s="229"/>
      <c r="P68" s="76">
        <f>L68+N68+L69+L70+N70</f>
        <v>1.6197900000000001</v>
      </c>
    </row>
    <row r="69" spans="3:17" x14ac:dyDescent="0.25">
      <c r="C69" s="84" t="s">
        <v>306</v>
      </c>
      <c r="E69" s="80" t="s">
        <v>362</v>
      </c>
      <c r="F69" s="81"/>
      <c r="G69" s="81"/>
      <c r="H69" s="81"/>
      <c r="I69" s="81"/>
      <c r="J69" s="81"/>
      <c r="K69" s="81"/>
      <c r="L69" s="81">
        <v>0.17718999999999999</v>
      </c>
      <c r="M69" s="81"/>
      <c r="N69" s="230"/>
      <c r="O69" s="231"/>
      <c r="P69" s="76"/>
    </row>
    <row r="70" spans="3:17" ht="15.75" thickBot="1" x14ac:dyDescent="0.3">
      <c r="C70" s="84" t="s">
        <v>308</v>
      </c>
      <c r="E70" s="89" t="s">
        <v>363</v>
      </c>
      <c r="F70" s="90"/>
      <c r="G70" s="90"/>
      <c r="H70" s="90"/>
      <c r="I70" s="90"/>
      <c r="J70" s="90"/>
      <c r="K70" s="90"/>
      <c r="L70" s="90">
        <v>0.1047</v>
      </c>
      <c r="M70" s="90"/>
      <c r="N70" s="225">
        <v>0.28591</v>
      </c>
      <c r="O70" s="226"/>
      <c r="P70" s="76"/>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13" priority="1" operator="between">
      <formula>0.15</formula>
      <formula>0.3</formula>
    </cfRule>
    <cfRule type="cellIs" dxfId="12" priority="2" operator="between">
      <formula>0.3</formula>
      <formula>0.6</formula>
    </cfRule>
    <cfRule type="cellIs" dxfId="11" priority="3" operator="greaterThan">
      <formula>0.6</formula>
    </cfRule>
    <cfRule type="cellIs" dxfId="10"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44">
        <v>0.34</v>
      </c>
      <c r="B1" s="245"/>
      <c r="C1" s="244">
        <v>0.245</v>
      </c>
      <c r="D1" s="245"/>
      <c r="E1" s="244">
        <v>0.125</v>
      </c>
      <c r="F1" s="245"/>
      <c r="G1" s="244">
        <v>0.29099999999999998</v>
      </c>
      <c r="H1" s="245"/>
      <c r="I1" s="244">
        <v>0.19</v>
      </c>
      <c r="J1" s="245"/>
      <c r="L1" s="244">
        <v>0.34</v>
      </c>
      <c r="M1" s="245"/>
      <c r="N1" s="244">
        <v>0.245</v>
      </c>
      <c r="O1" s="245"/>
      <c r="P1" s="244">
        <v>0.125</v>
      </c>
      <c r="Q1" s="245"/>
      <c r="R1" s="244">
        <f>0.291*86/100</f>
        <v>0.25025999999999998</v>
      </c>
      <c r="S1" s="245"/>
      <c r="T1" s="244">
        <v>0.19</v>
      </c>
      <c r="U1" s="245"/>
      <c r="W1" s="243" t="s">
        <v>232</v>
      </c>
      <c r="X1" s="243"/>
      <c r="AC1" s="243" t="s">
        <v>233</v>
      </c>
      <c r="AD1" s="243"/>
    </row>
    <row r="2" spans="1:44" ht="18.75" x14ac:dyDescent="0.3">
      <c r="A2" s="240" t="s">
        <v>234</v>
      </c>
      <c r="B2" s="240"/>
      <c r="C2" s="240" t="s">
        <v>235</v>
      </c>
      <c r="D2" s="240"/>
      <c r="E2" s="240" t="s">
        <v>236</v>
      </c>
      <c r="F2" s="240"/>
      <c r="G2" s="240" t="s">
        <v>237</v>
      </c>
      <c r="H2" s="240"/>
      <c r="I2" s="240" t="s">
        <v>238</v>
      </c>
      <c r="J2" s="240"/>
      <c r="L2" s="240" t="s">
        <v>234</v>
      </c>
      <c r="M2" s="240"/>
      <c r="N2" s="240" t="s">
        <v>235</v>
      </c>
      <c r="O2" s="240"/>
      <c r="P2" s="240" t="s">
        <v>236</v>
      </c>
      <c r="Q2" s="240"/>
      <c r="R2" s="240" t="s">
        <v>237</v>
      </c>
      <c r="S2" s="240"/>
      <c r="T2" s="240" t="s">
        <v>238</v>
      </c>
      <c r="U2" s="240"/>
    </row>
    <row r="3" spans="1:44" ht="19.5" thickBot="1" x14ac:dyDescent="0.35">
      <c r="A3" s="72" t="s">
        <v>239</v>
      </c>
      <c r="B3" s="72" t="s">
        <v>240</v>
      </c>
      <c r="C3" s="241"/>
      <c r="D3" s="242"/>
      <c r="E3" s="241"/>
      <c r="F3" s="242"/>
      <c r="G3" s="72" t="s">
        <v>239</v>
      </c>
      <c r="H3" s="72" t="s">
        <v>240</v>
      </c>
      <c r="I3" s="241"/>
      <c r="J3" s="242"/>
      <c r="L3" s="72" t="s">
        <v>239</v>
      </c>
      <c r="M3" s="72" t="s">
        <v>240</v>
      </c>
      <c r="N3" s="241"/>
      <c r="O3" s="242"/>
      <c r="P3" s="241"/>
      <c r="Q3" s="242"/>
      <c r="R3" s="72" t="s">
        <v>239</v>
      </c>
      <c r="S3" s="72" t="s">
        <v>240</v>
      </c>
      <c r="T3" s="241"/>
      <c r="U3" s="242"/>
      <c r="W3" t="s">
        <v>241</v>
      </c>
      <c r="AC3" t="s">
        <v>242</v>
      </c>
    </row>
    <row r="4" spans="1:44" x14ac:dyDescent="0.25">
      <c r="A4" s="234">
        <v>0.64709000000000005</v>
      </c>
      <c r="B4" s="234"/>
      <c r="C4" s="234">
        <v>0.97192999999999996</v>
      </c>
      <c r="D4" s="234"/>
      <c r="E4" s="74"/>
      <c r="F4" s="74"/>
      <c r="G4" s="74"/>
      <c r="H4" s="74"/>
      <c r="I4" s="74"/>
      <c r="J4" s="75"/>
      <c r="K4" s="73" t="s">
        <v>243</v>
      </c>
      <c r="L4" s="234">
        <v>0.64709000000000005</v>
      </c>
      <c r="M4" s="234"/>
      <c r="N4" s="234">
        <v>0.97192999999999996</v>
      </c>
      <c r="O4" s="234"/>
      <c r="P4" s="74"/>
      <c r="Q4" s="74"/>
      <c r="R4" s="74"/>
      <c r="S4" s="74"/>
      <c r="T4" s="74"/>
      <c r="U4" s="75"/>
      <c r="W4" t="s">
        <v>244</v>
      </c>
      <c r="AC4" t="s">
        <v>245</v>
      </c>
      <c r="AR4">
        <v>105</v>
      </c>
    </row>
    <row r="5" spans="1:44" ht="15.75" thickBot="1" x14ac:dyDescent="0.3">
      <c r="A5" s="239">
        <v>0.26545000000000002</v>
      </c>
      <c r="B5" s="239"/>
      <c r="C5" s="239">
        <v>0.39895999999999998</v>
      </c>
      <c r="D5" s="239"/>
      <c r="E5" s="78"/>
      <c r="F5" s="78"/>
      <c r="G5" s="78"/>
      <c r="H5" s="78"/>
      <c r="I5" s="78"/>
      <c r="J5" s="79"/>
      <c r="K5" s="77" t="s">
        <v>246</v>
      </c>
      <c r="L5" s="239">
        <v>0.26545000000000002</v>
      </c>
      <c r="M5" s="239"/>
      <c r="N5" s="239">
        <v>0.39895999999999998</v>
      </c>
      <c r="O5" s="239"/>
      <c r="P5" s="78"/>
      <c r="Q5" s="78"/>
      <c r="R5" s="78"/>
      <c r="S5" s="78"/>
      <c r="T5" s="78"/>
      <c r="U5" s="79"/>
      <c r="W5" t="s">
        <v>247</v>
      </c>
      <c r="AC5" t="s">
        <v>247</v>
      </c>
      <c r="AR5">
        <v>120</v>
      </c>
    </row>
    <row r="6" spans="1:44" x14ac:dyDescent="0.25">
      <c r="A6" s="74">
        <v>0.50017999999999996</v>
      </c>
      <c r="B6" s="74">
        <v>0.25008999999999998</v>
      </c>
      <c r="C6" s="234">
        <v>1</v>
      </c>
      <c r="D6" s="234"/>
      <c r="E6" s="74"/>
      <c r="F6" s="74"/>
      <c r="G6" s="74"/>
      <c r="H6" s="74"/>
      <c r="I6" s="74"/>
      <c r="J6" s="75"/>
      <c r="K6" s="73" t="s">
        <v>248</v>
      </c>
      <c r="L6" s="74">
        <v>0.50017999999999996</v>
      </c>
      <c r="M6" s="74">
        <v>0.25008999999999998</v>
      </c>
      <c r="N6" s="234">
        <v>1</v>
      </c>
      <c r="O6" s="234"/>
      <c r="P6" s="74"/>
      <c r="Q6" s="74"/>
      <c r="R6" s="74"/>
      <c r="S6" s="74"/>
      <c r="T6" s="74"/>
      <c r="U6" s="75"/>
    </row>
    <row r="7" spans="1:44" ht="15.75" thickBot="1" x14ac:dyDescent="0.3">
      <c r="A7" s="78"/>
      <c r="B7" s="78"/>
      <c r="C7" s="78"/>
      <c r="D7" s="78"/>
      <c r="E7" s="239">
        <v>0.27488000000000001</v>
      </c>
      <c r="F7" s="239"/>
      <c r="G7" s="78"/>
      <c r="H7" s="78"/>
      <c r="I7" s="78"/>
      <c r="J7" s="79"/>
      <c r="K7" s="77" t="s">
        <v>249</v>
      </c>
      <c r="L7" s="78"/>
      <c r="M7" s="78"/>
      <c r="N7" s="78"/>
      <c r="O7" s="78"/>
      <c r="P7" s="239">
        <v>0.27488000000000001</v>
      </c>
      <c r="Q7" s="239"/>
      <c r="R7" s="78"/>
      <c r="S7" s="78"/>
      <c r="T7" s="78"/>
      <c r="U7" s="79"/>
      <c r="W7" t="s">
        <v>250</v>
      </c>
      <c r="AC7" t="s">
        <v>371</v>
      </c>
    </row>
    <row r="8" spans="1:44" x14ac:dyDescent="0.25">
      <c r="A8" s="74">
        <v>0.35504999999999998</v>
      </c>
      <c r="B8" s="74">
        <v>0.17752000000000001</v>
      </c>
      <c r="C8" s="234">
        <v>0.72296000000000005</v>
      </c>
      <c r="D8" s="234"/>
      <c r="E8" s="74"/>
      <c r="F8" s="74"/>
      <c r="G8" s="74"/>
      <c r="H8" s="74"/>
      <c r="I8" s="74"/>
      <c r="J8" s="75"/>
      <c r="K8" s="73" t="s">
        <v>252</v>
      </c>
      <c r="L8" s="74">
        <v>0.35504999999999998</v>
      </c>
      <c r="M8" s="74">
        <v>0.17752000000000001</v>
      </c>
      <c r="N8" s="234">
        <v>0.72296000000000005</v>
      </c>
      <c r="O8" s="234"/>
      <c r="P8" s="74"/>
      <c r="Q8" s="74"/>
      <c r="R8" s="74"/>
      <c r="S8" s="74"/>
      <c r="T8" s="74"/>
      <c r="U8" s="75"/>
      <c r="W8" t="s">
        <v>253</v>
      </c>
    </row>
    <row r="9" spans="1:44" ht="15.75" thickBot="1" x14ac:dyDescent="0.3">
      <c r="A9" s="78"/>
      <c r="B9" s="78"/>
      <c r="C9" s="78"/>
      <c r="D9" s="78"/>
      <c r="E9" s="239">
        <v>0.36337000000000003</v>
      </c>
      <c r="F9" s="239"/>
      <c r="G9" s="78"/>
      <c r="H9" s="78"/>
      <c r="I9" s="78"/>
      <c r="J9" s="79"/>
      <c r="K9" s="77" t="s">
        <v>254</v>
      </c>
      <c r="L9" s="78"/>
      <c r="M9" s="78"/>
      <c r="N9" s="78"/>
      <c r="O9" s="78"/>
      <c r="P9" s="239">
        <f>36.337%*1.21</f>
        <v>0.4396777</v>
      </c>
      <c r="Q9" s="239"/>
      <c r="R9" s="78"/>
      <c r="S9" s="78"/>
      <c r="T9" s="78"/>
      <c r="U9" s="79"/>
      <c r="AC9" t="s">
        <v>372</v>
      </c>
    </row>
    <row r="10" spans="1:44" x14ac:dyDescent="0.25">
      <c r="A10" s="74">
        <v>0.65615999999999997</v>
      </c>
      <c r="B10" s="74"/>
      <c r="C10" s="234">
        <v>0.78437000000000001</v>
      </c>
      <c r="D10" s="234"/>
      <c r="E10" s="74"/>
      <c r="F10" s="74"/>
      <c r="G10" s="74"/>
      <c r="H10" s="74"/>
      <c r="I10" s="74"/>
      <c r="J10" s="75"/>
      <c r="K10" s="73" t="s">
        <v>255</v>
      </c>
      <c r="L10" s="74">
        <f>65.616%*1.06</f>
        <v>0.69552959999999997</v>
      </c>
      <c r="M10" s="74"/>
      <c r="N10" s="234">
        <f>78.437%*(1-0.09)</f>
        <v>0.71377670000000004</v>
      </c>
      <c r="O10" s="234"/>
      <c r="P10" s="74"/>
      <c r="Q10" s="74"/>
      <c r="R10" s="74"/>
      <c r="S10" s="74"/>
      <c r="T10" s="74"/>
      <c r="U10" s="75"/>
      <c r="W10" t="s">
        <v>373</v>
      </c>
    </row>
    <row r="11" spans="1:44" x14ac:dyDescent="0.25">
      <c r="A11" s="81"/>
      <c r="B11" s="81"/>
      <c r="C11" s="81"/>
      <c r="D11" s="81"/>
      <c r="E11" s="238">
        <v>0.1464</v>
      </c>
      <c r="F11" s="238"/>
      <c r="G11" s="81"/>
      <c r="H11" s="81"/>
      <c r="I11" s="81"/>
      <c r="J11" s="82"/>
      <c r="K11" s="80" t="s">
        <v>257</v>
      </c>
      <c r="L11" s="81"/>
      <c r="M11" s="81"/>
      <c r="N11" s="81"/>
      <c r="O11" s="81"/>
      <c r="P11" s="238">
        <v>0.1464</v>
      </c>
      <c r="Q11" s="238"/>
      <c r="R11" s="81"/>
      <c r="S11" s="81"/>
      <c r="T11" s="81"/>
      <c r="U11" s="82"/>
      <c r="AC11" t="s">
        <v>374</v>
      </c>
    </row>
    <row r="12" spans="1:44" ht="15.75" thickBot="1" x14ac:dyDescent="0.3">
      <c r="A12" s="78"/>
      <c r="B12" s="78"/>
      <c r="C12" s="78"/>
      <c r="D12" s="78"/>
      <c r="E12" s="83"/>
      <c r="F12" s="83"/>
      <c r="G12" s="78">
        <v>0.28649999999999998</v>
      </c>
      <c r="H12" s="78"/>
      <c r="I12" s="78"/>
      <c r="J12" s="79"/>
      <c r="K12" s="77" t="s">
        <v>259</v>
      </c>
      <c r="L12" s="78"/>
      <c r="M12" s="78"/>
      <c r="N12" s="78"/>
      <c r="O12" s="78"/>
      <c r="P12" s="83"/>
      <c r="Q12" s="83"/>
      <c r="R12" s="78">
        <v>0.33313953488372089</v>
      </c>
      <c r="S12" s="78"/>
      <c r="T12" s="78"/>
      <c r="U12" s="79"/>
      <c r="W12" t="s">
        <v>375</v>
      </c>
      <c r="AC12" t="s">
        <v>376</v>
      </c>
    </row>
    <row r="13" spans="1:44" x14ac:dyDescent="0.25">
      <c r="A13" s="234">
        <v>0.42514999999999997</v>
      </c>
      <c r="B13" s="234"/>
      <c r="C13" s="234">
        <v>0.85</v>
      </c>
      <c r="D13" s="234"/>
      <c r="E13" s="74"/>
      <c r="F13" s="74"/>
      <c r="G13" s="74"/>
      <c r="H13" s="74"/>
      <c r="I13" s="74"/>
      <c r="J13" s="75"/>
      <c r="K13" s="73" t="s">
        <v>260</v>
      </c>
      <c r="L13" s="234">
        <v>0.42514999999999997</v>
      </c>
      <c r="M13" s="234"/>
      <c r="N13" s="234">
        <v>0.85</v>
      </c>
      <c r="O13" s="234"/>
      <c r="P13" s="74"/>
      <c r="Q13" s="74"/>
      <c r="R13" s="74"/>
      <c r="S13" s="74"/>
      <c r="T13" s="74"/>
      <c r="U13" s="75"/>
      <c r="W13" t="s">
        <v>377</v>
      </c>
      <c r="AC13" t="s">
        <v>378</v>
      </c>
      <c r="AI13" s="104"/>
      <c r="AJ13" s="104" t="s">
        <v>379</v>
      </c>
      <c r="AK13" s="104" t="s">
        <v>380</v>
      </c>
      <c r="AL13" s="104" t="s">
        <v>379</v>
      </c>
      <c r="AM13" s="104" t="s">
        <v>380</v>
      </c>
      <c r="AN13" s="104"/>
    </row>
    <row r="14" spans="1:44" ht="15.75" thickBot="1" x14ac:dyDescent="0.3">
      <c r="A14" s="78"/>
      <c r="B14" s="78"/>
      <c r="C14" s="78"/>
      <c r="D14" s="78"/>
      <c r="E14" s="239">
        <v>0.23365</v>
      </c>
      <c r="F14" s="239"/>
      <c r="G14" s="78"/>
      <c r="H14" s="78"/>
      <c r="I14" s="78"/>
      <c r="J14" s="79"/>
      <c r="K14" s="77" t="s">
        <v>263</v>
      </c>
      <c r="L14" s="78"/>
      <c r="M14" s="78"/>
      <c r="N14" s="78"/>
      <c r="O14" s="78"/>
      <c r="P14" s="239">
        <v>0.23365</v>
      </c>
      <c r="Q14" s="239"/>
      <c r="R14" s="78"/>
      <c r="S14" s="78"/>
      <c r="T14" s="78"/>
      <c r="U14" s="79"/>
      <c r="W14" t="s">
        <v>381</v>
      </c>
      <c r="AC14" t="s">
        <v>382</v>
      </c>
      <c r="AI14" s="105" t="s">
        <v>383</v>
      </c>
      <c r="AJ14" s="106">
        <v>1.05</v>
      </c>
      <c r="AK14" s="106">
        <v>1.05</v>
      </c>
      <c r="AL14" s="107">
        <f t="shared" ref="AL14:AM16" si="0">AJ14-100%</f>
        <v>5.0000000000000044E-2</v>
      </c>
      <c r="AM14" s="107">
        <f t="shared" si="0"/>
        <v>5.0000000000000044E-2</v>
      </c>
      <c r="AN14" s="107">
        <f>AM14+AL14</f>
        <v>0.10000000000000009</v>
      </c>
    </row>
    <row r="15" spans="1:44" x14ac:dyDescent="0.25">
      <c r="A15" s="74">
        <v>1</v>
      </c>
      <c r="B15" s="74"/>
      <c r="C15" s="234">
        <v>0.51382000000000005</v>
      </c>
      <c r="D15" s="234"/>
      <c r="E15" s="74"/>
      <c r="F15" s="74"/>
      <c r="G15" s="74"/>
      <c r="H15" s="74"/>
      <c r="I15" s="74"/>
      <c r="J15" s="75"/>
      <c r="K15" s="73" t="s">
        <v>265</v>
      </c>
      <c r="L15" s="74">
        <v>1</v>
      </c>
      <c r="M15" s="74"/>
      <c r="N15" s="234">
        <v>0.51382000000000005</v>
      </c>
      <c r="O15" s="234"/>
      <c r="P15" s="74"/>
      <c r="Q15" s="74"/>
      <c r="R15" s="74"/>
      <c r="S15" s="74"/>
      <c r="T15" s="74"/>
      <c r="U15" s="75"/>
      <c r="W15" t="s">
        <v>384</v>
      </c>
      <c r="AC15" t="s">
        <v>385</v>
      </c>
      <c r="AI15" s="108" t="s">
        <v>379</v>
      </c>
      <c r="AJ15" s="109">
        <v>1.2</v>
      </c>
      <c r="AK15" s="109">
        <v>0.92430000000000001</v>
      </c>
      <c r="AL15" s="110">
        <f t="shared" si="0"/>
        <v>0.19999999999999996</v>
      </c>
      <c r="AM15" s="110">
        <f t="shared" si="0"/>
        <v>-7.569999999999999E-2</v>
      </c>
      <c r="AN15" s="110">
        <f>AM15+AL15</f>
        <v>0.12429999999999997</v>
      </c>
      <c r="AP15" s="111">
        <f>(AJ15-AJ14)/AJ14</f>
        <v>0.14285714285714277</v>
      </c>
      <c r="AQ15" s="111">
        <f>(AK15-AK14)/AK14</f>
        <v>-0.11971428571428575</v>
      </c>
    </row>
    <row r="16" spans="1:44" x14ac:dyDescent="0.25">
      <c r="A16" s="81"/>
      <c r="B16" s="81"/>
      <c r="C16" s="81"/>
      <c r="D16" s="81"/>
      <c r="E16" s="238">
        <v>4.3869999999999999E-2</v>
      </c>
      <c r="F16" s="238"/>
      <c r="G16" s="81"/>
      <c r="H16" s="81"/>
      <c r="I16" s="81"/>
      <c r="J16" s="82"/>
      <c r="K16" s="80" t="s">
        <v>267</v>
      </c>
      <c r="L16" s="81"/>
      <c r="M16" s="81"/>
      <c r="N16" s="81"/>
      <c r="O16" s="81"/>
      <c r="P16" s="238">
        <v>4.3869999999999999E-2</v>
      </c>
      <c r="Q16" s="238"/>
      <c r="R16" s="81"/>
      <c r="S16" s="81"/>
      <c r="T16" s="81"/>
      <c r="U16" s="82"/>
      <c r="W16" t="s">
        <v>386</v>
      </c>
      <c r="AC16" t="s">
        <v>387</v>
      </c>
      <c r="AI16" s="112" t="s">
        <v>388</v>
      </c>
      <c r="AJ16" s="113">
        <v>0.92957000000000001</v>
      </c>
      <c r="AK16" s="113">
        <v>1.1337999999999999</v>
      </c>
      <c r="AL16" s="114">
        <f t="shared" si="0"/>
        <v>-7.0429999999999993E-2</v>
      </c>
      <c r="AM16" s="114">
        <f t="shared" si="0"/>
        <v>0.13379999999999992</v>
      </c>
      <c r="AN16" s="114">
        <f>AM16+AL16</f>
        <v>6.3369999999999926E-2</v>
      </c>
      <c r="AP16" s="111">
        <f>(AJ16-AJ14)/AJ14</f>
        <v>-0.11469523809523813</v>
      </c>
      <c r="AQ16" s="111">
        <f>(AK16-AK14)/AK14</f>
        <v>7.9809523809523691E-2</v>
      </c>
    </row>
    <row r="17" spans="1:39" ht="15.75" thickBot="1" x14ac:dyDescent="0.3">
      <c r="A17" s="78"/>
      <c r="B17" s="78"/>
      <c r="C17" s="78"/>
      <c r="D17" s="78"/>
      <c r="E17" s="83"/>
      <c r="F17" s="83"/>
      <c r="G17" s="78">
        <v>0.32728000000000002</v>
      </c>
      <c r="H17" s="78"/>
      <c r="I17" s="78"/>
      <c r="J17" s="79"/>
      <c r="K17" s="77" t="s">
        <v>269</v>
      </c>
      <c r="L17" s="78"/>
      <c r="M17" s="78"/>
      <c r="N17" s="78"/>
      <c r="O17" s="78"/>
      <c r="P17" s="83"/>
      <c r="Q17" s="83"/>
      <c r="R17" s="78">
        <v>0.38055813953488377</v>
      </c>
      <c r="S17" s="78"/>
      <c r="T17" s="78"/>
      <c r="U17" s="79"/>
      <c r="W17" t="s">
        <v>389</v>
      </c>
      <c r="AC17" t="s">
        <v>390</v>
      </c>
    </row>
    <row r="18" spans="1:39" x14ac:dyDescent="0.25">
      <c r="A18" s="74">
        <v>0.91232999999999997</v>
      </c>
      <c r="B18" s="74"/>
      <c r="C18" s="234">
        <v>0.46146999999999999</v>
      </c>
      <c r="D18" s="234"/>
      <c r="E18" s="74"/>
      <c r="F18" s="74"/>
      <c r="G18" s="74"/>
      <c r="H18" s="74"/>
      <c r="I18" s="74"/>
      <c r="J18" s="75"/>
      <c r="K18" s="73" t="s">
        <v>271</v>
      </c>
      <c r="L18" s="74">
        <v>0.91232999999999997</v>
      </c>
      <c r="M18" s="74"/>
      <c r="N18" s="234">
        <f>46.147%*(1-0.08)</f>
        <v>0.4245524</v>
      </c>
      <c r="O18" s="234"/>
      <c r="P18" s="74"/>
      <c r="Q18" s="74"/>
      <c r="R18" s="74"/>
      <c r="S18" s="74"/>
      <c r="T18" s="74"/>
      <c r="U18" s="75"/>
      <c r="W18" t="s">
        <v>391</v>
      </c>
      <c r="AC18" t="s">
        <v>392</v>
      </c>
    </row>
    <row r="19" spans="1:39" x14ac:dyDescent="0.25">
      <c r="A19" s="81"/>
      <c r="B19" s="81"/>
      <c r="C19" s="81"/>
      <c r="D19" s="81"/>
      <c r="E19" s="238">
        <v>0.15035999999999999</v>
      </c>
      <c r="F19" s="238"/>
      <c r="G19" s="81"/>
      <c r="H19" s="81"/>
      <c r="I19" s="81"/>
      <c r="J19" s="82"/>
      <c r="K19" s="80" t="s">
        <v>273</v>
      </c>
      <c r="L19" s="81"/>
      <c r="M19" s="81"/>
      <c r="N19" s="81"/>
      <c r="O19" s="81"/>
      <c r="P19" s="238">
        <v>0.15035999999999999</v>
      </c>
      <c r="Q19" s="238"/>
      <c r="R19" s="81"/>
      <c r="S19" s="81"/>
      <c r="T19" s="81"/>
      <c r="U19" s="82"/>
      <c r="W19" t="s">
        <v>393</v>
      </c>
      <c r="AC19" t="s">
        <v>394</v>
      </c>
      <c r="AL19" s="111">
        <f>(1.05-1.2)/1.2</f>
        <v>-0.12499999999999993</v>
      </c>
      <c r="AM19" s="111">
        <f>(1.05-0.925)/0.925</f>
        <v>0.13513513513513511</v>
      </c>
    </row>
    <row r="20" spans="1:39" ht="15.75" thickBot="1" x14ac:dyDescent="0.3">
      <c r="A20" s="78"/>
      <c r="B20" s="78"/>
      <c r="C20" s="78"/>
      <c r="D20" s="78"/>
      <c r="E20" s="83"/>
      <c r="F20" s="83"/>
      <c r="G20" s="78">
        <v>0.51546000000000003</v>
      </c>
      <c r="H20" s="78"/>
      <c r="I20" s="78"/>
      <c r="J20" s="79"/>
      <c r="K20" s="77" t="s">
        <v>275</v>
      </c>
      <c r="L20" s="78"/>
      <c r="M20" s="78"/>
      <c r="N20" s="78"/>
      <c r="O20" s="78"/>
      <c r="P20" s="83"/>
      <c r="Q20" s="83"/>
      <c r="R20" s="78">
        <v>0.59937209302325589</v>
      </c>
      <c r="S20" s="78"/>
      <c r="T20" s="78"/>
      <c r="U20" s="79"/>
      <c r="W20" t="s">
        <v>395</v>
      </c>
      <c r="AC20" t="s">
        <v>396</v>
      </c>
      <c r="AJ20" s="65"/>
      <c r="AK20" s="65"/>
      <c r="AL20" s="111">
        <f>(0.93-1.2)/1.2</f>
        <v>-0.22499999999999992</v>
      </c>
      <c r="AM20" s="111">
        <f>(1.135-0.925)/0.925</f>
        <v>0.22702702702702698</v>
      </c>
    </row>
    <row r="21" spans="1:39" x14ac:dyDescent="0.25">
      <c r="A21" s="74">
        <v>0.69059999999999999</v>
      </c>
      <c r="B21" s="74"/>
      <c r="C21" s="234">
        <v>0.38878000000000001</v>
      </c>
      <c r="D21" s="234"/>
      <c r="E21" s="74"/>
      <c r="F21" s="74"/>
      <c r="G21" s="74"/>
      <c r="H21" s="74"/>
      <c r="I21" s="74"/>
      <c r="J21" s="75"/>
      <c r="K21" s="73" t="s">
        <v>277</v>
      </c>
      <c r="L21" s="74">
        <v>0.69059999999999999</v>
      </c>
      <c r="M21" s="74"/>
      <c r="N21" s="234">
        <v>0.38878000000000001</v>
      </c>
      <c r="O21" s="234"/>
      <c r="P21" s="74"/>
      <c r="Q21" s="74"/>
      <c r="R21" s="74"/>
      <c r="S21" s="74"/>
      <c r="T21" s="74"/>
      <c r="U21" s="75"/>
      <c r="W21" t="s">
        <v>397</v>
      </c>
      <c r="AC21" t="s">
        <v>398</v>
      </c>
      <c r="AI21" t="s">
        <v>399</v>
      </c>
    </row>
    <row r="22" spans="1:39" x14ac:dyDescent="0.25">
      <c r="A22" s="81"/>
      <c r="B22" s="81"/>
      <c r="C22" s="81"/>
      <c r="D22" s="81"/>
      <c r="E22" s="238">
        <v>0.2099</v>
      </c>
      <c r="F22" s="238"/>
      <c r="G22" s="81"/>
      <c r="H22" s="81"/>
      <c r="I22" s="81"/>
      <c r="J22" s="82"/>
      <c r="K22" s="80" t="s">
        <v>279</v>
      </c>
      <c r="L22" s="81"/>
      <c r="M22" s="81"/>
      <c r="N22" s="81"/>
      <c r="O22" s="81"/>
      <c r="P22" s="238">
        <v>0.2099</v>
      </c>
      <c r="Q22" s="238"/>
      <c r="R22" s="81"/>
      <c r="S22" s="81"/>
      <c r="T22" s="81"/>
      <c r="U22" s="82"/>
      <c r="W22" t="s">
        <v>400</v>
      </c>
      <c r="AC22" t="s">
        <v>401</v>
      </c>
      <c r="AI22" s="1" t="s">
        <v>402</v>
      </c>
      <c r="AK22" s="69"/>
      <c r="AL22" s="69"/>
      <c r="AM22" s="69"/>
    </row>
    <row r="23" spans="1:39" ht="15.75" thickBot="1" x14ac:dyDescent="0.3">
      <c r="A23" s="78"/>
      <c r="B23" s="78"/>
      <c r="C23" s="78"/>
      <c r="D23" s="78"/>
      <c r="E23" s="83"/>
      <c r="F23" s="83"/>
      <c r="G23" s="78">
        <v>0.62805999999999995</v>
      </c>
      <c r="H23" s="78"/>
      <c r="I23" s="78"/>
      <c r="J23" s="79"/>
      <c r="K23" s="77" t="s">
        <v>281</v>
      </c>
      <c r="L23" s="78"/>
      <c r="M23" s="78"/>
      <c r="N23" s="78"/>
      <c r="O23" s="78"/>
      <c r="P23" s="83"/>
      <c r="Q23" s="83"/>
      <c r="R23" s="78">
        <v>0.7303023255813953</v>
      </c>
      <c r="S23" s="78"/>
      <c r="T23" s="78"/>
      <c r="U23" s="79"/>
      <c r="W23" t="s">
        <v>403</v>
      </c>
      <c r="AC23" t="s">
        <v>404</v>
      </c>
      <c r="AI23" s="1" t="s">
        <v>405</v>
      </c>
      <c r="AK23" s="69"/>
      <c r="AL23" s="69"/>
      <c r="AM23" s="69"/>
    </row>
    <row r="24" spans="1:39" x14ac:dyDescent="0.25">
      <c r="A24" s="74">
        <v>0.68315000000000003</v>
      </c>
      <c r="B24" s="74"/>
      <c r="C24" s="234">
        <v>0.70006000000000002</v>
      </c>
      <c r="D24" s="234"/>
      <c r="E24" s="74"/>
      <c r="F24" s="74"/>
      <c r="G24" s="74"/>
      <c r="H24" s="74"/>
      <c r="I24" s="74"/>
      <c r="J24" s="75"/>
      <c r="K24" s="73" t="s">
        <v>284</v>
      </c>
      <c r="L24" s="74">
        <v>0.68315000000000003</v>
      </c>
      <c r="M24" s="74"/>
      <c r="N24" s="234">
        <v>0.70006000000000002</v>
      </c>
      <c r="O24" s="234"/>
      <c r="P24" s="74"/>
      <c r="Q24" s="74"/>
      <c r="R24" s="74"/>
      <c r="S24" s="74"/>
      <c r="T24" s="74"/>
      <c r="U24" s="75"/>
      <c r="W24" t="s">
        <v>406</v>
      </c>
      <c r="AC24" t="s">
        <v>407</v>
      </c>
      <c r="AI24" s="1" t="s">
        <v>408</v>
      </c>
      <c r="AK24" s="69"/>
      <c r="AL24" s="69"/>
      <c r="AM24" s="69"/>
    </row>
    <row r="25" spans="1:39" x14ac:dyDescent="0.25">
      <c r="A25" s="81"/>
      <c r="B25" s="81"/>
      <c r="C25" s="81"/>
      <c r="D25" s="81"/>
      <c r="E25" s="238">
        <v>0.152</v>
      </c>
      <c r="F25" s="238"/>
      <c r="G25" s="81"/>
      <c r="H25" s="81"/>
      <c r="I25" s="81"/>
      <c r="J25" s="82"/>
      <c r="K25" s="80" t="s">
        <v>287</v>
      </c>
      <c r="L25" s="81"/>
      <c r="M25" s="81"/>
      <c r="N25" s="81"/>
      <c r="O25" s="81"/>
      <c r="P25" s="238">
        <v>0.152</v>
      </c>
      <c r="Q25" s="238"/>
      <c r="R25" s="81"/>
      <c r="S25" s="81"/>
      <c r="T25" s="81"/>
      <c r="U25" s="82"/>
      <c r="W25" t="s">
        <v>409</v>
      </c>
      <c r="AC25" t="s">
        <v>410</v>
      </c>
      <c r="AI25" s="1" t="s">
        <v>411</v>
      </c>
      <c r="AK25" s="69"/>
      <c r="AL25" s="69"/>
      <c r="AM25" s="69"/>
    </row>
    <row r="26" spans="1:39" ht="15.75" thickBot="1" x14ac:dyDescent="0.3">
      <c r="A26" s="78"/>
      <c r="B26" s="78"/>
      <c r="C26" s="78"/>
      <c r="D26" s="78"/>
      <c r="E26" s="83"/>
      <c r="F26" s="83"/>
      <c r="G26" s="78">
        <v>0.32396000000000003</v>
      </c>
      <c r="H26" s="78"/>
      <c r="I26" s="78"/>
      <c r="J26" s="79"/>
      <c r="K26" s="77" t="s">
        <v>290</v>
      </c>
      <c r="L26" s="78"/>
      <c r="M26" s="78"/>
      <c r="N26" s="78"/>
      <c r="O26" s="78"/>
      <c r="P26" s="83"/>
      <c r="Q26" s="83"/>
      <c r="R26" s="78">
        <v>0.37669767441860463</v>
      </c>
      <c r="S26" s="78"/>
      <c r="T26" s="78"/>
      <c r="U26" s="79"/>
      <c r="W26" t="s">
        <v>412</v>
      </c>
      <c r="AC26" t="s">
        <v>413</v>
      </c>
      <c r="AI26" s="1" t="s">
        <v>414</v>
      </c>
    </row>
    <row r="27" spans="1:39" x14ac:dyDescent="0.25">
      <c r="A27" s="74">
        <v>0.18545</v>
      </c>
      <c r="B27" s="74">
        <v>9.2719999999999997E-2</v>
      </c>
      <c r="C27" s="234">
        <v>0.42459999999999998</v>
      </c>
      <c r="D27" s="234"/>
      <c r="E27" s="74"/>
      <c r="F27" s="74"/>
      <c r="G27" s="74"/>
      <c r="H27" s="74"/>
      <c r="I27" s="227"/>
      <c r="J27" s="229"/>
      <c r="K27" s="73" t="s">
        <v>292</v>
      </c>
      <c r="L27" s="74">
        <v>0.18545</v>
      </c>
      <c r="M27" s="74">
        <v>9.2719999999999997E-2</v>
      </c>
      <c r="N27" s="234">
        <v>0.42459999999999998</v>
      </c>
      <c r="O27" s="234"/>
      <c r="P27" s="74"/>
      <c r="Q27" s="74"/>
      <c r="R27" s="74"/>
      <c r="S27" s="74"/>
      <c r="T27" s="227"/>
      <c r="U27" s="229"/>
      <c r="W27" t="s">
        <v>415</v>
      </c>
      <c r="AC27" t="s">
        <v>416</v>
      </c>
      <c r="AI27" s="1" t="s">
        <v>417</v>
      </c>
    </row>
    <row r="28" spans="1:39" x14ac:dyDescent="0.25">
      <c r="A28" s="81"/>
      <c r="B28" s="81"/>
      <c r="C28" s="81"/>
      <c r="D28" s="81"/>
      <c r="E28" s="238">
        <v>1</v>
      </c>
      <c r="F28" s="238"/>
      <c r="G28" s="81"/>
      <c r="H28" s="81"/>
      <c r="I28" s="230"/>
      <c r="J28" s="231"/>
      <c r="K28" s="80" t="s">
        <v>295</v>
      </c>
      <c r="L28" s="81"/>
      <c r="M28" s="81"/>
      <c r="N28" s="81"/>
      <c r="O28" s="81"/>
      <c r="P28" s="238">
        <v>1</v>
      </c>
      <c r="Q28" s="238"/>
      <c r="R28" s="81"/>
      <c r="S28" s="81"/>
      <c r="T28" s="230"/>
      <c r="U28" s="231"/>
      <c r="W28" t="s">
        <v>418</v>
      </c>
      <c r="AC28" t="s">
        <v>419</v>
      </c>
    </row>
    <row r="29" spans="1:39" x14ac:dyDescent="0.25">
      <c r="A29" s="78"/>
      <c r="B29" s="78"/>
      <c r="C29" s="78"/>
      <c r="D29" s="78"/>
      <c r="E29" s="83"/>
      <c r="F29" s="83"/>
      <c r="G29" s="78"/>
      <c r="H29" s="78"/>
      <c r="I29" s="91"/>
      <c r="J29" s="92"/>
      <c r="K29" s="80" t="s">
        <v>364</v>
      </c>
      <c r="L29" s="78"/>
      <c r="M29" s="78"/>
      <c r="N29" s="78"/>
      <c r="O29" s="78"/>
      <c r="P29" s="83"/>
      <c r="Q29" s="83"/>
      <c r="R29" s="78"/>
      <c r="S29" s="78"/>
      <c r="T29" s="232">
        <v>0.21</v>
      </c>
      <c r="U29" s="233"/>
      <c r="W29" t="s">
        <v>420</v>
      </c>
      <c r="AC29" t="s">
        <v>421</v>
      </c>
    </row>
    <row r="30" spans="1:39" ht="15.75" thickBot="1" x14ac:dyDescent="0.3">
      <c r="A30" s="78"/>
      <c r="B30" s="78"/>
      <c r="C30" s="78"/>
      <c r="D30" s="78"/>
      <c r="E30" s="83"/>
      <c r="F30" s="83"/>
      <c r="G30" s="78">
        <v>0.24451999999999999</v>
      </c>
      <c r="H30" s="78">
        <v>0.1226</v>
      </c>
      <c r="I30" s="232">
        <v>0.34044000000000002</v>
      </c>
      <c r="J30" s="233"/>
      <c r="K30" s="77" t="s">
        <v>298</v>
      </c>
      <c r="L30" s="78"/>
      <c r="M30" s="78"/>
      <c r="N30" s="78"/>
      <c r="O30" s="78"/>
      <c r="P30" s="83"/>
      <c r="Q30" s="83"/>
      <c r="R30" s="78">
        <v>0.2843255813953488</v>
      </c>
      <c r="S30" s="78">
        <v>0.14255813953488372</v>
      </c>
      <c r="T30" s="232">
        <f>34.044%*1.05</f>
        <v>0.357462</v>
      </c>
      <c r="U30" s="233"/>
      <c r="W30" t="s">
        <v>422</v>
      </c>
      <c r="AC30" t="s">
        <v>423</v>
      </c>
      <c r="AJ30" s="115" t="s">
        <v>424</v>
      </c>
      <c r="AK30" s="115" t="s">
        <v>425</v>
      </c>
    </row>
    <row r="31" spans="1:39" x14ac:dyDescent="0.25">
      <c r="A31" s="74">
        <v>0.27438000000000001</v>
      </c>
      <c r="B31" s="74">
        <v>0.13719000000000001</v>
      </c>
      <c r="C31" s="234">
        <v>0.62792999999999999</v>
      </c>
      <c r="D31" s="234"/>
      <c r="E31" s="74"/>
      <c r="F31" s="74"/>
      <c r="G31" s="74"/>
      <c r="H31" s="74"/>
      <c r="I31" s="227"/>
      <c r="J31" s="229"/>
      <c r="K31" s="73" t="s">
        <v>300</v>
      </c>
      <c r="L31" s="74">
        <v>0.27438000000000001</v>
      </c>
      <c r="M31" s="74">
        <v>0.13719000000000001</v>
      </c>
      <c r="N31" s="234">
        <v>0.62792999999999999</v>
      </c>
      <c r="O31" s="234"/>
      <c r="P31" s="74"/>
      <c r="Q31" s="74"/>
      <c r="R31" s="74"/>
      <c r="S31" s="74"/>
      <c r="T31" s="227"/>
      <c r="U31" s="229"/>
      <c r="W31" t="s">
        <v>426</v>
      </c>
      <c r="AC31" t="s">
        <v>427</v>
      </c>
      <c r="AJ31" s="115" t="s">
        <v>428</v>
      </c>
      <c r="AK31" s="115" t="s">
        <v>429</v>
      </c>
    </row>
    <row r="32" spans="1:39" x14ac:dyDescent="0.25">
      <c r="A32" s="93"/>
      <c r="B32" s="93"/>
      <c r="C32" s="94"/>
      <c r="D32" s="94"/>
      <c r="E32" s="93"/>
      <c r="F32" s="93"/>
      <c r="G32" s="93"/>
      <c r="H32" s="93"/>
      <c r="I32" s="95"/>
      <c r="J32" s="96"/>
      <c r="K32" s="97" t="s">
        <v>365</v>
      </c>
      <c r="L32" s="93"/>
      <c r="M32" s="93"/>
      <c r="N32" s="94"/>
      <c r="O32" s="94"/>
      <c r="P32" s="93"/>
      <c r="Q32" s="93"/>
      <c r="R32" s="93"/>
      <c r="S32" s="93"/>
      <c r="T32" s="232">
        <v>0.12</v>
      </c>
      <c r="U32" s="233"/>
      <c r="W32" t="s">
        <v>430</v>
      </c>
      <c r="AC32" t="s">
        <v>431</v>
      </c>
      <c r="AJ32" s="115" t="s">
        <v>432</v>
      </c>
      <c r="AK32" s="115" t="s">
        <v>433</v>
      </c>
    </row>
    <row r="33" spans="1:37" ht="15.75" thickBot="1" x14ac:dyDescent="0.3">
      <c r="A33" s="78"/>
      <c r="B33" s="78"/>
      <c r="C33" s="83"/>
      <c r="D33" s="83"/>
      <c r="E33" s="78"/>
      <c r="F33" s="78"/>
      <c r="G33" s="78">
        <v>0.14949999999999999</v>
      </c>
      <c r="H33" s="78">
        <v>7.3999999999999996E-2</v>
      </c>
      <c r="I33" s="232">
        <v>0.23748</v>
      </c>
      <c r="J33" s="233"/>
      <c r="K33" s="77" t="s">
        <v>303</v>
      </c>
      <c r="L33" s="78"/>
      <c r="M33" s="78"/>
      <c r="N33" s="83"/>
      <c r="O33" s="83"/>
      <c r="P33" s="78"/>
      <c r="Q33" s="78"/>
      <c r="R33" s="78">
        <v>0.13906976744186045</v>
      </c>
      <c r="S33" s="78">
        <v>6.8837209302325592E-2</v>
      </c>
      <c r="T33" s="232">
        <f>23.748%*0.8</f>
        <v>0.18998400000000004</v>
      </c>
      <c r="U33" s="233"/>
      <c r="W33" t="s">
        <v>434</v>
      </c>
      <c r="AC33" t="s">
        <v>435</v>
      </c>
      <c r="AJ33" s="115" t="s">
        <v>436</v>
      </c>
      <c r="AK33" s="115" t="s">
        <v>437</v>
      </c>
    </row>
    <row r="34" spans="1:37" x14ac:dyDescent="0.25">
      <c r="A34" s="74">
        <v>0.11212</v>
      </c>
      <c r="B34" s="74">
        <v>5.6059999999999999E-2</v>
      </c>
      <c r="C34" s="234">
        <v>0.23462</v>
      </c>
      <c r="D34" s="234"/>
      <c r="E34" s="74"/>
      <c r="F34" s="74"/>
      <c r="G34" s="74"/>
      <c r="H34" s="74"/>
      <c r="I34" s="227"/>
      <c r="J34" s="229"/>
      <c r="K34" s="73" t="s">
        <v>305</v>
      </c>
      <c r="L34" s="74">
        <f>11.212%*0.75</f>
        <v>8.4089999999999998E-2</v>
      </c>
      <c r="M34" s="74">
        <f>5.606%*0.75</f>
        <v>4.2044999999999999E-2</v>
      </c>
      <c r="N34" s="234">
        <f>23.462%*0.75</f>
        <v>0.17596499999999998</v>
      </c>
      <c r="O34" s="234"/>
      <c r="P34" s="74"/>
      <c r="Q34" s="74"/>
      <c r="R34" s="74"/>
      <c r="S34" s="74"/>
      <c r="T34" s="227"/>
      <c r="U34" s="229"/>
      <c r="W34" t="s">
        <v>438</v>
      </c>
      <c r="AC34" t="s">
        <v>439</v>
      </c>
      <c r="AJ34" s="115" t="s">
        <v>440</v>
      </c>
      <c r="AK34" s="115" t="s">
        <v>441</v>
      </c>
    </row>
    <row r="35" spans="1:37" x14ac:dyDescent="0.25">
      <c r="A35" s="93"/>
      <c r="B35" s="93"/>
      <c r="C35" s="94"/>
      <c r="D35" s="94"/>
      <c r="E35" s="93"/>
      <c r="F35" s="93"/>
      <c r="G35" s="93"/>
      <c r="H35" s="93"/>
      <c r="I35" s="95"/>
      <c r="J35" s="96"/>
      <c r="K35" s="97" t="s">
        <v>366</v>
      </c>
      <c r="L35" s="93"/>
      <c r="M35" s="93"/>
      <c r="N35" s="94"/>
      <c r="O35" s="94"/>
      <c r="P35" s="93"/>
      <c r="Q35" s="93"/>
      <c r="R35" s="93"/>
      <c r="S35" s="93"/>
      <c r="T35" s="232">
        <v>0.31</v>
      </c>
      <c r="U35" s="233"/>
      <c r="W35" t="s">
        <v>442</v>
      </c>
      <c r="AC35" t="s">
        <v>443</v>
      </c>
    </row>
    <row r="36" spans="1:37" ht="15.75" thickBot="1" x14ac:dyDescent="0.3">
      <c r="A36" s="78"/>
      <c r="B36" s="78"/>
      <c r="C36" s="83"/>
      <c r="D36" s="83"/>
      <c r="E36" s="78"/>
      <c r="F36" s="78"/>
      <c r="G36" s="78">
        <v>0.23788000000000001</v>
      </c>
      <c r="H36" s="78">
        <v>0.11894</v>
      </c>
      <c r="I36" s="232">
        <v>0.50244</v>
      </c>
      <c r="J36" s="233"/>
      <c r="K36" s="77" t="s">
        <v>307</v>
      </c>
      <c r="L36" s="78"/>
      <c r="M36" s="78"/>
      <c r="N36" s="83"/>
      <c r="O36" s="83"/>
      <c r="P36" s="78"/>
      <c r="Q36" s="78"/>
      <c r="R36" s="78">
        <v>0.2766046511627907</v>
      </c>
      <c r="S36" s="78">
        <v>0.13830232558139535</v>
      </c>
      <c r="T36" s="232">
        <f>50.244%*1.05</f>
        <v>0.52756199999999998</v>
      </c>
      <c r="U36" s="233"/>
      <c r="AC36" t="s">
        <v>444</v>
      </c>
    </row>
    <row r="37" spans="1:37" ht="19.5" thickBot="1" x14ac:dyDescent="0.35">
      <c r="A37" s="86"/>
      <c r="B37" s="86"/>
      <c r="C37" s="86"/>
      <c r="D37" s="86"/>
      <c r="E37" s="235">
        <v>0.94696999999999998</v>
      </c>
      <c r="F37" s="235"/>
      <c r="G37" s="86"/>
      <c r="H37" s="86"/>
      <c r="I37" s="236"/>
      <c r="J37" s="237"/>
      <c r="K37" s="85" t="s">
        <v>309</v>
      </c>
      <c r="L37" s="86"/>
      <c r="M37" s="86"/>
      <c r="N37" s="86"/>
      <c r="O37" s="86"/>
      <c r="P37" s="235">
        <v>0.94696999999999998</v>
      </c>
      <c r="Q37" s="235"/>
      <c r="R37" s="86"/>
      <c r="S37" s="86"/>
      <c r="T37" s="236"/>
      <c r="U37" s="237"/>
      <c r="W37" s="243" t="s">
        <v>261</v>
      </c>
      <c r="X37" s="243"/>
      <c r="AC37" t="s">
        <v>445</v>
      </c>
    </row>
    <row r="38" spans="1:37" x14ac:dyDescent="0.25">
      <c r="A38" s="234">
        <v>0.15762999999999999</v>
      </c>
      <c r="B38" s="234"/>
      <c r="C38" s="234">
        <v>0.36070000000000002</v>
      </c>
      <c r="D38" s="234"/>
      <c r="E38" s="74"/>
      <c r="F38" s="74"/>
      <c r="G38" s="74"/>
      <c r="H38" s="74"/>
      <c r="I38" s="227"/>
      <c r="J38" s="229"/>
      <c r="K38" s="73" t="s">
        <v>310</v>
      </c>
      <c r="L38" s="234">
        <v>0.15762999999999999</v>
      </c>
      <c r="M38" s="234"/>
      <c r="N38" s="234">
        <v>0.36070000000000002</v>
      </c>
      <c r="O38" s="234"/>
      <c r="P38" s="74"/>
      <c r="Q38" s="74"/>
      <c r="R38" s="74"/>
      <c r="S38" s="74"/>
      <c r="T38" s="227"/>
      <c r="U38" s="229"/>
      <c r="AC38" t="s">
        <v>446</v>
      </c>
    </row>
    <row r="39" spans="1:37" x14ac:dyDescent="0.25">
      <c r="A39" s="81"/>
      <c r="B39" s="81"/>
      <c r="C39" s="81"/>
      <c r="D39" s="81"/>
      <c r="E39" s="238">
        <v>0.85</v>
      </c>
      <c r="F39" s="238"/>
      <c r="G39" s="81"/>
      <c r="H39" s="81"/>
      <c r="I39" s="230"/>
      <c r="J39" s="231"/>
      <c r="K39" s="80" t="s">
        <v>311</v>
      </c>
      <c r="L39" s="81"/>
      <c r="M39" s="81"/>
      <c r="N39" s="81"/>
      <c r="O39" s="81"/>
      <c r="P39" s="238">
        <v>0.85</v>
      </c>
      <c r="Q39" s="238"/>
      <c r="R39" s="81"/>
      <c r="S39" s="81"/>
      <c r="T39" s="230"/>
      <c r="U39" s="231"/>
      <c r="W39" t="s">
        <v>241</v>
      </c>
      <c r="AC39" t="s">
        <v>447</v>
      </c>
    </row>
    <row r="40" spans="1:37" ht="15.75" thickBot="1" x14ac:dyDescent="0.3">
      <c r="A40" s="78"/>
      <c r="B40" s="78"/>
      <c r="C40" s="78"/>
      <c r="D40" s="78"/>
      <c r="E40" s="83"/>
      <c r="F40" s="83"/>
      <c r="G40" s="78">
        <v>0.20784</v>
      </c>
      <c r="H40" s="78"/>
      <c r="I40" s="232">
        <v>0.28937000000000002</v>
      </c>
      <c r="J40" s="233"/>
      <c r="K40" s="77" t="s">
        <v>313</v>
      </c>
      <c r="L40" s="78"/>
      <c r="M40" s="78"/>
      <c r="N40" s="78"/>
      <c r="O40" s="78"/>
      <c r="P40" s="83"/>
      <c r="Q40" s="83"/>
      <c r="R40" s="78">
        <v>0.24167441860465114</v>
      </c>
      <c r="S40" s="78"/>
      <c r="T40" s="232">
        <v>0.28937000000000002</v>
      </c>
      <c r="U40" s="233"/>
      <c r="W40" t="s">
        <v>244</v>
      </c>
      <c r="AC40" t="s">
        <v>448</v>
      </c>
    </row>
    <row r="41" spans="1:37" x14ac:dyDescent="0.25">
      <c r="A41" s="234">
        <v>0.20368</v>
      </c>
      <c r="B41" s="234"/>
      <c r="C41" s="234">
        <v>0.33767000000000003</v>
      </c>
      <c r="D41" s="234"/>
      <c r="E41" s="74"/>
      <c r="F41" s="74"/>
      <c r="G41" s="74"/>
      <c r="H41" s="74"/>
      <c r="I41" s="227"/>
      <c r="J41" s="229"/>
      <c r="K41" s="73" t="s">
        <v>315</v>
      </c>
      <c r="L41" s="234">
        <v>0.20368</v>
      </c>
      <c r="M41" s="234"/>
      <c r="N41" s="234">
        <v>0.33767000000000003</v>
      </c>
      <c r="O41" s="234"/>
      <c r="P41" s="74"/>
      <c r="Q41" s="74"/>
      <c r="R41" s="74"/>
      <c r="S41" s="74"/>
      <c r="T41" s="227"/>
      <c r="U41" s="229"/>
      <c r="W41" t="s">
        <v>247</v>
      </c>
      <c r="AC41" t="s">
        <v>449</v>
      </c>
    </row>
    <row r="42" spans="1:37" x14ac:dyDescent="0.25">
      <c r="A42" s="81"/>
      <c r="B42" s="81"/>
      <c r="C42" s="81"/>
      <c r="D42" s="81"/>
      <c r="E42" s="238">
        <v>0.89815999999999996</v>
      </c>
      <c r="F42" s="238"/>
      <c r="G42" s="81"/>
      <c r="H42" s="81"/>
      <c r="I42" s="230"/>
      <c r="J42" s="231"/>
      <c r="K42" s="80" t="s">
        <v>317</v>
      </c>
      <c r="L42" s="81"/>
      <c r="M42" s="81"/>
      <c r="N42" s="81"/>
      <c r="O42" s="81"/>
      <c r="P42" s="238">
        <v>0.89815999999999996</v>
      </c>
      <c r="Q42" s="238"/>
      <c r="R42" s="81"/>
      <c r="S42" s="81"/>
      <c r="T42" s="230"/>
      <c r="U42" s="231"/>
      <c r="AC42" t="s">
        <v>450</v>
      </c>
    </row>
    <row r="43" spans="1:37" x14ac:dyDescent="0.25">
      <c r="A43" s="81"/>
      <c r="B43" s="81"/>
      <c r="C43" s="81"/>
      <c r="D43" s="81"/>
      <c r="E43" s="87"/>
      <c r="F43" s="87"/>
      <c r="G43" s="81">
        <v>0.57364000000000004</v>
      </c>
      <c r="H43" s="81"/>
      <c r="I43" s="230"/>
      <c r="J43" s="231"/>
      <c r="K43" s="80" t="s">
        <v>319</v>
      </c>
      <c r="L43" s="81"/>
      <c r="M43" s="81"/>
      <c r="N43" s="81"/>
      <c r="O43" s="81"/>
      <c r="P43" s="87"/>
      <c r="Q43" s="87"/>
      <c r="R43" s="81">
        <v>0.6670232558139535</v>
      </c>
      <c r="S43" s="81"/>
      <c r="T43" s="230"/>
      <c r="U43" s="231"/>
      <c r="W43" t="s">
        <v>256</v>
      </c>
      <c r="AC43" t="s">
        <v>451</v>
      </c>
    </row>
    <row r="44" spans="1:37" ht="15.75" thickBot="1" x14ac:dyDescent="0.3">
      <c r="A44" s="78"/>
      <c r="B44" s="78"/>
      <c r="C44" s="78"/>
      <c r="D44" s="78"/>
      <c r="E44" s="83"/>
      <c r="F44" s="83"/>
      <c r="G44" s="78">
        <v>0.26422000000000001</v>
      </c>
      <c r="H44" s="78"/>
      <c r="I44" s="232">
        <v>0.2399</v>
      </c>
      <c r="J44" s="233"/>
      <c r="K44" s="77" t="s">
        <v>321</v>
      </c>
      <c r="L44" s="78"/>
      <c r="M44" s="78"/>
      <c r="N44" s="78"/>
      <c r="O44" s="78"/>
      <c r="P44" s="83"/>
      <c r="Q44" s="83"/>
      <c r="R44" s="78">
        <v>0.30723255813953487</v>
      </c>
      <c r="S44" s="78"/>
      <c r="T44" s="232">
        <f>23.99%*1.06</f>
        <v>0.25429399999999996</v>
      </c>
      <c r="U44" s="233"/>
      <c r="W44" t="s">
        <v>258</v>
      </c>
      <c r="AC44" t="s">
        <v>452</v>
      </c>
    </row>
    <row r="45" spans="1:37" x14ac:dyDescent="0.25">
      <c r="A45" s="74">
        <v>0.34708</v>
      </c>
      <c r="B45" s="74"/>
      <c r="C45" s="234">
        <v>0.20830000000000001</v>
      </c>
      <c r="D45" s="234"/>
      <c r="E45" s="74"/>
      <c r="F45" s="74"/>
      <c r="G45" s="74"/>
      <c r="H45" s="74"/>
      <c r="I45" s="227"/>
      <c r="J45" s="229"/>
      <c r="K45" s="73" t="s">
        <v>322</v>
      </c>
      <c r="L45" s="74">
        <v>0.34708</v>
      </c>
      <c r="M45" s="74"/>
      <c r="N45" s="234">
        <v>0.20830000000000001</v>
      </c>
      <c r="O45" s="234"/>
      <c r="P45" s="74"/>
      <c r="Q45" s="74"/>
      <c r="R45" s="74"/>
      <c r="S45" s="74"/>
      <c r="T45" s="227"/>
      <c r="U45" s="229"/>
      <c r="AC45" t="s">
        <v>453</v>
      </c>
    </row>
    <row r="46" spans="1:37" x14ac:dyDescent="0.25">
      <c r="A46" s="81"/>
      <c r="B46" s="81"/>
      <c r="C46" s="81"/>
      <c r="D46" s="81"/>
      <c r="E46" s="238">
        <v>0.52559999999999996</v>
      </c>
      <c r="F46" s="238"/>
      <c r="G46" s="81"/>
      <c r="H46" s="81"/>
      <c r="I46" s="230"/>
      <c r="J46" s="231"/>
      <c r="K46" s="80" t="s">
        <v>323</v>
      </c>
      <c r="L46" s="81"/>
      <c r="M46" s="81"/>
      <c r="N46" s="81"/>
      <c r="O46" s="81"/>
      <c r="P46" s="238">
        <v>0.52559999999999996</v>
      </c>
      <c r="Q46" s="238"/>
      <c r="R46" s="81"/>
      <c r="S46" s="81"/>
      <c r="T46" s="230"/>
      <c r="U46" s="231"/>
      <c r="W46" t="s">
        <v>373</v>
      </c>
      <c r="AC46" t="s">
        <v>454</v>
      </c>
    </row>
    <row r="47" spans="1:37" x14ac:dyDescent="0.25">
      <c r="A47" s="81"/>
      <c r="B47" s="81"/>
      <c r="C47" s="81"/>
      <c r="D47" s="81"/>
      <c r="E47" s="87"/>
      <c r="F47" s="87"/>
      <c r="G47" s="81">
        <v>0.84328000000000003</v>
      </c>
      <c r="H47" s="81"/>
      <c r="I47" s="230"/>
      <c r="J47" s="231"/>
      <c r="K47" s="80" t="s">
        <v>324</v>
      </c>
      <c r="L47" s="81"/>
      <c r="M47" s="81"/>
      <c r="N47" s="81"/>
      <c r="O47" s="81"/>
      <c r="P47" s="87"/>
      <c r="Q47" s="87"/>
      <c r="R47" s="81">
        <v>0.85308558139534874</v>
      </c>
      <c r="S47" s="81"/>
      <c r="T47" s="230"/>
      <c r="U47" s="231"/>
    </row>
    <row r="48" spans="1:37" ht="15.75" thickBot="1" x14ac:dyDescent="0.3">
      <c r="A48" s="78"/>
      <c r="B48" s="78"/>
      <c r="C48" s="78"/>
      <c r="D48" s="78"/>
      <c r="E48" s="83"/>
      <c r="F48" s="83"/>
      <c r="G48" s="78">
        <v>0.23543</v>
      </c>
      <c r="H48" s="78"/>
      <c r="I48" s="232">
        <v>0.13220000000000001</v>
      </c>
      <c r="J48" s="233"/>
      <c r="K48" s="77" t="s">
        <v>326</v>
      </c>
      <c r="L48" s="78"/>
      <c r="M48" s="78"/>
      <c r="N48" s="78"/>
      <c r="O48" s="78"/>
      <c r="P48" s="83"/>
      <c r="Q48" s="83"/>
      <c r="R48" s="78">
        <v>0.27375581395348836</v>
      </c>
      <c r="S48" s="78"/>
      <c r="T48" s="232">
        <f>13.22%*1.16</f>
        <v>0.15335200000000002</v>
      </c>
      <c r="U48" s="233"/>
      <c r="W48" t="s">
        <v>455</v>
      </c>
      <c r="AC48" t="s">
        <v>456</v>
      </c>
    </row>
    <row r="49" spans="1:30" ht="15.75" thickBot="1" x14ac:dyDescent="0.3">
      <c r="A49" s="86"/>
      <c r="B49" s="86"/>
      <c r="C49" s="86"/>
      <c r="D49" s="86"/>
      <c r="E49" s="235">
        <v>0.43773000000000001</v>
      </c>
      <c r="F49" s="235"/>
      <c r="G49" s="86"/>
      <c r="H49" s="86"/>
      <c r="I49" s="236"/>
      <c r="J49" s="237"/>
      <c r="K49" s="85" t="s">
        <v>367</v>
      </c>
      <c r="L49" s="86"/>
      <c r="M49" s="86"/>
      <c r="N49" s="86"/>
      <c r="O49" s="86"/>
      <c r="P49" s="235">
        <v>0.43773000000000001</v>
      </c>
      <c r="Q49" s="235"/>
      <c r="R49" s="86"/>
      <c r="S49" s="86"/>
      <c r="T49" s="236"/>
      <c r="U49" s="237"/>
      <c r="V49" s="35"/>
      <c r="W49" t="s">
        <v>457</v>
      </c>
    </row>
    <row r="50" spans="1:30" ht="18.75" x14ac:dyDescent="0.3">
      <c r="A50" s="74">
        <v>0.47361999999999999</v>
      </c>
      <c r="B50" s="74"/>
      <c r="C50" s="234">
        <v>0.28101999999999999</v>
      </c>
      <c r="D50" s="234"/>
      <c r="E50" s="74"/>
      <c r="F50" s="74"/>
      <c r="G50" s="74"/>
      <c r="H50" s="74"/>
      <c r="I50" s="227"/>
      <c r="J50" s="229"/>
      <c r="K50" s="73" t="s">
        <v>328</v>
      </c>
      <c r="L50" s="74">
        <v>0.47361999999999999</v>
      </c>
      <c r="M50" s="74"/>
      <c r="N50" s="234">
        <v>0.28101999999999999</v>
      </c>
      <c r="O50" s="234"/>
      <c r="P50" s="74"/>
      <c r="Q50" s="74"/>
      <c r="R50" s="74"/>
      <c r="S50" s="74"/>
      <c r="T50" s="227"/>
      <c r="U50" s="229"/>
      <c r="W50" t="s">
        <v>458</v>
      </c>
      <c r="AC50" s="243" t="s">
        <v>251</v>
      </c>
      <c r="AD50" s="243"/>
    </row>
    <row r="51" spans="1:30" x14ac:dyDescent="0.25">
      <c r="A51" s="81"/>
      <c r="B51" s="81"/>
      <c r="C51" s="87"/>
      <c r="D51" s="87"/>
      <c r="E51" s="81"/>
      <c r="F51" s="81"/>
      <c r="G51" s="81">
        <v>0.71950000000000003</v>
      </c>
      <c r="H51" s="81"/>
      <c r="I51" s="230"/>
      <c r="J51" s="231"/>
      <c r="K51" s="80" t="s">
        <v>329</v>
      </c>
      <c r="L51" s="81"/>
      <c r="M51" s="81"/>
      <c r="N51" s="87"/>
      <c r="O51" s="87"/>
      <c r="P51" s="81"/>
      <c r="Q51" s="81"/>
      <c r="R51" s="81">
        <v>0.66930232558139535</v>
      </c>
      <c r="S51" s="81"/>
      <c r="T51" s="230"/>
      <c r="U51" s="231"/>
      <c r="W51" t="s">
        <v>459</v>
      </c>
    </row>
    <row r="52" spans="1:30" ht="15.75" thickBot="1" x14ac:dyDescent="0.3">
      <c r="A52" s="78"/>
      <c r="B52" s="78"/>
      <c r="C52" s="83"/>
      <c r="D52" s="83"/>
      <c r="E52" s="78"/>
      <c r="F52" s="78"/>
      <c r="G52" s="78">
        <v>0.20451</v>
      </c>
      <c r="H52" s="78"/>
      <c r="I52" s="232">
        <v>9.1600000000000001E-2</v>
      </c>
      <c r="J52" s="233"/>
      <c r="K52" s="77" t="s">
        <v>331</v>
      </c>
      <c r="L52" s="78"/>
      <c r="M52" s="78"/>
      <c r="N52" s="83"/>
      <c r="O52" s="83"/>
      <c r="P52" s="78"/>
      <c r="Q52" s="78"/>
      <c r="R52" s="78">
        <v>0.23780232558139536</v>
      </c>
      <c r="S52" s="78"/>
      <c r="T52" s="232">
        <v>9.1600000000000001E-2</v>
      </c>
      <c r="U52" s="233"/>
      <c r="W52" t="s">
        <v>460</v>
      </c>
      <c r="AC52" t="s">
        <v>242</v>
      </c>
    </row>
    <row r="53" spans="1:30" x14ac:dyDescent="0.25">
      <c r="A53" s="74">
        <v>0.17321</v>
      </c>
      <c r="B53" s="74"/>
      <c r="C53" s="234">
        <v>9.2929999999999999E-2</v>
      </c>
      <c r="D53" s="234"/>
      <c r="E53" s="74"/>
      <c r="F53" s="74"/>
      <c r="G53" s="74"/>
      <c r="H53" s="74"/>
      <c r="I53" s="227"/>
      <c r="J53" s="229"/>
      <c r="K53" s="73" t="s">
        <v>333</v>
      </c>
      <c r="L53" s="74">
        <v>0.17321</v>
      </c>
      <c r="M53" s="74"/>
      <c r="N53" s="234">
        <f>9.293%*0.8</f>
        <v>7.4344000000000007E-2</v>
      </c>
      <c r="O53" s="234"/>
      <c r="P53" s="74"/>
      <c r="Q53" s="74"/>
      <c r="R53" s="74"/>
      <c r="S53" s="74"/>
      <c r="T53" s="227"/>
      <c r="U53" s="229"/>
      <c r="W53" t="s">
        <v>461</v>
      </c>
      <c r="AC53" t="s">
        <v>245</v>
      </c>
    </row>
    <row r="54" spans="1:30" x14ac:dyDescent="0.25">
      <c r="A54" s="81"/>
      <c r="B54" s="81"/>
      <c r="C54" s="87"/>
      <c r="D54" s="87"/>
      <c r="E54" s="81"/>
      <c r="F54" s="81"/>
      <c r="G54" s="81">
        <v>1</v>
      </c>
      <c r="H54" s="81"/>
      <c r="I54" s="230"/>
      <c r="J54" s="231"/>
      <c r="K54" s="80" t="s">
        <v>335</v>
      </c>
      <c r="L54" s="81"/>
      <c r="M54" s="81"/>
      <c r="N54" s="87"/>
      <c r="O54" s="87"/>
      <c r="P54" s="81"/>
      <c r="Q54" s="81"/>
      <c r="R54" s="81">
        <v>1</v>
      </c>
      <c r="S54" s="81"/>
      <c r="T54" s="230"/>
      <c r="U54" s="231"/>
      <c r="W54" t="s">
        <v>462</v>
      </c>
      <c r="AC54" t="s">
        <v>247</v>
      </c>
    </row>
    <row r="55" spans="1:30" ht="15.75" thickBot="1" x14ac:dyDescent="0.3">
      <c r="A55" s="78"/>
      <c r="B55" s="78"/>
      <c r="C55" s="83"/>
      <c r="D55" s="83"/>
      <c r="E55" s="78"/>
      <c r="F55" s="78"/>
      <c r="G55" s="78">
        <v>0.26967000000000002</v>
      </c>
      <c r="H55" s="78"/>
      <c r="I55" s="232">
        <v>0.1535</v>
      </c>
      <c r="J55" s="233"/>
      <c r="K55" s="77" t="s">
        <v>337</v>
      </c>
      <c r="L55" s="78"/>
      <c r="M55" s="78"/>
      <c r="N55" s="83"/>
      <c r="O55" s="83"/>
      <c r="P55" s="78"/>
      <c r="Q55" s="78"/>
      <c r="R55" s="78">
        <v>0.31356976744186049</v>
      </c>
      <c r="S55" s="78"/>
      <c r="T55" s="232">
        <v>0.1535</v>
      </c>
      <c r="U55" s="233"/>
      <c r="V55" s="35"/>
      <c r="W55" t="s">
        <v>463</v>
      </c>
    </row>
    <row r="56" spans="1:30" ht="15.75" thickBot="1" x14ac:dyDescent="0.3">
      <c r="A56" s="86"/>
      <c r="B56" s="86"/>
      <c r="C56" s="86"/>
      <c r="D56" s="86"/>
      <c r="E56" s="235">
        <v>0.43773000000000001</v>
      </c>
      <c r="F56" s="235"/>
      <c r="G56" s="86"/>
      <c r="H56" s="86"/>
      <c r="I56" s="236"/>
      <c r="J56" s="237"/>
      <c r="K56" s="85" t="s">
        <v>368</v>
      </c>
      <c r="L56" s="86"/>
      <c r="M56" s="86"/>
      <c r="N56" s="86"/>
      <c r="O56" s="86"/>
      <c r="P56" s="235">
        <f>43.773%*0.8</f>
        <v>0.35018400000000005</v>
      </c>
      <c r="Q56" s="235"/>
      <c r="R56" s="86"/>
      <c r="S56" s="86"/>
      <c r="T56" s="236"/>
      <c r="U56" s="237"/>
      <c r="V56" s="35"/>
      <c r="W56" t="s">
        <v>464</v>
      </c>
      <c r="AC56" t="s">
        <v>465</v>
      </c>
    </row>
    <row r="57" spans="1:30" x14ac:dyDescent="0.25">
      <c r="A57" s="74">
        <v>0.28996</v>
      </c>
      <c r="B57" s="74"/>
      <c r="C57" s="234">
        <v>0.25344</v>
      </c>
      <c r="D57" s="234"/>
      <c r="E57" s="74"/>
      <c r="F57" s="74"/>
      <c r="G57" s="74"/>
      <c r="H57" s="74"/>
      <c r="I57" s="227"/>
      <c r="J57" s="229"/>
      <c r="K57" s="73" t="s">
        <v>340</v>
      </c>
      <c r="L57" s="74">
        <v>0.28996</v>
      </c>
      <c r="M57" s="74"/>
      <c r="N57" s="234">
        <v>0.25344</v>
      </c>
      <c r="O57" s="234"/>
      <c r="P57" s="74"/>
      <c r="Q57" s="74"/>
      <c r="R57" s="74"/>
      <c r="S57" s="74"/>
      <c r="T57" s="227"/>
      <c r="U57" s="229"/>
      <c r="V57" s="35"/>
      <c r="W57" t="s">
        <v>466</v>
      </c>
    </row>
    <row r="58" spans="1:30" x14ac:dyDescent="0.25">
      <c r="A58" s="81"/>
      <c r="B58" s="81"/>
      <c r="C58" s="81"/>
      <c r="D58" s="81"/>
      <c r="E58" s="238">
        <v>0.65949000000000002</v>
      </c>
      <c r="F58" s="238"/>
      <c r="G58" s="81"/>
      <c r="H58" s="81"/>
      <c r="I58" s="230"/>
      <c r="J58" s="231"/>
      <c r="K58" s="80" t="s">
        <v>342</v>
      </c>
      <c r="L58" s="81"/>
      <c r="M58" s="81"/>
      <c r="N58" s="81"/>
      <c r="O58" s="81"/>
      <c r="P58" s="238">
        <f>65.949%*1.1</f>
        <v>0.72543900000000006</v>
      </c>
      <c r="Q58" s="238"/>
      <c r="R58" s="81"/>
      <c r="S58" s="81"/>
      <c r="T58" s="230"/>
      <c r="U58" s="231"/>
      <c r="V58" s="35"/>
      <c r="W58" t="s">
        <v>467</v>
      </c>
      <c r="AC58" t="s">
        <v>372</v>
      </c>
    </row>
    <row r="59" spans="1:30" x14ac:dyDescent="0.25">
      <c r="A59" s="81"/>
      <c r="B59" s="81"/>
      <c r="C59" s="81"/>
      <c r="D59" s="81"/>
      <c r="E59" s="87"/>
      <c r="F59" s="87"/>
      <c r="G59" s="81">
        <v>0.56411</v>
      </c>
      <c r="H59" s="81"/>
      <c r="I59" s="230"/>
      <c r="J59" s="231"/>
      <c r="K59" s="80" t="s">
        <v>344</v>
      </c>
      <c r="L59" s="81"/>
      <c r="M59" s="81"/>
      <c r="N59" s="81"/>
      <c r="O59" s="81"/>
      <c r="P59" s="87"/>
      <c r="Q59" s="87"/>
      <c r="R59" s="81">
        <v>0.70185779069767451</v>
      </c>
      <c r="S59" s="81"/>
      <c r="T59" s="230"/>
      <c r="U59" s="231"/>
      <c r="V59" s="35"/>
      <c r="W59" t="s">
        <v>468</v>
      </c>
    </row>
    <row r="60" spans="1:30" ht="15.75" thickBot="1" x14ac:dyDescent="0.3">
      <c r="A60" s="78"/>
      <c r="B60" s="78"/>
      <c r="C60" s="78"/>
      <c r="D60" s="78"/>
      <c r="E60" s="83"/>
      <c r="F60" s="83"/>
      <c r="G60" s="78">
        <v>0.14326</v>
      </c>
      <c r="H60" s="78"/>
      <c r="I60" s="232">
        <v>0.17191999999999999</v>
      </c>
      <c r="J60" s="233"/>
      <c r="K60" s="77" t="s">
        <v>346</v>
      </c>
      <c r="L60" s="78"/>
      <c r="M60" s="78"/>
      <c r="N60" s="78"/>
      <c r="O60" s="78"/>
      <c r="P60" s="83"/>
      <c r="Q60" s="83"/>
      <c r="R60" s="78">
        <v>0.2082267441860465</v>
      </c>
      <c r="S60" s="78"/>
      <c r="T60" s="232">
        <f>17.192%</f>
        <v>0.17191999999999999</v>
      </c>
      <c r="U60" s="233"/>
      <c r="V60" s="35"/>
      <c r="W60" t="s">
        <v>469</v>
      </c>
      <c r="AC60" t="s">
        <v>470</v>
      </c>
    </row>
    <row r="61" spans="1:30" x14ac:dyDescent="0.25">
      <c r="A61" s="74"/>
      <c r="B61" s="74"/>
      <c r="C61" s="74"/>
      <c r="D61" s="74"/>
      <c r="E61" s="88"/>
      <c r="F61" s="88"/>
      <c r="G61" s="74">
        <v>0.19162000000000001</v>
      </c>
      <c r="H61" s="74"/>
      <c r="I61" s="227"/>
      <c r="J61" s="229"/>
      <c r="K61" s="73" t="s">
        <v>348</v>
      </c>
      <c r="L61" s="74"/>
      <c r="M61" s="74"/>
      <c r="N61" s="74"/>
      <c r="O61" s="74"/>
      <c r="P61" s="88"/>
      <c r="Q61" s="88"/>
      <c r="R61" s="74">
        <v>0.22281395348837213</v>
      </c>
      <c r="S61" s="74"/>
      <c r="T61" s="227"/>
      <c r="U61" s="229"/>
      <c r="V61" s="35"/>
      <c r="W61" t="s">
        <v>471</v>
      </c>
      <c r="AC61" t="s">
        <v>472</v>
      </c>
    </row>
    <row r="62" spans="1:30" ht="15.75" thickBot="1" x14ac:dyDescent="0.3">
      <c r="A62" s="81"/>
      <c r="B62" s="81"/>
      <c r="C62" s="81"/>
      <c r="D62" s="81"/>
      <c r="E62" s="87"/>
      <c r="F62" s="87"/>
      <c r="G62" s="81">
        <v>0.49523</v>
      </c>
      <c r="H62" s="81"/>
      <c r="I62" s="230"/>
      <c r="J62" s="231"/>
      <c r="K62" s="80" t="s">
        <v>349</v>
      </c>
      <c r="L62" s="81"/>
      <c r="M62" s="81"/>
      <c r="N62" s="81"/>
      <c r="O62" s="81"/>
      <c r="P62" s="87"/>
      <c r="Q62" s="87"/>
      <c r="R62" s="81">
        <v>0.57584883720930236</v>
      </c>
      <c r="S62" s="81"/>
      <c r="T62" s="230"/>
      <c r="U62" s="231"/>
      <c r="V62" s="35"/>
      <c r="W62" t="s">
        <v>473</v>
      </c>
      <c r="AC62" t="s">
        <v>474</v>
      </c>
    </row>
    <row r="63" spans="1:30" x14ac:dyDescent="0.25">
      <c r="A63" s="81"/>
      <c r="B63" s="81"/>
      <c r="C63" s="81"/>
      <c r="D63" s="81"/>
      <c r="E63" s="87"/>
      <c r="F63" s="87"/>
      <c r="G63" s="81"/>
      <c r="H63" s="81"/>
      <c r="I63" s="98"/>
      <c r="J63" s="99"/>
      <c r="K63" s="80" t="s">
        <v>369</v>
      </c>
      <c r="L63" s="81"/>
      <c r="M63" s="81"/>
      <c r="N63" s="81"/>
      <c r="O63" s="81"/>
      <c r="P63" s="227">
        <v>0.15</v>
      </c>
      <c r="Q63" s="228"/>
      <c r="R63" s="81"/>
      <c r="S63" s="81"/>
      <c r="T63" s="98"/>
      <c r="U63" s="99"/>
      <c r="V63" s="35"/>
      <c r="W63" t="s">
        <v>475</v>
      </c>
      <c r="AC63" t="s">
        <v>476</v>
      </c>
    </row>
    <row r="64" spans="1:30" x14ac:dyDescent="0.25">
      <c r="A64" s="81"/>
      <c r="B64" s="81"/>
      <c r="C64" s="81"/>
      <c r="D64" s="81"/>
      <c r="E64" s="87"/>
      <c r="F64" s="87"/>
      <c r="G64" s="81">
        <v>0.47439999999999999</v>
      </c>
      <c r="H64" s="81"/>
      <c r="I64" s="230">
        <v>0.60697000000000001</v>
      </c>
      <c r="J64" s="231"/>
      <c r="K64" s="80" t="s">
        <v>350</v>
      </c>
      <c r="L64" s="81"/>
      <c r="M64" s="81"/>
      <c r="N64" s="81"/>
      <c r="O64" s="81"/>
      <c r="P64" s="87"/>
      <c r="Q64" s="87"/>
      <c r="R64" s="81">
        <v>0.55162790697674413</v>
      </c>
      <c r="S64" s="81"/>
      <c r="T64" s="230">
        <v>0.60697000000000001</v>
      </c>
      <c r="U64" s="231"/>
      <c r="V64" s="35"/>
      <c r="W64" t="s">
        <v>477</v>
      </c>
      <c r="AC64" t="s">
        <v>478</v>
      </c>
    </row>
    <row r="65" spans="1:29" ht="15.75" thickBot="1" x14ac:dyDescent="0.3">
      <c r="A65" s="78"/>
      <c r="B65" s="78"/>
      <c r="C65" s="78"/>
      <c r="D65" s="78"/>
      <c r="E65" s="83"/>
      <c r="F65" s="83"/>
      <c r="G65" s="78">
        <v>0.16774</v>
      </c>
      <c r="H65" s="78"/>
      <c r="I65" s="232">
        <v>0.24779999999999999</v>
      </c>
      <c r="J65" s="233"/>
      <c r="K65" s="77" t="s">
        <v>351</v>
      </c>
      <c r="L65" s="78"/>
      <c r="M65" s="78"/>
      <c r="N65" s="78"/>
      <c r="O65" s="78"/>
      <c r="P65" s="83"/>
      <c r="Q65" s="83"/>
      <c r="R65" s="78">
        <v>0.19504651162790698</v>
      </c>
      <c r="S65" s="78"/>
      <c r="T65" s="232">
        <v>0.24779999999999999</v>
      </c>
      <c r="U65" s="233"/>
      <c r="V65" s="35"/>
      <c r="W65" t="s">
        <v>479</v>
      </c>
      <c r="AC65" t="s">
        <v>480</v>
      </c>
    </row>
    <row r="66" spans="1:29" x14ac:dyDescent="0.25">
      <c r="A66" s="74"/>
      <c r="B66" s="74"/>
      <c r="C66" s="74"/>
      <c r="D66" s="74"/>
      <c r="E66" s="227">
        <v>0.45617999999999997</v>
      </c>
      <c r="F66" s="228"/>
      <c r="G66" s="74"/>
      <c r="H66" s="74"/>
      <c r="I66" s="227"/>
      <c r="J66" s="229"/>
      <c r="K66" s="73" t="s">
        <v>352</v>
      </c>
      <c r="L66" s="74"/>
      <c r="M66" s="74"/>
      <c r="N66" s="74"/>
      <c r="O66" s="74"/>
      <c r="P66" s="227">
        <v>0.45617999999999997</v>
      </c>
      <c r="Q66" s="228"/>
      <c r="R66" s="74"/>
      <c r="S66" s="74"/>
      <c r="T66" s="227"/>
      <c r="U66" s="229"/>
      <c r="V66" s="35"/>
      <c r="W66" t="s">
        <v>481</v>
      </c>
      <c r="AC66" t="s">
        <v>482</v>
      </c>
    </row>
    <row r="67" spans="1:29" x14ac:dyDescent="0.25">
      <c r="A67" s="81"/>
      <c r="B67" s="81"/>
      <c r="C67" s="81"/>
      <c r="D67" s="81"/>
      <c r="E67" s="81"/>
      <c r="F67" s="81"/>
      <c r="G67" s="81">
        <v>0.28649999999999998</v>
      </c>
      <c r="H67" s="81"/>
      <c r="I67" s="230">
        <v>0.80176999999999998</v>
      </c>
      <c r="J67" s="231"/>
      <c r="K67" s="80" t="s">
        <v>353</v>
      </c>
      <c r="L67" s="81"/>
      <c r="M67" s="81"/>
      <c r="N67" s="81"/>
      <c r="O67" s="81"/>
      <c r="P67" s="81"/>
      <c r="Q67" s="81"/>
      <c r="R67" s="81">
        <v>0.33313953488372089</v>
      </c>
      <c r="S67" s="81"/>
      <c r="T67" s="230">
        <v>0.50800000000000001</v>
      </c>
      <c r="U67" s="231"/>
      <c r="V67" s="35"/>
      <c r="AC67" t="s">
        <v>483</v>
      </c>
    </row>
    <row r="68" spans="1:29" x14ac:dyDescent="0.25">
      <c r="A68" s="81"/>
      <c r="B68" s="81"/>
      <c r="C68" s="81"/>
      <c r="D68" s="81"/>
      <c r="E68" s="81"/>
      <c r="F68" s="81"/>
      <c r="G68" s="81">
        <v>0.20932000000000001</v>
      </c>
      <c r="H68" s="81"/>
      <c r="I68" s="230">
        <v>0.50775999999999999</v>
      </c>
      <c r="J68" s="231"/>
      <c r="K68" s="80" t="s">
        <v>355</v>
      </c>
      <c r="L68" s="81"/>
      <c r="M68" s="81"/>
      <c r="N68" s="81"/>
      <c r="O68" s="81"/>
      <c r="P68" s="81"/>
      <c r="Q68" s="81"/>
      <c r="R68" s="81">
        <v>0.24339534883720934</v>
      </c>
      <c r="S68" s="81"/>
      <c r="T68" s="230">
        <v>0.50775999999999999</v>
      </c>
      <c r="U68" s="231"/>
      <c r="V68" s="35"/>
      <c r="AC68" t="s">
        <v>484</v>
      </c>
    </row>
    <row r="69" spans="1:29" ht="18.75" x14ac:dyDescent="0.3">
      <c r="A69" s="81"/>
      <c r="B69" s="81"/>
      <c r="C69" s="81"/>
      <c r="D69" s="81"/>
      <c r="E69" s="81"/>
      <c r="F69" s="81"/>
      <c r="G69" s="81">
        <v>0.14599000000000001</v>
      </c>
      <c r="H69" s="81"/>
      <c r="I69" s="230"/>
      <c r="J69" s="231"/>
      <c r="K69" s="80" t="s">
        <v>356</v>
      </c>
      <c r="L69" s="81"/>
      <c r="M69" s="81"/>
      <c r="N69" s="81"/>
      <c r="O69" s="81"/>
      <c r="P69" s="81"/>
      <c r="Q69" s="81"/>
      <c r="R69" s="81">
        <v>0.16975581395348838</v>
      </c>
      <c r="S69" s="81"/>
      <c r="T69" s="230"/>
      <c r="U69" s="231"/>
      <c r="V69" s="35"/>
      <c r="W69" s="243" t="s">
        <v>236</v>
      </c>
      <c r="X69" s="243"/>
      <c r="AC69" t="s">
        <v>485</v>
      </c>
    </row>
    <row r="70" spans="1:29" ht="15.75" thickBot="1" x14ac:dyDescent="0.3">
      <c r="A70" s="78"/>
      <c r="B70" s="78"/>
      <c r="C70" s="78"/>
      <c r="D70" s="78"/>
      <c r="E70" s="78"/>
      <c r="F70" s="78"/>
      <c r="G70" s="78">
        <v>0.12414</v>
      </c>
      <c r="H70" s="78"/>
      <c r="I70" s="232">
        <v>0.61785000000000001</v>
      </c>
      <c r="J70" s="233"/>
      <c r="K70" s="77" t="s">
        <v>357</v>
      </c>
      <c r="L70" s="78"/>
      <c r="M70" s="78"/>
      <c r="N70" s="78"/>
      <c r="O70" s="78"/>
      <c r="P70" s="78"/>
      <c r="Q70" s="78"/>
      <c r="R70" s="78">
        <v>0.14434883720930233</v>
      </c>
      <c r="S70" s="78"/>
      <c r="T70" s="232">
        <v>0.61785000000000001</v>
      </c>
      <c r="U70" s="233"/>
      <c r="V70" s="35"/>
      <c r="AC70" t="s">
        <v>486</v>
      </c>
    </row>
    <row r="71" spans="1:29" ht="15.75" thickBot="1" x14ac:dyDescent="0.3">
      <c r="A71" s="74"/>
      <c r="B71" s="74"/>
      <c r="C71" s="74"/>
      <c r="D71" s="74"/>
      <c r="E71" s="74"/>
      <c r="F71" s="74"/>
      <c r="G71" s="74">
        <v>0.23763000000000001</v>
      </c>
      <c r="H71" s="74"/>
      <c r="I71" s="227">
        <v>1</v>
      </c>
      <c r="J71" s="229"/>
      <c r="K71" s="73" t="s">
        <v>358</v>
      </c>
      <c r="L71" s="74"/>
      <c r="M71" s="74"/>
      <c r="N71" s="74"/>
      <c r="O71" s="74"/>
      <c r="P71" s="74"/>
      <c r="Q71" s="74"/>
      <c r="R71" s="74">
        <v>0.27631395348837212</v>
      </c>
      <c r="S71" s="74"/>
      <c r="T71" s="227">
        <v>1</v>
      </c>
      <c r="U71" s="229"/>
      <c r="V71" s="35"/>
      <c r="W71" t="s">
        <v>282</v>
      </c>
      <c r="AC71" t="s">
        <v>487</v>
      </c>
    </row>
    <row r="72" spans="1:29" x14ac:dyDescent="0.25">
      <c r="A72" s="100"/>
      <c r="B72" s="100"/>
      <c r="C72" s="100"/>
      <c r="D72" s="100"/>
      <c r="E72" s="100"/>
      <c r="F72" s="100"/>
      <c r="G72" s="100"/>
      <c r="H72" s="100"/>
      <c r="I72" s="101"/>
      <c r="J72" s="102"/>
      <c r="K72" s="103" t="s">
        <v>370</v>
      </c>
      <c r="L72" s="100"/>
      <c r="M72" s="100"/>
      <c r="N72" s="100"/>
      <c r="O72" s="100"/>
      <c r="P72" s="227">
        <v>0.25</v>
      </c>
      <c r="Q72" s="228"/>
      <c r="R72" s="100"/>
      <c r="S72" s="100"/>
      <c r="T72" s="101"/>
      <c r="U72" s="102"/>
      <c r="V72" s="35"/>
      <c r="W72" t="s">
        <v>285</v>
      </c>
      <c r="AC72" t="s">
        <v>488</v>
      </c>
    </row>
    <row r="73" spans="1:29" x14ac:dyDescent="0.25">
      <c r="A73" s="81"/>
      <c r="B73" s="81"/>
      <c r="C73" s="81"/>
      <c r="D73" s="81"/>
      <c r="E73" s="81"/>
      <c r="F73" s="81"/>
      <c r="G73" s="81">
        <v>0.17316000000000001</v>
      </c>
      <c r="H73" s="81"/>
      <c r="I73" s="230"/>
      <c r="J73" s="231"/>
      <c r="K73" s="80" t="s">
        <v>359</v>
      </c>
      <c r="L73" s="81"/>
      <c r="M73" s="81"/>
      <c r="N73" s="81"/>
      <c r="O73" s="81"/>
      <c r="P73" s="81"/>
      <c r="Q73" s="81"/>
      <c r="R73" s="81">
        <v>0.20134883720930236</v>
      </c>
      <c r="S73" s="81"/>
      <c r="T73" s="230"/>
      <c r="U73" s="231"/>
      <c r="V73" s="35"/>
      <c r="W73" t="s">
        <v>288</v>
      </c>
      <c r="AC73" t="s">
        <v>489</v>
      </c>
    </row>
    <row r="74" spans="1:29" ht="15.75" thickBot="1" x14ac:dyDescent="0.3">
      <c r="A74" s="78"/>
      <c r="B74" s="78"/>
      <c r="C74" s="78"/>
      <c r="D74" s="78"/>
      <c r="E74" s="78"/>
      <c r="F74" s="78"/>
      <c r="G74" s="78">
        <v>0.12317</v>
      </c>
      <c r="H74" s="78"/>
      <c r="I74" s="232">
        <v>0.33643600000000001</v>
      </c>
      <c r="J74" s="233"/>
      <c r="K74" s="77" t="s">
        <v>360</v>
      </c>
      <c r="L74" s="78"/>
      <c r="M74" s="78"/>
      <c r="N74" s="78"/>
      <c r="O74" s="78"/>
      <c r="P74" s="78"/>
      <c r="Q74" s="78"/>
      <c r="R74" s="78">
        <v>0.14322093023255814</v>
      </c>
      <c r="S74" s="78"/>
      <c r="T74" s="232">
        <v>0.33643600000000001</v>
      </c>
      <c r="U74" s="233"/>
      <c r="V74" s="35"/>
      <c r="AC74" t="s">
        <v>490</v>
      </c>
    </row>
    <row r="75" spans="1:29" x14ac:dyDescent="0.25">
      <c r="A75" s="74"/>
      <c r="B75" s="74"/>
      <c r="C75" s="74"/>
      <c r="D75" s="74"/>
      <c r="E75" s="74"/>
      <c r="F75" s="74"/>
      <c r="G75" s="74">
        <v>0.20199</v>
      </c>
      <c r="H75" s="74"/>
      <c r="I75" s="227">
        <v>0.85</v>
      </c>
      <c r="J75" s="229"/>
      <c r="K75" s="73" t="s">
        <v>361</v>
      </c>
      <c r="L75" s="74"/>
      <c r="M75" s="74"/>
      <c r="N75" s="74"/>
      <c r="O75" s="74"/>
      <c r="P75" s="74"/>
      <c r="Q75" s="74"/>
      <c r="R75" s="74">
        <v>0.23487209302325585</v>
      </c>
      <c r="S75" s="74"/>
      <c r="T75" s="227">
        <v>0.85</v>
      </c>
      <c r="U75" s="229"/>
      <c r="V75" s="35"/>
      <c r="W75" t="s">
        <v>293</v>
      </c>
      <c r="AC75" t="s">
        <v>491</v>
      </c>
    </row>
    <row r="76" spans="1:29" x14ac:dyDescent="0.25">
      <c r="A76" s="81"/>
      <c r="B76" s="81"/>
      <c r="C76" s="81"/>
      <c r="D76" s="81"/>
      <c r="E76" s="81"/>
      <c r="F76" s="81"/>
      <c r="G76" s="81">
        <v>0.17718999999999999</v>
      </c>
      <c r="H76" s="81"/>
      <c r="I76" s="230"/>
      <c r="J76" s="231"/>
      <c r="K76" s="80" t="s">
        <v>362</v>
      </c>
      <c r="L76" s="81"/>
      <c r="M76" s="81"/>
      <c r="N76" s="81"/>
      <c r="O76" s="81"/>
      <c r="P76" s="81"/>
      <c r="Q76" s="81"/>
      <c r="R76" s="81">
        <v>0.20603488372093021</v>
      </c>
      <c r="S76" s="81"/>
      <c r="T76" s="230"/>
      <c r="U76" s="231"/>
      <c r="V76" s="35"/>
      <c r="W76" t="s">
        <v>296</v>
      </c>
      <c r="AC76" t="s">
        <v>492</v>
      </c>
    </row>
    <row r="77" spans="1:29" ht="15.75" thickBot="1" x14ac:dyDescent="0.3">
      <c r="A77" s="90"/>
      <c r="B77" s="90"/>
      <c r="C77" s="90"/>
      <c r="D77" s="90"/>
      <c r="E77" s="90"/>
      <c r="F77" s="90"/>
      <c r="G77" s="90">
        <v>0.1047</v>
      </c>
      <c r="H77" s="90"/>
      <c r="I77" s="225">
        <v>0.28591</v>
      </c>
      <c r="J77" s="226"/>
      <c r="K77" s="89" t="s">
        <v>363</v>
      </c>
      <c r="L77" s="90"/>
      <c r="M77" s="90"/>
      <c r="N77" s="90"/>
      <c r="O77" s="90"/>
      <c r="P77" s="90"/>
      <c r="Q77" s="90"/>
      <c r="R77" s="90">
        <v>0.12174418604651163</v>
      </c>
      <c r="S77" s="90"/>
      <c r="T77" s="225">
        <v>0.28591</v>
      </c>
      <c r="U77" s="226"/>
      <c r="V77" s="35"/>
      <c r="AC77" t="s">
        <v>493</v>
      </c>
    </row>
    <row r="78" spans="1:29" x14ac:dyDescent="0.25">
      <c r="L78" s="35"/>
      <c r="M78" s="35"/>
      <c r="N78" s="35"/>
      <c r="O78" s="35"/>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68"/>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77">
    <cfRule type="cellIs" dxfId="9" priority="5" operator="between">
      <formula>0.15</formula>
      <formula>0.3</formula>
    </cfRule>
    <cfRule type="cellIs" dxfId="8" priority="6" operator="between">
      <formula>0.3</formula>
      <formula>0.6</formula>
    </cfRule>
    <cfRule type="cellIs" dxfId="7" priority="7" operator="greaterThan">
      <formula>0.6</formula>
    </cfRule>
    <cfRule type="cellIs" dxfId="6" priority="8" operator="lessThan">
      <formula>0.15</formula>
    </cfRule>
  </conditionalFormatting>
  <conditionalFormatting sqref="L4:U77">
    <cfRule type="cellIs" dxfId="5" priority="1" operator="between">
      <formula>0.15</formula>
      <formula>0.3</formula>
    </cfRule>
    <cfRule type="cellIs" dxfId="4" priority="2" operator="between">
      <formula>0.3</formula>
      <formula>0.6</formula>
    </cfRule>
    <cfRule type="cellIs" dxfId="3" priority="3" operator="greaterThan">
      <formula>0.6</formula>
    </cfRule>
    <cfRule type="cellIs" dxfId="2" priority="4" operator="lessThan">
      <formula>0.15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3"/>
      <c r="N1" s="33"/>
    </row>
    <row r="2" spans="1:15" x14ac:dyDescent="0.25">
      <c r="A2" s="116" t="s">
        <v>512</v>
      </c>
      <c r="N2" s="117" t="s">
        <v>513</v>
      </c>
      <c r="O2" s="117" t="s">
        <v>514</v>
      </c>
    </row>
    <row r="3" spans="1:15" x14ac:dyDescent="0.25">
      <c r="K3" s="118">
        <v>3.17</v>
      </c>
      <c r="L3">
        <v>0</v>
      </c>
      <c r="M3">
        <f t="shared" ref="M3:M23" si="0">L3^$K$3</f>
        <v>0</v>
      </c>
      <c r="N3" s="119">
        <v>0</v>
      </c>
      <c r="O3" s="117">
        <f>M3*10/2</f>
        <v>0</v>
      </c>
    </row>
    <row r="4" spans="1:15" x14ac:dyDescent="0.25">
      <c r="B4" s="246" t="s">
        <v>515</v>
      </c>
      <c r="C4" s="246"/>
      <c r="D4" s="120" t="s">
        <v>516</v>
      </c>
      <c r="G4" s="246" t="s">
        <v>517</v>
      </c>
      <c r="H4" s="246"/>
      <c r="I4" s="120" t="s">
        <v>516</v>
      </c>
      <c r="L4">
        <v>0.05</v>
      </c>
      <c r="M4">
        <f t="shared" si="0"/>
        <v>7.5116425567310291E-5</v>
      </c>
      <c r="N4" s="121">
        <v>2.5000000000000001E-2</v>
      </c>
      <c r="O4" s="122">
        <f t="shared" ref="O4:O43" si="1">M4*10/2</f>
        <v>3.7558212783655147E-4</v>
      </c>
    </row>
    <row r="5" spans="1:15" ht="18.75" x14ac:dyDescent="0.3">
      <c r="B5" s="123" t="s">
        <v>518</v>
      </c>
      <c r="C5" s="124">
        <v>9.24</v>
      </c>
      <c r="D5" s="125">
        <f>(C5)/(C5+C6)</f>
        <v>0.60629921259842523</v>
      </c>
      <c r="G5" s="123" t="s">
        <v>518</v>
      </c>
      <c r="H5" s="124">
        <v>9</v>
      </c>
      <c r="I5" s="125">
        <f>(H5)/(H5+H6)</f>
        <v>0.59055118110236215</v>
      </c>
      <c r="J5" s="111">
        <f>(I5+D5)/2</f>
        <v>0.59842519685039375</v>
      </c>
      <c r="L5">
        <v>0.1</v>
      </c>
      <c r="M5">
        <f t="shared" si="0"/>
        <v>6.760829753919824E-4</v>
      </c>
      <c r="N5" s="119">
        <v>0.05</v>
      </c>
      <c r="O5" s="122">
        <f t="shared" si="1"/>
        <v>3.3804148769599118E-3</v>
      </c>
    </row>
    <row r="6" spans="1:15" ht="18.75" x14ac:dyDescent="0.3">
      <c r="B6" s="123" t="s">
        <v>519</v>
      </c>
      <c r="C6" s="124">
        <v>6</v>
      </c>
      <c r="D6" s="126">
        <f>1-D5</f>
        <v>0.39370078740157477</v>
      </c>
      <c r="G6" s="123" t="s">
        <v>519</v>
      </c>
      <c r="H6" s="124">
        <v>6.24</v>
      </c>
      <c r="I6" s="126">
        <f>1-I5</f>
        <v>0.40944881889763785</v>
      </c>
      <c r="L6">
        <v>0.15</v>
      </c>
      <c r="M6">
        <f t="shared" si="0"/>
        <v>2.4446083520705164E-3</v>
      </c>
      <c r="N6" s="119">
        <v>7.4999999999999997E-2</v>
      </c>
      <c r="O6" s="122">
        <f t="shared" si="1"/>
        <v>1.2223041760352582E-2</v>
      </c>
    </row>
    <row r="7" spans="1:15" x14ac:dyDescent="0.25">
      <c r="L7">
        <v>0.2</v>
      </c>
      <c r="M7">
        <f t="shared" si="0"/>
        <v>6.0850631025472397E-3</v>
      </c>
      <c r="N7" s="121">
        <v>0.1</v>
      </c>
      <c r="O7" s="122">
        <f t="shared" si="1"/>
        <v>3.0425315512736199E-2</v>
      </c>
    </row>
    <row r="8" spans="1:15" x14ac:dyDescent="0.25">
      <c r="L8">
        <v>0.25</v>
      </c>
      <c r="M8">
        <f t="shared" si="0"/>
        <v>1.2344395497865269E-2</v>
      </c>
      <c r="N8" s="119">
        <v>0.125</v>
      </c>
      <c r="O8" s="122">
        <f t="shared" si="1"/>
        <v>6.1721977489326348E-2</v>
      </c>
    </row>
    <row r="9" spans="1:15" x14ac:dyDescent="0.25">
      <c r="B9" s="84" t="s">
        <v>520</v>
      </c>
      <c r="H9" s="84" t="s">
        <v>520</v>
      </c>
      <c r="L9">
        <v>0.3</v>
      </c>
      <c r="M9">
        <f t="shared" si="0"/>
        <v>2.2002618945904492E-2</v>
      </c>
      <c r="N9" s="119">
        <v>0.15</v>
      </c>
      <c r="O9" s="122">
        <f t="shared" si="1"/>
        <v>0.11001309472952246</v>
      </c>
    </row>
    <row r="10" spans="1:15" x14ac:dyDescent="0.25">
      <c r="B10" s="84" t="s">
        <v>521</v>
      </c>
      <c r="H10" s="84" t="s">
        <v>521</v>
      </c>
      <c r="L10">
        <v>0.35</v>
      </c>
      <c r="M10">
        <f t="shared" si="0"/>
        <v>3.5867053500140966E-2</v>
      </c>
      <c r="N10" s="121">
        <v>0.17499999999999999</v>
      </c>
      <c r="O10" s="122">
        <f t="shared" si="1"/>
        <v>0.17933526750070483</v>
      </c>
    </row>
    <row r="11" spans="1:15" x14ac:dyDescent="0.25">
      <c r="B11" s="84" t="s">
        <v>522</v>
      </c>
      <c r="H11" s="84" t="s">
        <v>522</v>
      </c>
      <c r="L11">
        <v>0.4</v>
      </c>
      <c r="M11">
        <f t="shared" si="0"/>
        <v>5.476841498710066E-2</v>
      </c>
      <c r="N11" s="119">
        <v>0.2</v>
      </c>
      <c r="O11" s="122">
        <f t="shared" si="1"/>
        <v>0.27384207493550328</v>
      </c>
    </row>
    <row r="12" spans="1:15" x14ac:dyDescent="0.25">
      <c r="B12" s="84" t="s">
        <v>523</v>
      </c>
      <c r="E12" s="68"/>
      <c r="F12" s="68"/>
      <c r="H12" s="84" t="s">
        <v>523</v>
      </c>
      <c r="L12">
        <v>0.45</v>
      </c>
      <c r="M12">
        <f t="shared" si="0"/>
        <v>7.9557965516581536E-2</v>
      </c>
      <c r="N12" s="119">
        <v>0.22500000000000001</v>
      </c>
      <c r="O12" s="122">
        <f t="shared" si="1"/>
        <v>0.39778982758290771</v>
      </c>
    </row>
    <row r="13" spans="1:15" x14ac:dyDescent="0.25">
      <c r="B13" s="84" t="s">
        <v>524</v>
      </c>
      <c r="F13" s="68"/>
      <c r="H13" s="84" t="s">
        <v>524</v>
      </c>
      <c r="L13">
        <v>0.5</v>
      </c>
      <c r="M13">
        <f t="shared" si="0"/>
        <v>0.11110533514582129</v>
      </c>
      <c r="N13" s="121">
        <v>0.25</v>
      </c>
      <c r="O13" s="122">
        <f t="shared" si="1"/>
        <v>0.55552667572910641</v>
      </c>
    </row>
    <row r="14" spans="1:15" x14ac:dyDescent="0.25">
      <c r="B14" s="84" t="s">
        <v>525</v>
      </c>
      <c r="F14" s="68"/>
      <c r="H14" s="84" t="s">
        <v>525</v>
      </c>
      <c r="L14">
        <v>0.55000000000000004</v>
      </c>
      <c r="M14">
        <f t="shared" si="0"/>
        <v>0.15029679711525923</v>
      </c>
      <c r="N14" s="119">
        <v>0.27500000000000002</v>
      </c>
      <c r="O14" s="122">
        <f t="shared" si="1"/>
        <v>0.75148398557629614</v>
      </c>
    </row>
    <row r="15" spans="1:15" x14ac:dyDescent="0.25">
      <c r="B15" s="84" t="s">
        <v>526</v>
      </c>
      <c r="F15" s="68"/>
      <c r="H15" s="84" t="s">
        <v>526</v>
      </c>
      <c r="L15">
        <v>0.6</v>
      </c>
      <c r="M15">
        <f t="shared" si="0"/>
        <v>0.19803386504371684</v>
      </c>
      <c r="N15" s="127">
        <v>0.3</v>
      </c>
      <c r="O15" s="128">
        <f t="shared" si="1"/>
        <v>0.99016932521858414</v>
      </c>
    </row>
    <row r="16" spans="1:15" x14ac:dyDescent="0.25">
      <c r="B16" s="84" t="s">
        <v>527</v>
      </c>
      <c r="F16" s="68"/>
      <c r="H16" s="84" t="s">
        <v>527</v>
      </c>
      <c r="L16">
        <v>0.65</v>
      </c>
      <c r="M16">
        <f t="shared" si="0"/>
        <v>0.25523212749091545</v>
      </c>
      <c r="N16" s="129">
        <v>0.32500000000000001</v>
      </c>
      <c r="O16" s="128">
        <f t="shared" si="1"/>
        <v>1.2761606374545773</v>
      </c>
    </row>
    <row r="17" spans="2:15" x14ac:dyDescent="0.25">
      <c r="B17" s="84" t="s">
        <v>528</v>
      </c>
      <c r="F17" s="68"/>
      <c r="H17" s="84" t="s">
        <v>528</v>
      </c>
      <c r="L17">
        <v>0.7</v>
      </c>
      <c r="M17">
        <f t="shared" si="0"/>
        <v>0.32282026288896842</v>
      </c>
      <c r="N17" s="127">
        <v>0.35</v>
      </c>
      <c r="O17" s="128">
        <f t="shared" si="1"/>
        <v>1.6141013144448422</v>
      </c>
    </row>
    <row r="18" spans="2:15" x14ac:dyDescent="0.25">
      <c r="B18" s="84" t="s">
        <v>529</v>
      </c>
      <c r="F18" s="68"/>
      <c r="H18" s="84" t="s">
        <v>529</v>
      </c>
      <c r="L18">
        <v>0.75</v>
      </c>
      <c r="M18">
        <f t="shared" si="0"/>
        <v>0.40173919495546268</v>
      </c>
      <c r="N18" s="127">
        <v>0.375</v>
      </c>
      <c r="O18" s="128">
        <f t="shared" si="1"/>
        <v>2.0086959747773134</v>
      </c>
    </row>
    <row r="19" spans="2:15" x14ac:dyDescent="0.25">
      <c r="B19" s="84" t="s">
        <v>530</v>
      </c>
      <c r="F19" s="68"/>
      <c r="H19" s="84" t="s">
        <v>530</v>
      </c>
      <c r="L19">
        <v>0.8</v>
      </c>
      <c r="M19">
        <f t="shared" si="0"/>
        <v>0.49294135979356263</v>
      </c>
      <c r="N19" s="129">
        <v>0.4</v>
      </c>
      <c r="O19" s="128">
        <f t="shared" si="1"/>
        <v>2.4647067989678133</v>
      </c>
    </row>
    <row r="20" spans="2:15" x14ac:dyDescent="0.25">
      <c r="B20" s="84" t="s">
        <v>531</v>
      </c>
      <c r="F20" s="68"/>
      <c r="H20" s="84" t="s">
        <v>531</v>
      </c>
      <c r="L20">
        <v>0.85</v>
      </c>
      <c r="M20">
        <f t="shared" si="0"/>
        <v>0.59739006334454892</v>
      </c>
      <c r="N20" s="127">
        <v>0.42499999999999999</v>
      </c>
      <c r="O20" s="128">
        <f t="shared" si="1"/>
        <v>2.9869503167227447</v>
      </c>
    </row>
    <row r="21" spans="2:15" x14ac:dyDescent="0.25">
      <c r="B21" s="84" t="s">
        <v>532</v>
      </c>
      <c r="F21" s="68"/>
      <c r="H21" s="84" t="s">
        <v>532</v>
      </c>
      <c r="L21">
        <v>0.9</v>
      </c>
      <c r="M21">
        <f t="shared" si="0"/>
        <v>0.71605891303207836</v>
      </c>
      <c r="N21" s="127">
        <v>0.45</v>
      </c>
      <c r="O21" s="128">
        <f t="shared" si="1"/>
        <v>3.5802945651603917</v>
      </c>
    </row>
    <row r="22" spans="2:15" x14ac:dyDescent="0.25">
      <c r="B22" s="84" t="s">
        <v>533</v>
      </c>
      <c r="F22" s="68"/>
      <c r="H22" s="84" t="s">
        <v>533</v>
      </c>
      <c r="L22">
        <v>0.95</v>
      </c>
      <c r="M22">
        <f t="shared" si="0"/>
        <v>0.84993131112139264</v>
      </c>
      <c r="N22" s="129">
        <v>0.47499999999999998</v>
      </c>
      <c r="O22" s="128">
        <f t="shared" si="1"/>
        <v>4.249656555606963</v>
      </c>
    </row>
    <row r="23" spans="2:15" x14ac:dyDescent="0.25">
      <c r="B23" s="84" t="s">
        <v>534</v>
      </c>
      <c r="F23" s="68"/>
      <c r="H23" s="84" t="s">
        <v>534</v>
      </c>
      <c r="L23">
        <v>1</v>
      </c>
      <c r="M23">
        <f t="shared" si="0"/>
        <v>1</v>
      </c>
      <c r="N23" s="127">
        <v>0.5</v>
      </c>
      <c r="O23" s="128">
        <f t="shared" si="1"/>
        <v>5</v>
      </c>
    </row>
    <row r="24" spans="2:15" x14ac:dyDescent="0.25">
      <c r="B24" s="84" t="s">
        <v>535</v>
      </c>
      <c r="F24" s="68"/>
      <c r="H24" s="84" t="s">
        <v>535</v>
      </c>
      <c r="L24">
        <v>0.95</v>
      </c>
      <c r="M24">
        <f>2-M22</f>
        <v>1.1500686888786074</v>
      </c>
      <c r="N24" s="127">
        <v>0.52500000000000002</v>
      </c>
      <c r="O24" s="128">
        <f t="shared" si="1"/>
        <v>5.750343444393037</v>
      </c>
    </row>
    <row r="25" spans="2:15" x14ac:dyDescent="0.25">
      <c r="B25" s="84" t="s">
        <v>536</v>
      </c>
      <c r="F25" s="68"/>
      <c r="H25" s="84" t="s">
        <v>536</v>
      </c>
      <c r="L25">
        <v>0.9</v>
      </c>
      <c r="M25">
        <f>2-M21</f>
        <v>1.2839410869679218</v>
      </c>
      <c r="N25" s="129">
        <v>0.55000000000000004</v>
      </c>
      <c r="O25" s="128">
        <f t="shared" si="1"/>
        <v>6.4197054348396083</v>
      </c>
    </row>
    <row r="26" spans="2:15" x14ac:dyDescent="0.25">
      <c r="B26" s="84" t="s">
        <v>537</v>
      </c>
      <c r="F26" s="68"/>
      <c r="H26" s="84" t="s">
        <v>537</v>
      </c>
      <c r="L26">
        <v>0.85</v>
      </c>
      <c r="M26">
        <f>2-M20</f>
        <v>1.402609936655451</v>
      </c>
      <c r="N26" s="127">
        <v>0.57499999999999996</v>
      </c>
      <c r="O26" s="128">
        <f t="shared" si="1"/>
        <v>7.0130496832772549</v>
      </c>
    </row>
    <row r="27" spans="2:15" x14ac:dyDescent="0.25">
      <c r="B27" s="84" t="s">
        <v>538</v>
      </c>
      <c r="F27" s="68"/>
      <c r="H27" s="84" t="s">
        <v>538</v>
      </c>
      <c r="L27">
        <v>0.8</v>
      </c>
      <c r="M27">
        <f>2-M19</f>
        <v>1.5070586402064374</v>
      </c>
      <c r="N27" s="127">
        <v>0.6</v>
      </c>
      <c r="O27" s="128">
        <f t="shared" si="1"/>
        <v>7.5352932010321876</v>
      </c>
    </row>
    <row r="28" spans="2:15" x14ac:dyDescent="0.25">
      <c r="B28" s="84" t="s">
        <v>539</v>
      </c>
      <c r="F28" s="68"/>
      <c r="H28" s="84" t="s">
        <v>539</v>
      </c>
      <c r="L28">
        <v>0.75</v>
      </c>
      <c r="M28">
        <f>2-M18</f>
        <v>1.5982608050445373</v>
      </c>
      <c r="N28" s="129">
        <v>0.625</v>
      </c>
      <c r="O28" s="128">
        <f t="shared" si="1"/>
        <v>7.9913040252226866</v>
      </c>
    </row>
    <row r="29" spans="2:15" x14ac:dyDescent="0.25">
      <c r="B29" s="84" t="s">
        <v>540</v>
      </c>
      <c r="F29" s="68"/>
      <c r="H29" s="84" t="s">
        <v>540</v>
      </c>
      <c r="L29">
        <v>0.7</v>
      </c>
      <c r="M29">
        <f>2-M17</f>
        <v>1.6771797371110315</v>
      </c>
      <c r="N29" s="127">
        <v>0.65</v>
      </c>
      <c r="O29" s="128">
        <f t="shared" si="1"/>
        <v>8.3858986855551585</v>
      </c>
    </row>
    <row r="30" spans="2:15" x14ac:dyDescent="0.25">
      <c r="F30" s="68"/>
      <c r="L30">
        <v>0.65</v>
      </c>
      <c r="M30">
        <f>2-M16</f>
        <v>1.7447678725090845</v>
      </c>
      <c r="N30" s="127">
        <v>0.67500000000000004</v>
      </c>
      <c r="O30" s="128">
        <f t="shared" si="1"/>
        <v>8.7238393625454229</v>
      </c>
    </row>
    <row r="31" spans="2:15" x14ac:dyDescent="0.25">
      <c r="F31" s="68"/>
      <c r="L31">
        <v>0.6</v>
      </c>
      <c r="M31">
        <f>2-M15</f>
        <v>1.8019661349562832</v>
      </c>
      <c r="N31" s="129">
        <v>0.7</v>
      </c>
      <c r="O31" s="128">
        <f t="shared" si="1"/>
        <v>9.0098306747814156</v>
      </c>
    </row>
    <row r="32" spans="2:15" x14ac:dyDescent="0.25">
      <c r="B32" t="s">
        <v>236</v>
      </c>
      <c r="F32" s="68"/>
      <c r="H32" t="s">
        <v>373</v>
      </c>
      <c r="L32">
        <v>0.55000000000000004</v>
      </c>
      <c r="M32">
        <f>2-M14</f>
        <v>1.8497032028847409</v>
      </c>
      <c r="N32" s="119">
        <v>0.72499999999999998</v>
      </c>
      <c r="O32" s="122">
        <f t="shared" si="1"/>
        <v>9.2485160144237035</v>
      </c>
    </row>
    <row r="33" spans="2:17" x14ac:dyDescent="0.25">
      <c r="L33">
        <v>0.5</v>
      </c>
      <c r="M33">
        <f>2-M13</f>
        <v>1.8888946648541787</v>
      </c>
      <c r="N33" s="119">
        <v>0.75</v>
      </c>
      <c r="O33" s="122">
        <f t="shared" si="1"/>
        <v>9.4444733242708931</v>
      </c>
      <c r="Q33" t="s">
        <v>541</v>
      </c>
    </row>
    <row r="34" spans="2:17" x14ac:dyDescent="0.25">
      <c r="B34" t="s">
        <v>282</v>
      </c>
      <c r="H34" t="s">
        <v>494</v>
      </c>
      <c r="L34">
        <v>0.45</v>
      </c>
      <c r="M34">
        <f>2-M12</f>
        <v>1.9204420344834185</v>
      </c>
      <c r="N34" s="121">
        <v>0.77500000000000002</v>
      </c>
      <c r="O34" s="122">
        <f t="shared" si="1"/>
        <v>9.6022101724170934</v>
      </c>
    </row>
    <row r="35" spans="2:17" x14ac:dyDescent="0.25">
      <c r="B35" t="s">
        <v>285</v>
      </c>
      <c r="H35" t="s">
        <v>496</v>
      </c>
      <c r="L35">
        <v>0.39999999999999902</v>
      </c>
      <c r="M35">
        <f>2-M11</f>
        <v>1.9452315850128994</v>
      </c>
      <c r="N35" s="119">
        <v>0.8</v>
      </c>
      <c r="O35" s="122">
        <f t="shared" si="1"/>
        <v>9.7261579250644967</v>
      </c>
      <c r="Q35" t="s">
        <v>542</v>
      </c>
    </row>
    <row r="36" spans="2:17" x14ac:dyDescent="0.25">
      <c r="B36" t="s">
        <v>288</v>
      </c>
      <c r="H36" t="s">
        <v>497</v>
      </c>
      <c r="L36">
        <v>0.34999999999999898</v>
      </c>
      <c r="M36">
        <f>2-M10</f>
        <v>1.9641329464998591</v>
      </c>
      <c r="N36" s="119">
        <v>0.82499999999999996</v>
      </c>
      <c r="O36" s="122">
        <f t="shared" si="1"/>
        <v>9.8206647324992957</v>
      </c>
    </row>
    <row r="37" spans="2:17" x14ac:dyDescent="0.25">
      <c r="H37" t="s">
        <v>498</v>
      </c>
      <c r="L37">
        <v>0.29999999999999899</v>
      </c>
      <c r="M37">
        <f>2-M9</f>
        <v>1.9779973810540956</v>
      </c>
      <c r="N37" s="121">
        <v>0.85</v>
      </c>
      <c r="O37" s="122">
        <f t="shared" si="1"/>
        <v>9.8899869052704776</v>
      </c>
    </row>
    <row r="38" spans="2:17" x14ac:dyDescent="0.25">
      <c r="B38" t="s">
        <v>293</v>
      </c>
      <c r="H38" t="s">
        <v>499</v>
      </c>
      <c r="L38">
        <v>0.249999999999999</v>
      </c>
      <c r="M38">
        <f>2-M8</f>
        <v>1.9876556045021347</v>
      </c>
      <c r="N38" s="119">
        <v>0.875</v>
      </c>
      <c r="O38" s="122">
        <f t="shared" si="1"/>
        <v>9.9382780225106728</v>
      </c>
    </row>
    <row r="39" spans="2:17" x14ac:dyDescent="0.25">
      <c r="B39" t="s">
        <v>296</v>
      </c>
      <c r="H39" t="s">
        <v>500</v>
      </c>
      <c r="L39">
        <v>0.19999999999999901</v>
      </c>
      <c r="M39">
        <f>2-M7</f>
        <v>1.9939149368974527</v>
      </c>
      <c r="N39" s="119">
        <v>0.9</v>
      </c>
      <c r="O39" s="122">
        <f t="shared" si="1"/>
        <v>9.969574684487263</v>
      </c>
    </row>
    <row r="40" spans="2:17" x14ac:dyDescent="0.25">
      <c r="H40" t="s">
        <v>501</v>
      </c>
      <c r="L40">
        <v>0.149999999999999</v>
      </c>
      <c r="M40">
        <f>2-M6</f>
        <v>1.9975553916479294</v>
      </c>
      <c r="N40" s="121">
        <v>0.92500000000000004</v>
      </c>
      <c r="O40" s="122">
        <f t="shared" si="1"/>
        <v>9.9877769582396461</v>
      </c>
    </row>
    <row r="41" spans="2:17" x14ac:dyDescent="0.25">
      <c r="H41" t="s">
        <v>502</v>
      </c>
      <c r="L41">
        <v>9.9999999999999006E-2</v>
      </c>
      <c r="M41">
        <f>2-M5</f>
        <v>1.999323917024608</v>
      </c>
      <c r="N41" s="119">
        <v>0.95</v>
      </c>
      <c r="O41" s="122">
        <f t="shared" si="1"/>
        <v>9.9966195851230406</v>
      </c>
    </row>
    <row r="42" spans="2:17" x14ac:dyDescent="0.25">
      <c r="H42" t="s">
        <v>503</v>
      </c>
      <c r="L42">
        <v>4.9999999999998997E-2</v>
      </c>
      <c r="M42">
        <f>2-M4</f>
        <v>1.9999248835744328</v>
      </c>
      <c r="N42" s="119">
        <v>0.97499999999999998</v>
      </c>
      <c r="O42" s="122">
        <f t="shared" si="1"/>
        <v>9.9996244178721643</v>
      </c>
    </row>
    <row r="43" spans="2:17" x14ac:dyDescent="0.25">
      <c r="H43" t="s">
        <v>504</v>
      </c>
      <c r="L43">
        <v>0</v>
      </c>
      <c r="M43">
        <f>2-M3</f>
        <v>2</v>
      </c>
      <c r="N43" s="121">
        <v>1</v>
      </c>
      <c r="O43" s="122">
        <f t="shared" si="1"/>
        <v>10</v>
      </c>
    </row>
    <row r="44" spans="2:17" x14ac:dyDescent="0.25">
      <c r="H44" t="s">
        <v>505</v>
      </c>
      <c r="M44" s="33"/>
      <c r="N44" s="33"/>
    </row>
    <row r="45" spans="2:17" x14ac:dyDescent="0.25">
      <c r="H45" t="s">
        <v>506</v>
      </c>
      <c r="M45" s="33"/>
      <c r="N45" s="33"/>
    </row>
    <row r="46" spans="2:17" x14ac:dyDescent="0.25">
      <c r="H46" t="s">
        <v>507</v>
      </c>
      <c r="M46" s="33"/>
      <c r="N46" s="33"/>
    </row>
    <row r="47" spans="2:17" x14ac:dyDescent="0.25">
      <c r="H47" t="s">
        <v>508</v>
      </c>
      <c r="M47" s="33"/>
      <c r="N47" s="33"/>
    </row>
    <row r="48" spans="2:17" x14ac:dyDescent="0.25">
      <c r="H48" t="s">
        <v>509</v>
      </c>
      <c r="M48" s="33"/>
      <c r="N48" s="33"/>
    </row>
    <row r="49" spans="8:14" x14ac:dyDescent="0.25">
      <c r="H49" t="s">
        <v>510</v>
      </c>
      <c r="M49" s="130"/>
      <c r="N49" s="33"/>
    </row>
    <row r="50" spans="8:14" x14ac:dyDescent="0.25">
      <c r="M50" s="33"/>
      <c r="N50" s="33"/>
    </row>
    <row r="51" spans="8:14" x14ac:dyDescent="0.25">
      <c r="M51" s="33"/>
      <c r="N51" s="33"/>
    </row>
    <row r="52" spans="8:14" x14ac:dyDescent="0.25">
      <c r="M52" s="33"/>
      <c r="N52" s="33"/>
    </row>
    <row r="53" spans="8:14" x14ac:dyDescent="0.25">
      <c r="M53" s="33"/>
      <c r="N53" s="33"/>
    </row>
    <row r="54" spans="8:14" x14ac:dyDescent="0.25">
      <c r="M54" s="33"/>
      <c r="N54" s="33"/>
    </row>
    <row r="55" spans="8:14" x14ac:dyDescent="0.25">
      <c r="M55" s="33"/>
      <c r="N55" s="33"/>
    </row>
    <row r="56" spans="8:14" x14ac:dyDescent="0.25">
      <c r="M56" s="33"/>
      <c r="N56" s="33"/>
    </row>
    <row r="57" spans="8:14" x14ac:dyDescent="0.25">
      <c r="M57" s="33"/>
      <c r="N57" s="33"/>
    </row>
    <row r="58" spans="8:14" x14ac:dyDescent="0.25">
      <c r="M58" s="33"/>
      <c r="N58" s="33"/>
    </row>
    <row r="59" spans="8:14" x14ac:dyDescent="0.25">
      <c r="M59" s="33"/>
      <c r="N59" s="33"/>
    </row>
    <row r="60" spans="8:14" x14ac:dyDescent="0.25">
      <c r="M60" s="33"/>
      <c r="N60" s="33"/>
    </row>
    <row r="61" spans="8:14" x14ac:dyDescent="0.25">
      <c r="M61" s="33"/>
      <c r="N61" s="33"/>
    </row>
    <row r="62" spans="8:14" x14ac:dyDescent="0.25">
      <c r="M62" s="33"/>
      <c r="N62" s="33"/>
    </row>
    <row r="63" spans="8:14" x14ac:dyDescent="0.25">
      <c r="M63" s="33"/>
      <c r="N63" s="33"/>
    </row>
    <row r="64" spans="8:14" x14ac:dyDescent="0.25">
      <c r="M64" s="33"/>
      <c r="N64" s="33"/>
    </row>
    <row r="65" spans="13:14" x14ac:dyDescent="0.25">
      <c r="M65" s="33"/>
      <c r="N65" s="33"/>
    </row>
    <row r="66" spans="13:14" x14ac:dyDescent="0.25">
      <c r="M66" s="33"/>
      <c r="N66" s="33"/>
    </row>
    <row r="67" spans="13:14" x14ac:dyDescent="0.25">
      <c r="M67" s="33"/>
      <c r="N67" s="33"/>
    </row>
    <row r="68" spans="13:14" x14ac:dyDescent="0.25">
      <c r="M68" s="33"/>
      <c r="N68" s="33"/>
    </row>
    <row r="69" spans="13:14" x14ac:dyDescent="0.25">
      <c r="M69" s="33"/>
      <c r="N69" s="33"/>
    </row>
    <row r="70" spans="13:14" x14ac:dyDescent="0.25">
      <c r="M70" s="33"/>
      <c r="N70" s="33"/>
    </row>
    <row r="71" spans="13:14" x14ac:dyDescent="0.25">
      <c r="M71" s="33"/>
      <c r="N71" s="33"/>
    </row>
    <row r="72" spans="13:14" x14ac:dyDescent="0.25">
      <c r="M72" s="33"/>
      <c r="N72" s="33"/>
    </row>
    <row r="73" spans="13:14" x14ac:dyDescent="0.25">
      <c r="M73" s="33"/>
      <c r="N73" s="33"/>
    </row>
    <row r="74" spans="13:14" x14ac:dyDescent="0.25">
      <c r="M74" s="33"/>
      <c r="N74" s="33"/>
    </row>
    <row r="75" spans="13:14" x14ac:dyDescent="0.25">
      <c r="M75" s="33"/>
      <c r="N75" s="33"/>
    </row>
    <row r="76" spans="13:14" x14ac:dyDescent="0.25">
      <c r="M76" s="33"/>
      <c r="N76" s="33"/>
    </row>
    <row r="77" spans="13:14" x14ac:dyDescent="0.25">
      <c r="M77" s="33"/>
      <c r="N77" s="33"/>
    </row>
    <row r="78" spans="13:14" x14ac:dyDescent="0.25">
      <c r="M78" s="33"/>
      <c r="N78" s="33"/>
    </row>
    <row r="79" spans="13:14" x14ac:dyDescent="0.25">
      <c r="M79" s="33"/>
      <c r="N79" s="33"/>
    </row>
    <row r="80" spans="13:14" x14ac:dyDescent="0.25">
      <c r="M80" s="33"/>
      <c r="N80" s="33"/>
    </row>
    <row r="81" spans="13:14" x14ac:dyDescent="0.25">
      <c r="M81" s="33"/>
      <c r="N81" s="33"/>
    </row>
    <row r="82" spans="13:14" x14ac:dyDescent="0.25">
      <c r="M82" s="33"/>
      <c r="N82" s="33"/>
    </row>
    <row r="83" spans="13:14" x14ac:dyDescent="0.25">
      <c r="M83" s="33"/>
      <c r="N83" s="33"/>
    </row>
    <row r="84" spans="13:14" x14ac:dyDescent="0.25">
      <c r="M84" s="33"/>
      <c r="N84" s="33"/>
    </row>
    <row r="85" spans="13:14" x14ac:dyDescent="0.25">
      <c r="M85" s="33"/>
      <c r="N85" s="33"/>
    </row>
    <row r="86" spans="13:14" x14ac:dyDescent="0.25">
      <c r="M86" s="33"/>
      <c r="N86" s="33"/>
    </row>
    <row r="87" spans="13:14" x14ac:dyDescent="0.25">
      <c r="M87" s="33"/>
      <c r="N87" s="33"/>
    </row>
    <row r="88" spans="13:14" x14ac:dyDescent="0.25">
      <c r="M88" s="33"/>
      <c r="N88" s="33"/>
    </row>
    <row r="89" spans="13:14" x14ac:dyDescent="0.25">
      <c r="M89" s="33"/>
      <c r="N89" s="33"/>
    </row>
    <row r="90" spans="13:14" x14ac:dyDescent="0.25">
      <c r="M90" s="33"/>
      <c r="N90" s="33"/>
    </row>
    <row r="91" spans="13:14" x14ac:dyDescent="0.25">
      <c r="M91" s="33"/>
      <c r="N91" s="33"/>
    </row>
    <row r="92" spans="13:14" x14ac:dyDescent="0.25">
      <c r="M92" s="33"/>
      <c r="N92" s="33"/>
    </row>
    <row r="93" spans="13:14" x14ac:dyDescent="0.25">
      <c r="M93" s="33"/>
      <c r="N93" s="33"/>
    </row>
    <row r="94" spans="13:14" x14ac:dyDescent="0.25">
      <c r="M94" s="33"/>
      <c r="N94" s="33"/>
    </row>
    <row r="95" spans="13:14" x14ac:dyDescent="0.25">
      <c r="M95" s="33"/>
      <c r="N95" s="33"/>
    </row>
    <row r="96" spans="13:14" x14ac:dyDescent="0.25">
      <c r="M96" s="33"/>
      <c r="N96" s="33"/>
    </row>
    <row r="97" spans="13:14" x14ac:dyDescent="0.25">
      <c r="M97" s="33"/>
      <c r="N97" s="33"/>
    </row>
  </sheetData>
  <mergeCells count="2">
    <mergeCell ref="B4:C4"/>
    <mergeCell ref="G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31" t="s">
        <v>670</v>
      </c>
    </row>
    <row r="9" spans="1:7" x14ac:dyDescent="0.25">
      <c r="G9" s="13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31" t="s">
        <v>637</v>
      </c>
    </row>
    <row r="31" spans="1:7" x14ac:dyDescent="0.25">
      <c r="G31" s="13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31" t="s">
        <v>609</v>
      </c>
      <c r="G46" s="131" t="s">
        <v>608</v>
      </c>
    </row>
    <row r="47" spans="1:7" x14ac:dyDescent="0.25">
      <c r="G47" s="131" t="s">
        <v>607</v>
      </c>
    </row>
    <row r="48" spans="1:7" x14ac:dyDescent="0.25">
      <c r="A48" t="s">
        <v>606</v>
      </c>
      <c r="G48" s="13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3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31" t="s">
        <v>580</v>
      </c>
    </row>
    <row r="66" spans="1:7" x14ac:dyDescent="0.25">
      <c r="A66" s="13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31" t="s">
        <v>560</v>
      </c>
    </row>
    <row r="82" spans="7:7" x14ac:dyDescent="0.25">
      <c r="G82" s="131" t="s">
        <v>559</v>
      </c>
    </row>
    <row r="83" spans="7:7" x14ac:dyDescent="0.25">
      <c r="G83" s="131" t="s">
        <v>558</v>
      </c>
    </row>
    <row r="84" spans="7:7" x14ac:dyDescent="0.25">
      <c r="G84" s="131" t="s">
        <v>557</v>
      </c>
    </row>
    <row r="86" spans="7:7" x14ac:dyDescent="0.25">
      <c r="G86" s="131" t="s">
        <v>556</v>
      </c>
    </row>
    <row r="88" spans="7:7" x14ac:dyDescent="0.25">
      <c r="G88" s="13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C1" s="35"/>
      <c r="D1" s="35"/>
      <c r="E1" s="35"/>
      <c r="K1" s="35">
        <v>1</v>
      </c>
      <c r="L1" s="35">
        <v>2</v>
      </c>
      <c r="M1" s="35">
        <v>3</v>
      </c>
      <c r="N1" s="35">
        <v>4</v>
      </c>
      <c r="O1" s="35">
        <v>5</v>
      </c>
      <c r="P1" s="35">
        <v>6</v>
      </c>
      <c r="Q1" s="35">
        <v>7</v>
      </c>
      <c r="R1" s="35">
        <v>8</v>
      </c>
      <c r="S1" s="35">
        <v>9</v>
      </c>
      <c r="T1" s="35">
        <v>10</v>
      </c>
      <c r="U1" s="35">
        <v>11</v>
      </c>
      <c r="V1" s="35">
        <v>12</v>
      </c>
      <c r="W1" s="35">
        <v>13</v>
      </c>
      <c r="X1" s="35">
        <v>14</v>
      </c>
      <c r="Y1" s="35">
        <v>15</v>
      </c>
      <c r="Z1" s="35">
        <v>16</v>
      </c>
      <c r="AA1" s="35">
        <v>17</v>
      </c>
      <c r="AB1" s="35">
        <v>18</v>
      </c>
      <c r="AC1" s="35">
        <v>19</v>
      </c>
      <c r="AD1" s="35">
        <v>20</v>
      </c>
      <c r="AE1" s="35">
        <v>21</v>
      </c>
      <c r="AF1" s="35">
        <v>22</v>
      </c>
      <c r="AG1" s="35">
        <v>23</v>
      </c>
      <c r="AH1" s="35">
        <v>24</v>
      </c>
      <c r="AI1" s="35">
        <v>25</v>
      </c>
      <c r="AJ1" s="35">
        <v>26</v>
      </c>
      <c r="AK1" s="35">
        <v>27</v>
      </c>
      <c r="AL1" s="35">
        <v>28</v>
      </c>
      <c r="AM1" s="35">
        <v>29</v>
      </c>
      <c r="AN1" s="35">
        <v>30</v>
      </c>
      <c r="AO1" s="35">
        <v>31</v>
      </c>
      <c r="AP1" s="35">
        <v>32</v>
      </c>
      <c r="AQ1" s="35">
        <v>33</v>
      </c>
      <c r="AR1" s="35">
        <v>34</v>
      </c>
      <c r="AS1" s="35">
        <v>35</v>
      </c>
      <c r="AT1" s="35">
        <v>36</v>
      </c>
      <c r="AU1" s="35">
        <v>37</v>
      </c>
      <c r="AV1" s="35">
        <v>38</v>
      </c>
      <c r="AW1" s="35">
        <v>39</v>
      </c>
      <c r="AX1" s="35">
        <v>40</v>
      </c>
      <c r="AY1" s="35">
        <v>41</v>
      </c>
      <c r="AZ1" s="35">
        <v>42</v>
      </c>
      <c r="BA1" s="35">
        <v>43</v>
      </c>
      <c r="BB1" s="35">
        <v>44</v>
      </c>
      <c r="BC1" s="35">
        <v>45</v>
      </c>
      <c r="BD1" s="35">
        <v>46</v>
      </c>
      <c r="BE1" s="35">
        <v>47</v>
      </c>
      <c r="BF1" s="35">
        <v>48</v>
      </c>
      <c r="BG1" s="35">
        <v>49</v>
      </c>
      <c r="BH1" s="35">
        <v>50</v>
      </c>
      <c r="BI1" s="35">
        <v>51</v>
      </c>
      <c r="BJ1" s="35">
        <v>52</v>
      </c>
      <c r="BK1" s="35">
        <v>53</v>
      </c>
      <c r="BL1" s="35">
        <v>54</v>
      </c>
      <c r="BM1" s="35">
        <v>55</v>
      </c>
      <c r="BN1" s="35">
        <v>56</v>
      </c>
      <c r="BO1" s="35">
        <v>57</v>
      </c>
      <c r="BP1" s="35">
        <v>58</v>
      </c>
      <c r="BQ1" s="35">
        <v>59</v>
      </c>
      <c r="BR1" s="35">
        <v>60</v>
      </c>
      <c r="BS1" s="35">
        <v>61</v>
      </c>
      <c r="BT1" s="35">
        <v>62</v>
      </c>
      <c r="BU1" s="35">
        <v>63</v>
      </c>
      <c r="BV1" s="35">
        <v>64</v>
      </c>
      <c r="BW1" s="35">
        <v>65</v>
      </c>
      <c r="BX1" s="35">
        <v>66</v>
      </c>
      <c r="BY1" s="35">
        <v>67</v>
      </c>
      <c r="BZ1" s="35">
        <v>68</v>
      </c>
      <c r="CA1" s="35">
        <v>69</v>
      </c>
      <c r="CB1" s="35">
        <v>70</v>
      </c>
      <c r="CC1" s="35">
        <v>71</v>
      </c>
      <c r="CD1" s="35">
        <v>72</v>
      </c>
      <c r="CE1" s="35">
        <v>73</v>
      </c>
      <c r="CF1" s="35">
        <v>74</v>
      </c>
      <c r="CG1" s="35">
        <v>75</v>
      </c>
      <c r="CH1" s="35">
        <v>76</v>
      </c>
      <c r="CI1" s="35">
        <v>77</v>
      </c>
    </row>
    <row r="2" spans="1:87" x14ac:dyDescent="0.25">
      <c r="C2" s="35"/>
      <c r="D2" s="35"/>
      <c r="E2" s="35"/>
      <c r="K2" s="132" t="s">
        <v>681</v>
      </c>
      <c r="L2" s="132" t="s">
        <v>682</v>
      </c>
      <c r="M2" s="132" t="s">
        <v>683</v>
      </c>
      <c r="N2" s="132" t="s">
        <v>684</v>
      </c>
      <c r="O2" s="132" t="s">
        <v>685</v>
      </c>
      <c r="P2" s="132" t="s">
        <v>686</v>
      </c>
      <c r="Q2" s="132" t="s">
        <v>687</v>
      </c>
      <c r="R2" s="132" t="s">
        <v>688</v>
      </c>
      <c r="S2" s="132" t="s">
        <v>689</v>
      </c>
      <c r="T2" s="132" t="s">
        <v>690</v>
      </c>
      <c r="U2" s="132" t="s">
        <v>691</v>
      </c>
      <c r="V2" s="132" t="s">
        <v>692</v>
      </c>
      <c r="W2" s="132" t="s">
        <v>693</v>
      </c>
      <c r="X2" s="132" t="s">
        <v>694</v>
      </c>
      <c r="Y2" s="132" t="s">
        <v>695</v>
      </c>
      <c r="Z2" s="132" t="s">
        <v>696</v>
      </c>
      <c r="AA2" s="133" t="s">
        <v>681</v>
      </c>
      <c r="AB2" s="133" t="s">
        <v>682</v>
      </c>
      <c r="AC2" s="133" t="s">
        <v>683</v>
      </c>
      <c r="AD2" s="133" t="s">
        <v>684</v>
      </c>
      <c r="AE2" s="133" t="s">
        <v>685</v>
      </c>
      <c r="AF2" s="133" t="s">
        <v>686</v>
      </c>
      <c r="AG2" s="133" t="s">
        <v>687</v>
      </c>
      <c r="AH2" s="133" t="s">
        <v>688</v>
      </c>
      <c r="AI2" s="133" t="s">
        <v>689</v>
      </c>
      <c r="AJ2" s="133" t="s">
        <v>690</v>
      </c>
      <c r="AK2" s="133" t="s">
        <v>691</v>
      </c>
      <c r="AL2" s="133" t="s">
        <v>692</v>
      </c>
      <c r="AM2" s="133" t="s">
        <v>693</v>
      </c>
      <c r="AN2" s="133" t="s">
        <v>694</v>
      </c>
      <c r="AO2" s="133" t="s">
        <v>695</v>
      </c>
      <c r="AP2" s="133" t="s">
        <v>696</v>
      </c>
      <c r="AQ2" s="132" t="s">
        <v>681</v>
      </c>
      <c r="AR2" s="132" t="s">
        <v>682</v>
      </c>
      <c r="AS2" s="132" t="s">
        <v>683</v>
      </c>
      <c r="AT2" s="132" t="s">
        <v>684</v>
      </c>
      <c r="AU2" s="132" t="s">
        <v>685</v>
      </c>
      <c r="AV2" s="132" t="s">
        <v>686</v>
      </c>
      <c r="AW2" s="132" t="s">
        <v>687</v>
      </c>
      <c r="AX2" s="132" t="s">
        <v>688</v>
      </c>
      <c r="AY2" s="132" t="s">
        <v>689</v>
      </c>
      <c r="AZ2" s="132" t="s">
        <v>690</v>
      </c>
      <c r="BA2" s="132" t="s">
        <v>691</v>
      </c>
      <c r="BB2" s="132" t="s">
        <v>692</v>
      </c>
      <c r="BC2" s="132" t="s">
        <v>693</v>
      </c>
      <c r="BD2" s="132" t="s">
        <v>694</v>
      </c>
      <c r="BE2" s="132" t="s">
        <v>695</v>
      </c>
      <c r="BF2" s="132" t="s">
        <v>696</v>
      </c>
      <c r="BG2" s="133" t="s">
        <v>681</v>
      </c>
      <c r="BH2" s="132" t="s">
        <v>682</v>
      </c>
      <c r="BI2" s="132" t="s">
        <v>683</v>
      </c>
      <c r="BJ2" s="132" t="s">
        <v>684</v>
      </c>
      <c r="BK2" s="132" t="s">
        <v>685</v>
      </c>
      <c r="BL2" s="132" t="s">
        <v>686</v>
      </c>
      <c r="BM2" s="132" t="s">
        <v>687</v>
      </c>
      <c r="BN2" s="132" t="s">
        <v>688</v>
      </c>
      <c r="BO2" s="132" t="s">
        <v>689</v>
      </c>
      <c r="BP2" s="132" t="s">
        <v>690</v>
      </c>
      <c r="BQ2" s="132" t="s">
        <v>691</v>
      </c>
      <c r="BR2" s="132" t="s">
        <v>692</v>
      </c>
      <c r="BS2" s="132" t="s">
        <v>693</v>
      </c>
      <c r="BT2" s="132" t="s">
        <v>694</v>
      </c>
      <c r="BU2" s="132" t="s">
        <v>695</v>
      </c>
      <c r="BV2" s="132" t="s">
        <v>696</v>
      </c>
      <c r="BW2" s="132" t="s">
        <v>697</v>
      </c>
      <c r="BX2" s="132" t="s">
        <v>698</v>
      </c>
      <c r="BY2" s="132" t="s">
        <v>699</v>
      </c>
      <c r="BZ2" s="132" t="s">
        <v>700</v>
      </c>
      <c r="CA2" s="132" t="s">
        <v>701</v>
      </c>
      <c r="CB2" s="132" t="s">
        <v>702</v>
      </c>
      <c r="CC2" s="132" t="s">
        <v>703</v>
      </c>
      <c r="CD2" s="132" t="s">
        <v>704</v>
      </c>
      <c r="CE2" s="132" t="s">
        <v>705</v>
      </c>
      <c r="CF2" s="132" t="s">
        <v>706</v>
      </c>
      <c r="CG2" s="132" t="s">
        <v>707</v>
      </c>
      <c r="CH2" s="132" t="s">
        <v>708</v>
      </c>
      <c r="CI2" s="132" t="s">
        <v>709</v>
      </c>
    </row>
    <row r="3" spans="1:87" x14ac:dyDescent="0.25">
      <c r="C3" s="35"/>
      <c r="D3" s="35"/>
      <c r="E3" s="35"/>
      <c r="J3" s="134" t="s">
        <v>710</v>
      </c>
      <c r="K3" s="135">
        <v>1</v>
      </c>
      <c r="L3" s="135">
        <v>0</v>
      </c>
      <c r="M3" s="135">
        <v>1</v>
      </c>
      <c r="N3" s="135">
        <v>0</v>
      </c>
      <c r="O3" s="135">
        <v>1</v>
      </c>
      <c r="P3" s="135">
        <v>0</v>
      </c>
      <c r="Q3" s="135">
        <v>1</v>
      </c>
      <c r="R3" s="135">
        <v>0</v>
      </c>
      <c r="S3" s="135">
        <v>1</v>
      </c>
      <c r="T3" s="135">
        <v>0</v>
      </c>
      <c r="U3" s="135">
        <v>1</v>
      </c>
      <c r="V3" s="135">
        <v>0</v>
      </c>
      <c r="W3" s="135">
        <v>0</v>
      </c>
      <c r="X3" s="135">
        <v>0</v>
      </c>
      <c r="Y3" s="135">
        <v>1</v>
      </c>
      <c r="Z3" s="135">
        <v>0</v>
      </c>
      <c r="AA3" s="135">
        <v>1</v>
      </c>
      <c r="AB3" s="135">
        <v>0</v>
      </c>
      <c r="AC3" s="135">
        <v>1</v>
      </c>
      <c r="AD3" s="135">
        <v>0</v>
      </c>
      <c r="AE3" s="135">
        <v>1</v>
      </c>
      <c r="AF3" s="135">
        <v>0</v>
      </c>
      <c r="AG3" s="135">
        <v>1</v>
      </c>
      <c r="AH3" s="135">
        <v>0</v>
      </c>
      <c r="AI3" s="135">
        <v>1</v>
      </c>
      <c r="AJ3" s="135">
        <v>0</v>
      </c>
      <c r="AK3" s="135">
        <v>1</v>
      </c>
      <c r="AL3" s="135">
        <v>0</v>
      </c>
      <c r="AM3" s="135">
        <v>0</v>
      </c>
      <c r="AN3" s="135">
        <v>1</v>
      </c>
      <c r="AO3" s="135">
        <v>0</v>
      </c>
      <c r="AP3" s="135">
        <v>1</v>
      </c>
      <c r="AQ3" s="135">
        <v>0</v>
      </c>
      <c r="AR3" s="135">
        <v>1</v>
      </c>
      <c r="AS3" s="135">
        <v>0</v>
      </c>
      <c r="AT3" s="135">
        <v>1</v>
      </c>
      <c r="AU3" s="135">
        <v>0</v>
      </c>
      <c r="AV3" s="135">
        <v>1</v>
      </c>
      <c r="AW3" s="135">
        <v>0</v>
      </c>
      <c r="AX3" s="135">
        <v>1</v>
      </c>
      <c r="AY3" s="135">
        <v>0</v>
      </c>
      <c r="AZ3" s="135">
        <v>1</v>
      </c>
      <c r="BA3" s="135">
        <v>0</v>
      </c>
      <c r="BB3" s="135">
        <v>0</v>
      </c>
      <c r="BC3" s="135">
        <v>0</v>
      </c>
      <c r="BD3" s="135">
        <v>1</v>
      </c>
      <c r="BE3" s="135">
        <v>0</v>
      </c>
      <c r="BF3" s="135">
        <v>1</v>
      </c>
      <c r="BG3" s="135">
        <v>0</v>
      </c>
      <c r="BH3" s="135">
        <v>1</v>
      </c>
      <c r="BI3" s="135">
        <v>0</v>
      </c>
      <c r="BJ3" s="135">
        <v>1</v>
      </c>
      <c r="BK3" s="135">
        <v>0</v>
      </c>
      <c r="BL3" s="135">
        <v>1</v>
      </c>
      <c r="BM3" s="135">
        <v>0</v>
      </c>
      <c r="BN3" s="135">
        <v>1</v>
      </c>
      <c r="BO3" s="135">
        <v>0</v>
      </c>
      <c r="BP3" s="135">
        <v>1</v>
      </c>
      <c r="BQ3" s="135">
        <v>0</v>
      </c>
      <c r="BR3" s="135">
        <v>0</v>
      </c>
      <c r="BS3" s="135">
        <v>0</v>
      </c>
      <c r="BT3" s="135">
        <v>1</v>
      </c>
      <c r="BU3" s="135">
        <v>0</v>
      </c>
      <c r="BV3" s="135">
        <v>1</v>
      </c>
      <c r="BW3" s="135">
        <v>0</v>
      </c>
      <c r="BX3" s="135">
        <v>1</v>
      </c>
      <c r="BY3" s="135">
        <v>0</v>
      </c>
      <c r="BZ3" s="135">
        <v>1</v>
      </c>
      <c r="CA3" s="135">
        <v>0</v>
      </c>
      <c r="CB3" s="135">
        <v>1</v>
      </c>
      <c r="CC3" s="135">
        <v>0</v>
      </c>
      <c r="CD3" s="135">
        <v>1</v>
      </c>
      <c r="CE3" s="135">
        <v>0</v>
      </c>
      <c r="CF3" s="135">
        <v>1</v>
      </c>
      <c r="CG3" s="135">
        <v>0</v>
      </c>
      <c r="CH3" s="135">
        <v>0</v>
      </c>
      <c r="CI3" s="135">
        <v>0</v>
      </c>
    </row>
    <row r="4" spans="1:87" ht="30" x14ac:dyDescent="0.25">
      <c r="A4" s="136" t="s">
        <v>711</v>
      </c>
      <c r="B4" s="35">
        <f>B5+B6+B7+B8</f>
        <v>60965</v>
      </c>
      <c r="C4" s="137" t="s">
        <v>712</v>
      </c>
      <c r="D4" s="137" t="s">
        <v>713</v>
      </c>
      <c r="E4" s="137" t="s">
        <v>714</v>
      </c>
      <c r="F4" s="137" t="s">
        <v>715</v>
      </c>
      <c r="G4" s="137" t="s">
        <v>716</v>
      </c>
      <c r="H4" s="137" t="s">
        <v>717</v>
      </c>
      <c r="J4" s="134" t="s">
        <v>718</v>
      </c>
      <c r="K4" s="135">
        <v>0</v>
      </c>
      <c r="L4" s="135">
        <v>0</v>
      </c>
      <c r="M4" s="135">
        <v>0</v>
      </c>
      <c r="N4" s="135">
        <v>0</v>
      </c>
      <c r="O4" s="135">
        <v>0</v>
      </c>
      <c r="P4" s="135">
        <v>0</v>
      </c>
      <c r="Q4" s="135">
        <v>0</v>
      </c>
      <c r="R4" s="135">
        <v>0</v>
      </c>
      <c r="S4" s="135">
        <v>0</v>
      </c>
      <c r="T4" s="135">
        <v>0</v>
      </c>
      <c r="U4" s="135">
        <v>0</v>
      </c>
      <c r="V4" s="135">
        <v>0</v>
      </c>
      <c r="W4" s="135">
        <v>0</v>
      </c>
      <c r="X4" s="135">
        <v>0</v>
      </c>
      <c r="Y4" s="135">
        <v>0</v>
      </c>
      <c r="Z4" s="135">
        <v>0</v>
      </c>
      <c r="AA4" s="135">
        <v>0</v>
      </c>
      <c r="AB4" s="135">
        <v>0</v>
      </c>
      <c r="AC4" s="135">
        <v>0</v>
      </c>
      <c r="AD4" s="135">
        <v>0</v>
      </c>
      <c r="AE4" s="135">
        <v>0</v>
      </c>
      <c r="AF4" s="135">
        <v>0</v>
      </c>
      <c r="AG4" s="135">
        <v>0</v>
      </c>
      <c r="AH4" s="135">
        <v>0</v>
      </c>
      <c r="AI4" s="135">
        <v>0</v>
      </c>
      <c r="AJ4" s="135">
        <v>0</v>
      </c>
      <c r="AK4" s="135">
        <v>0</v>
      </c>
      <c r="AL4" s="135">
        <v>0</v>
      </c>
      <c r="AM4" s="135">
        <v>0</v>
      </c>
      <c r="AN4" s="135">
        <v>0</v>
      </c>
      <c r="AO4" s="135">
        <v>0</v>
      </c>
      <c r="AP4" s="135">
        <v>0</v>
      </c>
      <c r="AQ4" s="135">
        <v>0</v>
      </c>
      <c r="AR4" s="135">
        <v>0</v>
      </c>
      <c r="AS4" s="135">
        <v>0</v>
      </c>
      <c r="AT4" s="135">
        <v>0</v>
      </c>
      <c r="AU4" s="135">
        <v>0</v>
      </c>
      <c r="AV4" s="135">
        <v>0</v>
      </c>
      <c r="AW4" s="135">
        <v>0</v>
      </c>
      <c r="AX4" s="135">
        <v>0</v>
      </c>
      <c r="AY4" s="135">
        <v>0</v>
      </c>
      <c r="AZ4" s="135">
        <v>0</v>
      </c>
      <c r="BA4" s="135">
        <v>0</v>
      </c>
      <c r="BB4" s="135">
        <v>0</v>
      </c>
      <c r="BC4" s="135">
        <v>0</v>
      </c>
      <c r="BD4" s="135">
        <v>0</v>
      </c>
      <c r="BE4" s="135">
        <v>0</v>
      </c>
      <c r="BF4" s="135">
        <v>0</v>
      </c>
      <c r="BG4" s="135">
        <v>0</v>
      </c>
      <c r="BH4" s="135">
        <v>0</v>
      </c>
      <c r="BI4" s="135">
        <v>0</v>
      </c>
      <c r="BJ4" s="135">
        <v>0</v>
      </c>
      <c r="BK4" s="135">
        <v>0</v>
      </c>
      <c r="BL4" s="135">
        <v>0</v>
      </c>
      <c r="BM4" s="135">
        <v>0</v>
      </c>
      <c r="BN4" s="135">
        <v>0</v>
      </c>
      <c r="BO4" s="135">
        <v>0</v>
      </c>
      <c r="BP4" s="135">
        <v>0</v>
      </c>
      <c r="BQ4" s="135">
        <v>0</v>
      </c>
      <c r="BR4" s="135">
        <v>0</v>
      </c>
      <c r="BS4" s="135">
        <v>0</v>
      </c>
      <c r="BT4" s="135">
        <v>0</v>
      </c>
      <c r="BU4" s="135">
        <v>0</v>
      </c>
      <c r="BV4" s="135">
        <v>0</v>
      </c>
      <c r="BW4" s="135">
        <v>0</v>
      </c>
      <c r="BX4" s="135">
        <v>0</v>
      </c>
      <c r="BY4" s="135">
        <v>0</v>
      </c>
      <c r="BZ4" s="135">
        <v>0</v>
      </c>
      <c r="CA4" s="135">
        <v>0</v>
      </c>
      <c r="CB4" s="135">
        <v>0</v>
      </c>
      <c r="CC4" s="135">
        <v>0</v>
      </c>
      <c r="CD4" s="135">
        <v>0</v>
      </c>
      <c r="CE4" s="135">
        <v>0</v>
      </c>
      <c r="CF4" s="135">
        <v>0</v>
      </c>
      <c r="CG4" s="135">
        <v>0</v>
      </c>
      <c r="CH4" s="135">
        <v>0</v>
      </c>
      <c r="CI4" s="135">
        <v>0</v>
      </c>
    </row>
    <row r="5" spans="1:87" ht="30" x14ac:dyDescent="0.25">
      <c r="A5" s="136" t="s">
        <v>719</v>
      </c>
      <c r="B5" s="138">
        <v>34888</v>
      </c>
      <c r="C5" s="36">
        <v>0.5</v>
      </c>
      <c r="D5" s="36">
        <v>45</v>
      </c>
      <c r="E5" s="36">
        <v>7</v>
      </c>
      <c r="F5" s="36">
        <v>6</v>
      </c>
      <c r="G5" s="36">
        <f>C5*B5</f>
        <v>17444</v>
      </c>
      <c r="H5" s="36">
        <f>B5*E5</f>
        <v>244216</v>
      </c>
      <c r="J5" s="139" t="s">
        <v>720</v>
      </c>
      <c r="K5" s="139">
        <v>2983</v>
      </c>
      <c r="L5" s="139">
        <f>K5-12</f>
        <v>2971</v>
      </c>
      <c r="M5" s="139">
        <f t="shared" ref="M5:BG5" si="0">L5-12</f>
        <v>2959</v>
      </c>
      <c r="N5" s="139">
        <f t="shared" si="0"/>
        <v>2947</v>
      </c>
      <c r="O5" s="139">
        <f t="shared" si="0"/>
        <v>2935</v>
      </c>
      <c r="P5" s="139">
        <f t="shared" si="0"/>
        <v>2923</v>
      </c>
      <c r="Q5" s="139">
        <f t="shared" si="0"/>
        <v>2911</v>
      </c>
      <c r="R5" s="139">
        <f t="shared" si="0"/>
        <v>2899</v>
      </c>
      <c r="S5" s="139">
        <f t="shared" si="0"/>
        <v>2887</v>
      </c>
      <c r="T5" s="139">
        <f t="shared" si="0"/>
        <v>2875</v>
      </c>
      <c r="U5" s="139">
        <f t="shared" si="0"/>
        <v>2863</v>
      </c>
      <c r="V5" s="139">
        <f t="shared" si="0"/>
        <v>2851</v>
      </c>
      <c r="W5" s="139">
        <f t="shared" si="0"/>
        <v>2839</v>
      </c>
      <c r="X5" s="139">
        <f t="shared" si="0"/>
        <v>2827</v>
      </c>
      <c r="Y5" s="139">
        <f t="shared" si="0"/>
        <v>2815</v>
      </c>
      <c r="Z5" s="139">
        <f t="shared" si="0"/>
        <v>2803</v>
      </c>
      <c r="AA5" s="139">
        <f>Z5*0.9</f>
        <v>2522.7000000000003</v>
      </c>
      <c r="AB5" s="139">
        <f t="shared" si="0"/>
        <v>2510.7000000000003</v>
      </c>
      <c r="AC5" s="139">
        <f t="shared" si="0"/>
        <v>2498.7000000000003</v>
      </c>
      <c r="AD5" s="139">
        <f t="shared" si="0"/>
        <v>2486.7000000000003</v>
      </c>
      <c r="AE5" s="139">
        <f t="shared" si="0"/>
        <v>2474.7000000000003</v>
      </c>
      <c r="AF5" s="139">
        <f t="shared" si="0"/>
        <v>2462.7000000000003</v>
      </c>
      <c r="AG5" s="139">
        <f t="shared" si="0"/>
        <v>2450.7000000000003</v>
      </c>
      <c r="AH5" s="139">
        <f t="shared" si="0"/>
        <v>2438.7000000000003</v>
      </c>
      <c r="AI5" s="139">
        <f t="shared" si="0"/>
        <v>2426.7000000000003</v>
      </c>
      <c r="AJ5" s="139">
        <f t="shared" si="0"/>
        <v>2414.7000000000003</v>
      </c>
      <c r="AK5" s="139">
        <f t="shared" si="0"/>
        <v>2402.7000000000003</v>
      </c>
      <c r="AL5" s="139">
        <f t="shared" si="0"/>
        <v>2390.7000000000003</v>
      </c>
      <c r="AM5" s="139">
        <f t="shared" si="0"/>
        <v>2378.7000000000003</v>
      </c>
      <c r="AN5" s="139">
        <f t="shared" si="0"/>
        <v>2366.7000000000003</v>
      </c>
      <c r="AO5" s="139">
        <f t="shared" si="0"/>
        <v>2354.7000000000003</v>
      </c>
      <c r="AP5" s="139">
        <f t="shared" si="0"/>
        <v>2342.7000000000003</v>
      </c>
      <c r="AQ5" s="139">
        <f>AP5*0.9</f>
        <v>2108.4300000000003</v>
      </c>
      <c r="AR5" s="139">
        <f t="shared" si="0"/>
        <v>2096.4300000000003</v>
      </c>
      <c r="AS5" s="139">
        <f t="shared" si="0"/>
        <v>2084.4300000000003</v>
      </c>
      <c r="AT5" s="139">
        <f t="shared" si="0"/>
        <v>2072.4300000000003</v>
      </c>
      <c r="AU5" s="139">
        <f t="shared" si="0"/>
        <v>2060.4300000000003</v>
      </c>
      <c r="AV5" s="139">
        <f t="shared" si="0"/>
        <v>2048.4300000000003</v>
      </c>
      <c r="AW5" s="139">
        <f t="shared" si="0"/>
        <v>2036.4300000000003</v>
      </c>
      <c r="AX5" s="139">
        <f t="shared" si="0"/>
        <v>2024.4300000000003</v>
      </c>
      <c r="AY5" s="139">
        <f t="shared" si="0"/>
        <v>2012.4300000000003</v>
      </c>
      <c r="AZ5" s="139">
        <f t="shared" si="0"/>
        <v>2000.4300000000003</v>
      </c>
      <c r="BA5" s="139">
        <f t="shared" si="0"/>
        <v>1988.4300000000003</v>
      </c>
      <c r="BB5" s="139">
        <f t="shared" si="0"/>
        <v>1976.4300000000003</v>
      </c>
      <c r="BC5" s="139">
        <f t="shared" si="0"/>
        <v>1964.4300000000003</v>
      </c>
      <c r="BD5" s="139">
        <f t="shared" si="0"/>
        <v>1952.4300000000003</v>
      </c>
      <c r="BE5" s="139">
        <f t="shared" si="0"/>
        <v>1940.4300000000003</v>
      </c>
      <c r="BF5" s="139">
        <f t="shared" si="0"/>
        <v>1928.4300000000003</v>
      </c>
      <c r="BG5" s="139">
        <f t="shared" si="0"/>
        <v>1916.4300000000003</v>
      </c>
      <c r="BH5" s="139">
        <f t="shared" ref="BH5:CI5" si="1">BG5</f>
        <v>1916.4300000000003</v>
      </c>
      <c r="BI5" s="139">
        <f t="shared" si="1"/>
        <v>1916.4300000000003</v>
      </c>
      <c r="BJ5" s="139">
        <f t="shared" si="1"/>
        <v>1916.4300000000003</v>
      </c>
      <c r="BK5" s="139">
        <f t="shared" si="1"/>
        <v>1916.4300000000003</v>
      </c>
      <c r="BL5" s="139">
        <f t="shared" si="1"/>
        <v>1916.4300000000003</v>
      </c>
      <c r="BM5" s="139">
        <f t="shared" si="1"/>
        <v>1916.4300000000003</v>
      </c>
      <c r="BN5" s="139">
        <f t="shared" si="1"/>
        <v>1916.4300000000003</v>
      </c>
      <c r="BO5" s="139">
        <f t="shared" si="1"/>
        <v>1916.4300000000003</v>
      </c>
      <c r="BP5" s="139">
        <f t="shared" si="1"/>
        <v>1916.4300000000003</v>
      </c>
      <c r="BQ5" s="139">
        <f t="shared" si="1"/>
        <v>1916.4300000000003</v>
      </c>
      <c r="BR5" s="139">
        <f t="shared" si="1"/>
        <v>1916.4300000000003</v>
      </c>
      <c r="BS5" s="139">
        <f t="shared" si="1"/>
        <v>1916.4300000000003</v>
      </c>
      <c r="BT5" s="139">
        <f t="shared" si="1"/>
        <v>1916.4300000000003</v>
      </c>
      <c r="BU5" s="139">
        <f t="shared" si="1"/>
        <v>1916.4300000000003</v>
      </c>
      <c r="BV5" s="139">
        <f t="shared" si="1"/>
        <v>1916.4300000000003</v>
      </c>
      <c r="BW5" s="139">
        <f t="shared" si="1"/>
        <v>1916.4300000000003</v>
      </c>
      <c r="BX5" s="139">
        <f t="shared" si="1"/>
        <v>1916.4300000000003</v>
      </c>
      <c r="BY5" s="139">
        <f t="shared" si="1"/>
        <v>1916.4300000000003</v>
      </c>
      <c r="BZ5" s="139">
        <f t="shared" si="1"/>
        <v>1916.4300000000003</v>
      </c>
      <c r="CA5" s="139">
        <f t="shared" si="1"/>
        <v>1916.4300000000003</v>
      </c>
      <c r="CB5" s="139">
        <f t="shared" si="1"/>
        <v>1916.4300000000003</v>
      </c>
      <c r="CC5" s="139">
        <f t="shared" si="1"/>
        <v>1916.4300000000003</v>
      </c>
      <c r="CD5" s="139">
        <f t="shared" si="1"/>
        <v>1916.4300000000003</v>
      </c>
      <c r="CE5" s="139">
        <f t="shared" si="1"/>
        <v>1916.4300000000003</v>
      </c>
      <c r="CF5" s="139">
        <f t="shared" si="1"/>
        <v>1916.4300000000003</v>
      </c>
      <c r="CG5" s="139">
        <f t="shared" si="1"/>
        <v>1916.4300000000003</v>
      </c>
      <c r="CH5" s="139">
        <f t="shared" si="1"/>
        <v>1916.4300000000003</v>
      </c>
      <c r="CI5" s="139">
        <f t="shared" si="1"/>
        <v>1916.4300000000003</v>
      </c>
    </row>
    <row r="6" spans="1:87" ht="30" x14ac:dyDescent="0.25">
      <c r="A6" s="136" t="s">
        <v>721</v>
      </c>
      <c r="B6" s="138">
        <v>13391</v>
      </c>
      <c r="C6" s="36">
        <v>0.7</v>
      </c>
      <c r="D6" s="36">
        <v>75</v>
      </c>
      <c r="E6" s="36">
        <v>10</v>
      </c>
      <c r="F6" s="36">
        <v>6</v>
      </c>
      <c r="G6" s="36">
        <f t="shared" ref="G6:G8" si="2">C6*B6</f>
        <v>9373.6999999999989</v>
      </c>
      <c r="H6" s="36">
        <f t="shared" ref="H6:H8" si="3">B6*E6</f>
        <v>133910</v>
      </c>
      <c r="J6" s="140" t="s">
        <v>722</v>
      </c>
      <c r="K6" s="141">
        <f>K5*$B$20</f>
        <v>25116.86</v>
      </c>
      <c r="L6" s="141">
        <f t="shared" ref="L6:BF6" si="4">L5*$B$20</f>
        <v>25015.82</v>
      </c>
      <c r="M6" s="141">
        <f t="shared" si="4"/>
        <v>24914.78</v>
      </c>
      <c r="N6" s="141">
        <f t="shared" si="4"/>
        <v>24813.74</v>
      </c>
      <c r="O6" s="141">
        <f t="shared" si="4"/>
        <v>24712.7</v>
      </c>
      <c r="P6" s="141">
        <f t="shared" si="4"/>
        <v>24611.66</v>
      </c>
      <c r="Q6" s="141">
        <f t="shared" si="4"/>
        <v>24510.62</v>
      </c>
      <c r="R6" s="141">
        <f t="shared" si="4"/>
        <v>24409.579999999998</v>
      </c>
      <c r="S6" s="141">
        <f t="shared" si="4"/>
        <v>24308.54</v>
      </c>
      <c r="T6" s="141">
        <f t="shared" si="4"/>
        <v>24207.5</v>
      </c>
      <c r="U6" s="141">
        <f t="shared" si="4"/>
        <v>24106.46</v>
      </c>
      <c r="V6" s="141">
        <f t="shared" si="4"/>
        <v>24005.42</v>
      </c>
      <c r="W6" s="141">
        <f t="shared" si="4"/>
        <v>23904.38</v>
      </c>
      <c r="X6" s="141">
        <f t="shared" si="4"/>
        <v>23803.34</v>
      </c>
      <c r="Y6" s="141">
        <f t="shared" si="4"/>
        <v>23702.3</v>
      </c>
      <c r="Z6" s="141">
        <f t="shared" si="4"/>
        <v>23601.26</v>
      </c>
      <c r="AA6" s="141">
        <f t="shared" si="4"/>
        <v>21241.134000000002</v>
      </c>
      <c r="AB6" s="141">
        <f t="shared" si="4"/>
        <v>21140.094000000001</v>
      </c>
      <c r="AC6" s="141">
        <f t="shared" si="4"/>
        <v>21039.054000000004</v>
      </c>
      <c r="AD6" s="141">
        <f t="shared" si="4"/>
        <v>20938.014000000003</v>
      </c>
      <c r="AE6" s="141">
        <f t="shared" si="4"/>
        <v>20836.974000000002</v>
      </c>
      <c r="AF6" s="141">
        <f t="shared" si="4"/>
        <v>20735.934000000001</v>
      </c>
      <c r="AG6" s="141">
        <f t="shared" si="4"/>
        <v>20634.894000000004</v>
      </c>
      <c r="AH6" s="141">
        <f t="shared" si="4"/>
        <v>20533.854000000003</v>
      </c>
      <c r="AI6" s="141">
        <f t="shared" si="4"/>
        <v>20432.814000000002</v>
      </c>
      <c r="AJ6" s="141">
        <f t="shared" si="4"/>
        <v>20331.774000000001</v>
      </c>
      <c r="AK6" s="141">
        <f t="shared" si="4"/>
        <v>20230.734</v>
      </c>
      <c r="AL6" s="141">
        <f t="shared" si="4"/>
        <v>20129.694000000003</v>
      </c>
      <c r="AM6" s="141">
        <f t="shared" si="4"/>
        <v>20028.654000000002</v>
      </c>
      <c r="AN6" s="141">
        <f t="shared" si="4"/>
        <v>19927.614000000001</v>
      </c>
      <c r="AO6" s="141">
        <f t="shared" si="4"/>
        <v>19826.574000000001</v>
      </c>
      <c r="AP6" s="141">
        <f t="shared" si="4"/>
        <v>19725.534000000003</v>
      </c>
      <c r="AQ6" s="141">
        <f t="shared" si="4"/>
        <v>17752.980600000003</v>
      </c>
      <c r="AR6" s="141">
        <f t="shared" si="4"/>
        <v>17651.940600000002</v>
      </c>
      <c r="AS6" s="141">
        <f t="shared" si="4"/>
        <v>17550.900600000001</v>
      </c>
      <c r="AT6" s="141">
        <f t="shared" si="4"/>
        <v>17449.860600000004</v>
      </c>
      <c r="AU6" s="141">
        <f t="shared" si="4"/>
        <v>17348.820600000003</v>
      </c>
      <c r="AV6" s="141">
        <f t="shared" si="4"/>
        <v>17247.780600000002</v>
      </c>
      <c r="AW6" s="141">
        <f t="shared" si="4"/>
        <v>17146.740600000001</v>
      </c>
      <c r="AX6" s="141">
        <f t="shared" si="4"/>
        <v>17045.700600000004</v>
      </c>
      <c r="AY6" s="141">
        <f t="shared" si="4"/>
        <v>16944.660600000003</v>
      </c>
      <c r="AZ6" s="141">
        <f t="shared" si="4"/>
        <v>16843.620600000002</v>
      </c>
      <c r="BA6" s="141">
        <f t="shared" si="4"/>
        <v>16742.580600000001</v>
      </c>
      <c r="BB6" s="141">
        <f t="shared" si="4"/>
        <v>16641.540600000004</v>
      </c>
      <c r="BC6" s="141">
        <f t="shared" si="4"/>
        <v>16540.500600000003</v>
      </c>
      <c r="BD6" s="141">
        <f t="shared" si="4"/>
        <v>16439.460600000002</v>
      </c>
      <c r="BE6" s="141">
        <f t="shared" si="4"/>
        <v>16338.420600000003</v>
      </c>
      <c r="BF6" s="141">
        <f t="shared" si="4"/>
        <v>16237.380600000002</v>
      </c>
      <c r="BG6" s="141">
        <f t="shared" ref="BG6:BS6" si="5">BG5*$B$14</f>
        <v>24415.318200000005</v>
      </c>
      <c r="BH6" s="141">
        <f t="shared" si="5"/>
        <v>24415.318200000005</v>
      </c>
      <c r="BI6" s="141">
        <f t="shared" si="5"/>
        <v>24415.318200000005</v>
      </c>
      <c r="BJ6" s="141">
        <f t="shared" si="5"/>
        <v>24415.318200000005</v>
      </c>
      <c r="BK6" s="141">
        <f t="shared" si="5"/>
        <v>24415.318200000005</v>
      </c>
      <c r="BL6" s="141">
        <f t="shared" si="5"/>
        <v>24415.318200000005</v>
      </c>
      <c r="BM6" s="141">
        <f t="shared" si="5"/>
        <v>24415.318200000005</v>
      </c>
      <c r="BN6" s="141">
        <f t="shared" si="5"/>
        <v>24415.318200000005</v>
      </c>
      <c r="BO6" s="141">
        <f t="shared" si="5"/>
        <v>24415.318200000005</v>
      </c>
      <c r="BP6" s="141">
        <f t="shared" si="5"/>
        <v>24415.318200000005</v>
      </c>
      <c r="BQ6" s="141">
        <f t="shared" si="5"/>
        <v>24415.318200000005</v>
      </c>
      <c r="BR6" s="141">
        <f t="shared" si="5"/>
        <v>24415.318200000005</v>
      </c>
      <c r="BS6" s="141">
        <f t="shared" si="5"/>
        <v>24415.318200000005</v>
      </c>
      <c r="BT6" s="141">
        <f>BT5*$B$14</f>
        <v>24415.318200000005</v>
      </c>
      <c r="BU6" s="141">
        <f>BU5*$B$14</f>
        <v>24415.318200000005</v>
      </c>
      <c r="BV6" s="141">
        <f>BV5*$B$14</f>
        <v>24415.318200000005</v>
      </c>
      <c r="BW6" s="141">
        <f t="shared" ref="BW6:CI6" si="6">BW5*$B$14</f>
        <v>24415.318200000005</v>
      </c>
      <c r="BX6" s="141">
        <f t="shared" si="6"/>
        <v>24415.318200000005</v>
      </c>
      <c r="BY6" s="141">
        <f t="shared" si="6"/>
        <v>24415.318200000005</v>
      </c>
      <c r="BZ6" s="141">
        <f t="shared" si="6"/>
        <v>24415.318200000005</v>
      </c>
      <c r="CA6" s="141">
        <f t="shared" si="6"/>
        <v>24415.318200000005</v>
      </c>
      <c r="CB6" s="141">
        <f t="shared" si="6"/>
        <v>24415.318200000005</v>
      </c>
      <c r="CC6" s="141">
        <f t="shared" si="6"/>
        <v>24415.318200000005</v>
      </c>
      <c r="CD6" s="141">
        <f t="shared" si="6"/>
        <v>24415.318200000005</v>
      </c>
      <c r="CE6" s="141">
        <f t="shared" si="6"/>
        <v>24415.318200000005</v>
      </c>
      <c r="CF6" s="141">
        <f t="shared" si="6"/>
        <v>24415.318200000005</v>
      </c>
      <c r="CG6" s="141">
        <f t="shared" si="6"/>
        <v>24415.318200000005</v>
      </c>
      <c r="CH6" s="141">
        <f t="shared" si="6"/>
        <v>24415.318200000005</v>
      </c>
      <c r="CI6" s="141">
        <f t="shared" si="6"/>
        <v>24415.318200000005</v>
      </c>
    </row>
    <row r="7" spans="1:87" x14ac:dyDescent="0.25">
      <c r="A7" s="136" t="s">
        <v>723</v>
      </c>
      <c r="B7" s="138">
        <v>11289</v>
      </c>
      <c r="C7" s="36">
        <v>1</v>
      </c>
      <c r="D7" s="36">
        <v>90</v>
      </c>
      <c r="E7" s="36">
        <v>19</v>
      </c>
      <c r="F7" s="36">
        <v>6</v>
      </c>
      <c r="G7" s="36">
        <f t="shared" si="2"/>
        <v>11289</v>
      </c>
      <c r="H7" s="36">
        <f t="shared" si="3"/>
        <v>214491</v>
      </c>
      <c r="J7" s="140" t="s">
        <v>724</v>
      </c>
      <c r="K7" s="141">
        <f>K5*$C$20</f>
        <v>8143.59</v>
      </c>
      <c r="L7" s="141">
        <f t="shared" ref="L7:BF7" si="7">L5*$C$20</f>
        <v>8110.83</v>
      </c>
      <c r="M7" s="141">
        <f t="shared" si="7"/>
        <v>8078.07</v>
      </c>
      <c r="N7" s="141">
        <f t="shared" si="7"/>
        <v>8045.31</v>
      </c>
      <c r="O7" s="141">
        <f t="shared" si="7"/>
        <v>8012.55</v>
      </c>
      <c r="P7" s="141">
        <f t="shared" si="7"/>
        <v>7979.79</v>
      </c>
      <c r="Q7" s="141">
        <f t="shared" si="7"/>
        <v>7947.03</v>
      </c>
      <c r="R7" s="141">
        <f t="shared" si="7"/>
        <v>7914.2699999999995</v>
      </c>
      <c r="S7" s="141">
        <f t="shared" si="7"/>
        <v>7881.51</v>
      </c>
      <c r="T7" s="141">
        <f t="shared" si="7"/>
        <v>7848.75</v>
      </c>
      <c r="U7" s="141">
        <f t="shared" si="7"/>
        <v>7815.99</v>
      </c>
      <c r="V7" s="141">
        <f t="shared" si="7"/>
        <v>7783.23</v>
      </c>
      <c r="W7" s="141">
        <f t="shared" si="7"/>
        <v>7750.47</v>
      </c>
      <c r="X7" s="141">
        <f t="shared" si="7"/>
        <v>7717.71</v>
      </c>
      <c r="Y7" s="141">
        <f t="shared" si="7"/>
        <v>7684.95</v>
      </c>
      <c r="Z7" s="141">
        <f t="shared" si="7"/>
        <v>7652.19</v>
      </c>
      <c r="AA7" s="141">
        <f t="shared" si="7"/>
        <v>6886.9710000000005</v>
      </c>
      <c r="AB7" s="141">
        <f t="shared" si="7"/>
        <v>6854.2110000000011</v>
      </c>
      <c r="AC7" s="141">
        <f t="shared" si="7"/>
        <v>6821.4510000000009</v>
      </c>
      <c r="AD7" s="141">
        <f t="shared" si="7"/>
        <v>6788.6910000000007</v>
      </c>
      <c r="AE7" s="141">
        <f t="shared" si="7"/>
        <v>6755.9310000000005</v>
      </c>
      <c r="AF7" s="141">
        <f t="shared" si="7"/>
        <v>6723.1710000000003</v>
      </c>
      <c r="AG7" s="141">
        <f t="shared" si="7"/>
        <v>6690.411000000001</v>
      </c>
      <c r="AH7" s="141">
        <f t="shared" si="7"/>
        <v>6657.6510000000007</v>
      </c>
      <c r="AI7" s="141">
        <f t="shared" si="7"/>
        <v>6624.8910000000005</v>
      </c>
      <c r="AJ7" s="141">
        <f t="shared" si="7"/>
        <v>6592.1310000000003</v>
      </c>
      <c r="AK7" s="141">
        <f t="shared" si="7"/>
        <v>6559.371000000001</v>
      </c>
      <c r="AL7" s="141">
        <f t="shared" si="7"/>
        <v>6526.6110000000008</v>
      </c>
      <c r="AM7" s="141">
        <f t="shared" si="7"/>
        <v>6493.8510000000006</v>
      </c>
      <c r="AN7" s="141">
        <f t="shared" si="7"/>
        <v>6461.0910000000003</v>
      </c>
      <c r="AO7" s="141">
        <f t="shared" si="7"/>
        <v>6428.331000000001</v>
      </c>
      <c r="AP7" s="141">
        <f t="shared" si="7"/>
        <v>6395.5710000000008</v>
      </c>
      <c r="AQ7" s="141">
        <f t="shared" si="7"/>
        <v>5756.0139000000008</v>
      </c>
      <c r="AR7" s="141">
        <f t="shared" si="7"/>
        <v>5723.2539000000006</v>
      </c>
      <c r="AS7" s="141">
        <f t="shared" si="7"/>
        <v>5690.4939000000004</v>
      </c>
      <c r="AT7" s="141">
        <f t="shared" si="7"/>
        <v>5657.7339000000011</v>
      </c>
      <c r="AU7" s="141">
        <f t="shared" si="7"/>
        <v>5624.9739000000009</v>
      </c>
      <c r="AV7" s="141">
        <f t="shared" si="7"/>
        <v>5592.2139000000006</v>
      </c>
      <c r="AW7" s="141">
        <f t="shared" si="7"/>
        <v>5559.4539000000004</v>
      </c>
      <c r="AX7" s="141">
        <f t="shared" si="7"/>
        <v>5526.6939000000011</v>
      </c>
      <c r="AY7" s="141">
        <f t="shared" si="7"/>
        <v>5493.9339000000009</v>
      </c>
      <c r="AZ7" s="141">
        <f t="shared" si="7"/>
        <v>5461.1739000000007</v>
      </c>
      <c r="BA7" s="141">
        <f t="shared" si="7"/>
        <v>5428.4139000000005</v>
      </c>
      <c r="BB7" s="141">
        <f t="shared" si="7"/>
        <v>5395.6539000000012</v>
      </c>
      <c r="BC7" s="141">
        <f t="shared" si="7"/>
        <v>5362.8939000000009</v>
      </c>
      <c r="BD7" s="141">
        <f t="shared" si="7"/>
        <v>5330.1339000000007</v>
      </c>
      <c r="BE7" s="141">
        <f t="shared" si="7"/>
        <v>5297.3739000000005</v>
      </c>
      <c r="BF7" s="141">
        <f t="shared" si="7"/>
        <v>5264.6139000000012</v>
      </c>
      <c r="BG7" s="141">
        <f t="shared" ref="BG7:BS7" si="8">BG5*$C$14</f>
        <v>9371.3427000000011</v>
      </c>
      <c r="BH7" s="141">
        <f t="shared" si="8"/>
        <v>9371.3427000000011</v>
      </c>
      <c r="BI7" s="141">
        <f t="shared" si="8"/>
        <v>9371.3427000000011</v>
      </c>
      <c r="BJ7" s="141">
        <f t="shared" si="8"/>
        <v>9371.3427000000011</v>
      </c>
      <c r="BK7" s="141">
        <f t="shared" si="8"/>
        <v>9371.3427000000011</v>
      </c>
      <c r="BL7" s="141">
        <f t="shared" si="8"/>
        <v>9371.3427000000011</v>
      </c>
      <c r="BM7" s="141">
        <f t="shared" si="8"/>
        <v>9371.3427000000011</v>
      </c>
      <c r="BN7" s="141">
        <f t="shared" si="8"/>
        <v>9371.3427000000011</v>
      </c>
      <c r="BO7" s="141">
        <f t="shared" si="8"/>
        <v>9371.3427000000011</v>
      </c>
      <c r="BP7" s="141">
        <f t="shared" si="8"/>
        <v>9371.3427000000011</v>
      </c>
      <c r="BQ7" s="141">
        <f t="shared" si="8"/>
        <v>9371.3427000000011</v>
      </c>
      <c r="BR7" s="141">
        <f t="shared" si="8"/>
        <v>9371.3427000000011</v>
      </c>
      <c r="BS7" s="141">
        <f t="shared" si="8"/>
        <v>9371.3427000000011</v>
      </c>
      <c r="BT7" s="141">
        <f>BT5*$C$14</f>
        <v>9371.3427000000011</v>
      </c>
      <c r="BU7" s="141">
        <f>BU5*$C$14</f>
        <v>9371.3427000000011</v>
      </c>
      <c r="BV7" s="141">
        <f>BV5*$C$14</f>
        <v>9371.3427000000011</v>
      </c>
      <c r="BW7" s="141">
        <f t="shared" ref="BW7:CI7" si="9">BW5*$C$14</f>
        <v>9371.3427000000011</v>
      </c>
      <c r="BX7" s="141">
        <f t="shared" si="9"/>
        <v>9371.3427000000011</v>
      </c>
      <c r="BY7" s="141">
        <f t="shared" si="9"/>
        <v>9371.3427000000011</v>
      </c>
      <c r="BZ7" s="141">
        <f t="shared" si="9"/>
        <v>9371.3427000000011</v>
      </c>
      <c r="CA7" s="141">
        <f t="shared" si="9"/>
        <v>9371.3427000000011</v>
      </c>
      <c r="CB7" s="141">
        <f t="shared" si="9"/>
        <v>9371.3427000000011</v>
      </c>
      <c r="CC7" s="141">
        <f t="shared" si="9"/>
        <v>9371.3427000000011</v>
      </c>
      <c r="CD7" s="141">
        <f t="shared" si="9"/>
        <v>9371.3427000000011</v>
      </c>
      <c r="CE7" s="141">
        <f t="shared" si="9"/>
        <v>9371.3427000000011</v>
      </c>
      <c r="CF7" s="141">
        <f t="shared" si="9"/>
        <v>9371.3427000000011</v>
      </c>
      <c r="CG7" s="141">
        <f t="shared" si="9"/>
        <v>9371.3427000000011</v>
      </c>
      <c r="CH7" s="141">
        <f t="shared" si="9"/>
        <v>9371.3427000000011</v>
      </c>
      <c r="CI7" s="141">
        <f t="shared" si="9"/>
        <v>9371.3427000000011</v>
      </c>
    </row>
    <row r="8" spans="1:87" x14ac:dyDescent="0.25">
      <c r="A8" s="136" t="s">
        <v>725</v>
      </c>
      <c r="B8" s="138">
        <v>1397</v>
      </c>
      <c r="C8" s="36">
        <v>2.5</v>
      </c>
      <c r="D8" s="36">
        <v>300</v>
      </c>
      <c r="E8" s="36">
        <v>35</v>
      </c>
      <c r="F8" s="36">
        <v>6</v>
      </c>
      <c r="G8" s="36">
        <f t="shared" si="2"/>
        <v>3492.5</v>
      </c>
      <c r="H8" s="36">
        <f t="shared" si="3"/>
        <v>48895</v>
      </c>
      <c r="J8" s="140" t="s">
        <v>726</v>
      </c>
      <c r="K8" s="141">
        <f>K5*$D$20</f>
        <v>5121.5126999999993</v>
      </c>
      <c r="L8" s="141">
        <f t="shared" ref="L8:BF8" si="10">L5*$D$20</f>
        <v>5100.9098999999997</v>
      </c>
      <c r="M8" s="141">
        <f t="shared" si="10"/>
        <v>5080.3071</v>
      </c>
      <c r="N8" s="141">
        <f t="shared" si="10"/>
        <v>5059.7042999999994</v>
      </c>
      <c r="O8" s="141">
        <f t="shared" si="10"/>
        <v>5039.1014999999998</v>
      </c>
      <c r="P8" s="141">
        <f t="shared" si="10"/>
        <v>5018.4986999999992</v>
      </c>
      <c r="Q8" s="141">
        <f t="shared" si="10"/>
        <v>4997.8958999999995</v>
      </c>
      <c r="R8" s="141">
        <f t="shared" si="10"/>
        <v>4977.2930999999999</v>
      </c>
      <c r="S8" s="141">
        <f t="shared" si="10"/>
        <v>4956.6902999999993</v>
      </c>
      <c r="T8" s="141">
        <f t="shared" si="10"/>
        <v>4936.0874999999996</v>
      </c>
      <c r="U8" s="141">
        <f t="shared" si="10"/>
        <v>4915.4847</v>
      </c>
      <c r="V8" s="141">
        <f t="shared" si="10"/>
        <v>4894.8818999999994</v>
      </c>
      <c r="W8" s="141">
        <f t="shared" si="10"/>
        <v>4874.2790999999997</v>
      </c>
      <c r="X8" s="141">
        <f t="shared" si="10"/>
        <v>4853.6763000000001</v>
      </c>
      <c r="Y8" s="141">
        <f t="shared" si="10"/>
        <v>4833.0734999999995</v>
      </c>
      <c r="Z8" s="141">
        <f t="shared" si="10"/>
        <v>4812.4706999999999</v>
      </c>
      <c r="AA8" s="141">
        <f t="shared" si="10"/>
        <v>4331.2236300000004</v>
      </c>
      <c r="AB8" s="141">
        <f t="shared" si="10"/>
        <v>4310.6208299999998</v>
      </c>
      <c r="AC8" s="141">
        <f t="shared" si="10"/>
        <v>4290.0180300000002</v>
      </c>
      <c r="AD8" s="141">
        <f t="shared" si="10"/>
        <v>4269.4152300000005</v>
      </c>
      <c r="AE8" s="141">
        <f t="shared" si="10"/>
        <v>4248.8124299999999</v>
      </c>
      <c r="AF8" s="141">
        <f t="shared" si="10"/>
        <v>4228.2096300000003</v>
      </c>
      <c r="AG8" s="141">
        <f t="shared" si="10"/>
        <v>4207.6068299999997</v>
      </c>
      <c r="AH8" s="141">
        <f t="shared" si="10"/>
        <v>4187.0040300000001</v>
      </c>
      <c r="AI8" s="141">
        <f t="shared" si="10"/>
        <v>4166.4012300000004</v>
      </c>
      <c r="AJ8" s="141">
        <f t="shared" si="10"/>
        <v>4145.7984299999998</v>
      </c>
      <c r="AK8" s="141">
        <f t="shared" si="10"/>
        <v>4125.1956300000002</v>
      </c>
      <c r="AL8" s="141">
        <f t="shared" si="10"/>
        <v>4104.5928300000005</v>
      </c>
      <c r="AM8" s="141">
        <f t="shared" si="10"/>
        <v>4083.9900300000004</v>
      </c>
      <c r="AN8" s="141">
        <f t="shared" si="10"/>
        <v>4063.3872300000003</v>
      </c>
      <c r="AO8" s="141">
        <f t="shared" si="10"/>
        <v>4042.7844300000002</v>
      </c>
      <c r="AP8" s="141">
        <f t="shared" si="10"/>
        <v>4022.18163</v>
      </c>
      <c r="AQ8" s="141">
        <f t="shared" si="10"/>
        <v>3619.963467</v>
      </c>
      <c r="AR8" s="141">
        <f t="shared" si="10"/>
        <v>3599.3606670000004</v>
      </c>
      <c r="AS8" s="141">
        <f t="shared" si="10"/>
        <v>3578.7578670000003</v>
      </c>
      <c r="AT8" s="141">
        <f t="shared" si="10"/>
        <v>3558.1550670000001</v>
      </c>
      <c r="AU8" s="141">
        <f t="shared" si="10"/>
        <v>3537.552267</v>
      </c>
      <c r="AV8" s="141">
        <f t="shared" si="10"/>
        <v>3516.9494670000004</v>
      </c>
      <c r="AW8" s="141">
        <f t="shared" si="10"/>
        <v>3496.3466670000003</v>
      </c>
      <c r="AX8" s="141">
        <f t="shared" si="10"/>
        <v>3475.7438670000001</v>
      </c>
      <c r="AY8" s="141">
        <f t="shared" si="10"/>
        <v>3455.141067</v>
      </c>
      <c r="AZ8" s="141">
        <f t="shared" si="10"/>
        <v>3434.5382670000004</v>
      </c>
      <c r="BA8" s="141">
        <f t="shared" si="10"/>
        <v>3413.9354670000002</v>
      </c>
      <c r="BB8" s="141">
        <f t="shared" si="10"/>
        <v>3393.3326670000001</v>
      </c>
      <c r="BC8" s="141">
        <f t="shared" si="10"/>
        <v>3372.7298670000005</v>
      </c>
      <c r="BD8" s="141">
        <f t="shared" si="10"/>
        <v>3352.1270670000004</v>
      </c>
      <c r="BE8" s="141">
        <f t="shared" si="10"/>
        <v>3331.5242670000002</v>
      </c>
      <c r="BF8" s="141">
        <f t="shared" si="10"/>
        <v>3310.9214670000001</v>
      </c>
      <c r="BG8" s="141">
        <f t="shared" ref="BG8:BS8" si="11">BG5*$D$14</f>
        <v>7900.4826750000002</v>
      </c>
      <c r="BH8" s="141">
        <f t="shared" si="11"/>
        <v>7900.4826750000002</v>
      </c>
      <c r="BI8" s="141">
        <f t="shared" si="11"/>
        <v>7900.4826750000002</v>
      </c>
      <c r="BJ8" s="141">
        <f t="shared" si="11"/>
        <v>7900.4826750000002</v>
      </c>
      <c r="BK8" s="141">
        <f t="shared" si="11"/>
        <v>7900.4826750000002</v>
      </c>
      <c r="BL8" s="141">
        <f t="shared" si="11"/>
        <v>7900.4826750000002</v>
      </c>
      <c r="BM8" s="141">
        <f t="shared" si="11"/>
        <v>7900.4826750000002</v>
      </c>
      <c r="BN8" s="141">
        <f t="shared" si="11"/>
        <v>7900.4826750000002</v>
      </c>
      <c r="BO8" s="141">
        <f t="shared" si="11"/>
        <v>7900.4826750000002</v>
      </c>
      <c r="BP8" s="141">
        <f t="shared" si="11"/>
        <v>7900.4826750000002</v>
      </c>
      <c r="BQ8" s="141">
        <f t="shared" si="11"/>
        <v>7900.4826750000002</v>
      </c>
      <c r="BR8" s="141">
        <f t="shared" si="11"/>
        <v>7900.4826750000002</v>
      </c>
      <c r="BS8" s="141">
        <f t="shared" si="11"/>
        <v>7900.4826750000002</v>
      </c>
      <c r="BT8" s="141">
        <f>BT5*$D$14</f>
        <v>7900.4826750000002</v>
      </c>
      <c r="BU8" s="141">
        <f>BU5*$D$14</f>
        <v>7900.4826750000002</v>
      </c>
      <c r="BV8" s="141">
        <f>BV5*$D$14</f>
        <v>7900.4826750000002</v>
      </c>
      <c r="BW8" s="141">
        <f t="shared" ref="BW8:CI8" si="12">BW5*$D$14</f>
        <v>7900.4826750000002</v>
      </c>
      <c r="BX8" s="141">
        <f t="shared" si="12"/>
        <v>7900.4826750000002</v>
      </c>
      <c r="BY8" s="141">
        <f t="shared" si="12"/>
        <v>7900.4826750000002</v>
      </c>
      <c r="BZ8" s="141">
        <f t="shared" si="12"/>
        <v>7900.4826750000002</v>
      </c>
      <c r="CA8" s="141">
        <f t="shared" si="12"/>
        <v>7900.4826750000002</v>
      </c>
      <c r="CB8" s="141">
        <f t="shared" si="12"/>
        <v>7900.4826750000002</v>
      </c>
      <c r="CC8" s="141">
        <f t="shared" si="12"/>
        <v>7900.4826750000002</v>
      </c>
      <c r="CD8" s="141">
        <f t="shared" si="12"/>
        <v>7900.4826750000002</v>
      </c>
      <c r="CE8" s="141">
        <f t="shared" si="12"/>
        <v>7900.4826750000002</v>
      </c>
      <c r="CF8" s="141">
        <f t="shared" si="12"/>
        <v>7900.4826750000002</v>
      </c>
      <c r="CG8" s="141">
        <f t="shared" si="12"/>
        <v>7900.4826750000002</v>
      </c>
      <c r="CH8" s="141">
        <f t="shared" si="12"/>
        <v>7900.4826750000002</v>
      </c>
      <c r="CI8" s="141">
        <f t="shared" si="12"/>
        <v>7900.4826750000002</v>
      </c>
    </row>
    <row r="9" spans="1:87" x14ac:dyDescent="0.25">
      <c r="C9" s="35"/>
      <c r="D9" s="35"/>
      <c r="E9" s="35"/>
      <c r="G9" s="48">
        <f>G8+G7+G6+G5</f>
        <v>41599.199999999997</v>
      </c>
      <c r="H9" s="48">
        <f>H8+H7+H6+H5</f>
        <v>641512</v>
      </c>
      <c r="J9" s="140" t="s">
        <v>727</v>
      </c>
      <c r="K9" s="141">
        <f>K5*$E$20</f>
        <v>536.93999999999994</v>
      </c>
      <c r="L9" s="141">
        <f t="shared" ref="L9:BF9" si="13">L5*$E$20</f>
        <v>534.78</v>
      </c>
      <c r="M9" s="141">
        <f t="shared" si="13"/>
        <v>532.62</v>
      </c>
      <c r="N9" s="141">
        <f t="shared" si="13"/>
        <v>530.46</v>
      </c>
      <c r="O9" s="141">
        <f t="shared" si="13"/>
        <v>528.29999999999995</v>
      </c>
      <c r="P9" s="141">
        <f t="shared" si="13"/>
        <v>526.14</v>
      </c>
      <c r="Q9" s="141">
        <f t="shared" si="13"/>
        <v>523.98</v>
      </c>
      <c r="R9" s="141">
        <f t="shared" si="13"/>
        <v>521.81999999999994</v>
      </c>
      <c r="S9" s="141">
        <f t="shared" si="13"/>
        <v>519.66</v>
      </c>
      <c r="T9" s="141">
        <f t="shared" si="13"/>
        <v>517.5</v>
      </c>
      <c r="U9" s="141">
        <f t="shared" si="13"/>
        <v>515.34</v>
      </c>
      <c r="V9" s="141">
        <f t="shared" si="13"/>
        <v>513.17999999999995</v>
      </c>
      <c r="W9" s="141">
        <f t="shared" si="13"/>
        <v>511.02</v>
      </c>
      <c r="X9" s="141">
        <f t="shared" si="13"/>
        <v>508.85999999999996</v>
      </c>
      <c r="Y9" s="141">
        <f t="shared" si="13"/>
        <v>506.7</v>
      </c>
      <c r="Z9" s="141">
        <f t="shared" si="13"/>
        <v>504.53999999999996</v>
      </c>
      <c r="AA9" s="141">
        <f t="shared" si="13"/>
        <v>454.08600000000001</v>
      </c>
      <c r="AB9" s="141">
        <f t="shared" si="13"/>
        <v>451.92600000000004</v>
      </c>
      <c r="AC9" s="141">
        <f t="shared" si="13"/>
        <v>449.76600000000002</v>
      </c>
      <c r="AD9" s="141">
        <f t="shared" si="13"/>
        <v>447.60600000000005</v>
      </c>
      <c r="AE9" s="141">
        <f t="shared" si="13"/>
        <v>445.44600000000003</v>
      </c>
      <c r="AF9" s="141">
        <f t="shared" si="13"/>
        <v>443.28600000000006</v>
      </c>
      <c r="AG9" s="141">
        <f t="shared" si="13"/>
        <v>441.12600000000003</v>
      </c>
      <c r="AH9" s="141">
        <f t="shared" si="13"/>
        <v>438.96600000000001</v>
      </c>
      <c r="AI9" s="141">
        <f t="shared" si="13"/>
        <v>436.80600000000004</v>
      </c>
      <c r="AJ9" s="141">
        <f t="shared" si="13"/>
        <v>434.64600000000002</v>
      </c>
      <c r="AK9" s="141">
        <f t="shared" si="13"/>
        <v>432.48600000000005</v>
      </c>
      <c r="AL9" s="141">
        <f t="shared" si="13"/>
        <v>430.32600000000002</v>
      </c>
      <c r="AM9" s="141">
        <f t="shared" si="13"/>
        <v>428.16600000000005</v>
      </c>
      <c r="AN9" s="141">
        <f t="shared" si="13"/>
        <v>426.00600000000003</v>
      </c>
      <c r="AO9" s="141">
        <f t="shared" si="13"/>
        <v>423.84600000000006</v>
      </c>
      <c r="AP9" s="141">
        <f t="shared" si="13"/>
        <v>421.68600000000004</v>
      </c>
      <c r="AQ9" s="141">
        <f t="shared" si="13"/>
        <v>379.51740000000007</v>
      </c>
      <c r="AR9" s="141">
        <f t="shared" si="13"/>
        <v>377.35740000000004</v>
      </c>
      <c r="AS9" s="141">
        <f t="shared" si="13"/>
        <v>375.19740000000002</v>
      </c>
      <c r="AT9" s="141">
        <f t="shared" si="13"/>
        <v>373.03740000000005</v>
      </c>
      <c r="AU9" s="141">
        <f t="shared" si="13"/>
        <v>370.87740000000002</v>
      </c>
      <c r="AV9" s="141">
        <f t="shared" si="13"/>
        <v>368.71740000000005</v>
      </c>
      <c r="AW9" s="141">
        <f t="shared" si="13"/>
        <v>366.55740000000003</v>
      </c>
      <c r="AX9" s="141">
        <f t="shared" si="13"/>
        <v>364.39740000000006</v>
      </c>
      <c r="AY9" s="141">
        <f t="shared" si="13"/>
        <v>362.23740000000004</v>
      </c>
      <c r="AZ9" s="141">
        <f t="shared" si="13"/>
        <v>360.07740000000001</v>
      </c>
      <c r="BA9" s="141">
        <f t="shared" si="13"/>
        <v>357.91740000000004</v>
      </c>
      <c r="BB9" s="141">
        <f t="shared" si="13"/>
        <v>355.75740000000002</v>
      </c>
      <c r="BC9" s="141">
        <f t="shared" si="13"/>
        <v>353.59740000000005</v>
      </c>
      <c r="BD9" s="141">
        <f t="shared" si="13"/>
        <v>351.43740000000003</v>
      </c>
      <c r="BE9" s="141">
        <f t="shared" si="13"/>
        <v>349.27740000000006</v>
      </c>
      <c r="BF9" s="141">
        <f t="shared" si="13"/>
        <v>347.11740000000003</v>
      </c>
      <c r="BG9" s="141">
        <f t="shared" ref="BG9:BS9" si="14">BG5*$E$14</f>
        <v>977.37930000000017</v>
      </c>
      <c r="BH9" s="141">
        <f t="shared" si="14"/>
        <v>977.37930000000017</v>
      </c>
      <c r="BI9" s="141">
        <f t="shared" si="14"/>
        <v>977.37930000000017</v>
      </c>
      <c r="BJ9" s="141">
        <f t="shared" si="14"/>
        <v>977.37930000000017</v>
      </c>
      <c r="BK9" s="141">
        <f t="shared" si="14"/>
        <v>977.37930000000017</v>
      </c>
      <c r="BL9" s="141">
        <f t="shared" si="14"/>
        <v>977.37930000000017</v>
      </c>
      <c r="BM9" s="141">
        <f t="shared" si="14"/>
        <v>977.37930000000017</v>
      </c>
      <c r="BN9" s="141">
        <f t="shared" si="14"/>
        <v>977.37930000000017</v>
      </c>
      <c r="BO9" s="141">
        <f t="shared" si="14"/>
        <v>977.37930000000017</v>
      </c>
      <c r="BP9" s="141">
        <f t="shared" si="14"/>
        <v>977.37930000000017</v>
      </c>
      <c r="BQ9" s="141">
        <f t="shared" si="14"/>
        <v>977.37930000000017</v>
      </c>
      <c r="BR9" s="141">
        <f t="shared" si="14"/>
        <v>977.37930000000017</v>
      </c>
      <c r="BS9" s="141">
        <f t="shared" si="14"/>
        <v>977.37930000000017</v>
      </c>
      <c r="BT9" s="141">
        <f>BT5*$E$14</f>
        <v>977.37930000000017</v>
      </c>
      <c r="BU9" s="141">
        <f>BU5*$E$14</f>
        <v>977.37930000000017</v>
      </c>
      <c r="BV9" s="141">
        <f>BV5*$E$14</f>
        <v>977.37930000000017</v>
      </c>
      <c r="BW9" s="141">
        <f t="shared" ref="BW9:CI9" si="15">BW5*$E$14</f>
        <v>977.37930000000017</v>
      </c>
      <c r="BX9" s="141">
        <f t="shared" si="15"/>
        <v>977.37930000000017</v>
      </c>
      <c r="BY9" s="141">
        <f t="shared" si="15"/>
        <v>977.37930000000017</v>
      </c>
      <c r="BZ9" s="141">
        <f t="shared" si="15"/>
        <v>977.37930000000017</v>
      </c>
      <c r="CA9" s="141">
        <f t="shared" si="15"/>
        <v>977.37930000000017</v>
      </c>
      <c r="CB9" s="141">
        <f t="shared" si="15"/>
        <v>977.37930000000017</v>
      </c>
      <c r="CC9" s="141">
        <f t="shared" si="15"/>
        <v>977.37930000000017</v>
      </c>
      <c r="CD9" s="141">
        <f t="shared" si="15"/>
        <v>977.37930000000017</v>
      </c>
      <c r="CE9" s="141">
        <f t="shared" si="15"/>
        <v>977.37930000000017</v>
      </c>
      <c r="CF9" s="141">
        <f t="shared" si="15"/>
        <v>977.37930000000017</v>
      </c>
      <c r="CG9" s="141">
        <f t="shared" si="15"/>
        <v>977.37930000000017</v>
      </c>
      <c r="CH9" s="141">
        <f t="shared" si="15"/>
        <v>977.37930000000017</v>
      </c>
      <c r="CI9" s="141">
        <f t="shared" si="15"/>
        <v>977.37930000000017</v>
      </c>
    </row>
    <row r="10" spans="1:87" ht="21" x14ac:dyDescent="0.25">
      <c r="A10" s="142" t="s">
        <v>728</v>
      </c>
      <c r="B10" s="142" t="s">
        <v>729</v>
      </c>
      <c r="C10" s="142" t="s">
        <v>730</v>
      </c>
      <c r="D10" s="142" t="s">
        <v>731</v>
      </c>
      <c r="E10" s="142" t="s">
        <v>732</v>
      </c>
      <c r="F10" s="142" t="s">
        <v>733</v>
      </c>
      <c r="G10" s="142"/>
      <c r="H10" s="142"/>
      <c r="J10" s="143" t="s">
        <v>734</v>
      </c>
      <c r="K10" s="144">
        <f>B5</f>
        <v>34888</v>
      </c>
      <c r="L10" s="144">
        <f>K10</f>
        <v>34888</v>
      </c>
      <c r="M10" s="144">
        <f t="shared" ref="M10:BX13" si="16">L10</f>
        <v>34888</v>
      </c>
      <c r="N10" s="144">
        <f t="shared" si="16"/>
        <v>34888</v>
      </c>
      <c r="O10" s="144">
        <f t="shared" si="16"/>
        <v>34888</v>
      </c>
      <c r="P10" s="144">
        <f t="shared" si="16"/>
        <v>34888</v>
      </c>
      <c r="Q10" s="144">
        <f t="shared" si="16"/>
        <v>34888</v>
      </c>
      <c r="R10" s="144">
        <f t="shared" si="16"/>
        <v>34888</v>
      </c>
      <c r="S10" s="144">
        <f t="shared" si="16"/>
        <v>34888</v>
      </c>
      <c r="T10" s="144">
        <f t="shared" si="16"/>
        <v>34888</v>
      </c>
      <c r="U10" s="144">
        <f t="shared" si="16"/>
        <v>34888</v>
      </c>
      <c r="V10" s="144">
        <f t="shared" si="16"/>
        <v>34888</v>
      </c>
      <c r="W10" s="144">
        <f t="shared" si="16"/>
        <v>34888</v>
      </c>
      <c r="X10" s="144">
        <f t="shared" si="16"/>
        <v>34888</v>
      </c>
      <c r="Y10" s="144">
        <f t="shared" si="16"/>
        <v>34888</v>
      </c>
      <c r="Z10" s="144">
        <f t="shared" si="16"/>
        <v>34888</v>
      </c>
      <c r="AA10" s="144">
        <f t="shared" si="16"/>
        <v>34888</v>
      </c>
      <c r="AB10" s="144">
        <f t="shared" si="16"/>
        <v>34888</v>
      </c>
      <c r="AC10" s="144">
        <f t="shared" si="16"/>
        <v>34888</v>
      </c>
      <c r="AD10" s="144">
        <f t="shared" si="16"/>
        <v>34888</v>
      </c>
      <c r="AE10" s="144">
        <f t="shared" si="16"/>
        <v>34888</v>
      </c>
      <c r="AF10" s="144">
        <f t="shared" si="16"/>
        <v>34888</v>
      </c>
      <c r="AG10" s="144">
        <f t="shared" si="16"/>
        <v>34888</v>
      </c>
      <c r="AH10" s="144">
        <f t="shared" si="16"/>
        <v>34888</v>
      </c>
      <c r="AI10" s="144">
        <f t="shared" si="16"/>
        <v>34888</v>
      </c>
      <c r="AJ10" s="144">
        <f t="shared" si="16"/>
        <v>34888</v>
      </c>
      <c r="AK10" s="144">
        <f t="shared" si="16"/>
        <v>34888</v>
      </c>
      <c r="AL10" s="144">
        <f t="shared" si="16"/>
        <v>34888</v>
      </c>
      <c r="AM10" s="144">
        <f t="shared" si="16"/>
        <v>34888</v>
      </c>
      <c r="AN10" s="144">
        <f t="shared" si="16"/>
        <v>34888</v>
      </c>
      <c r="AO10" s="144">
        <f t="shared" si="16"/>
        <v>34888</v>
      </c>
      <c r="AP10" s="144">
        <f t="shared" si="16"/>
        <v>34888</v>
      </c>
      <c r="AQ10" s="144">
        <f t="shared" si="16"/>
        <v>34888</v>
      </c>
      <c r="AR10" s="144">
        <f t="shared" si="16"/>
        <v>34888</v>
      </c>
      <c r="AS10" s="144">
        <f t="shared" si="16"/>
        <v>34888</v>
      </c>
      <c r="AT10" s="144">
        <f t="shared" si="16"/>
        <v>34888</v>
      </c>
      <c r="AU10" s="144">
        <f t="shared" si="16"/>
        <v>34888</v>
      </c>
      <c r="AV10" s="144">
        <f t="shared" si="16"/>
        <v>34888</v>
      </c>
      <c r="AW10" s="144">
        <f t="shared" si="16"/>
        <v>34888</v>
      </c>
      <c r="AX10" s="144">
        <f t="shared" si="16"/>
        <v>34888</v>
      </c>
      <c r="AY10" s="144">
        <f t="shared" si="16"/>
        <v>34888</v>
      </c>
      <c r="AZ10" s="144">
        <f t="shared" si="16"/>
        <v>34888</v>
      </c>
      <c r="BA10" s="144">
        <f t="shared" si="16"/>
        <v>34888</v>
      </c>
      <c r="BB10" s="144">
        <f t="shared" si="16"/>
        <v>34888</v>
      </c>
      <c r="BC10" s="144">
        <f t="shared" si="16"/>
        <v>34888</v>
      </c>
      <c r="BD10" s="144">
        <f t="shared" si="16"/>
        <v>34888</v>
      </c>
      <c r="BE10" s="144">
        <f t="shared" si="16"/>
        <v>34888</v>
      </c>
      <c r="BF10" s="144">
        <f t="shared" si="16"/>
        <v>34888</v>
      </c>
      <c r="BG10" s="144">
        <f t="shared" si="16"/>
        <v>34888</v>
      </c>
      <c r="BH10" s="144">
        <f t="shared" si="16"/>
        <v>34888</v>
      </c>
      <c r="BI10" s="144">
        <f t="shared" si="16"/>
        <v>34888</v>
      </c>
      <c r="BJ10" s="144">
        <f t="shared" si="16"/>
        <v>34888</v>
      </c>
      <c r="BK10" s="144">
        <f t="shared" si="16"/>
        <v>34888</v>
      </c>
      <c r="BL10" s="144">
        <f t="shared" si="16"/>
        <v>34888</v>
      </c>
      <c r="BM10" s="144">
        <f t="shared" si="16"/>
        <v>34888</v>
      </c>
      <c r="BN10" s="144">
        <f t="shared" si="16"/>
        <v>34888</v>
      </c>
      <c r="BO10" s="144">
        <f t="shared" si="16"/>
        <v>34888</v>
      </c>
      <c r="BP10" s="144">
        <f t="shared" si="16"/>
        <v>34888</v>
      </c>
      <c r="BQ10" s="144">
        <f t="shared" si="16"/>
        <v>34888</v>
      </c>
      <c r="BR10" s="144">
        <f t="shared" si="16"/>
        <v>34888</v>
      </c>
      <c r="BS10" s="144">
        <f t="shared" si="16"/>
        <v>34888</v>
      </c>
      <c r="BT10" s="144">
        <f t="shared" si="16"/>
        <v>34888</v>
      </c>
      <c r="BU10" s="144">
        <f t="shared" si="16"/>
        <v>34888</v>
      </c>
      <c r="BV10" s="144">
        <f t="shared" si="16"/>
        <v>34888</v>
      </c>
      <c r="BW10" s="144">
        <f t="shared" si="16"/>
        <v>34888</v>
      </c>
      <c r="BX10" s="144">
        <f t="shared" si="16"/>
        <v>34888</v>
      </c>
      <c r="BY10" s="144">
        <f t="shared" ref="BY10:CI12" si="17">BX10</f>
        <v>34888</v>
      </c>
      <c r="BZ10" s="144">
        <f t="shared" si="17"/>
        <v>34888</v>
      </c>
      <c r="CA10" s="144">
        <f t="shared" si="17"/>
        <v>34888</v>
      </c>
      <c r="CB10" s="144">
        <f t="shared" si="17"/>
        <v>34888</v>
      </c>
      <c r="CC10" s="144">
        <f t="shared" si="17"/>
        <v>34888</v>
      </c>
      <c r="CD10" s="144">
        <f t="shared" si="17"/>
        <v>34888</v>
      </c>
      <c r="CE10" s="144">
        <f t="shared" si="17"/>
        <v>34888</v>
      </c>
      <c r="CF10" s="144">
        <f t="shared" si="17"/>
        <v>34888</v>
      </c>
      <c r="CG10" s="144">
        <f t="shared" si="17"/>
        <v>34888</v>
      </c>
      <c r="CH10" s="144">
        <f t="shared" si="17"/>
        <v>34888</v>
      </c>
      <c r="CI10" s="144">
        <f t="shared" si="17"/>
        <v>34888</v>
      </c>
    </row>
    <row r="11" spans="1:87" x14ac:dyDescent="0.25">
      <c r="A11" s="145">
        <v>11</v>
      </c>
      <c r="B11" s="146">
        <v>14.98</v>
      </c>
      <c r="C11" s="146">
        <v>5.95</v>
      </c>
      <c r="D11" s="146">
        <v>5.3253000000000004</v>
      </c>
      <c r="E11" s="146">
        <v>0.68</v>
      </c>
      <c r="F11" s="147">
        <f>E11+D11+C11+B11</f>
        <v>26.935300000000002</v>
      </c>
      <c r="G11" s="147"/>
      <c r="H11" s="147"/>
      <c r="J11" s="143" t="s">
        <v>735</v>
      </c>
      <c r="K11" s="144">
        <f>B6</f>
        <v>13391</v>
      </c>
      <c r="L11" s="144">
        <f>K11</f>
        <v>13391</v>
      </c>
      <c r="M11" s="144">
        <f t="shared" si="16"/>
        <v>13391</v>
      </c>
      <c r="N11" s="144">
        <f t="shared" si="16"/>
        <v>13391</v>
      </c>
      <c r="O11" s="144">
        <f t="shared" si="16"/>
        <v>13391</v>
      </c>
      <c r="P11" s="144">
        <f t="shared" si="16"/>
        <v>13391</v>
      </c>
      <c r="Q11" s="144">
        <f t="shared" si="16"/>
        <v>13391</v>
      </c>
      <c r="R11" s="144">
        <f t="shared" si="16"/>
        <v>13391</v>
      </c>
      <c r="S11" s="144">
        <f t="shared" si="16"/>
        <v>13391</v>
      </c>
      <c r="T11" s="144">
        <f t="shared" si="16"/>
        <v>13391</v>
      </c>
      <c r="U11" s="144">
        <f t="shared" si="16"/>
        <v>13391</v>
      </c>
      <c r="V11" s="144">
        <f t="shared" si="16"/>
        <v>13391</v>
      </c>
      <c r="W11" s="144">
        <f t="shared" si="16"/>
        <v>13391</v>
      </c>
      <c r="X11" s="144">
        <f t="shared" si="16"/>
        <v>13391</v>
      </c>
      <c r="Y11" s="144">
        <f t="shared" si="16"/>
        <v>13391</v>
      </c>
      <c r="Z11" s="144">
        <f t="shared" si="16"/>
        <v>13391</v>
      </c>
      <c r="AA11" s="144">
        <f t="shared" si="16"/>
        <v>13391</v>
      </c>
      <c r="AB11" s="144">
        <f t="shared" si="16"/>
        <v>13391</v>
      </c>
      <c r="AC11" s="144">
        <f t="shared" si="16"/>
        <v>13391</v>
      </c>
      <c r="AD11" s="144">
        <f t="shared" si="16"/>
        <v>13391</v>
      </c>
      <c r="AE11" s="144">
        <f t="shared" si="16"/>
        <v>13391</v>
      </c>
      <c r="AF11" s="144">
        <f t="shared" si="16"/>
        <v>13391</v>
      </c>
      <c r="AG11" s="144">
        <f t="shared" si="16"/>
        <v>13391</v>
      </c>
      <c r="AH11" s="144">
        <f t="shared" si="16"/>
        <v>13391</v>
      </c>
      <c r="AI11" s="144">
        <f t="shared" si="16"/>
        <v>13391</v>
      </c>
      <c r="AJ11" s="144">
        <f t="shared" si="16"/>
        <v>13391</v>
      </c>
      <c r="AK11" s="144">
        <f t="shared" si="16"/>
        <v>13391</v>
      </c>
      <c r="AL11" s="144">
        <f t="shared" si="16"/>
        <v>13391</v>
      </c>
      <c r="AM11" s="144">
        <f t="shared" si="16"/>
        <v>13391</v>
      </c>
      <c r="AN11" s="144">
        <f t="shared" si="16"/>
        <v>13391</v>
      </c>
      <c r="AO11" s="144">
        <f t="shared" si="16"/>
        <v>13391</v>
      </c>
      <c r="AP11" s="144">
        <f t="shared" si="16"/>
        <v>13391</v>
      </c>
      <c r="AQ11" s="144">
        <f t="shared" si="16"/>
        <v>13391</v>
      </c>
      <c r="AR11" s="144">
        <f t="shared" si="16"/>
        <v>13391</v>
      </c>
      <c r="AS11" s="144">
        <f t="shared" si="16"/>
        <v>13391</v>
      </c>
      <c r="AT11" s="144">
        <f t="shared" si="16"/>
        <v>13391</v>
      </c>
      <c r="AU11" s="144">
        <f t="shared" si="16"/>
        <v>13391</v>
      </c>
      <c r="AV11" s="144">
        <f t="shared" si="16"/>
        <v>13391</v>
      </c>
      <c r="AW11" s="144">
        <f t="shared" si="16"/>
        <v>13391</v>
      </c>
      <c r="AX11" s="144">
        <f t="shared" si="16"/>
        <v>13391</v>
      </c>
      <c r="AY11" s="144">
        <f t="shared" si="16"/>
        <v>13391</v>
      </c>
      <c r="AZ11" s="144">
        <f t="shared" si="16"/>
        <v>13391</v>
      </c>
      <c r="BA11" s="144">
        <f t="shared" si="16"/>
        <v>13391</v>
      </c>
      <c r="BB11" s="144">
        <f t="shared" si="16"/>
        <v>13391</v>
      </c>
      <c r="BC11" s="144">
        <f t="shared" si="16"/>
        <v>13391</v>
      </c>
      <c r="BD11" s="144">
        <f t="shared" si="16"/>
        <v>13391</v>
      </c>
      <c r="BE11" s="144">
        <f t="shared" si="16"/>
        <v>13391</v>
      </c>
      <c r="BF11" s="144">
        <f t="shared" si="16"/>
        <v>13391</v>
      </c>
      <c r="BG11" s="144">
        <f t="shared" si="16"/>
        <v>13391</v>
      </c>
      <c r="BH11" s="144">
        <f t="shared" si="16"/>
        <v>13391</v>
      </c>
      <c r="BI11" s="144">
        <f t="shared" si="16"/>
        <v>13391</v>
      </c>
      <c r="BJ11" s="144">
        <f t="shared" si="16"/>
        <v>13391</v>
      </c>
      <c r="BK11" s="144">
        <f t="shared" si="16"/>
        <v>13391</v>
      </c>
      <c r="BL11" s="144">
        <f t="shared" si="16"/>
        <v>13391</v>
      </c>
      <c r="BM11" s="144">
        <f t="shared" si="16"/>
        <v>13391</v>
      </c>
      <c r="BN11" s="144">
        <f t="shared" si="16"/>
        <v>13391</v>
      </c>
      <c r="BO11" s="144">
        <f t="shared" si="16"/>
        <v>13391</v>
      </c>
      <c r="BP11" s="144">
        <f t="shared" si="16"/>
        <v>13391</v>
      </c>
      <c r="BQ11" s="144">
        <f t="shared" si="16"/>
        <v>13391</v>
      </c>
      <c r="BR11" s="144">
        <f t="shared" si="16"/>
        <v>13391</v>
      </c>
      <c r="BS11" s="144">
        <f t="shared" si="16"/>
        <v>13391</v>
      </c>
      <c r="BT11" s="144">
        <f t="shared" si="16"/>
        <v>13391</v>
      </c>
      <c r="BU11" s="144">
        <f t="shared" si="16"/>
        <v>13391</v>
      </c>
      <c r="BV11" s="144">
        <f t="shared" si="16"/>
        <v>13391</v>
      </c>
      <c r="BW11" s="144">
        <f t="shared" si="16"/>
        <v>13391</v>
      </c>
      <c r="BX11" s="144">
        <f t="shared" si="16"/>
        <v>13391</v>
      </c>
      <c r="BY11" s="144">
        <f t="shared" si="17"/>
        <v>13391</v>
      </c>
      <c r="BZ11" s="144">
        <f t="shared" si="17"/>
        <v>13391</v>
      </c>
      <c r="CA11" s="144">
        <f t="shared" si="17"/>
        <v>13391</v>
      </c>
      <c r="CB11" s="144">
        <f t="shared" si="17"/>
        <v>13391</v>
      </c>
      <c r="CC11" s="144">
        <f t="shared" si="17"/>
        <v>13391</v>
      </c>
      <c r="CD11" s="144">
        <f t="shared" si="17"/>
        <v>13391</v>
      </c>
      <c r="CE11" s="144">
        <f t="shared" si="17"/>
        <v>13391</v>
      </c>
      <c r="CF11" s="144">
        <f t="shared" si="17"/>
        <v>13391</v>
      </c>
      <c r="CG11" s="144">
        <f t="shared" si="17"/>
        <v>13391</v>
      </c>
      <c r="CH11" s="144">
        <f t="shared" si="17"/>
        <v>13391</v>
      </c>
      <c r="CI11" s="144">
        <f t="shared" si="17"/>
        <v>13391</v>
      </c>
    </row>
    <row r="12" spans="1:87" x14ac:dyDescent="0.25">
      <c r="A12" s="145">
        <v>10</v>
      </c>
      <c r="B12" s="148">
        <v>14.23</v>
      </c>
      <c r="C12" s="148">
        <v>5.59</v>
      </c>
      <c r="D12" s="148">
        <v>4.9179000000000004</v>
      </c>
      <c r="E12" s="148">
        <v>0.62</v>
      </c>
      <c r="F12" s="147">
        <f t="shared" ref="F12:F21" si="18">E12+D12+C12+B12</f>
        <v>25.357900000000001</v>
      </c>
      <c r="G12" s="147"/>
      <c r="H12" s="147"/>
      <c r="J12" s="143" t="s">
        <v>736</v>
      </c>
      <c r="K12" s="144">
        <f>B7</f>
        <v>11289</v>
      </c>
      <c r="L12" s="144">
        <f>K12</f>
        <v>11289</v>
      </c>
      <c r="M12" s="144">
        <f t="shared" si="16"/>
        <v>11289</v>
      </c>
      <c r="N12" s="144">
        <f t="shared" si="16"/>
        <v>11289</v>
      </c>
      <c r="O12" s="144">
        <f t="shared" si="16"/>
        <v>11289</v>
      </c>
      <c r="P12" s="144">
        <f t="shared" si="16"/>
        <v>11289</v>
      </c>
      <c r="Q12" s="144">
        <f t="shared" si="16"/>
        <v>11289</v>
      </c>
      <c r="R12" s="144">
        <f t="shared" si="16"/>
        <v>11289</v>
      </c>
      <c r="S12" s="144">
        <f t="shared" si="16"/>
        <v>11289</v>
      </c>
      <c r="T12" s="144">
        <f t="shared" si="16"/>
        <v>11289</v>
      </c>
      <c r="U12" s="144">
        <f t="shared" si="16"/>
        <v>11289</v>
      </c>
      <c r="V12" s="144">
        <f t="shared" si="16"/>
        <v>11289</v>
      </c>
      <c r="W12" s="144">
        <f t="shared" si="16"/>
        <v>11289</v>
      </c>
      <c r="X12" s="144">
        <f t="shared" si="16"/>
        <v>11289</v>
      </c>
      <c r="Y12" s="144">
        <f t="shared" si="16"/>
        <v>11289</v>
      </c>
      <c r="Z12" s="144">
        <f t="shared" si="16"/>
        <v>11289</v>
      </c>
      <c r="AA12" s="144">
        <f t="shared" si="16"/>
        <v>11289</v>
      </c>
      <c r="AB12" s="144">
        <f t="shared" si="16"/>
        <v>11289</v>
      </c>
      <c r="AC12" s="144">
        <f t="shared" si="16"/>
        <v>11289</v>
      </c>
      <c r="AD12" s="144">
        <f t="shared" si="16"/>
        <v>11289</v>
      </c>
      <c r="AE12" s="144">
        <f t="shared" si="16"/>
        <v>11289</v>
      </c>
      <c r="AF12" s="144">
        <f t="shared" si="16"/>
        <v>11289</v>
      </c>
      <c r="AG12" s="144">
        <f t="shared" si="16"/>
        <v>11289</v>
      </c>
      <c r="AH12" s="144">
        <f t="shared" si="16"/>
        <v>11289</v>
      </c>
      <c r="AI12" s="144">
        <f t="shared" si="16"/>
        <v>11289</v>
      </c>
      <c r="AJ12" s="144">
        <f t="shared" si="16"/>
        <v>11289</v>
      </c>
      <c r="AK12" s="144">
        <f t="shared" si="16"/>
        <v>11289</v>
      </c>
      <c r="AL12" s="144">
        <f t="shared" si="16"/>
        <v>11289</v>
      </c>
      <c r="AM12" s="144">
        <f t="shared" si="16"/>
        <v>11289</v>
      </c>
      <c r="AN12" s="144">
        <f t="shared" si="16"/>
        <v>11289</v>
      </c>
      <c r="AO12" s="144">
        <f t="shared" si="16"/>
        <v>11289</v>
      </c>
      <c r="AP12" s="144">
        <f t="shared" si="16"/>
        <v>11289</v>
      </c>
      <c r="AQ12" s="144">
        <f t="shared" si="16"/>
        <v>11289</v>
      </c>
      <c r="AR12" s="144">
        <f t="shared" si="16"/>
        <v>11289</v>
      </c>
      <c r="AS12" s="144">
        <f t="shared" si="16"/>
        <v>11289</v>
      </c>
      <c r="AT12" s="144">
        <f t="shared" si="16"/>
        <v>11289</v>
      </c>
      <c r="AU12" s="144">
        <f t="shared" si="16"/>
        <v>11289</v>
      </c>
      <c r="AV12" s="144">
        <f t="shared" si="16"/>
        <v>11289</v>
      </c>
      <c r="AW12" s="144">
        <f t="shared" si="16"/>
        <v>11289</v>
      </c>
      <c r="AX12" s="144">
        <f t="shared" si="16"/>
        <v>11289</v>
      </c>
      <c r="AY12" s="144">
        <f t="shared" si="16"/>
        <v>11289</v>
      </c>
      <c r="AZ12" s="144">
        <f t="shared" si="16"/>
        <v>11289</v>
      </c>
      <c r="BA12" s="144">
        <f t="shared" si="16"/>
        <v>11289</v>
      </c>
      <c r="BB12" s="144">
        <f t="shared" si="16"/>
        <v>11289</v>
      </c>
      <c r="BC12" s="144">
        <f t="shared" si="16"/>
        <v>11289</v>
      </c>
      <c r="BD12" s="144">
        <f t="shared" si="16"/>
        <v>11289</v>
      </c>
      <c r="BE12" s="144">
        <f t="shared" si="16"/>
        <v>11289</v>
      </c>
      <c r="BF12" s="144">
        <f t="shared" si="16"/>
        <v>11289</v>
      </c>
      <c r="BG12" s="144">
        <f t="shared" si="16"/>
        <v>11289</v>
      </c>
      <c r="BH12" s="144">
        <f t="shared" si="16"/>
        <v>11289</v>
      </c>
      <c r="BI12" s="144">
        <f t="shared" si="16"/>
        <v>11289</v>
      </c>
      <c r="BJ12" s="144">
        <f t="shared" si="16"/>
        <v>11289</v>
      </c>
      <c r="BK12" s="144">
        <f t="shared" si="16"/>
        <v>11289</v>
      </c>
      <c r="BL12" s="144">
        <f t="shared" si="16"/>
        <v>11289</v>
      </c>
      <c r="BM12" s="144">
        <f t="shared" si="16"/>
        <v>11289</v>
      </c>
      <c r="BN12" s="144">
        <f t="shared" si="16"/>
        <v>11289</v>
      </c>
      <c r="BO12" s="144">
        <f t="shared" si="16"/>
        <v>11289</v>
      </c>
      <c r="BP12" s="144">
        <f t="shared" si="16"/>
        <v>11289</v>
      </c>
      <c r="BQ12" s="144">
        <f t="shared" si="16"/>
        <v>11289</v>
      </c>
      <c r="BR12" s="144">
        <f t="shared" si="16"/>
        <v>11289</v>
      </c>
      <c r="BS12" s="144">
        <f t="shared" si="16"/>
        <v>11289</v>
      </c>
      <c r="BT12" s="144">
        <f t="shared" si="16"/>
        <v>11289</v>
      </c>
      <c r="BU12" s="144">
        <f t="shared" si="16"/>
        <v>11289</v>
      </c>
      <c r="BV12" s="144">
        <f t="shared" si="16"/>
        <v>11289</v>
      </c>
      <c r="BW12" s="144">
        <f t="shared" si="16"/>
        <v>11289</v>
      </c>
      <c r="BX12" s="144">
        <f t="shared" si="16"/>
        <v>11289</v>
      </c>
      <c r="BY12" s="144">
        <f t="shared" si="17"/>
        <v>11289</v>
      </c>
      <c r="BZ12" s="144">
        <f t="shared" si="17"/>
        <v>11289</v>
      </c>
      <c r="CA12" s="144">
        <f t="shared" si="17"/>
        <v>11289</v>
      </c>
      <c r="CB12" s="144">
        <f t="shared" si="17"/>
        <v>11289</v>
      </c>
      <c r="CC12" s="144">
        <f t="shared" si="17"/>
        <v>11289</v>
      </c>
      <c r="CD12" s="144">
        <f t="shared" si="17"/>
        <v>11289</v>
      </c>
      <c r="CE12" s="144">
        <f t="shared" si="17"/>
        <v>11289</v>
      </c>
      <c r="CF12" s="144">
        <f t="shared" si="17"/>
        <v>11289</v>
      </c>
      <c r="CG12" s="144">
        <f t="shared" si="17"/>
        <v>11289</v>
      </c>
      <c r="CH12" s="144">
        <f t="shared" si="17"/>
        <v>11289</v>
      </c>
      <c r="CI12" s="144">
        <f t="shared" si="17"/>
        <v>11289</v>
      </c>
    </row>
    <row r="13" spans="1:87" x14ac:dyDescent="0.25">
      <c r="A13" s="145">
        <v>9</v>
      </c>
      <c r="B13" s="146">
        <v>13.49</v>
      </c>
      <c r="C13" s="146">
        <v>5.24</v>
      </c>
      <c r="D13" s="146">
        <v>4.5202</v>
      </c>
      <c r="E13" s="146">
        <v>0.56999999999999995</v>
      </c>
      <c r="F13" s="147">
        <f t="shared" si="18"/>
        <v>23.8202</v>
      </c>
      <c r="G13" s="147"/>
      <c r="H13" s="147"/>
      <c r="J13" s="143" t="s">
        <v>737</v>
      </c>
      <c r="K13" s="144">
        <f>B8</f>
        <v>1397</v>
      </c>
      <c r="L13" s="144">
        <f>K13</f>
        <v>1397</v>
      </c>
      <c r="M13" s="144">
        <f t="shared" si="16"/>
        <v>1397</v>
      </c>
      <c r="N13" s="144">
        <f t="shared" si="16"/>
        <v>1397</v>
      </c>
      <c r="O13" s="144">
        <f t="shared" si="16"/>
        <v>1397</v>
      </c>
      <c r="P13" s="144">
        <f t="shared" si="16"/>
        <v>1397</v>
      </c>
      <c r="Q13" s="144">
        <f t="shared" si="16"/>
        <v>1397</v>
      </c>
      <c r="R13" s="144">
        <f t="shared" si="16"/>
        <v>1397</v>
      </c>
      <c r="S13" s="144">
        <f t="shared" si="16"/>
        <v>1397</v>
      </c>
      <c r="T13" s="144">
        <f t="shared" si="16"/>
        <v>1397</v>
      </c>
      <c r="U13" s="144">
        <f t="shared" si="16"/>
        <v>1397</v>
      </c>
      <c r="V13" s="144">
        <f t="shared" si="16"/>
        <v>1397</v>
      </c>
      <c r="W13" s="144">
        <f t="shared" si="16"/>
        <v>1397</v>
      </c>
      <c r="X13" s="144">
        <f t="shared" si="16"/>
        <v>1397</v>
      </c>
      <c r="Y13" s="144">
        <f t="shared" si="16"/>
        <v>1397</v>
      </c>
      <c r="Z13" s="144">
        <f t="shared" si="16"/>
        <v>1397</v>
      </c>
      <c r="AA13" s="144">
        <f t="shared" si="16"/>
        <v>1397</v>
      </c>
      <c r="AB13" s="144">
        <f t="shared" si="16"/>
        <v>1397</v>
      </c>
      <c r="AC13" s="144">
        <f t="shared" si="16"/>
        <v>1397</v>
      </c>
      <c r="AD13" s="144">
        <f t="shared" si="16"/>
        <v>1397</v>
      </c>
      <c r="AE13" s="144">
        <f t="shared" si="16"/>
        <v>1397</v>
      </c>
      <c r="AF13" s="144">
        <f t="shared" si="16"/>
        <v>1397</v>
      </c>
      <c r="AG13" s="144">
        <f t="shared" si="16"/>
        <v>1397</v>
      </c>
      <c r="AH13" s="144">
        <f t="shared" si="16"/>
        <v>1397</v>
      </c>
      <c r="AI13" s="144">
        <f t="shared" si="16"/>
        <v>1397</v>
      </c>
      <c r="AJ13" s="144">
        <f t="shared" si="16"/>
        <v>1397</v>
      </c>
      <c r="AK13" s="144">
        <f t="shared" si="16"/>
        <v>1397</v>
      </c>
      <c r="AL13" s="144">
        <f t="shared" si="16"/>
        <v>1397</v>
      </c>
      <c r="AM13" s="144">
        <f t="shared" si="16"/>
        <v>1397</v>
      </c>
      <c r="AN13" s="144">
        <f t="shared" si="16"/>
        <v>1397</v>
      </c>
      <c r="AO13" s="144">
        <f t="shared" si="16"/>
        <v>1397</v>
      </c>
      <c r="AP13" s="144">
        <f t="shared" si="16"/>
        <v>1397</v>
      </c>
      <c r="AQ13" s="144">
        <f t="shared" si="16"/>
        <v>1397</v>
      </c>
      <c r="AR13" s="144">
        <f t="shared" si="16"/>
        <v>1397</v>
      </c>
      <c r="AS13" s="144">
        <f t="shared" si="16"/>
        <v>1397</v>
      </c>
      <c r="AT13" s="144">
        <f t="shared" si="16"/>
        <v>1397</v>
      </c>
      <c r="AU13" s="144">
        <f t="shared" si="16"/>
        <v>1397</v>
      </c>
      <c r="AV13" s="144">
        <f t="shared" si="16"/>
        <v>1397</v>
      </c>
      <c r="AW13" s="144">
        <f t="shared" si="16"/>
        <v>1397</v>
      </c>
      <c r="AX13" s="144">
        <f t="shared" si="16"/>
        <v>1397</v>
      </c>
      <c r="AY13" s="144">
        <f t="shared" si="16"/>
        <v>1397</v>
      </c>
      <c r="AZ13" s="144">
        <f t="shared" si="16"/>
        <v>1397</v>
      </c>
      <c r="BA13" s="144">
        <f t="shared" si="16"/>
        <v>1397</v>
      </c>
      <c r="BB13" s="144">
        <f t="shared" si="16"/>
        <v>1397</v>
      </c>
      <c r="BC13" s="144">
        <f t="shared" si="16"/>
        <v>1397</v>
      </c>
      <c r="BD13" s="144">
        <f t="shared" si="16"/>
        <v>1397</v>
      </c>
      <c r="BE13" s="144">
        <f t="shared" si="16"/>
        <v>1397</v>
      </c>
      <c r="BF13" s="144">
        <f t="shared" si="16"/>
        <v>1397</v>
      </c>
      <c r="BG13" s="144">
        <f t="shared" si="16"/>
        <v>1397</v>
      </c>
      <c r="BH13" s="144">
        <f t="shared" si="16"/>
        <v>1397</v>
      </c>
      <c r="BI13" s="144">
        <f t="shared" si="16"/>
        <v>1397</v>
      </c>
      <c r="BJ13" s="144">
        <f t="shared" si="16"/>
        <v>1397</v>
      </c>
      <c r="BK13" s="144">
        <f t="shared" si="16"/>
        <v>1397</v>
      </c>
      <c r="BL13" s="144">
        <f t="shared" si="16"/>
        <v>1397</v>
      </c>
      <c r="BM13" s="144">
        <f t="shared" si="16"/>
        <v>1397</v>
      </c>
      <c r="BN13" s="144">
        <f t="shared" si="16"/>
        <v>1397</v>
      </c>
      <c r="BO13" s="144">
        <f t="shared" si="16"/>
        <v>1397</v>
      </c>
      <c r="BP13" s="144">
        <f t="shared" si="16"/>
        <v>1397</v>
      </c>
      <c r="BQ13" s="144">
        <f t="shared" si="16"/>
        <v>1397</v>
      </c>
      <c r="BR13" s="144">
        <f t="shared" si="16"/>
        <v>1397</v>
      </c>
      <c r="BS13" s="144">
        <f t="shared" si="16"/>
        <v>1397</v>
      </c>
      <c r="BT13" s="144">
        <f t="shared" si="16"/>
        <v>1397</v>
      </c>
      <c r="BU13" s="144">
        <f t="shared" si="16"/>
        <v>1397</v>
      </c>
      <c r="BV13" s="144">
        <f t="shared" si="16"/>
        <v>1397</v>
      </c>
      <c r="BW13" s="144">
        <f t="shared" si="16"/>
        <v>1397</v>
      </c>
      <c r="BX13" s="144">
        <f t="shared" ref="BX13:CI16" si="19">BW13</f>
        <v>1397</v>
      </c>
      <c r="BY13" s="144">
        <f t="shared" si="19"/>
        <v>1397</v>
      </c>
      <c r="BZ13" s="144">
        <f t="shared" si="19"/>
        <v>1397</v>
      </c>
      <c r="CA13" s="144">
        <f t="shared" si="19"/>
        <v>1397</v>
      </c>
      <c r="CB13" s="144">
        <f t="shared" si="19"/>
        <v>1397</v>
      </c>
      <c r="CC13" s="144">
        <f t="shared" si="19"/>
        <v>1397</v>
      </c>
      <c r="CD13" s="144">
        <f t="shared" si="19"/>
        <v>1397</v>
      </c>
      <c r="CE13" s="144">
        <f t="shared" si="19"/>
        <v>1397</v>
      </c>
      <c r="CF13" s="144">
        <f t="shared" si="19"/>
        <v>1397</v>
      </c>
      <c r="CG13" s="144">
        <f t="shared" si="19"/>
        <v>1397</v>
      </c>
      <c r="CH13" s="144">
        <f t="shared" si="19"/>
        <v>1397</v>
      </c>
      <c r="CI13" s="144">
        <f t="shared" si="19"/>
        <v>1397</v>
      </c>
    </row>
    <row r="14" spans="1:87" x14ac:dyDescent="0.25">
      <c r="A14" s="145">
        <v>8</v>
      </c>
      <c r="B14" s="148">
        <v>12.74</v>
      </c>
      <c r="C14" s="148">
        <v>4.8899999999999997</v>
      </c>
      <c r="D14" s="148">
        <v>4.1224999999999996</v>
      </c>
      <c r="E14" s="148">
        <v>0.51</v>
      </c>
      <c r="F14" s="147">
        <f t="shared" si="18"/>
        <v>22.262499999999999</v>
      </c>
      <c r="G14" s="147"/>
      <c r="H14" s="147"/>
      <c r="J14" s="143" t="s">
        <v>738</v>
      </c>
      <c r="K14" s="144">
        <f>B5</f>
        <v>34888</v>
      </c>
      <c r="L14" s="149">
        <f>B25</f>
        <v>24421.599999999999</v>
      </c>
      <c r="M14" s="144">
        <f t="shared" ref="M14:BX17" si="20">L14</f>
        <v>24421.599999999999</v>
      </c>
      <c r="N14" s="144">
        <f t="shared" si="20"/>
        <v>24421.599999999999</v>
      </c>
      <c r="O14" s="144">
        <f t="shared" si="20"/>
        <v>24421.599999999999</v>
      </c>
      <c r="P14" s="144">
        <f t="shared" si="20"/>
        <v>24421.599999999999</v>
      </c>
      <c r="Q14" s="144">
        <f t="shared" si="20"/>
        <v>24421.599999999999</v>
      </c>
      <c r="R14" s="144">
        <f t="shared" si="20"/>
        <v>24421.599999999999</v>
      </c>
      <c r="S14" s="144">
        <f t="shared" si="20"/>
        <v>24421.599999999999</v>
      </c>
      <c r="T14" s="144">
        <f t="shared" si="20"/>
        <v>24421.599999999999</v>
      </c>
      <c r="U14" s="144">
        <f t="shared" si="20"/>
        <v>24421.599999999999</v>
      </c>
      <c r="V14" s="144">
        <f t="shared" si="20"/>
        <v>24421.599999999999</v>
      </c>
      <c r="W14" s="144">
        <f t="shared" si="20"/>
        <v>24421.599999999999</v>
      </c>
      <c r="X14" s="144">
        <f t="shared" si="20"/>
        <v>24421.599999999999</v>
      </c>
      <c r="Y14" s="144">
        <f t="shared" si="20"/>
        <v>24421.599999999999</v>
      </c>
      <c r="Z14" s="144">
        <f t="shared" si="20"/>
        <v>24421.599999999999</v>
      </c>
      <c r="AA14" s="144">
        <f t="shared" si="20"/>
        <v>24421.599999999999</v>
      </c>
      <c r="AB14" s="144">
        <f t="shared" si="20"/>
        <v>24421.599999999999</v>
      </c>
      <c r="AC14" s="144">
        <f t="shared" si="20"/>
        <v>24421.599999999999</v>
      </c>
      <c r="AD14" s="144">
        <f t="shared" si="20"/>
        <v>24421.599999999999</v>
      </c>
      <c r="AE14" s="144">
        <f t="shared" si="20"/>
        <v>24421.599999999999</v>
      </c>
      <c r="AF14" s="144">
        <f t="shared" si="20"/>
        <v>24421.599999999999</v>
      </c>
      <c r="AG14" s="144">
        <f t="shared" si="20"/>
        <v>24421.599999999999</v>
      </c>
      <c r="AH14" s="144">
        <f t="shared" si="20"/>
        <v>24421.599999999999</v>
      </c>
      <c r="AI14" s="144">
        <f t="shared" si="20"/>
        <v>24421.599999999999</v>
      </c>
      <c r="AJ14" s="144">
        <f t="shared" si="20"/>
        <v>24421.599999999999</v>
      </c>
      <c r="AK14" s="144">
        <f t="shared" si="20"/>
        <v>24421.599999999999</v>
      </c>
      <c r="AL14" s="144">
        <f t="shared" si="20"/>
        <v>24421.599999999999</v>
      </c>
      <c r="AM14" s="144">
        <f t="shared" si="20"/>
        <v>24421.599999999999</v>
      </c>
      <c r="AN14" s="144">
        <f t="shared" si="20"/>
        <v>24421.599999999999</v>
      </c>
      <c r="AO14" s="144">
        <f t="shared" si="20"/>
        <v>24421.599999999999</v>
      </c>
      <c r="AP14" s="144">
        <f t="shared" si="20"/>
        <v>24421.599999999999</v>
      </c>
      <c r="AQ14" s="144">
        <f t="shared" si="20"/>
        <v>24421.599999999999</v>
      </c>
      <c r="AR14" s="144">
        <f t="shared" si="20"/>
        <v>24421.599999999999</v>
      </c>
      <c r="AS14" s="144">
        <f t="shared" si="20"/>
        <v>24421.599999999999</v>
      </c>
      <c r="AT14" s="144">
        <f t="shared" si="20"/>
        <v>24421.599999999999</v>
      </c>
      <c r="AU14" s="144">
        <f t="shared" si="20"/>
        <v>24421.599999999999</v>
      </c>
      <c r="AV14" s="144">
        <f t="shared" si="20"/>
        <v>24421.599999999999</v>
      </c>
      <c r="AW14" s="144">
        <f t="shared" si="20"/>
        <v>24421.599999999999</v>
      </c>
      <c r="AX14" s="144">
        <f t="shared" si="20"/>
        <v>24421.599999999999</v>
      </c>
      <c r="AY14" s="144">
        <f t="shared" si="20"/>
        <v>24421.599999999999</v>
      </c>
      <c r="AZ14" s="144">
        <f t="shared" si="20"/>
        <v>24421.599999999999</v>
      </c>
      <c r="BA14" s="144">
        <f t="shared" si="20"/>
        <v>24421.599999999999</v>
      </c>
      <c r="BB14" s="144">
        <f t="shared" si="20"/>
        <v>24421.599999999999</v>
      </c>
      <c r="BC14" s="144">
        <f t="shared" si="20"/>
        <v>24421.599999999999</v>
      </c>
      <c r="BD14" s="144">
        <f t="shared" si="20"/>
        <v>24421.599999999999</v>
      </c>
      <c r="BE14" s="144">
        <f t="shared" si="20"/>
        <v>24421.599999999999</v>
      </c>
      <c r="BF14" s="144">
        <f t="shared" si="20"/>
        <v>24421.599999999999</v>
      </c>
      <c r="BG14" s="144">
        <f t="shared" si="20"/>
        <v>24421.599999999999</v>
      </c>
      <c r="BH14" s="144">
        <f t="shared" si="20"/>
        <v>24421.599999999999</v>
      </c>
      <c r="BI14" s="144">
        <f t="shared" si="20"/>
        <v>24421.599999999999</v>
      </c>
      <c r="BJ14" s="144">
        <f t="shared" si="20"/>
        <v>24421.599999999999</v>
      </c>
      <c r="BK14" s="144">
        <f t="shared" si="20"/>
        <v>24421.599999999999</v>
      </c>
      <c r="BL14" s="144">
        <f t="shared" si="20"/>
        <v>24421.599999999999</v>
      </c>
      <c r="BM14" s="144">
        <f t="shared" si="20"/>
        <v>24421.599999999999</v>
      </c>
      <c r="BN14" s="144">
        <f t="shared" si="20"/>
        <v>24421.599999999999</v>
      </c>
      <c r="BO14" s="144">
        <f t="shared" si="20"/>
        <v>24421.599999999999</v>
      </c>
      <c r="BP14" s="144">
        <f t="shared" si="20"/>
        <v>24421.599999999999</v>
      </c>
      <c r="BQ14" s="144">
        <f t="shared" si="20"/>
        <v>24421.599999999999</v>
      </c>
      <c r="BR14" s="144">
        <f t="shared" si="20"/>
        <v>24421.599999999999</v>
      </c>
      <c r="BS14" s="144">
        <f t="shared" si="20"/>
        <v>24421.599999999999</v>
      </c>
      <c r="BT14" s="144">
        <f t="shared" si="20"/>
        <v>24421.599999999999</v>
      </c>
      <c r="BU14" s="144">
        <f t="shared" si="20"/>
        <v>24421.599999999999</v>
      </c>
      <c r="BV14" s="144">
        <f t="shared" si="20"/>
        <v>24421.599999999999</v>
      </c>
      <c r="BW14" s="144">
        <f t="shared" si="20"/>
        <v>24421.599999999999</v>
      </c>
      <c r="BX14" s="144">
        <f t="shared" si="20"/>
        <v>24421.599999999999</v>
      </c>
      <c r="BY14" s="144">
        <f t="shared" si="19"/>
        <v>24421.599999999999</v>
      </c>
      <c r="BZ14" s="144">
        <f t="shared" si="19"/>
        <v>24421.599999999999</v>
      </c>
      <c r="CA14" s="144">
        <f t="shared" si="19"/>
        <v>24421.599999999999</v>
      </c>
      <c r="CB14" s="144">
        <f t="shared" si="19"/>
        <v>24421.599999999999</v>
      </c>
      <c r="CC14" s="144">
        <f t="shared" si="19"/>
        <v>24421.599999999999</v>
      </c>
      <c r="CD14" s="144">
        <f t="shared" si="19"/>
        <v>24421.599999999999</v>
      </c>
      <c r="CE14" s="144">
        <f t="shared" si="19"/>
        <v>24421.599999999999</v>
      </c>
      <c r="CF14" s="144">
        <f t="shared" si="19"/>
        <v>24421.599999999999</v>
      </c>
      <c r="CG14" s="144">
        <f t="shared" si="19"/>
        <v>24421.599999999999</v>
      </c>
      <c r="CH14" s="144">
        <f t="shared" si="19"/>
        <v>24421.599999999999</v>
      </c>
      <c r="CI14" s="144">
        <f t="shared" si="19"/>
        <v>24421.599999999999</v>
      </c>
    </row>
    <row r="15" spans="1:87" x14ac:dyDescent="0.25">
      <c r="A15" s="145">
        <v>7</v>
      </c>
      <c r="B15" s="146">
        <v>12</v>
      </c>
      <c r="C15" s="146">
        <v>4.53</v>
      </c>
      <c r="D15" s="146">
        <v>3.7247999999999997</v>
      </c>
      <c r="E15" s="146">
        <v>0.46</v>
      </c>
      <c r="F15" s="147">
        <f t="shared" si="18"/>
        <v>20.7148</v>
      </c>
      <c r="G15" s="147"/>
      <c r="H15" s="147"/>
      <c r="J15" s="143" t="s">
        <v>739</v>
      </c>
      <c r="K15" s="144">
        <f>B6</f>
        <v>13391</v>
      </c>
      <c r="L15" s="149">
        <f>B26</f>
        <v>9373.6999999999989</v>
      </c>
      <c r="M15" s="144">
        <f t="shared" si="20"/>
        <v>9373.6999999999989</v>
      </c>
      <c r="N15" s="144">
        <f t="shared" si="20"/>
        <v>9373.6999999999989</v>
      </c>
      <c r="O15" s="144">
        <f t="shared" si="20"/>
        <v>9373.6999999999989</v>
      </c>
      <c r="P15" s="144">
        <f t="shared" si="20"/>
        <v>9373.6999999999989</v>
      </c>
      <c r="Q15" s="144">
        <f t="shared" si="20"/>
        <v>9373.6999999999989</v>
      </c>
      <c r="R15" s="144">
        <f t="shared" si="20"/>
        <v>9373.6999999999989</v>
      </c>
      <c r="S15" s="144">
        <f t="shared" si="20"/>
        <v>9373.6999999999989</v>
      </c>
      <c r="T15" s="144">
        <f t="shared" si="20"/>
        <v>9373.6999999999989</v>
      </c>
      <c r="U15" s="144">
        <f t="shared" si="20"/>
        <v>9373.6999999999989</v>
      </c>
      <c r="V15" s="144">
        <f t="shared" si="20"/>
        <v>9373.6999999999989</v>
      </c>
      <c r="W15" s="144">
        <f t="shared" si="20"/>
        <v>9373.6999999999989</v>
      </c>
      <c r="X15" s="144">
        <f t="shared" si="20"/>
        <v>9373.6999999999989</v>
      </c>
      <c r="Y15" s="144">
        <f t="shared" si="20"/>
        <v>9373.6999999999989</v>
      </c>
      <c r="Z15" s="144">
        <f t="shared" si="20"/>
        <v>9373.6999999999989</v>
      </c>
      <c r="AA15" s="144">
        <f t="shared" si="20"/>
        <v>9373.6999999999989</v>
      </c>
      <c r="AB15" s="144">
        <f t="shared" si="20"/>
        <v>9373.6999999999989</v>
      </c>
      <c r="AC15" s="144">
        <f t="shared" si="20"/>
        <v>9373.6999999999989</v>
      </c>
      <c r="AD15" s="144">
        <f t="shared" si="20"/>
        <v>9373.6999999999989</v>
      </c>
      <c r="AE15" s="144">
        <f t="shared" si="20"/>
        <v>9373.6999999999989</v>
      </c>
      <c r="AF15" s="144">
        <f t="shared" si="20"/>
        <v>9373.6999999999989</v>
      </c>
      <c r="AG15" s="144">
        <f t="shared" si="20"/>
        <v>9373.6999999999989</v>
      </c>
      <c r="AH15" s="144">
        <f t="shared" si="20"/>
        <v>9373.6999999999989</v>
      </c>
      <c r="AI15" s="144">
        <f t="shared" si="20"/>
        <v>9373.6999999999989</v>
      </c>
      <c r="AJ15" s="144">
        <f t="shared" si="20"/>
        <v>9373.6999999999989</v>
      </c>
      <c r="AK15" s="144">
        <f t="shared" si="20"/>
        <v>9373.6999999999989</v>
      </c>
      <c r="AL15" s="144">
        <f t="shared" si="20"/>
        <v>9373.6999999999989</v>
      </c>
      <c r="AM15" s="144">
        <f t="shared" si="20"/>
        <v>9373.6999999999989</v>
      </c>
      <c r="AN15" s="144">
        <f t="shared" si="20"/>
        <v>9373.6999999999989</v>
      </c>
      <c r="AO15" s="144">
        <f t="shared" si="20"/>
        <v>9373.6999999999989</v>
      </c>
      <c r="AP15" s="144">
        <f t="shared" si="20"/>
        <v>9373.6999999999989</v>
      </c>
      <c r="AQ15" s="144">
        <f t="shared" si="20"/>
        <v>9373.6999999999989</v>
      </c>
      <c r="AR15" s="144">
        <f t="shared" si="20"/>
        <v>9373.6999999999989</v>
      </c>
      <c r="AS15" s="144">
        <f t="shared" si="20"/>
        <v>9373.6999999999989</v>
      </c>
      <c r="AT15" s="144">
        <f t="shared" si="20"/>
        <v>9373.6999999999989</v>
      </c>
      <c r="AU15" s="144">
        <f t="shared" si="20"/>
        <v>9373.6999999999989</v>
      </c>
      <c r="AV15" s="144">
        <f t="shared" si="20"/>
        <v>9373.6999999999989</v>
      </c>
      <c r="AW15" s="144">
        <f t="shared" si="20"/>
        <v>9373.6999999999989</v>
      </c>
      <c r="AX15" s="144">
        <f t="shared" si="20"/>
        <v>9373.6999999999989</v>
      </c>
      <c r="AY15" s="144">
        <f t="shared" si="20"/>
        <v>9373.6999999999989</v>
      </c>
      <c r="AZ15" s="144">
        <f t="shared" si="20"/>
        <v>9373.6999999999989</v>
      </c>
      <c r="BA15" s="144">
        <f t="shared" si="20"/>
        <v>9373.6999999999989</v>
      </c>
      <c r="BB15" s="144">
        <f t="shared" si="20"/>
        <v>9373.6999999999989</v>
      </c>
      <c r="BC15" s="144">
        <f t="shared" si="20"/>
        <v>9373.6999999999989</v>
      </c>
      <c r="BD15" s="144">
        <f t="shared" si="20"/>
        <v>9373.6999999999989</v>
      </c>
      <c r="BE15" s="144">
        <f t="shared" si="20"/>
        <v>9373.6999999999989</v>
      </c>
      <c r="BF15" s="144">
        <f t="shared" si="20"/>
        <v>9373.6999999999989</v>
      </c>
      <c r="BG15" s="144">
        <f t="shared" si="20"/>
        <v>9373.6999999999989</v>
      </c>
      <c r="BH15" s="144">
        <f t="shared" si="20"/>
        <v>9373.6999999999989</v>
      </c>
      <c r="BI15" s="144">
        <f t="shared" si="20"/>
        <v>9373.6999999999989</v>
      </c>
      <c r="BJ15" s="144">
        <f t="shared" si="20"/>
        <v>9373.6999999999989</v>
      </c>
      <c r="BK15" s="144">
        <f t="shared" si="20"/>
        <v>9373.6999999999989</v>
      </c>
      <c r="BL15" s="144">
        <f t="shared" si="20"/>
        <v>9373.6999999999989</v>
      </c>
      <c r="BM15" s="144">
        <f t="shared" si="20"/>
        <v>9373.6999999999989</v>
      </c>
      <c r="BN15" s="144">
        <f t="shared" si="20"/>
        <v>9373.6999999999989</v>
      </c>
      <c r="BO15" s="144">
        <f t="shared" si="20"/>
        <v>9373.6999999999989</v>
      </c>
      <c r="BP15" s="144">
        <f t="shared" si="20"/>
        <v>9373.6999999999989</v>
      </c>
      <c r="BQ15" s="144">
        <f t="shared" si="20"/>
        <v>9373.6999999999989</v>
      </c>
      <c r="BR15" s="144">
        <f t="shared" si="20"/>
        <v>9373.6999999999989</v>
      </c>
      <c r="BS15" s="144">
        <f t="shared" si="20"/>
        <v>9373.6999999999989</v>
      </c>
      <c r="BT15" s="144">
        <f t="shared" si="20"/>
        <v>9373.6999999999989</v>
      </c>
      <c r="BU15" s="144">
        <f t="shared" si="20"/>
        <v>9373.6999999999989</v>
      </c>
      <c r="BV15" s="144">
        <f t="shared" si="20"/>
        <v>9373.6999999999989</v>
      </c>
      <c r="BW15" s="144">
        <f t="shared" si="20"/>
        <v>9373.6999999999989</v>
      </c>
      <c r="BX15" s="144">
        <f t="shared" si="20"/>
        <v>9373.6999999999989</v>
      </c>
      <c r="BY15" s="144">
        <f t="shared" si="19"/>
        <v>9373.6999999999989</v>
      </c>
      <c r="BZ15" s="144">
        <f t="shared" si="19"/>
        <v>9373.6999999999989</v>
      </c>
      <c r="CA15" s="144">
        <f t="shared" si="19"/>
        <v>9373.6999999999989</v>
      </c>
      <c r="CB15" s="144">
        <f t="shared" si="19"/>
        <v>9373.6999999999989</v>
      </c>
      <c r="CC15" s="144">
        <f t="shared" si="19"/>
        <v>9373.6999999999989</v>
      </c>
      <c r="CD15" s="144">
        <f t="shared" si="19"/>
        <v>9373.6999999999989</v>
      </c>
      <c r="CE15" s="144">
        <f t="shared" si="19"/>
        <v>9373.6999999999989</v>
      </c>
      <c r="CF15" s="144">
        <f t="shared" si="19"/>
        <v>9373.6999999999989</v>
      </c>
      <c r="CG15" s="144">
        <f t="shared" si="19"/>
        <v>9373.6999999999989</v>
      </c>
      <c r="CH15" s="144">
        <f t="shared" si="19"/>
        <v>9373.6999999999989</v>
      </c>
      <c r="CI15" s="144">
        <f t="shared" si="19"/>
        <v>9373.6999999999989</v>
      </c>
    </row>
    <row r="16" spans="1:87" x14ac:dyDescent="0.25">
      <c r="A16" s="145">
        <v>6</v>
      </c>
      <c r="B16" s="148">
        <v>11.26</v>
      </c>
      <c r="C16" s="148">
        <v>4.17</v>
      </c>
      <c r="D16" s="148">
        <v>3.3367999999999998</v>
      </c>
      <c r="E16" s="148">
        <v>0.41</v>
      </c>
      <c r="F16" s="147">
        <f t="shared" si="18"/>
        <v>19.1768</v>
      </c>
      <c r="G16" s="147"/>
      <c r="H16" s="147"/>
      <c r="J16" s="143" t="s">
        <v>740</v>
      </c>
      <c r="K16" s="144">
        <f>B7</f>
        <v>11289</v>
      </c>
      <c r="L16" s="149">
        <f>B27</f>
        <v>7902.2999999999993</v>
      </c>
      <c r="M16" s="144">
        <f t="shared" si="20"/>
        <v>7902.2999999999993</v>
      </c>
      <c r="N16" s="144">
        <f t="shared" si="20"/>
        <v>7902.2999999999993</v>
      </c>
      <c r="O16" s="144">
        <f t="shared" si="20"/>
        <v>7902.2999999999993</v>
      </c>
      <c r="P16" s="144">
        <f t="shared" si="20"/>
        <v>7902.2999999999993</v>
      </c>
      <c r="Q16" s="144">
        <f t="shared" si="20"/>
        <v>7902.2999999999993</v>
      </c>
      <c r="R16" s="144">
        <f t="shared" si="20"/>
        <v>7902.2999999999993</v>
      </c>
      <c r="S16" s="144">
        <f t="shared" si="20"/>
        <v>7902.2999999999993</v>
      </c>
      <c r="T16" s="144">
        <f t="shared" si="20"/>
        <v>7902.2999999999993</v>
      </c>
      <c r="U16" s="144">
        <f t="shared" si="20"/>
        <v>7902.2999999999993</v>
      </c>
      <c r="V16" s="144">
        <f t="shared" si="20"/>
        <v>7902.2999999999993</v>
      </c>
      <c r="W16" s="144">
        <f t="shared" si="20"/>
        <v>7902.2999999999993</v>
      </c>
      <c r="X16" s="144">
        <f t="shared" si="20"/>
        <v>7902.2999999999993</v>
      </c>
      <c r="Y16" s="144">
        <f t="shared" si="20"/>
        <v>7902.2999999999993</v>
      </c>
      <c r="Z16" s="144">
        <f t="shared" si="20"/>
        <v>7902.2999999999993</v>
      </c>
      <c r="AA16" s="144">
        <f t="shared" si="20"/>
        <v>7902.2999999999993</v>
      </c>
      <c r="AB16" s="144">
        <f t="shared" si="20"/>
        <v>7902.2999999999993</v>
      </c>
      <c r="AC16" s="144">
        <f t="shared" si="20"/>
        <v>7902.2999999999993</v>
      </c>
      <c r="AD16" s="144">
        <f t="shared" si="20"/>
        <v>7902.2999999999993</v>
      </c>
      <c r="AE16" s="144">
        <f t="shared" si="20"/>
        <v>7902.2999999999993</v>
      </c>
      <c r="AF16" s="144">
        <f t="shared" si="20"/>
        <v>7902.2999999999993</v>
      </c>
      <c r="AG16" s="144">
        <f t="shared" si="20"/>
        <v>7902.2999999999993</v>
      </c>
      <c r="AH16" s="144">
        <f t="shared" si="20"/>
        <v>7902.2999999999993</v>
      </c>
      <c r="AI16" s="144">
        <f t="shared" si="20"/>
        <v>7902.2999999999993</v>
      </c>
      <c r="AJ16" s="144">
        <f t="shared" si="20"/>
        <v>7902.2999999999993</v>
      </c>
      <c r="AK16" s="144">
        <f t="shared" si="20"/>
        <v>7902.2999999999993</v>
      </c>
      <c r="AL16" s="144">
        <f t="shared" si="20"/>
        <v>7902.2999999999993</v>
      </c>
      <c r="AM16" s="144">
        <f t="shared" si="20"/>
        <v>7902.2999999999993</v>
      </c>
      <c r="AN16" s="144">
        <f t="shared" si="20"/>
        <v>7902.2999999999993</v>
      </c>
      <c r="AO16" s="144">
        <f t="shared" si="20"/>
        <v>7902.2999999999993</v>
      </c>
      <c r="AP16" s="144">
        <f t="shared" si="20"/>
        <v>7902.2999999999993</v>
      </c>
      <c r="AQ16" s="144">
        <f t="shared" si="20"/>
        <v>7902.2999999999993</v>
      </c>
      <c r="AR16" s="144">
        <f t="shared" si="20"/>
        <v>7902.2999999999993</v>
      </c>
      <c r="AS16" s="144">
        <f t="shared" si="20"/>
        <v>7902.2999999999993</v>
      </c>
      <c r="AT16" s="144">
        <f t="shared" si="20"/>
        <v>7902.2999999999993</v>
      </c>
      <c r="AU16" s="144">
        <f t="shared" si="20"/>
        <v>7902.2999999999993</v>
      </c>
      <c r="AV16" s="144">
        <f t="shared" si="20"/>
        <v>7902.2999999999993</v>
      </c>
      <c r="AW16" s="144">
        <f t="shared" si="20"/>
        <v>7902.2999999999993</v>
      </c>
      <c r="AX16" s="144">
        <f t="shared" si="20"/>
        <v>7902.2999999999993</v>
      </c>
      <c r="AY16" s="144">
        <f t="shared" si="20"/>
        <v>7902.2999999999993</v>
      </c>
      <c r="AZ16" s="144">
        <f t="shared" si="20"/>
        <v>7902.2999999999993</v>
      </c>
      <c r="BA16" s="144">
        <f t="shared" si="20"/>
        <v>7902.2999999999993</v>
      </c>
      <c r="BB16" s="144">
        <f t="shared" si="20"/>
        <v>7902.2999999999993</v>
      </c>
      <c r="BC16" s="144">
        <f t="shared" si="20"/>
        <v>7902.2999999999993</v>
      </c>
      <c r="BD16" s="144">
        <f t="shared" si="20"/>
        <v>7902.2999999999993</v>
      </c>
      <c r="BE16" s="144">
        <f t="shared" si="20"/>
        <v>7902.2999999999993</v>
      </c>
      <c r="BF16" s="144">
        <f t="shared" si="20"/>
        <v>7902.2999999999993</v>
      </c>
      <c r="BG16" s="144">
        <f t="shared" si="20"/>
        <v>7902.2999999999993</v>
      </c>
      <c r="BH16" s="144">
        <f t="shared" si="20"/>
        <v>7902.2999999999993</v>
      </c>
      <c r="BI16" s="144">
        <f t="shared" si="20"/>
        <v>7902.2999999999993</v>
      </c>
      <c r="BJ16" s="144">
        <f t="shared" si="20"/>
        <v>7902.2999999999993</v>
      </c>
      <c r="BK16" s="144">
        <f t="shared" si="20"/>
        <v>7902.2999999999993</v>
      </c>
      <c r="BL16" s="144">
        <f t="shared" si="20"/>
        <v>7902.2999999999993</v>
      </c>
      <c r="BM16" s="144">
        <f t="shared" si="20"/>
        <v>7902.2999999999993</v>
      </c>
      <c r="BN16" s="144">
        <f t="shared" si="20"/>
        <v>7902.2999999999993</v>
      </c>
      <c r="BO16" s="144">
        <f t="shared" si="20"/>
        <v>7902.2999999999993</v>
      </c>
      <c r="BP16" s="144">
        <f t="shared" si="20"/>
        <v>7902.2999999999993</v>
      </c>
      <c r="BQ16" s="144">
        <f t="shared" si="20"/>
        <v>7902.2999999999993</v>
      </c>
      <c r="BR16" s="144">
        <f t="shared" si="20"/>
        <v>7902.2999999999993</v>
      </c>
      <c r="BS16" s="144">
        <f t="shared" si="20"/>
        <v>7902.2999999999993</v>
      </c>
      <c r="BT16" s="144">
        <f t="shared" si="20"/>
        <v>7902.2999999999993</v>
      </c>
      <c r="BU16" s="144">
        <f t="shared" si="20"/>
        <v>7902.2999999999993</v>
      </c>
      <c r="BV16" s="144">
        <f t="shared" si="20"/>
        <v>7902.2999999999993</v>
      </c>
      <c r="BW16" s="144">
        <f t="shared" si="20"/>
        <v>7902.2999999999993</v>
      </c>
      <c r="BX16" s="144">
        <f t="shared" si="20"/>
        <v>7902.2999999999993</v>
      </c>
      <c r="BY16" s="144">
        <f t="shared" si="19"/>
        <v>7902.2999999999993</v>
      </c>
      <c r="BZ16" s="144">
        <f t="shared" si="19"/>
        <v>7902.2999999999993</v>
      </c>
      <c r="CA16" s="144">
        <f t="shared" si="19"/>
        <v>7902.2999999999993</v>
      </c>
      <c r="CB16" s="144">
        <f t="shared" si="19"/>
        <v>7902.2999999999993</v>
      </c>
      <c r="CC16" s="144">
        <f t="shared" si="19"/>
        <v>7902.2999999999993</v>
      </c>
      <c r="CD16" s="144">
        <f t="shared" si="19"/>
        <v>7902.2999999999993</v>
      </c>
      <c r="CE16" s="144">
        <f t="shared" si="19"/>
        <v>7902.2999999999993</v>
      </c>
      <c r="CF16" s="144">
        <f t="shared" si="19"/>
        <v>7902.2999999999993</v>
      </c>
      <c r="CG16" s="144">
        <f t="shared" si="19"/>
        <v>7902.2999999999993</v>
      </c>
      <c r="CH16" s="144">
        <f t="shared" si="19"/>
        <v>7902.2999999999993</v>
      </c>
      <c r="CI16" s="144">
        <f t="shared" si="19"/>
        <v>7902.2999999999993</v>
      </c>
    </row>
    <row r="17" spans="1:87" x14ac:dyDescent="0.25">
      <c r="A17" s="145">
        <v>5</v>
      </c>
      <c r="B17" s="146">
        <v>10.52</v>
      </c>
      <c r="C17" s="146">
        <v>3.81</v>
      </c>
      <c r="D17" s="146">
        <v>2.9390999999999998</v>
      </c>
      <c r="E17" s="146">
        <v>0.35</v>
      </c>
      <c r="F17" s="147">
        <f t="shared" si="18"/>
        <v>17.6191</v>
      </c>
      <c r="G17" s="147"/>
      <c r="H17" s="147"/>
      <c r="J17" s="143" t="s">
        <v>741</v>
      </c>
      <c r="K17" s="144">
        <f>B8</f>
        <v>1397</v>
      </c>
      <c r="L17" s="149">
        <f>B28</f>
        <v>977.9</v>
      </c>
      <c r="M17" s="144">
        <f t="shared" si="20"/>
        <v>977.9</v>
      </c>
      <c r="N17" s="144">
        <f t="shared" si="20"/>
        <v>977.9</v>
      </c>
      <c r="O17" s="144">
        <f t="shared" si="20"/>
        <v>977.9</v>
      </c>
      <c r="P17" s="144">
        <f t="shared" si="20"/>
        <v>977.9</v>
      </c>
      <c r="Q17" s="144">
        <f t="shared" si="20"/>
        <v>977.9</v>
      </c>
      <c r="R17" s="144">
        <f t="shared" si="20"/>
        <v>977.9</v>
      </c>
      <c r="S17" s="144">
        <f t="shared" si="20"/>
        <v>977.9</v>
      </c>
      <c r="T17" s="144">
        <f t="shared" si="20"/>
        <v>977.9</v>
      </c>
      <c r="U17" s="144">
        <f t="shared" si="20"/>
        <v>977.9</v>
      </c>
      <c r="V17" s="144">
        <f t="shared" si="20"/>
        <v>977.9</v>
      </c>
      <c r="W17" s="144">
        <f t="shared" si="20"/>
        <v>977.9</v>
      </c>
      <c r="X17" s="144">
        <f t="shared" si="20"/>
        <v>977.9</v>
      </c>
      <c r="Y17" s="144">
        <f t="shared" si="20"/>
        <v>977.9</v>
      </c>
      <c r="Z17" s="144">
        <f t="shared" si="20"/>
        <v>977.9</v>
      </c>
      <c r="AA17" s="144">
        <f t="shared" si="20"/>
        <v>977.9</v>
      </c>
      <c r="AB17" s="144">
        <f t="shared" si="20"/>
        <v>977.9</v>
      </c>
      <c r="AC17" s="144">
        <f t="shared" si="20"/>
        <v>977.9</v>
      </c>
      <c r="AD17" s="144">
        <f t="shared" si="20"/>
        <v>977.9</v>
      </c>
      <c r="AE17" s="144">
        <f t="shared" si="20"/>
        <v>977.9</v>
      </c>
      <c r="AF17" s="144">
        <f t="shared" si="20"/>
        <v>977.9</v>
      </c>
      <c r="AG17" s="144">
        <f t="shared" si="20"/>
        <v>977.9</v>
      </c>
      <c r="AH17" s="144">
        <f t="shared" si="20"/>
        <v>977.9</v>
      </c>
      <c r="AI17" s="144">
        <f t="shared" si="20"/>
        <v>977.9</v>
      </c>
      <c r="AJ17" s="144">
        <f t="shared" si="20"/>
        <v>977.9</v>
      </c>
      <c r="AK17" s="144">
        <f t="shared" si="20"/>
        <v>977.9</v>
      </c>
      <c r="AL17" s="144">
        <f t="shared" si="20"/>
        <v>977.9</v>
      </c>
      <c r="AM17" s="144">
        <f t="shared" si="20"/>
        <v>977.9</v>
      </c>
      <c r="AN17" s="144">
        <f t="shared" si="20"/>
        <v>977.9</v>
      </c>
      <c r="AO17" s="144">
        <f t="shared" si="20"/>
        <v>977.9</v>
      </c>
      <c r="AP17" s="144">
        <f t="shared" si="20"/>
        <v>977.9</v>
      </c>
      <c r="AQ17" s="144">
        <f t="shared" si="20"/>
        <v>977.9</v>
      </c>
      <c r="AR17" s="144">
        <f t="shared" si="20"/>
        <v>977.9</v>
      </c>
      <c r="AS17" s="144">
        <f t="shared" si="20"/>
        <v>977.9</v>
      </c>
      <c r="AT17" s="144">
        <f t="shared" si="20"/>
        <v>977.9</v>
      </c>
      <c r="AU17" s="144">
        <f t="shared" si="20"/>
        <v>977.9</v>
      </c>
      <c r="AV17" s="144">
        <f t="shared" si="20"/>
        <v>977.9</v>
      </c>
      <c r="AW17" s="144">
        <f t="shared" si="20"/>
        <v>977.9</v>
      </c>
      <c r="AX17" s="144">
        <f t="shared" si="20"/>
        <v>977.9</v>
      </c>
      <c r="AY17" s="144">
        <f t="shared" si="20"/>
        <v>977.9</v>
      </c>
      <c r="AZ17" s="144">
        <f t="shared" si="20"/>
        <v>977.9</v>
      </c>
      <c r="BA17" s="144">
        <f t="shared" si="20"/>
        <v>977.9</v>
      </c>
      <c r="BB17" s="144">
        <f t="shared" si="20"/>
        <v>977.9</v>
      </c>
      <c r="BC17" s="144">
        <f t="shared" si="20"/>
        <v>977.9</v>
      </c>
      <c r="BD17" s="144">
        <f t="shared" si="20"/>
        <v>977.9</v>
      </c>
      <c r="BE17" s="144">
        <f t="shared" si="20"/>
        <v>977.9</v>
      </c>
      <c r="BF17" s="144">
        <f t="shared" si="20"/>
        <v>977.9</v>
      </c>
      <c r="BG17" s="144">
        <f t="shared" si="20"/>
        <v>977.9</v>
      </c>
      <c r="BH17" s="144">
        <f t="shared" si="20"/>
        <v>977.9</v>
      </c>
      <c r="BI17" s="144">
        <f t="shared" si="20"/>
        <v>977.9</v>
      </c>
      <c r="BJ17" s="144">
        <f t="shared" si="20"/>
        <v>977.9</v>
      </c>
      <c r="BK17" s="144">
        <f t="shared" si="20"/>
        <v>977.9</v>
      </c>
      <c r="BL17" s="144">
        <f t="shared" si="20"/>
        <v>977.9</v>
      </c>
      <c r="BM17" s="144">
        <f t="shared" si="20"/>
        <v>977.9</v>
      </c>
      <c r="BN17" s="144">
        <f t="shared" si="20"/>
        <v>977.9</v>
      </c>
      <c r="BO17" s="144">
        <f t="shared" si="20"/>
        <v>977.9</v>
      </c>
      <c r="BP17" s="144">
        <f t="shared" si="20"/>
        <v>977.9</v>
      </c>
      <c r="BQ17" s="144">
        <f t="shared" si="20"/>
        <v>977.9</v>
      </c>
      <c r="BR17" s="144">
        <f t="shared" si="20"/>
        <v>977.9</v>
      </c>
      <c r="BS17" s="144">
        <f t="shared" si="20"/>
        <v>977.9</v>
      </c>
      <c r="BT17" s="144">
        <f t="shared" si="20"/>
        <v>977.9</v>
      </c>
      <c r="BU17" s="144">
        <f t="shared" si="20"/>
        <v>977.9</v>
      </c>
      <c r="BV17" s="144">
        <f t="shared" si="20"/>
        <v>977.9</v>
      </c>
      <c r="BW17" s="144">
        <f t="shared" si="20"/>
        <v>977.9</v>
      </c>
      <c r="BX17" s="144">
        <f t="shared" ref="BX17:CI17" si="21">BW17</f>
        <v>977.9</v>
      </c>
      <c r="BY17" s="144">
        <f t="shared" si="21"/>
        <v>977.9</v>
      </c>
      <c r="BZ17" s="144">
        <f t="shared" si="21"/>
        <v>977.9</v>
      </c>
      <c r="CA17" s="144">
        <f t="shared" si="21"/>
        <v>977.9</v>
      </c>
      <c r="CB17" s="144">
        <f t="shared" si="21"/>
        <v>977.9</v>
      </c>
      <c r="CC17" s="144">
        <f t="shared" si="21"/>
        <v>977.9</v>
      </c>
      <c r="CD17" s="144">
        <f t="shared" si="21"/>
        <v>977.9</v>
      </c>
      <c r="CE17" s="144">
        <f t="shared" si="21"/>
        <v>977.9</v>
      </c>
      <c r="CF17" s="144">
        <f t="shared" si="21"/>
        <v>977.9</v>
      </c>
      <c r="CG17" s="144">
        <f t="shared" si="21"/>
        <v>977.9</v>
      </c>
      <c r="CH17" s="144">
        <f t="shared" si="21"/>
        <v>977.9</v>
      </c>
      <c r="CI17" s="144">
        <f t="shared" si="21"/>
        <v>977.9</v>
      </c>
    </row>
    <row r="18" spans="1:87" x14ac:dyDescent="0.25">
      <c r="A18" s="145">
        <v>4</v>
      </c>
      <c r="B18" s="148">
        <v>9.8000000000000007</v>
      </c>
      <c r="C18" s="148">
        <v>3.46</v>
      </c>
      <c r="D18" s="148">
        <v>2.5510999999999999</v>
      </c>
      <c r="E18" s="148">
        <v>0.3</v>
      </c>
      <c r="F18" s="147">
        <f t="shared" si="18"/>
        <v>16.1111</v>
      </c>
      <c r="G18" s="147"/>
      <c r="H18" s="147"/>
      <c r="J18" s="150" t="s">
        <v>742</v>
      </c>
      <c r="K18" s="151">
        <f>IF(K3=1,IF(K10&gt;K6,K6*$E$5,K10*$E$5),0)</f>
        <v>175818.02000000002</v>
      </c>
      <c r="L18" s="151">
        <f t="shared" ref="L18:BW18" si="22">IF(L3=1,IF(L10&gt;L6,L6*$E$5,L10*$E$5),0)</f>
        <v>0</v>
      </c>
      <c r="M18" s="151">
        <f t="shared" si="22"/>
        <v>174403.46</v>
      </c>
      <c r="N18" s="151">
        <f t="shared" si="22"/>
        <v>0</v>
      </c>
      <c r="O18" s="151">
        <f t="shared" si="22"/>
        <v>172988.9</v>
      </c>
      <c r="P18" s="151">
        <f t="shared" si="22"/>
        <v>0</v>
      </c>
      <c r="Q18" s="151">
        <f t="shared" si="22"/>
        <v>171574.34</v>
      </c>
      <c r="R18" s="151">
        <f t="shared" si="22"/>
        <v>0</v>
      </c>
      <c r="S18" s="151">
        <f t="shared" si="22"/>
        <v>170159.78</v>
      </c>
      <c r="T18" s="151">
        <f t="shared" si="22"/>
        <v>0</v>
      </c>
      <c r="U18" s="151">
        <f t="shared" si="22"/>
        <v>168745.22</v>
      </c>
      <c r="V18" s="151">
        <f t="shared" si="22"/>
        <v>0</v>
      </c>
      <c r="W18" s="151">
        <f t="shared" si="22"/>
        <v>0</v>
      </c>
      <c r="X18" s="151">
        <f t="shared" si="22"/>
        <v>0</v>
      </c>
      <c r="Y18" s="151">
        <f t="shared" si="22"/>
        <v>165916.1</v>
      </c>
      <c r="Z18" s="151">
        <f t="shared" si="22"/>
        <v>0</v>
      </c>
      <c r="AA18" s="151">
        <f t="shared" si="22"/>
        <v>148687.93800000002</v>
      </c>
      <c r="AB18" s="151">
        <f t="shared" si="22"/>
        <v>0</v>
      </c>
      <c r="AC18" s="151">
        <f t="shared" si="22"/>
        <v>147273.37800000003</v>
      </c>
      <c r="AD18" s="151">
        <f t="shared" si="22"/>
        <v>0</v>
      </c>
      <c r="AE18" s="151">
        <f t="shared" si="22"/>
        <v>145858.81800000003</v>
      </c>
      <c r="AF18" s="151">
        <f t="shared" si="22"/>
        <v>0</v>
      </c>
      <c r="AG18" s="151">
        <f t="shared" si="22"/>
        <v>144444.25800000003</v>
      </c>
      <c r="AH18" s="151">
        <f t="shared" si="22"/>
        <v>0</v>
      </c>
      <c r="AI18" s="151">
        <f t="shared" si="22"/>
        <v>143029.698</v>
      </c>
      <c r="AJ18" s="151">
        <f t="shared" si="22"/>
        <v>0</v>
      </c>
      <c r="AK18" s="151">
        <f t="shared" si="22"/>
        <v>141615.13800000001</v>
      </c>
      <c r="AL18" s="151">
        <f t="shared" si="22"/>
        <v>0</v>
      </c>
      <c r="AM18" s="151">
        <f t="shared" si="22"/>
        <v>0</v>
      </c>
      <c r="AN18" s="151">
        <f t="shared" si="22"/>
        <v>139493.29800000001</v>
      </c>
      <c r="AO18" s="151">
        <f t="shared" si="22"/>
        <v>0</v>
      </c>
      <c r="AP18" s="151">
        <f t="shared" si="22"/>
        <v>138078.73800000001</v>
      </c>
      <c r="AQ18" s="151">
        <f t="shared" si="22"/>
        <v>0</v>
      </c>
      <c r="AR18" s="151">
        <f t="shared" si="22"/>
        <v>123563.58420000001</v>
      </c>
      <c r="AS18" s="151">
        <f t="shared" si="22"/>
        <v>0</v>
      </c>
      <c r="AT18" s="151">
        <f t="shared" si="22"/>
        <v>122149.02420000003</v>
      </c>
      <c r="AU18" s="151">
        <f t="shared" si="22"/>
        <v>0</v>
      </c>
      <c r="AV18" s="151">
        <f t="shared" si="22"/>
        <v>120734.46420000002</v>
      </c>
      <c r="AW18" s="151">
        <f t="shared" si="22"/>
        <v>0</v>
      </c>
      <c r="AX18" s="151">
        <f t="shared" si="22"/>
        <v>119319.90420000002</v>
      </c>
      <c r="AY18" s="151">
        <f t="shared" si="22"/>
        <v>0</v>
      </c>
      <c r="AZ18" s="151">
        <f t="shared" si="22"/>
        <v>117905.34420000002</v>
      </c>
      <c r="BA18" s="151">
        <f t="shared" si="22"/>
        <v>0</v>
      </c>
      <c r="BB18" s="151">
        <f t="shared" si="22"/>
        <v>0</v>
      </c>
      <c r="BC18" s="151">
        <f t="shared" si="22"/>
        <v>0</v>
      </c>
      <c r="BD18" s="151">
        <f t="shared" si="22"/>
        <v>115076.22420000001</v>
      </c>
      <c r="BE18" s="151">
        <f t="shared" si="22"/>
        <v>0</v>
      </c>
      <c r="BF18" s="151">
        <f t="shared" si="22"/>
        <v>113661.66420000001</v>
      </c>
      <c r="BG18" s="151">
        <f t="shared" si="22"/>
        <v>0</v>
      </c>
      <c r="BH18" s="151">
        <f t="shared" si="22"/>
        <v>170907.22740000003</v>
      </c>
      <c r="BI18" s="151">
        <f t="shared" si="22"/>
        <v>0</v>
      </c>
      <c r="BJ18" s="151">
        <f t="shared" si="22"/>
        <v>170907.22740000003</v>
      </c>
      <c r="BK18" s="151">
        <f t="shared" si="22"/>
        <v>0</v>
      </c>
      <c r="BL18" s="151">
        <f t="shared" si="22"/>
        <v>170907.22740000003</v>
      </c>
      <c r="BM18" s="151">
        <f t="shared" si="22"/>
        <v>0</v>
      </c>
      <c r="BN18" s="151">
        <f t="shared" si="22"/>
        <v>170907.22740000003</v>
      </c>
      <c r="BO18" s="151">
        <f t="shared" si="22"/>
        <v>0</v>
      </c>
      <c r="BP18" s="151">
        <f t="shared" si="22"/>
        <v>170907.22740000003</v>
      </c>
      <c r="BQ18" s="151">
        <f t="shared" si="22"/>
        <v>0</v>
      </c>
      <c r="BR18" s="151">
        <f t="shared" si="22"/>
        <v>0</v>
      </c>
      <c r="BS18" s="151">
        <f t="shared" si="22"/>
        <v>0</v>
      </c>
      <c r="BT18" s="151">
        <f t="shared" si="22"/>
        <v>170907.22740000003</v>
      </c>
      <c r="BU18" s="151">
        <f t="shared" si="22"/>
        <v>0</v>
      </c>
      <c r="BV18" s="151">
        <f t="shared" si="22"/>
        <v>170907.22740000003</v>
      </c>
      <c r="BW18" s="151">
        <f t="shared" si="22"/>
        <v>0</v>
      </c>
      <c r="BX18" s="151">
        <f t="shared" ref="BX18:CI18" si="23">IF(BX3=1,IF(BX10&gt;BX6,BX6*$E$5,BX10*$E$5),0)</f>
        <v>170907.22740000003</v>
      </c>
      <c r="BY18" s="151">
        <f t="shared" si="23"/>
        <v>0</v>
      </c>
      <c r="BZ18" s="151">
        <f t="shared" si="23"/>
        <v>170907.22740000003</v>
      </c>
      <c r="CA18" s="151">
        <f t="shared" si="23"/>
        <v>0</v>
      </c>
      <c r="CB18" s="151">
        <f t="shared" si="23"/>
        <v>170907.22740000003</v>
      </c>
      <c r="CC18" s="151">
        <f t="shared" si="23"/>
        <v>0</v>
      </c>
      <c r="CD18" s="151">
        <f t="shared" si="23"/>
        <v>170907.22740000003</v>
      </c>
      <c r="CE18" s="151">
        <f t="shared" si="23"/>
        <v>0</v>
      </c>
      <c r="CF18" s="151">
        <f t="shared" si="23"/>
        <v>170907.22740000003</v>
      </c>
      <c r="CG18" s="151">
        <f t="shared" si="23"/>
        <v>0</v>
      </c>
      <c r="CH18" s="151">
        <f t="shared" si="23"/>
        <v>0</v>
      </c>
      <c r="CI18" s="151">
        <f t="shared" si="23"/>
        <v>0</v>
      </c>
    </row>
    <row r="19" spans="1:87" x14ac:dyDescent="0.25">
      <c r="A19" s="145">
        <v>3</v>
      </c>
      <c r="B19" s="146">
        <v>9.09</v>
      </c>
      <c r="C19" s="146">
        <v>3.1</v>
      </c>
      <c r="D19" s="146">
        <v>2.1436999999999999</v>
      </c>
      <c r="E19" s="146">
        <v>0.24</v>
      </c>
      <c r="F19" s="147">
        <f t="shared" si="18"/>
        <v>14.573700000000001</v>
      </c>
      <c r="G19" s="147"/>
      <c r="H19" s="147"/>
      <c r="J19" s="150" t="s">
        <v>743</v>
      </c>
      <c r="K19" s="151">
        <f>IF(K3=1,IF(K11&gt;K7,K7*$E$6,K11*$E$6),0)</f>
        <v>81435.899999999994</v>
      </c>
      <c r="L19" s="151">
        <f t="shared" ref="L19:BW19" si="24">IF(L3=1,IF(L11&gt;L7,L7*$E$6,L11*$E$6),0)</f>
        <v>0</v>
      </c>
      <c r="M19" s="151">
        <f t="shared" si="24"/>
        <v>80780.7</v>
      </c>
      <c r="N19" s="151">
        <f t="shared" si="24"/>
        <v>0</v>
      </c>
      <c r="O19" s="151">
        <f t="shared" si="24"/>
        <v>80125.5</v>
      </c>
      <c r="P19" s="151">
        <f t="shared" si="24"/>
        <v>0</v>
      </c>
      <c r="Q19" s="151">
        <f t="shared" si="24"/>
        <v>79470.3</v>
      </c>
      <c r="R19" s="151">
        <f t="shared" si="24"/>
        <v>0</v>
      </c>
      <c r="S19" s="151">
        <f t="shared" si="24"/>
        <v>78815.100000000006</v>
      </c>
      <c r="T19" s="151">
        <f t="shared" si="24"/>
        <v>0</v>
      </c>
      <c r="U19" s="151">
        <f t="shared" si="24"/>
        <v>78159.899999999994</v>
      </c>
      <c r="V19" s="151">
        <f t="shared" si="24"/>
        <v>0</v>
      </c>
      <c r="W19" s="151">
        <f t="shared" si="24"/>
        <v>0</v>
      </c>
      <c r="X19" s="151">
        <f t="shared" si="24"/>
        <v>0</v>
      </c>
      <c r="Y19" s="151">
        <f t="shared" si="24"/>
        <v>76849.5</v>
      </c>
      <c r="Z19" s="151">
        <f t="shared" si="24"/>
        <v>0</v>
      </c>
      <c r="AA19" s="151">
        <f t="shared" si="24"/>
        <v>68869.710000000006</v>
      </c>
      <c r="AB19" s="151">
        <f t="shared" si="24"/>
        <v>0</v>
      </c>
      <c r="AC19" s="151">
        <f t="shared" si="24"/>
        <v>68214.510000000009</v>
      </c>
      <c r="AD19" s="151">
        <f t="shared" si="24"/>
        <v>0</v>
      </c>
      <c r="AE19" s="151">
        <f t="shared" si="24"/>
        <v>67559.31</v>
      </c>
      <c r="AF19" s="151">
        <f t="shared" si="24"/>
        <v>0</v>
      </c>
      <c r="AG19" s="151">
        <f t="shared" si="24"/>
        <v>66904.110000000015</v>
      </c>
      <c r="AH19" s="151">
        <f t="shared" si="24"/>
        <v>0</v>
      </c>
      <c r="AI19" s="151">
        <f t="shared" si="24"/>
        <v>66248.91</v>
      </c>
      <c r="AJ19" s="151">
        <f t="shared" si="24"/>
        <v>0</v>
      </c>
      <c r="AK19" s="151">
        <f t="shared" si="24"/>
        <v>65593.710000000006</v>
      </c>
      <c r="AL19" s="151">
        <f t="shared" si="24"/>
        <v>0</v>
      </c>
      <c r="AM19" s="151">
        <f t="shared" si="24"/>
        <v>0</v>
      </c>
      <c r="AN19" s="151">
        <f t="shared" si="24"/>
        <v>64610.91</v>
      </c>
      <c r="AO19" s="151">
        <f t="shared" si="24"/>
        <v>0</v>
      </c>
      <c r="AP19" s="151">
        <f t="shared" si="24"/>
        <v>63955.710000000006</v>
      </c>
      <c r="AQ19" s="151">
        <f t="shared" si="24"/>
        <v>0</v>
      </c>
      <c r="AR19" s="151">
        <f t="shared" si="24"/>
        <v>57232.539000000004</v>
      </c>
      <c r="AS19" s="151">
        <f t="shared" si="24"/>
        <v>0</v>
      </c>
      <c r="AT19" s="151">
        <f t="shared" si="24"/>
        <v>56577.339000000007</v>
      </c>
      <c r="AU19" s="151">
        <f t="shared" si="24"/>
        <v>0</v>
      </c>
      <c r="AV19" s="151">
        <f t="shared" si="24"/>
        <v>55922.13900000001</v>
      </c>
      <c r="AW19" s="151">
        <f t="shared" si="24"/>
        <v>0</v>
      </c>
      <c r="AX19" s="151">
        <f t="shared" si="24"/>
        <v>55266.939000000013</v>
      </c>
      <c r="AY19" s="151">
        <f t="shared" si="24"/>
        <v>0</v>
      </c>
      <c r="AZ19" s="151">
        <f t="shared" si="24"/>
        <v>54611.739000000009</v>
      </c>
      <c r="BA19" s="151">
        <f t="shared" si="24"/>
        <v>0</v>
      </c>
      <c r="BB19" s="151">
        <f t="shared" si="24"/>
        <v>0</v>
      </c>
      <c r="BC19" s="151">
        <f t="shared" si="24"/>
        <v>0</v>
      </c>
      <c r="BD19" s="151">
        <f t="shared" si="24"/>
        <v>53301.339000000007</v>
      </c>
      <c r="BE19" s="151">
        <f t="shared" si="24"/>
        <v>0</v>
      </c>
      <c r="BF19" s="151">
        <f t="shared" si="24"/>
        <v>52646.13900000001</v>
      </c>
      <c r="BG19" s="151">
        <f t="shared" si="24"/>
        <v>0</v>
      </c>
      <c r="BH19" s="151">
        <f t="shared" si="24"/>
        <v>93713.427000000011</v>
      </c>
      <c r="BI19" s="151">
        <f t="shared" si="24"/>
        <v>0</v>
      </c>
      <c r="BJ19" s="151">
        <f t="shared" si="24"/>
        <v>93713.427000000011</v>
      </c>
      <c r="BK19" s="151">
        <f t="shared" si="24"/>
        <v>0</v>
      </c>
      <c r="BL19" s="151">
        <f t="shared" si="24"/>
        <v>93713.427000000011</v>
      </c>
      <c r="BM19" s="151">
        <f t="shared" si="24"/>
        <v>0</v>
      </c>
      <c r="BN19" s="151">
        <f t="shared" si="24"/>
        <v>93713.427000000011</v>
      </c>
      <c r="BO19" s="151">
        <f t="shared" si="24"/>
        <v>0</v>
      </c>
      <c r="BP19" s="151">
        <f t="shared" si="24"/>
        <v>93713.427000000011</v>
      </c>
      <c r="BQ19" s="151">
        <f t="shared" si="24"/>
        <v>0</v>
      </c>
      <c r="BR19" s="151">
        <f t="shared" si="24"/>
        <v>0</v>
      </c>
      <c r="BS19" s="151">
        <f t="shared" si="24"/>
        <v>0</v>
      </c>
      <c r="BT19" s="151">
        <f t="shared" si="24"/>
        <v>93713.427000000011</v>
      </c>
      <c r="BU19" s="151">
        <f t="shared" si="24"/>
        <v>0</v>
      </c>
      <c r="BV19" s="151">
        <f t="shared" si="24"/>
        <v>93713.427000000011</v>
      </c>
      <c r="BW19" s="151">
        <f t="shared" si="24"/>
        <v>0</v>
      </c>
      <c r="BX19" s="151">
        <f t="shared" ref="BX19:CI19" si="25">IF(BX3=1,IF(BX11&gt;BX7,BX7*$E$6,BX11*$E$6),0)</f>
        <v>93713.427000000011</v>
      </c>
      <c r="BY19" s="151">
        <f t="shared" si="25"/>
        <v>0</v>
      </c>
      <c r="BZ19" s="151">
        <f t="shared" si="25"/>
        <v>93713.427000000011</v>
      </c>
      <c r="CA19" s="151">
        <f t="shared" si="25"/>
        <v>0</v>
      </c>
      <c r="CB19" s="151">
        <f t="shared" si="25"/>
        <v>93713.427000000011</v>
      </c>
      <c r="CC19" s="151">
        <f t="shared" si="25"/>
        <v>0</v>
      </c>
      <c r="CD19" s="151">
        <f t="shared" si="25"/>
        <v>93713.427000000011</v>
      </c>
      <c r="CE19" s="151">
        <f t="shared" si="25"/>
        <v>0</v>
      </c>
      <c r="CF19" s="151">
        <f t="shared" si="25"/>
        <v>93713.427000000011</v>
      </c>
      <c r="CG19" s="151">
        <f t="shared" si="25"/>
        <v>0</v>
      </c>
      <c r="CH19" s="151">
        <f t="shared" si="25"/>
        <v>0</v>
      </c>
      <c r="CI19" s="151">
        <f t="shared" si="25"/>
        <v>0</v>
      </c>
    </row>
    <row r="20" spans="1:87" x14ac:dyDescent="0.25">
      <c r="A20" s="145">
        <v>2</v>
      </c>
      <c r="B20" s="148">
        <v>8.42</v>
      </c>
      <c r="C20" s="148">
        <v>2.73</v>
      </c>
      <c r="D20" s="148">
        <v>1.7168999999999999</v>
      </c>
      <c r="E20" s="148">
        <v>0.18</v>
      </c>
      <c r="F20" s="147">
        <f t="shared" si="18"/>
        <v>13.046900000000001</v>
      </c>
      <c r="G20" s="147"/>
      <c r="H20" s="147"/>
      <c r="J20" s="150" t="s">
        <v>744</v>
      </c>
      <c r="K20" s="151">
        <f>IF(K3=1,IF(K12&gt;K8,K8*$E$7,K12*$E$7),0)</f>
        <v>97308.741299999994</v>
      </c>
      <c r="L20" s="151">
        <f t="shared" ref="L20:BW20" si="26">IF(L3=1,IF(L12&gt;L8,L8*$E$7,L12*$E$7),0)</f>
        <v>0</v>
      </c>
      <c r="M20" s="151">
        <f t="shared" si="26"/>
        <v>96525.834900000002</v>
      </c>
      <c r="N20" s="151">
        <f t="shared" si="26"/>
        <v>0</v>
      </c>
      <c r="O20" s="151">
        <f t="shared" si="26"/>
        <v>95742.928499999995</v>
      </c>
      <c r="P20" s="151">
        <f t="shared" si="26"/>
        <v>0</v>
      </c>
      <c r="Q20" s="151">
        <f t="shared" si="26"/>
        <v>94960.022099999987</v>
      </c>
      <c r="R20" s="151">
        <f t="shared" si="26"/>
        <v>0</v>
      </c>
      <c r="S20" s="151">
        <f t="shared" si="26"/>
        <v>94177.11569999998</v>
      </c>
      <c r="T20" s="151">
        <f t="shared" si="26"/>
        <v>0</v>
      </c>
      <c r="U20" s="151">
        <f t="shared" si="26"/>
        <v>93394.209300000002</v>
      </c>
      <c r="V20" s="151">
        <f t="shared" si="26"/>
        <v>0</v>
      </c>
      <c r="W20" s="151">
        <f t="shared" si="26"/>
        <v>0</v>
      </c>
      <c r="X20" s="151">
        <f t="shared" si="26"/>
        <v>0</v>
      </c>
      <c r="Y20" s="151">
        <f t="shared" si="26"/>
        <v>91828.396499999988</v>
      </c>
      <c r="Z20" s="151">
        <f t="shared" si="26"/>
        <v>0</v>
      </c>
      <c r="AA20" s="151">
        <f t="shared" si="26"/>
        <v>82293.248970000015</v>
      </c>
      <c r="AB20" s="151">
        <f t="shared" si="26"/>
        <v>0</v>
      </c>
      <c r="AC20" s="151">
        <f t="shared" si="26"/>
        <v>81510.342570000008</v>
      </c>
      <c r="AD20" s="151">
        <f t="shared" si="26"/>
        <v>0</v>
      </c>
      <c r="AE20" s="151">
        <f t="shared" si="26"/>
        <v>80727.436170000001</v>
      </c>
      <c r="AF20" s="151">
        <f t="shared" si="26"/>
        <v>0</v>
      </c>
      <c r="AG20" s="151">
        <f t="shared" si="26"/>
        <v>79944.529769999994</v>
      </c>
      <c r="AH20" s="151">
        <f t="shared" si="26"/>
        <v>0</v>
      </c>
      <c r="AI20" s="151">
        <f t="shared" si="26"/>
        <v>79161.623370000001</v>
      </c>
      <c r="AJ20" s="151">
        <f t="shared" si="26"/>
        <v>0</v>
      </c>
      <c r="AK20" s="151">
        <f t="shared" si="26"/>
        <v>78378.716970000009</v>
      </c>
      <c r="AL20" s="151">
        <f t="shared" si="26"/>
        <v>0</v>
      </c>
      <c r="AM20" s="151">
        <f t="shared" si="26"/>
        <v>0</v>
      </c>
      <c r="AN20" s="151">
        <f t="shared" si="26"/>
        <v>77204.357370000012</v>
      </c>
      <c r="AO20" s="151">
        <f t="shared" si="26"/>
        <v>0</v>
      </c>
      <c r="AP20" s="151">
        <f t="shared" si="26"/>
        <v>76421.450970000005</v>
      </c>
      <c r="AQ20" s="151">
        <f t="shared" si="26"/>
        <v>0</v>
      </c>
      <c r="AR20" s="151">
        <f t="shared" si="26"/>
        <v>68387.852673000001</v>
      </c>
      <c r="AS20" s="151">
        <f t="shared" si="26"/>
        <v>0</v>
      </c>
      <c r="AT20" s="151">
        <f t="shared" si="26"/>
        <v>67604.946273000009</v>
      </c>
      <c r="AU20" s="151">
        <f t="shared" si="26"/>
        <v>0</v>
      </c>
      <c r="AV20" s="151">
        <f t="shared" si="26"/>
        <v>66822.039873000002</v>
      </c>
      <c r="AW20" s="151">
        <f t="shared" si="26"/>
        <v>0</v>
      </c>
      <c r="AX20" s="151">
        <f t="shared" si="26"/>
        <v>66039.133473000009</v>
      </c>
      <c r="AY20" s="151">
        <f t="shared" si="26"/>
        <v>0</v>
      </c>
      <c r="AZ20" s="151">
        <f t="shared" si="26"/>
        <v>65256.227073000009</v>
      </c>
      <c r="BA20" s="151">
        <f t="shared" si="26"/>
        <v>0</v>
      </c>
      <c r="BB20" s="151">
        <f t="shared" si="26"/>
        <v>0</v>
      </c>
      <c r="BC20" s="151">
        <f t="shared" si="26"/>
        <v>0</v>
      </c>
      <c r="BD20" s="151">
        <f t="shared" si="26"/>
        <v>63690.414273000009</v>
      </c>
      <c r="BE20" s="151">
        <f t="shared" si="26"/>
        <v>0</v>
      </c>
      <c r="BF20" s="151">
        <f t="shared" si="26"/>
        <v>62907.507873000002</v>
      </c>
      <c r="BG20" s="151">
        <f t="shared" si="26"/>
        <v>0</v>
      </c>
      <c r="BH20" s="151">
        <f t="shared" si="26"/>
        <v>150109.17082500001</v>
      </c>
      <c r="BI20" s="151">
        <f t="shared" si="26"/>
        <v>0</v>
      </c>
      <c r="BJ20" s="151">
        <f t="shared" si="26"/>
        <v>150109.17082500001</v>
      </c>
      <c r="BK20" s="151">
        <f t="shared" si="26"/>
        <v>0</v>
      </c>
      <c r="BL20" s="151">
        <f t="shared" si="26"/>
        <v>150109.17082500001</v>
      </c>
      <c r="BM20" s="151">
        <f t="shared" si="26"/>
        <v>0</v>
      </c>
      <c r="BN20" s="151">
        <f t="shared" si="26"/>
        <v>150109.17082500001</v>
      </c>
      <c r="BO20" s="151">
        <f t="shared" si="26"/>
        <v>0</v>
      </c>
      <c r="BP20" s="151">
        <f t="shared" si="26"/>
        <v>150109.17082500001</v>
      </c>
      <c r="BQ20" s="151">
        <f t="shared" si="26"/>
        <v>0</v>
      </c>
      <c r="BR20" s="151">
        <f t="shared" si="26"/>
        <v>0</v>
      </c>
      <c r="BS20" s="151">
        <f t="shared" si="26"/>
        <v>0</v>
      </c>
      <c r="BT20" s="151">
        <f t="shared" si="26"/>
        <v>150109.17082500001</v>
      </c>
      <c r="BU20" s="151">
        <f t="shared" si="26"/>
        <v>0</v>
      </c>
      <c r="BV20" s="151">
        <f t="shared" si="26"/>
        <v>150109.17082500001</v>
      </c>
      <c r="BW20" s="151">
        <f t="shared" si="26"/>
        <v>0</v>
      </c>
      <c r="BX20" s="151">
        <f t="shared" ref="BX20:CI20" si="27">IF(BX3=1,IF(BX12&gt;BX8,BX8*$E$7,BX12*$E$7),0)</f>
        <v>150109.17082500001</v>
      </c>
      <c r="BY20" s="151">
        <f t="shared" si="27"/>
        <v>0</v>
      </c>
      <c r="BZ20" s="151">
        <f t="shared" si="27"/>
        <v>150109.17082500001</v>
      </c>
      <c r="CA20" s="151">
        <f t="shared" si="27"/>
        <v>0</v>
      </c>
      <c r="CB20" s="151">
        <f t="shared" si="27"/>
        <v>150109.17082500001</v>
      </c>
      <c r="CC20" s="151">
        <f t="shared" si="27"/>
        <v>0</v>
      </c>
      <c r="CD20" s="151">
        <f t="shared" si="27"/>
        <v>150109.17082500001</v>
      </c>
      <c r="CE20" s="151">
        <f t="shared" si="27"/>
        <v>0</v>
      </c>
      <c r="CF20" s="151">
        <f t="shared" si="27"/>
        <v>150109.17082500001</v>
      </c>
      <c r="CG20" s="151">
        <f t="shared" si="27"/>
        <v>0</v>
      </c>
      <c r="CH20" s="151">
        <f t="shared" si="27"/>
        <v>0</v>
      </c>
      <c r="CI20" s="151">
        <f t="shared" si="27"/>
        <v>0</v>
      </c>
    </row>
    <row r="21" spans="1:87" x14ac:dyDescent="0.25">
      <c r="A21" s="145">
        <v>1</v>
      </c>
      <c r="B21" s="146">
        <v>7.85</v>
      </c>
      <c r="C21" s="146">
        <v>2.34</v>
      </c>
      <c r="D21" s="146">
        <v>1.1931</v>
      </c>
      <c r="E21" s="146">
        <v>0.1</v>
      </c>
      <c r="F21" s="147">
        <f t="shared" si="18"/>
        <v>11.4831</v>
      </c>
      <c r="G21" s="147"/>
      <c r="H21" s="147"/>
      <c r="J21" s="150" t="s">
        <v>745</v>
      </c>
      <c r="K21" s="151">
        <f>IF(K3=1,IF(K13&gt;K9,K9*$E$8,K13*$E$8),0)</f>
        <v>18792.899999999998</v>
      </c>
      <c r="L21" s="151">
        <f t="shared" ref="L21:BW21" si="28">IF(L3=1,IF(L13&gt;L9,L9*$E$8,L13*$E$8),0)</f>
        <v>0</v>
      </c>
      <c r="M21" s="151">
        <f t="shared" si="28"/>
        <v>18641.7</v>
      </c>
      <c r="N21" s="151">
        <f t="shared" si="28"/>
        <v>0</v>
      </c>
      <c r="O21" s="151">
        <f t="shared" si="28"/>
        <v>18490.5</v>
      </c>
      <c r="P21" s="151">
        <f t="shared" si="28"/>
        <v>0</v>
      </c>
      <c r="Q21" s="151">
        <f t="shared" si="28"/>
        <v>18339.3</v>
      </c>
      <c r="R21" s="151">
        <f t="shared" si="28"/>
        <v>0</v>
      </c>
      <c r="S21" s="151">
        <f t="shared" si="28"/>
        <v>18188.099999999999</v>
      </c>
      <c r="T21" s="151">
        <f t="shared" si="28"/>
        <v>0</v>
      </c>
      <c r="U21" s="151">
        <f t="shared" si="28"/>
        <v>18036.900000000001</v>
      </c>
      <c r="V21" s="151">
        <f t="shared" si="28"/>
        <v>0</v>
      </c>
      <c r="W21" s="151">
        <f t="shared" si="28"/>
        <v>0</v>
      </c>
      <c r="X21" s="151">
        <f t="shared" si="28"/>
        <v>0</v>
      </c>
      <c r="Y21" s="151">
        <f t="shared" si="28"/>
        <v>17734.5</v>
      </c>
      <c r="Z21" s="151">
        <f t="shared" si="28"/>
        <v>0</v>
      </c>
      <c r="AA21" s="151">
        <f t="shared" si="28"/>
        <v>15893.01</v>
      </c>
      <c r="AB21" s="151">
        <f t="shared" si="28"/>
        <v>0</v>
      </c>
      <c r="AC21" s="151">
        <f t="shared" si="28"/>
        <v>15741.810000000001</v>
      </c>
      <c r="AD21" s="151">
        <f t="shared" si="28"/>
        <v>0</v>
      </c>
      <c r="AE21" s="151">
        <f t="shared" si="28"/>
        <v>15590.61</v>
      </c>
      <c r="AF21" s="151">
        <f t="shared" si="28"/>
        <v>0</v>
      </c>
      <c r="AG21" s="151">
        <f t="shared" si="28"/>
        <v>15439.410000000002</v>
      </c>
      <c r="AH21" s="151">
        <f t="shared" si="28"/>
        <v>0</v>
      </c>
      <c r="AI21" s="151">
        <f t="shared" si="28"/>
        <v>15288.210000000001</v>
      </c>
      <c r="AJ21" s="151">
        <f t="shared" si="28"/>
        <v>0</v>
      </c>
      <c r="AK21" s="151">
        <f t="shared" si="28"/>
        <v>15137.010000000002</v>
      </c>
      <c r="AL21" s="151">
        <f t="shared" si="28"/>
        <v>0</v>
      </c>
      <c r="AM21" s="151">
        <f t="shared" si="28"/>
        <v>0</v>
      </c>
      <c r="AN21" s="151">
        <f t="shared" si="28"/>
        <v>14910.210000000001</v>
      </c>
      <c r="AO21" s="151">
        <f t="shared" si="28"/>
        <v>0</v>
      </c>
      <c r="AP21" s="151">
        <f t="shared" si="28"/>
        <v>14759.010000000002</v>
      </c>
      <c r="AQ21" s="151">
        <f t="shared" si="28"/>
        <v>0</v>
      </c>
      <c r="AR21" s="151">
        <f t="shared" si="28"/>
        <v>13207.509000000002</v>
      </c>
      <c r="AS21" s="151">
        <f t="shared" si="28"/>
        <v>0</v>
      </c>
      <c r="AT21" s="151">
        <f t="shared" si="28"/>
        <v>13056.309000000001</v>
      </c>
      <c r="AU21" s="151">
        <f t="shared" si="28"/>
        <v>0</v>
      </c>
      <c r="AV21" s="151">
        <f t="shared" si="28"/>
        <v>12905.109000000002</v>
      </c>
      <c r="AW21" s="151">
        <f t="shared" si="28"/>
        <v>0</v>
      </c>
      <c r="AX21" s="151">
        <f t="shared" si="28"/>
        <v>12753.909000000001</v>
      </c>
      <c r="AY21" s="151">
        <f t="shared" si="28"/>
        <v>0</v>
      </c>
      <c r="AZ21" s="151">
        <f t="shared" si="28"/>
        <v>12602.709000000001</v>
      </c>
      <c r="BA21" s="151">
        <f t="shared" si="28"/>
        <v>0</v>
      </c>
      <c r="BB21" s="151">
        <f t="shared" si="28"/>
        <v>0</v>
      </c>
      <c r="BC21" s="151">
        <f t="shared" si="28"/>
        <v>0</v>
      </c>
      <c r="BD21" s="151">
        <f t="shared" si="28"/>
        <v>12300.309000000001</v>
      </c>
      <c r="BE21" s="151">
        <f t="shared" si="28"/>
        <v>0</v>
      </c>
      <c r="BF21" s="151">
        <f t="shared" si="28"/>
        <v>12149.109</v>
      </c>
      <c r="BG21" s="151">
        <f t="shared" si="28"/>
        <v>0</v>
      </c>
      <c r="BH21" s="151">
        <f t="shared" si="28"/>
        <v>34208.275500000003</v>
      </c>
      <c r="BI21" s="151">
        <f t="shared" si="28"/>
        <v>0</v>
      </c>
      <c r="BJ21" s="151">
        <f t="shared" si="28"/>
        <v>34208.275500000003</v>
      </c>
      <c r="BK21" s="151">
        <f t="shared" si="28"/>
        <v>0</v>
      </c>
      <c r="BL21" s="151">
        <f t="shared" si="28"/>
        <v>34208.275500000003</v>
      </c>
      <c r="BM21" s="151">
        <f t="shared" si="28"/>
        <v>0</v>
      </c>
      <c r="BN21" s="151">
        <f t="shared" si="28"/>
        <v>34208.275500000003</v>
      </c>
      <c r="BO21" s="151">
        <f t="shared" si="28"/>
        <v>0</v>
      </c>
      <c r="BP21" s="151">
        <f t="shared" si="28"/>
        <v>34208.275500000003</v>
      </c>
      <c r="BQ21" s="151">
        <f t="shared" si="28"/>
        <v>0</v>
      </c>
      <c r="BR21" s="151">
        <f t="shared" si="28"/>
        <v>0</v>
      </c>
      <c r="BS21" s="151">
        <f t="shared" si="28"/>
        <v>0</v>
      </c>
      <c r="BT21" s="151">
        <f t="shared" si="28"/>
        <v>34208.275500000003</v>
      </c>
      <c r="BU21" s="151">
        <f t="shared" si="28"/>
        <v>0</v>
      </c>
      <c r="BV21" s="151">
        <f t="shared" si="28"/>
        <v>34208.275500000003</v>
      </c>
      <c r="BW21" s="151">
        <f t="shared" si="28"/>
        <v>0</v>
      </c>
      <c r="BX21" s="151">
        <f t="shared" ref="BX21:CI21" si="29">IF(BX3=1,IF(BX13&gt;BX9,BX9*$E$8,BX13*$E$8),0)</f>
        <v>34208.275500000003</v>
      </c>
      <c r="BY21" s="151">
        <f t="shared" si="29"/>
        <v>0</v>
      </c>
      <c r="BZ21" s="151">
        <f t="shared" si="29"/>
        <v>34208.275500000003</v>
      </c>
      <c r="CA21" s="151">
        <f t="shared" si="29"/>
        <v>0</v>
      </c>
      <c r="CB21" s="151">
        <f t="shared" si="29"/>
        <v>34208.275500000003</v>
      </c>
      <c r="CC21" s="151">
        <f t="shared" si="29"/>
        <v>0</v>
      </c>
      <c r="CD21" s="151">
        <f t="shared" si="29"/>
        <v>34208.275500000003</v>
      </c>
      <c r="CE21" s="151">
        <f t="shared" si="29"/>
        <v>0</v>
      </c>
      <c r="CF21" s="151">
        <f t="shared" si="29"/>
        <v>34208.275500000003</v>
      </c>
      <c r="CG21" s="151">
        <f t="shared" si="29"/>
        <v>0</v>
      </c>
      <c r="CH21" s="151">
        <f t="shared" si="29"/>
        <v>0</v>
      </c>
      <c r="CI21" s="151">
        <f t="shared" si="29"/>
        <v>0</v>
      </c>
    </row>
    <row r="22" spans="1:87" x14ac:dyDescent="0.25">
      <c r="C22" s="35"/>
      <c r="D22" s="35"/>
      <c r="E22" s="35"/>
      <c r="J22" s="152" t="s">
        <v>746</v>
      </c>
      <c r="K22" s="153">
        <f>IF(K3=1,IF(K14&gt;K6,K6*$E$5,K14*$E$5),0)</f>
        <v>175818.02000000002</v>
      </c>
      <c r="L22" s="153">
        <f t="shared" ref="L22:BW22" si="30">IF(L3=1,IF(L14&gt;L6,L6*$E$5,L14*$E$5),0)</f>
        <v>0</v>
      </c>
      <c r="M22" s="153">
        <f t="shared" si="30"/>
        <v>170951.19999999998</v>
      </c>
      <c r="N22" s="153">
        <f t="shared" si="30"/>
        <v>0</v>
      </c>
      <c r="O22" s="153">
        <f t="shared" si="30"/>
        <v>170951.19999999998</v>
      </c>
      <c r="P22" s="153">
        <f t="shared" si="30"/>
        <v>0</v>
      </c>
      <c r="Q22" s="153">
        <f t="shared" si="30"/>
        <v>170951.19999999998</v>
      </c>
      <c r="R22" s="153">
        <f t="shared" si="30"/>
        <v>0</v>
      </c>
      <c r="S22" s="153">
        <f t="shared" si="30"/>
        <v>170159.78</v>
      </c>
      <c r="T22" s="153">
        <f t="shared" si="30"/>
        <v>0</v>
      </c>
      <c r="U22" s="153">
        <f t="shared" si="30"/>
        <v>168745.22</v>
      </c>
      <c r="V22" s="153">
        <f t="shared" si="30"/>
        <v>0</v>
      </c>
      <c r="W22" s="153">
        <f t="shared" si="30"/>
        <v>0</v>
      </c>
      <c r="X22" s="153">
        <f t="shared" si="30"/>
        <v>0</v>
      </c>
      <c r="Y22" s="153">
        <f t="shared" si="30"/>
        <v>165916.1</v>
      </c>
      <c r="Z22" s="153">
        <f t="shared" si="30"/>
        <v>0</v>
      </c>
      <c r="AA22" s="153">
        <f t="shared" si="30"/>
        <v>148687.93800000002</v>
      </c>
      <c r="AB22" s="153">
        <f t="shared" si="30"/>
        <v>0</v>
      </c>
      <c r="AC22" s="153">
        <f t="shared" si="30"/>
        <v>147273.37800000003</v>
      </c>
      <c r="AD22" s="153">
        <f t="shared" si="30"/>
        <v>0</v>
      </c>
      <c r="AE22" s="153">
        <f t="shared" si="30"/>
        <v>145858.81800000003</v>
      </c>
      <c r="AF22" s="153">
        <f t="shared" si="30"/>
        <v>0</v>
      </c>
      <c r="AG22" s="153">
        <f t="shared" si="30"/>
        <v>144444.25800000003</v>
      </c>
      <c r="AH22" s="153">
        <f t="shared" si="30"/>
        <v>0</v>
      </c>
      <c r="AI22" s="153">
        <f t="shared" si="30"/>
        <v>143029.698</v>
      </c>
      <c r="AJ22" s="153">
        <f t="shared" si="30"/>
        <v>0</v>
      </c>
      <c r="AK22" s="153">
        <f t="shared" si="30"/>
        <v>141615.13800000001</v>
      </c>
      <c r="AL22" s="153">
        <f t="shared" si="30"/>
        <v>0</v>
      </c>
      <c r="AM22" s="153">
        <f t="shared" si="30"/>
        <v>0</v>
      </c>
      <c r="AN22" s="153">
        <f t="shared" si="30"/>
        <v>139493.29800000001</v>
      </c>
      <c r="AO22" s="153">
        <f t="shared" si="30"/>
        <v>0</v>
      </c>
      <c r="AP22" s="153">
        <f t="shared" si="30"/>
        <v>138078.73800000001</v>
      </c>
      <c r="AQ22" s="153">
        <f t="shared" si="30"/>
        <v>0</v>
      </c>
      <c r="AR22" s="153">
        <f t="shared" si="30"/>
        <v>123563.58420000001</v>
      </c>
      <c r="AS22" s="153">
        <f t="shared" si="30"/>
        <v>0</v>
      </c>
      <c r="AT22" s="153">
        <f t="shared" si="30"/>
        <v>122149.02420000003</v>
      </c>
      <c r="AU22" s="153">
        <f t="shared" si="30"/>
        <v>0</v>
      </c>
      <c r="AV22" s="153">
        <f t="shared" si="30"/>
        <v>120734.46420000002</v>
      </c>
      <c r="AW22" s="153">
        <f t="shared" si="30"/>
        <v>0</v>
      </c>
      <c r="AX22" s="153">
        <f t="shared" si="30"/>
        <v>119319.90420000002</v>
      </c>
      <c r="AY22" s="153">
        <f t="shared" si="30"/>
        <v>0</v>
      </c>
      <c r="AZ22" s="153">
        <f t="shared" si="30"/>
        <v>117905.34420000002</v>
      </c>
      <c r="BA22" s="153">
        <f t="shared" si="30"/>
        <v>0</v>
      </c>
      <c r="BB22" s="153">
        <f t="shared" si="30"/>
        <v>0</v>
      </c>
      <c r="BC22" s="153">
        <f t="shared" si="30"/>
        <v>0</v>
      </c>
      <c r="BD22" s="153">
        <f t="shared" si="30"/>
        <v>115076.22420000001</v>
      </c>
      <c r="BE22" s="153">
        <f t="shared" si="30"/>
        <v>0</v>
      </c>
      <c r="BF22" s="153">
        <f t="shared" si="30"/>
        <v>113661.66420000001</v>
      </c>
      <c r="BG22" s="153">
        <f t="shared" si="30"/>
        <v>0</v>
      </c>
      <c r="BH22" s="153">
        <f t="shared" si="30"/>
        <v>170907.22740000003</v>
      </c>
      <c r="BI22" s="153">
        <f t="shared" si="30"/>
        <v>0</v>
      </c>
      <c r="BJ22" s="153">
        <f t="shared" si="30"/>
        <v>170907.22740000003</v>
      </c>
      <c r="BK22" s="153">
        <f t="shared" si="30"/>
        <v>0</v>
      </c>
      <c r="BL22" s="153">
        <f t="shared" si="30"/>
        <v>170907.22740000003</v>
      </c>
      <c r="BM22" s="153">
        <f t="shared" si="30"/>
        <v>0</v>
      </c>
      <c r="BN22" s="153">
        <f t="shared" si="30"/>
        <v>170907.22740000003</v>
      </c>
      <c r="BO22" s="153">
        <f t="shared" si="30"/>
        <v>0</v>
      </c>
      <c r="BP22" s="153">
        <f t="shared" si="30"/>
        <v>170907.22740000003</v>
      </c>
      <c r="BQ22" s="153">
        <f t="shared" si="30"/>
        <v>0</v>
      </c>
      <c r="BR22" s="153">
        <f t="shared" si="30"/>
        <v>0</v>
      </c>
      <c r="BS22" s="153">
        <f t="shared" si="30"/>
        <v>0</v>
      </c>
      <c r="BT22" s="153">
        <f t="shared" si="30"/>
        <v>170907.22740000003</v>
      </c>
      <c r="BU22" s="153">
        <f t="shared" si="30"/>
        <v>0</v>
      </c>
      <c r="BV22" s="153">
        <f t="shared" si="30"/>
        <v>170907.22740000003</v>
      </c>
      <c r="BW22" s="153">
        <f t="shared" si="30"/>
        <v>0</v>
      </c>
      <c r="BX22" s="153">
        <f t="shared" ref="BX22:CI22" si="31">IF(BX3=1,IF(BX14&gt;BX6,BX6*$E$5,BX14*$E$5),0)</f>
        <v>170907.22740000003</v>
      </c>
      <c r="BY22" s="153">
        <f t="shared" si="31"/>
        <v>0</v>
      </c>
      <c r="BZ22" s="153">
        <f t="shared" si="31"/>
        <v>170907.22740000003</v>
      </c>
      <c r="CA22" s="153">
        <f t="shared" si="31"/>
        <v>0</v>
      </c>
      <c r="CB22" s="153">
        <f t="shared" si="31"/>
        <v>170907.22740000003</v>
      </c>
      <c r="CC22" s="153">
        <f t="shared" si="31"/>
        <v>0</v>
      </c>
      <c r="CD22" s="153">
        <f t="shared" si="31"/>
        <v>170907.22740000003</v>
      </c>
      <c r="CE22" s="153">
        <f t="shared" si="31"/>
        <v>0</v>
      </c>
      <c r="CF22" s="153">
        <f t="shared" si="31"/>
        <v>170907.22740000003</v>
      </c>
      <c r="CG22" s="153">
        <f t="shared" si="31"/>
        <v>0</v>
      </c>
      <c r="CH22" s="153">
        <f t="shared" si="31"/>
        <v>0</v>
      </c>
      <c r="CI22" s="153">
        <f t="shared" si="31"/>
        <v>0</v>
      </c>
    </row>
    <row r="23" spans="1:87" x14ac:dyDescent="0.25">
      <c r="A23" s="154" t="s">
        <v>747</v>
      </c>
      <c r="B23" s="70">
        <v>0.7</v>
      </c>
      <c r="C23" s="155"/>
      <c r="D23" s="155"/>
      <c r="E23" s="155"/>
      <c r="F23" s="156"/>
      <c r="G23" s="156"/>
      <c r="H23" s="156"/>
      <c r="J23" s="152" t="s">
        <v>748</v>
      </c>
      <c r="K23" s="153">
        <f>IF(K3=1,IF(K15&gt;K7,K7*$E$6,K15*$E$6),0)</f>
        <v>81435.899999999994</v>
      </c>
      <c r="L23" s="153">
        <f t="shared" ref="L23:BW23" si="32">IF(L3=1,IF(L15&gt;L7,L7*$E$6,L15*$E$6),0)</f>
        <v>0</v>
      </c>
      <c r="M23" s="153">
        <f t="shared" si="32"/>
        <v>80780.7</v>
      </c>
      <c r="N23" s="153">
        <f t="shared" si="32"/>
        <v>0</v>
      </c>
      <c r="O23" s="153">
        <f t="shared" si="32"/>
        <v>80125.5</v>
      </c>
      <c r="P23" s="153">
        <f t="shared" si="32"/>
        <v>0</v>
      </c>
      <c r="Q23" s="153">
        <f t="shared" si="32"/>
        <v>79470.3</v>
      </c>
      <c r="R23" s="153">
        <f t="shared" si="32"/>
        <v>0</v>
      </c>
      <c r="S23" s="153">
        <f t="shared" si="32"/>
        <v>78815.100000000006</v>
      </c>
      <c r="T23" s="153">
        <f t="shared" si="32"/>
        <v>0</v>
      </c>
      <c r="U23" s="153">
        <f t="shared" si="32"/>
        <v>78159.899999999994</v>
      </c>
      <c r="V23" s="153">
        <f t="shared" si="32"/>
        <v>0</v>
      </c>
      <c r="W23" s="153">
        <f t="shared" si="32"/>
        <v>0</v>
      </c>
      <c r="X23" s="153">
        <f t="shared" si="32"/>
        <v>0</v>
      </c>
      <c r="Y23" s="153">
        <f t="shared" si="32"/>
        <v>76849.5</v>
      </c>
      <c r="Z23" s="153">
        <f t="shared" si="32"/>
        <v>0</v>
      </c>
      <c r="AA23" s="153">
        <f t="shared" si="32"/>
        <v>68869.710000000006</v>
      </c>
      <c r="AB23" s="153">
        <f t="shared" si="32"/>
        <v>0</v>
      </c>
      <c r="AC23" s="153">
        <f t="shared" si="32"/>
        <v>68214.510000000009</v>
      </c>
      <c r="AD23" s="153">
        <f t="shared" si="32"/>
        <v>0</v>
      </c>
      <c r="AE23" s="153">
        <f t="shared" si="32"/>
        <v>67559.31</v>
      </c>
      <c r="AF23" s="153">
        <f t="shared" si="32"/>
        <v>0</v>
      </c>
      <c r="AG23" s="153">
        <f t="shared" si="32"/>
        <v>66904.110000000015</v>
      </c>
      <c r="AH23" s="153">
        <f t="shared" si="32"/>
        <v>0</v>
      </c>
      <c r="AI23" s="153">
        <f t="shared" si="32"/>
        <v>66248.91</v>
      </c>
      <c r="AJ23" s="153">
        <f t="shared" si="32"/>
        <v>0</v>
      </c>
      <c r="AK23" s="153">
        <f t="shared" si="32"/>
        <v>65593.710000000006</v>
      </c>
      <c r="AL23" s="153">
        <f t="shared" si="32"/>
        <v>0</v>
      </c>
      <c r="AM23" s="153">
        <f t="shared" si="32"/>
        <v>0</v>
      </c>
      <c r="AN23" s="153">
        <f t="shared" si="32"/>
        <v>64610.91</v>
      </c>
      <c r="AO23" s="153">
        <f t="shared" si="32"/>
        <v>0</v>
      </c>
      <c r="AP23" s="153">
        <f t="shared" si="32"/>
        <v>63955.710000000006</v>
      </c>
      <c r="AQ23" s="153">
        <f t="shared" si="32"/>
        <v>0</v>
      </c>
      <c r="AR23" s="153">
        <f t="shared" si="32"/>
        <v>57232.539000000004</v>
      </c>
      <c r="AS23" s="153">
        <f t="shared" si="32"/>
        <v>0</v>
      </c>
      <c r="AT23" s="153">
        <f t="shared" si="32"/>
        <v>56577.339000000007</v>
      </c>
      <c r="AU23" s="153">
        <f t="shared" si="32"/>
        <v>0</v>
      </c>
      <c r="AV23" s="153">
        <f t="shared" si="32"/>
        <v>55922.13900000001</v>
      </c>
      <c r="AW23" s="153">
        <f t="shared" si="32"/>
        <v>0</v>
      </c>
      <c r="AX23" s="153">
        <f t="shared" si="32"/>
        <v>55266.939000000013</v>
      </c>
      <c r="AY23" s="153">
        <f t="shared" si="32"/>
        <v>0</v>
      </c>
      <c r="AZ23" s="153">
        <f t="shared" si="32"/>
        <v>54611.739000000009</v>
      </c>
      <c r="BA23" s="153">
        <f t="shared" si="32"/>
        <v>0</v>
      </c>
      <c r="BB23" s="153">
        <f t="shared" si="32"/>
        <v>0</v>
      </c>
      <c r="BC23" s="153">
        <f t="shared" si="32"/>
        <v>0</v>
      </c>
      <c r="BD23" s="153">
        <f t="shared" si="32"/>
        <v>53301.339000000007</v>
      </c>
      <c r="BE23" s="153">
        <f t="shared" si="32"/>
        <v>0</v>
      </c>
      <c r="BF23" s="153">
        <f t="shared" si="32"/>
        <v>52646.13900000001</v>
      </c>
      <c r="BG23" s="153">
        <f t="shared" si="32"/>
        <v>0</v>
      </c>
      <c r="BH23" s="153">
        <f t="shared" si="32"/>
        <v>93713.427000000011</v>
      </c>
      <c r="BI23" s="153">
        <f t="shared" si="32"/>
        <v>0</v>
      </c>
      <c r="BJ23" s="153">
        <f t="shared" si="32"/>
        <v>93713.427000000011</v>
      </c>
      <c r="BK23" s="153">
        <f t="shared" si="32"/>
        <v>0</v>
      </c>
      <c r="BL23" s="153">
        <f t="shared" si="32"/>
        <v>93713.427000000011</v>
      </c>
      <c r="BM23" s="153">
        <f t="shared" si="32"/>
        <v>0</v>
      </c>
      <c r="BN23" s="153">
        <f t="shared" si="32"/>
        <v>93713.427000000011</v>
      </c>
      <c r="BO23" s="153">
        <f t="shared" si="32"/>
        <v>0</v>
      </c>
      <c r="BP23" s="153">
        <f t="shared" si="32"/>
        <v>93713.427000000011</v>
      </c>
      <c r="BQ23" s="153">
        <f t="shared" si="32"/>
        <v>0</v>
      </c>
      <c r="BR23" s="153">
        <f t="shared" si="32"/>
        <v>0</v>
      </c>
      <c r="BS23" s="153">
        <f t="shared" si="32"/>
        <v>0</v>
      </c>
      <c r="BT23" s="153">
        <f t="shared" si="32"/>
        <v>93713.427000000011</v>
      </c>
      <c r="BU23" s="153">
        <f t="shared" si="32"/>
        <v>0</v>
      </c>
      <c r="BV23" s="153">
        <f t="shared" si="32"/>
        <v>93713.427000000011</v>
      </c>
      <c r="BW23" s="153">
        <f t="shared" si="32"/>
        <v>0</v>
      </c>
      <c r="BX23" s="153">
        <f t="shared" ref="BX23:CI23" si="33">IF(BX3=1,IF(BX15&gt;BX7,BX7*$E$6,BX15*$E$6),0)</f>
        <v>93713.427000000011</v>
      </c>
      <c r="BY23" s="153">
        <f t="shared" si="33"/>
        <v>0</v>
      </c>
      <c r="BZ23" s="153">
        <f t="shared" si="33"/>
        <v>93713.427000000011</v>
      </c>
      <c r="CA23" s="153">
        <f t="shared" si="33"/>
        <v>0</v>
      </c>
      <c r="CB23" s="153">
        <f t="shared" si="33"/>
        <v>93713.427000000011</v>
      </c>
      <c r="CC23" s="153">
        <f t="shared" si="33"/>
        <v>0</v>
      </c>
      <c r="CD23" s="153">
        <f t="shared" si="33"/>
        <v>93713.427000000011</v>
      </c>
      <c r="CE23" s="153">
        <f t="shared" si="33"/>
        <v>0</v>
      </c>
      <c r="CF23" s="153">
        <f t="shared" si="33"/>
        <v>93713.427000000011</v>
      </c>
      <c r="CG23" s="153">
        <f t="shared" si="33"/>
        <v>0</v>
      </c>
      <c r="CH23" s="153">
        <f t="shared" si="33"/>
        <v>0</v>
      </c>
      <c r="CI23" s="153">
        <f t="shared" si="33"/>
        <v>0</v>
      </c>
    </row>
    <row r="24" spans="1:87" ht="30" x14ac:dyDescent="0.25">
      <c r="A24" s="136" t="s">
        <v>711</v>
      </c>
      <c r="B24" s="157">
        <f>B25+B26+B27+B28</f>
        <v>42675.499999999993</v>
      </c>
      <c r="C24" s="155" t="s">
        <v>749</v>
      </c>
      <c r="D24" s="137" t="s">
        <v>712</v>
      </c>
      <c r="E24" s="137" t="s">
        <v>713</v>
      </c>
      <c r="F24" s="137" t="s">
        <v>715</v>
      </c>
      <c r="G24" s="137"/>
      <c r="H24" s="137"/>
      <c r="J24" s="152" t="s">
        <v>750</v>
      </c>
      <c r="K24" s="153">
        <f>IF(K3=1,IF(K16&gt;K8,K8*$E$7,K16*$E$7),0)</f>
        <v>97308.741299999994</v>
      </c>
      <c r="L24" s="153">
        <f t="shared" ref="L24:BW24" si="34">IF(L3=1,IF(L16&gt;L8,L8*$E$7,L16*$E$7),0)</f>
        <v>0</v>
      </c>
      <c r="M24" s="153">
        <f t="shared" si="34"/>
        <v>96525.834900000002</v>
      </c>
      <c r="N24" s="153">
        <f t="shared" si="34"/>
        <v>0</v>
      </c>
      <c r="O24" s="153">
        <f t="shared" si="34"/>
        <v>95742.928499999995</v>
      </c>
      <c r="P24" s="153">
        <f t="shared" si="34"/>
        <v>0</v>
      </c>
      <c r="Q24" s="153">
        <f t="shared" si="34"/>
        <v>94960.022099999987</v>
      </c>
      <c r="R24" s="153">
        <f t="shared" si="34"/>
        <v>0</v>
      </c>
      <c r="S24" s="153">
        <f t="shared" si="34"/>
        <v>94177.11569999998</v>
      </c>
      <c r="T24" s="153">
        <f t="shared" si="34"/>
        <v>0</v>
      </c>
      <c r="U24" s="153">
        <f t="shared" si="34"/>
        <v>93394.209300000002</v>
      </c>
      <c r="V24" s="153">
        <f t="shared" si="34"/>
        <v>0</v>
      </c>
      <c r="W24" s="153">
        <f t="shared" si="34"/>
        <v>0</v>
      </c>
      <c r="X24" s="153">
        <f t="shared" si="34"/>
        <v>0</v>
      </c>
      <c r="Y24" s="153">
        <f t="shared" si="34"/>
        <v>91828.396499999988</v>
      </c>
      <c r="Z24" s="153">
        <f t="shared" si="34"/>
        <v>0</v>
      </c>
      <c r="AA24" s="153">
        <f t="shared" si="34"/>
        <v>82293.248970000015</v>
      </c>
      <c r="AB24" s="153">
        <f t="shared" si="34"/>
        <v>0</v>
      </c>
      <c r="AC24" s="153">
        <f t="shared" si="34"/>
        <v>81510.342570000008</v>
      </c>
      <c r="AD24" s="153">
        <f t="shared" si="34"/>
        <v>0</v>
      </c>
      <c r="AE24" s="153">
        <f t="shared" si="34"/>
        <v>80727.436170000001</v>
      </c>
      <c r="AF24" s="153">
        <f t="shared" si="34"/>
        <v>0</v>
      </c>
      <c r="AG24" s="153">
        <f t="shared" si="34"/>
        <v>79944.529769999994</v>
      </c>
      <c r="AH24" s="153">
        <f t="shared" si="34"/>
        <v>0</v>
      </c>
      <c r="AI24" s="153">
        <f t="shared" si="34"/>
        <v>79161.623370000001</v>
      </c>
      <c r="AJ24" s="153">
        <f t="shared" si="34"/>
        <v>0</v>
      </c>
      <c r="AK24" s="153">
        <f t="shared" si="34"/>
        <v>78378.716970000009</v>
      </c>
      <c r="AL24" s="153">
        <f t="shared" si="34"/>
        <v>0</v>
      </c>
      <c r="AM24" s="153">
        <f t="shared" si="34"/>
        <v>0</v>
      </c>
      <c r="AN24" s="153">
        <f t="shared" si="34"/>
        <v>77204.357370000012</v>
      </c>
      <c r="AO24" s="153">
        <f t="shared" si="34"/>
        <v>0</v>
      </c>
      <c r="AP24" s="153">
        <f t="shared" si="34"/>
        <v>76421.450970000005</v>
      </c>
      <c r="AQ24" s="153">
        <f t="shared" si="34"/>
        <v>0</v>
      </c>
      <c r="AR24" s="153">
        <f t="shared" si="34"/>
        <v>68387.852673000001</v>
      </c>
      <c r="AS24" s="153">
        <f t="shared" si="34"/>
        <v>0</v>
      </c>
      <c r="AT24" s="153">
        <f t="shared" si="34"/>
        <v>67604.946273000009</v>
      </c>
      <c r="AU24" s="153">
        <f t="shared" si="34"/>
        <v>0</v>
      </c>
      <c r="AV24" s="153">
        <f t="shared" si="34"/>
        <v>66822.039873000002</v>
      </c>
      <c r="AW24" s="153">
        <f t="shared" si="34"/>
        <v>0</v>
      </c>
      <c r="AX24" s="153">
        <f t="shared" si="34"/>
        <v>66039.133473000009</v>
      </c>
      <c r="AY24" s="153">
        <f t="shared" si="34"/>
        <v>0</v>
      </c>
      <c r="AZ24" s="153">
        <f t="shared" si="34"/>
        <v>65256.227073000009</v>
      </c>
      <c r="BA24" s="153">
        <f t="shared" si="34"/>
        <v>0</v>
      </c>
      <c r="BB24" s="153">
        <f t="shared" si="34"/>
        <v>0</v>
      </c>
      <c r="BC24" s="153">
        <f t="shared" si="34"/>
        <v>0</v>
      </c>
      <c r="BD24" s="153">
        <f t="shared" si="34"/>
        <v>63690.414273000009</v>
      </c>
      <c r="BE24" s="153">
        <f t="shared" si="34"/>
        <v>0</v>
      </c>
      <c r="BF24" s="153">
        <f t="shared" si="34"/>
        <v>62907.507873000002</v>
      </c>
      <c r="BG24" s="153">
        <f t="shared" si="34"/>
        <v>0</v>
      </c>
      <c r="BH24" s="153">
        <f t="shared" si="34"/>
        <v>150109.17082500001</v>
      </c>
      <c r="BI24" s="153">
        <f t="shared" si="34"/>
        <v>0</v>
      </c>
      <c r="BJ24" s="153">
        <f t="shared" si="34"/>
        <v>150109.17082500001</v>
      </c>
      <c r="BK24" s="153">
        <f t="shared" si="34"/>
        <v>0</v>
      </c>
      <c r="BL24" s="153">
        <f t="shared" si="34"/>
        <v>150109.17082500001</v>
      </c>
      <c r="BM24" s="153">
        <f t="shared" si="34"/>
        <v>0</v>
      </c>
      <c r="BN24" s="153">
        <f t="shared" si="34"/>
        <v>150109.17082500001</v>
      </c>
      <c r="BO24" s="153">
        <f t="shared" si="34"/>
        <v>0</v>
      </c>
      <c r="BP24" s="153">
        <f t="shared" si="34"/>
        <v>150109.17082500001</v>
      </c>
      <c r="BQ24" s="153">
        <f t="shared" si="34"/>
        <v>0</v>
      </c>
      <c r="BR24" s="153">
        <f t="shared" si="34"/>
        <v>0</v>
      </c>
      <c r="BS24" s="153">
        <f t="shared" si="34"/>
        <v>0</v>
      </c>
      <c r="BT24" s="153">
        <f t="shared" si="34"/>
        <v>150109.17082500001</v>
      </c>
      <c r="BU24" s="153">
        <f t="shared" si="34"/>
        <v>0</v>
      </c>
      <c r="BV24" s="153">
        <f t="shared" si="34"/>
        <v>150109.17082500001</v>
      </c>
      <c r="BW24" s="153">
        <f t="shared" si="34"/>
        <v>0</v>
      </c>
      <c r="BX24" s="153">
        <f t="shared" ref="BX24:CI24" si="35">IF(BX3=1,IF(BX16&gt;BX8,BX8*$E$7,BX16*$E$7),0)</f>
        <v>150109.17082500001</v>
      </c>
      <c r="BY24" s="153">
        <f t="shared" si="35"/>
        <v>0</v>
      </c>
      <c r="BZ24" s="153">
        <f t="shared" si="35"/>
        <v>150109.17082500001</v>
      </c>
      <c r="CA24" s="153">
        <f t="shared" si="35"/>
        <v>0</v>
      </c>
      <c r="CB24" s="153">
        <f t="shared" si="35"/>
        <v>150109.17082500001</v>
      </c>
      <c r="CC24" s="153">
        <f t="shared" si="35"/>
        <v>0</v>
      </c>
      <c r="CD24" s="153">
        <f t="shared" si="35"/>
        <v>150109.17082500001</v>
      </c>
      <c r="CE24" s="153">
        <f t="shared" si="35"/>
        <v>0</v>
      </c>
      <c r="CF24" s="153">
        <f t="shared" si="35"/>
        <v>150109.17082500001</v>
      </c>
      <c r="CG24" s="153">
        <f t="shared" si="35"/>
        <v>0</v>
      </c>
      <c r="CH24" s="153">
        <f t="shared" si="35"/>
        <v>0</v>
      </c>
      <c r="CI24" s="153">
        <f t="shared" si="35"/>
        <v>0</v>
      </c>
    </row>
    <row r="25" spans="1:87" ht="30" x14ac:dyDescent="0.25">
      <c r="A25" s="136" t="s">
        <v>719</v>
      </c>
      <c r="B25" s="158">
        <f>B5*B23</f>
        <v>24421.599999999999</v>
      </c>
      <c r="C25" s="159">
        <f>B25-B5</f>
        <v>-10466.400000000001</v>
      </c>
      <c r="D25" s="155">
        <f>C25*C5</f>
        <v>-5233.2000000000007</v>
      </c>
      <c r="E25" s="160">
        <f>IF(C25&gt;0,C25*D5,0)</f>
        <v>0</v>
      </c>
      <c r="F25" s="161">
        <f>IF(C25&lt;0,C25*F5,0)</f>
        <v>-62798.400000000009</v>
      </c>
      <c r="G25" s="161"/>
      <c r="H25" s="161"/>
      <c r="J25" s="152" t="s">
        <v>751</v>
      </c>
      <c r="K25" s="153">
        <f>IF(K3=1,IF(K17&gt;K9,K9*$E$8,K17*$E$8),0)</f>
        <v>18792.899999999998</v>
      </c>
      <c r="L25" s="153">
        <f t="shared" ref="L25:BW25" si="36">IF(L3=1,IF(L17&gt;L9,L9*$E$8,L17*$E$8),0)</f>
        <v>0</v>
      </c>
      <c r="M25" s="153">
        <f t="shared" si="36"/>
        <v>18641.7</v>
      </c>
      <c r="N25" s="153">
        <f t="shared" si="36"/>
        <v>0</v>
      </c>
      <c r="O25" s="153">
        <f t="shared" si="36"/>
        <v>18490.5</v>
      </c>
      <c r="P25" s="153">
        <f t="shared" si="36"/>
        <v>0</v>
      </c>
      <c r="Q25" s="153">
        <f t="shared" si="36"/>
        <v>18339.3</v>
      </c>
      <c r="R25" s="153">
        <f t="shared" si="36"/>
        <v>0</v>
      </c>
      <c r="S25" s="153">
        <f t="shared" si="36"/>
        <v>18188.099999999999</v>
      </c>
      <c r="T25" s="153">
        <f t="shared" si="36"/>
        <v>0</v>
      </c>
      <c r="U25" s="153">
        <f t="shared" si="36"/>
        <v>18036.900000000001</v>
      </c>
      <c r="V25" s="153">
        <f t="shared" si="36"/>
        <v>0</v>
      </c>
      <c r="W25" s="153">
        <f t="shared" si="36"/>
        <v>0</v>
      </c>
      <c r="X25" s="153">
        <f t="shared" si="36"/>
        <v>0</v>
      </c>
      <c r="Y25" s="153">
        <f t="shared" si="36"/>
        <v>17734.5</v>
      </c>
      <c r="Z25" s="153">
        <f t="shared" si="36"/>
        <v>0</v>
      </c>
      <c r="AA25" s="153">
        <f t="shared" si="36"/>
        <v>15893.01</v>
      </c>
      <c r="AB25" s="153">
        <f t="shared" si="36"/>
        <v>0</v>
      </c>
      <c r="AC25" s="153">
        <f t="shared" si="36"/>
        <v>15741.810000000001</v>
      </c>
      <c r="AD25" s="153">
        <f t="shared" si="36"/>
        <v>0</v>
      </c>
      <c r="AE25" s="153">
        <f t="shared" si="36"/>
        <v>15590.61</v>
      </c>
      <c r="AF25" s="153">
        <f t="shared" si="36"/>
        <v>0</v>
      </c>
      <c r="AG25" s="153">
        <f t="shared" si="36"/>
        <v>15439.410000000002</v>
      </c>
      <c r="AH25" s="153">
        <f t="shared" si="36"/>
        <v>0</v>
      </c>
      <c r="AI25" s="153">
        <f t="shared" si="36"/>
        <v>15288.210000000001</v>
      </c>
      <c r="AJ25" s="153">
        <f t="shared" si="36"/>
        <v>0</v>
      </c>
      <c r="AK25" s="153">
        <f t="shared" si="36"/>
        <v>15137.010000000002</v>
      </c>
      <c r="AL25" s="153">
        <f t="shared" si="36"/>
        <v>0</v>
      </c>
      <c r="AM25" s="153">
        <f t="shared" si="36"/>
        <v>0</v>
      </c>
      <c r="AN25" s="153">
        <f t="shared" si="36"/>
        <v>14910.210000000001</v>
      </c>
      <c r="AO25" s="153">
        <f t="shared" si="36"/>
        <v>0</v>
      </c>
      <c r="AP25" s="153">
        <f t="shared" si="36"/>
        <v>14759.010000000002</v>
      </c>
      <c r="AQ25" s="153">
        <f t="shared" si="36"/>
        <v>0</v>
      </c>
      <c r="AR25" s="153">
        <f t="shared" si="36"/>
        <v>13207.509000000002</v>
      </c>
      <c r="AS25" s="153">
        <f t="shared" si="36"/>
        <v>0</v>
      </c>
      <c r="AT25" s="153">
        <f t="shared" si="36"/>
        <v>13056.309000000001</v>
      </c>
      <c r="AU25" s="153">
        <f t="shared" si="36"/>
        <v>0</v>
      </c>
      <c r="AV25" s="153">
        <f t="shared" si="36"/>
        <v>12905.109000000002</v>
      </c>
      <c r="AW25" s="153">
        <f t="shared" si="36"/>
        <v>0</v>
      </c>
      <c r="AX25" s="153">
        <f t="shared" si="36"/>
        <v>12753.909000000001</v>
      </c>
      <c r="AY25" s="153">
        <f t="shared" si="36"/>
        <v>0</v>
      </c>
      <c r="AZ25" s="153">
        <f t="shared" si="36"/>
        <v>12602.709000000001</v>
      </c>
      <c r="BA25" s="153">
        <f t="shared" si="36"/>
        <v>0</v>
      </c>
      <c r="BB25" s="153">
        <f t="shared" si="36"/>
        <v>0</v>
      </c>
      <c r="BC25" s="153">
        <f t="shared" si="36"/>
        <v>0</v>
      </c>
      <c r="BD25" s="153">
        <f t="shared" si="36"/>
        <v>12300.309000000001</v>
      </c>
      <c r="BE25" s="153">
        <f t="shared" si="36"/>
        <v>0</v>
      </c>
      <c r="BF25" s="153">
        <f t="shared" si="36"/>
        <v>12149.109</v>
      </c>
      <c r="BG25" s="153">
        <f t="shared" si="36"/>
        <v>0</v>
      </c>
      <c r="BH25" s="153">
        <f t="shared" si="36"/>
        <v>34208.275500000003</v>
      </c>
      <c r="BI25" s="153">
        <f t="shared" si="36"/>
        <v>0</v>
      </c>
      <c r="BJ25" s="153">
        <f t="shared" si="36"/>
        <v>34208.275500000003</v>
      </c>
      <c r="BK25" s="153">
        <f t="shared" si="36"/>
        <v>0</v>
      </c>
      <c r="BL25" s="153">
        <f t="shared" si="36"/>
        <v>34208.275500000003</v>
      </c>
      <c r="BM25" s="153">
        <f t="shared" si="36"/>
        <v>0</v>
      </c>
      <c r="BN25" s="153">
        <f t="shared" si="36"/>
        <v>34208.275500000003</v>
      </c>
      <c r="BO25" s="153">
        <f t="shared" si="36"/>
        <v>0</v>
      </c>
      <c r="BP25" s="153">
        <f t="shared" si="36"/>
        <v>34208.275500000003</v>
      </c>
      <c r="BQ25" s="153">
        <f t="shared" si="36"/>
        <v>0</v>
      </c>
      <c r="BR25" s="153">
        <f t="shared" si="36"/>
        <v>0</v>
      </c>
      <c r="BS25" s="153">
        <f t="shared" si="36"/>
        <v>0</v>
      </c>
      <c r="BT25" s="153">
        <f t="shared" si="36"/>
        <v>34208.275500000003</v>
      </c>
      <c r="BU25" s="153">
        <f t="shared" si="36"/>
        <v>0</v>
      </c>
      <c r="BV25" s="153">
        <f t="shared" si="36"/>
        <v>34208.275500000003</v>
      </c>
      <c r="BW25" s="153">
        <f t="shared" si="36"/>
        <v>0</v>
      </c>
      <c r="BX25" s="153">
        <f t="shared" ref="BX25:CI25" si="37">IF(BX3=1,IF(BX17&gt;BX9,BX9*$E$8,BX17*$E$8),0)</f>
        <v>34208.275500000003</v>
      </c>
      <c r="BY25" s="153">
        <f t="shared" si="37"/>
        <v>0</v>
      </c>
      <c r="BZ25" s="153">
        <f t="shared" si="37"/>
        <v>34208.275500000003</v>
      </c>
      <c r="CA25" s="153">
        <f t="shared" si="37"/>
        <v>0</v>
      </c>
      <c r="CB25" s="153">
        <f t="shared" si="37"/>
        <v>34208.275500000003</v>
      </c>
      <c r="CC25" s="153">
        <f t="shared" si="37"/>
        <v>0</v>
      </c>
      <c r="CD25" s="153">
        <f t="shared" si="37"/>
        <v>34208.275500000003</v>
      </c>
      <c r="CE25" s="153">
        <f t="shared" si="37"/>
        <v>0</v>
      </c>
      <c r="CF25" s="153">
        <f t="shared" si="37"/>
        <v>34208.275500000003</v>
      </c>
      <c r="CG25" s="153">
        <f t="shared" si="37"/>
        <v>0</v>
      </c>
      <c r="CH25" s="153">
        <f t="shared" si="37"/>
        <v>0</v>
      </c>
      <c r="CI25" s="153">
        <f t="shared" si="37"/>
        <v>0</v>
      </c>
    </row>
    <row r="26" spans="1:87" ht="30" x14ac:dyDescent="0.25">
      <c r="A26" s="136" t="s">
        <v>721</v>
      </c>
      <c r="B26" s="158">
        <f>B6*B23</f>
        <v>9373.6999999999989</v>
      </c>
      <c r="C26" s="159">
        <f>B26-B6</f>
        <v>-4017.3000000000011</v>
      </c>
      <c r="D26" s="155">
        <f t="shared" ref="D26:D28" si="38">C26*C6</f>
        <v>-2812.1100000000006</v>
      </c>
      <c r="E26" s="160">
        <f t="shared" ref="E26:E28" si="39">IF(C26&gt;0,C26*D6,0)</f>
        <v>0</v>
      </c>
      <c r="F26" s="161">
        <f t="shared" ref="F26:F28" si="40">IF(C26&lt;0,C26*F6,0)</f>
        <v>-24103.800000000007</v>
      </c>
      <c r="G26" s="161"/>
      <c r="H26" s="161"/>
      <c r="J26" s="162" t="s">
        <v>752</v>
      </c>
      <c r="K26" s="163">
        <f>(-1)*$G$9</f>
        <v>-41599.199999999997</v>
      </c>
      <c r="L26" s="163">
        <f t="shared" ref="L26:BW26" si="41">(-1)*$G$9</f>
        <v>-41599.199999999997</v>
      </c>
      <c r="M26" s="163">
        <f t="shared" si="41"/>
        <v>-41599.199999999997</v>
      </c>
      <c r="N26" s="163">
        <f t="shared" si="41"/>
        <v>-41599.199999999997</v>
      </c>
      <c r="O26" s="163">
        <f t="shared" si="41"/>
        <v>-41599.199999999997</v>
      </c>
      <c r="P26" s="163">
        <f t="shared" si="41"/>
        <v>-41599.199999999997</v>
      </c>
      <c r="Q26" s="163">
        <f t="shared" si="41"/>
        <v>-41599.199999999997</v>
      </c>
      <c r="R26" s="163">
        <f t="shared" si="41"/>
        <v>-41599.199999999997</v>
      </c>
      <c r="S26" s="163">
        <f t="shared" si="41"/>
        <v>-41599.199999999997</v>
      </c>
      <c r="T26" s="163">
        <f t="shared" si="41"/>
        <v>-41599.199999999997</v>
      </c>
      <c r="U26" s="163">
        <f t="shared" si="41"/>
        <v>-41599.199999999997</v>
      </c>
      <c r="V26" s="163">
        <f t="shared" si="41"/>
        <v>-41599.199999999997</v>
      </c>
      <c r="W26" s="163">
        <f t="shared" si="41"/>
        <v>-41599.199999999997</v>
      </c>
      <c r="X26" s="163">
        <f t="shared" si="41"/>
        <v>-41599.199999999997</v>
      </c>
      <c r="Y26" s="163">
        <f t="shared" si="41"/>
        <v>-41599.199999999997</v>
      </c>
      <c r="Z26" s="163">
        <f t="shared" si="41"/>
        <v>-41599.199999999997</v>
      </c>
      <c r="AA26" s="163">
        <f t="shared" si="41"/>
        <v>-41599.199999999997</v>
      </c>
      <c r="AB26" s="163">
        <f t="shared" si="41"/>
        <v>-41599.199999999997</v>
      </c>
      <c r="AC26" s="163">
        <f t="shared" si="41"/>
        <v>-41599.199999999997</v>
      </c>
      <c r="AD26" s="163">
        <f t="shared" si="41"/>
        <v>-41599.199999999997</v>
      </c>
      <c r="AE26" s="163">
        <f t="shared" si="41"/>
        <v>-41599.199999999997</v>
      </c>
      <c r="AF26" s="163">
        <f t="shared" si="41"/>
        <v>-41599.199999999997</v>
      </c>
      <c r="AG26" s="163">
        <f t="shared" si="41"/>
        <v>-41599.199999999997</v>
      </c>
      <c r="AH26" s="163">
        <f t="shared" si="41"/>
        <v>-41599.199999999997</v>
      </c>
      <c r="AI26" s="163">
        <f t="shared" si="41"/>
        <v>-41599.199999999997</v>
      </c>
      <c r="AJ26" s="163">
        <f t="shared" si="41"/>
        <v>-41599.199999999997</v>
      </c>
      <c r="AK26" s="163">
        <f t="shared" si="41"/>
        <v>-41599.199999999997</v>
      </c>
      <c r="AL26" s="163">
        <f t="shared" si="41"/>
        <v>-41599.199999999997</v>
      </c>
      <c r="AM26" s="163">
        <f t="shared" si="41"/>
        <v>-41599.199999999997</v>
      </c>
      <c r="AN26" s="163">
        <f t="shared" si="41"/>
        <v>-41599.199999999997</v>
      </c>
      <c r="AO26" s="163">
        <f t="shared" si="41"/>
        <v>-41599.199999999997</v>
      </c>
      <c r="AP26" s="163">
        <f t="shared" si="41"/>
        <v>-41599.199999999997</v>
      </c>
      <c r="AQ26" s="163">
        <f t="shared" si="41"/>
        <v>-41599.199999999997</v>
      </c>
      <c r="AR26" s="163">
        <f t="shared" si="41"/>
        <v>-41599.199999999997</v>
      </c>
      <c r="AS26" s="163">
        <f t="shared" si="41"/>
        <v>-41599.199999999997</v>
      </c>
      <c r="AT26" s="163">
        <f t="shared" si="41"/>
        <v>-41599.199999999997</v>
      </c>
      <c r="AU26" s="163">
        <f t="shared" si="41"/>
        <v>-41599.199999999997</v>
      </c>
      <c r="AV26" s="163">
        <f t="shared" si="41"/>
        <v>-41599.199999999997</v>
      </c>
      <c r="AW26" s="163">
        <f t="shared" si="41"/>
        <v>-41599.199999999997</v>
      </c>
      <c r="AX26" s="163">
        <f t="shared" si="41"/>
        <v>-41599.199999999997</v>
      </c>
      <c r="AY26" s="163">
        <f t="shared" si="41"/>
        <v>-41599.199999999997</v>
      </c>
      <c r="AZ26" s="163">
        <f t="shared" si="41"/>
        <v>-41599.199999999997</v>
      </c>
      <c r="BA26" s="163">
        <f t="shared" si="41"/>
        <v>-41599.199999999997</v>
      </c>
      <c r="BB26" s="163">
        <f t="shared" si="41"/>
        <v>-41599.199999999997</v>
      </c>
      <c r="BC26" s="163">
        <f t="shared" si="41"/>
        <v>-41599.199999999997</v>
      </c>
      <c r="BD26" s="163">
        <f t="shared" si="41"/>
        <v>-41599.199999999997</v>
      </c>
      <c r="BE26" s="163">
        <f t="shared" si="41"/>
        <v>-41599.199999999997</v>
      </c>
      <c r="BF26" s="163">
        <f t="shared" si="41"/>
        <v>-41599.199999999997</v>
      </c>
      <c r="BG26" s="163">
        <f t="shared" si="41"/>
        <v>-41599.199999999997</v>
      </c>
      <c r="BH26" s="163">
        <f t="shared" si="41"/>
        <v>-41599.199999999997</v>
      </c>
      <c r="BI26" s="163">
        <f t="shared" si="41"/>
        <v>-41599.199999999997</v>
      </c>
      <c r="BJ26" s="163">
        <f t="shared" si="41"/>
        <v>-41599.199999999997</v>
      </c>
      <c r="BK26" s="163">
        <f t="shared" si="41"/>
        <v>-41599.199999999997</v>
      </c>
      <c r="BL26" s="163">
        <f t="shared" si="41"/>
        <v>-41599.199999999997</v>
      </c>
      <c r="BM26" s="163">
        <f t="shared" si="41"/>
        <v>-41599.199999999997</v>
      </c>
      <c r="BN26" s="163">
        <f t="shared" si="41"/>
        <v>-41599.199999999997</v>
      </c>
      <c r="BO26" s="163">
        <f t="shared" si="41"/>
        <v>-41599.199999999997</v>
      </c>
      <c r="BP26" s="163">
        <f t="shared" si="41"/>
        <v>-41599.199999999997</v>
      </c>
      <c r="BQ26" s="163">
        <f t="shared" si="41"/>
        <v>-41599.199999999997</v>
      </c>
      <c r="BR26" s="163">
        <f t="shared" si="41"/>
        <v>-41599.199999999997</v>
      </c>
      <c r="BS26" s="163">
        <f t="shared" si="41"/>
        <v>-41599.199999999997</v>
      </c>
      <c r="BT26" s="163">
        <f t="shared" si="41"/>
        <v>-41599.199999999997</v>
      </c>
      <c r="BU26" s="163">
        <f t="shared" si="41"/>
        <v>-41599.199999999997</v>
      </c>
      <c r="BV26" s="163">
        <f t="shared" si="41"/>
        <v>-41599.199999999997</v>
      </c>
      <c r="BW26" s="163">
        <f t="shared" si="41"/>
        <v>-41599.199999999997</v>
      </c>
      <c r="BX26" s="163">
        <f t="shared" ref="BX26:CI26" si="42">(-1)*$G$9</f>
        <v>-41599.199999999997</v>
      </c>
      <c r="BY26" s="163">
        <f t="shared" si="42"/>
        <v>-41599.199999999997</v>
      </c>
      <c r="BZ26" s="163">
        <f t="shared" si="42"/>
        <v>-41599.199999999997</v>
      </c>
      <c r="CA26" s="163">
        <f t="shared" si="42"/>
        <v>-41599.199999999997</v>
      </c>
      <c r="CB26" s="163">
        <f t="shared" si="42"/>
        <v>-41599.199999999997</v>
      </c>
      <c r="CC26" s="163">
        <f t="shared" si="42"/>
        <v>-41599.199999999997</v>
      </c>
      <c r="CD26" s="163">
        <f t="shared" si="42"/>
        <v>-41599.199999999997</v>
      </c>
      <c r="CE26" s="163">
        <f t="shared" si="42"/>
        <v>-41599.199999999997</v>
      </c>
      <c r="CF26" s="163">
        <f t="shared" si="42"/>
        <v>-41599.199999999997</v>
      </c>
      <c r="CG26" s="163">
        <f t="shared" si="42"/>
        <v>-41599.199999999997</v>
      </c>
      <c r="CH26" s="163">
        <f t="shared" si="42"/>
        <v>-41599.199999999997</v>
      </c>
      <c r="CI26" s="163">
        <f t="shared" si="42"/>
        <v>-41599.199999999997</v>
      </c>
    </row>
    <row r="27" spans="1:87" x14ac:dyDescent="0.25">
      <c r="A27" s="136" t="s">
        <v>723</v>
      </c>
      <c r="B27" s="158">
        <f>B7*B23</f>
        <v>7902.2999999999993</v>
      </c>
      <c r="C27" s="159">
        <f>B27-B7</f>
        <v>-3386.7000000000007</v>
      </c>
      <c r="D27" s="155">
        <f t="shared" si="38"/>
        <v>-3386.7000000000007</v>
      </c>
      <c r="E27" s="160">
        <f t="shared" si="39"/>
        <v>0</v>
      </c>
      <c r="F27" s="161">
        <f t="shared" si="40"/>
        <v>-20320.200000000004</v>
      </c>
      <c r="G27" s="161"/>
      <c r="H27" s="161"/>
      <c r="J27" s="164" t="s">
        <v>753</v>
      </c>
      <c r="K27" s="165">
        <f>IF(K14&gt;K6,$C$5*K6*(-1),K14*$C$5*(-1))</f>
        <v>-12558.43</v>
      </c>
      <c r="L27" s="165">
        <f t="shared" ref="L27:BW27" si="43">IF(L14&gt;L6,$C$5*L6*(-1),L14*$C$5*(-1))</f>
        <v>-12210.8</v>
      </c>
      <c r="M27" s="165">
        <f t="shared" si="43"/>
        <v>-12210.8</v>
      </c>
      <c r="N27" s="165">
        <f t="shared" si="43"/>
        <v>-12210.8</v>
      </c>
      <c r="O27" s="165">
        <f t="shared" si="43"/>
        <v>-12210.8</v>
      </c>
      <c r="P27" s="165">
        <f t="shared" si="43"/>
        <v>-12210.8</v>
      </c>
      <c r="Q27" s="165">
        <f t="shared" si="43"/>
        <v>-12210.8</v>
      </c>
      <c r="R27" s="165">
        <f t="shared" si="43"/>
        <v>-12204.789999999999</v>
      </c>
      <c r="S27" s="165">
        <f t="shared" si="43"/>
        <v>-12154.27</v>
      </c>
      <c r="T27" s="165">
        <f t="shared" si="43"/>
        <v>-12103.75</v>
      </c>
      <c r="U27" s="165">
        <f t="shared" si="43"/>
        <v>-12053.23</v>
      </c>
      <c r="V27" s="165">
        <f t="shared" si="43"/>
        <v>-12002.71</v>
      </c>
      <c r="W27" s="165">
        <f t="shared" si="43"/>
        <v>-11952.19</v>
      </c>
      <c r="X27" s="165">
        <f t="shared" si="43"/>
        <v>-11901.67</v>
      </c>
      <c r="Y27" s="165">
        <f t="shared" si="43"/>
        <v>-11851.15</v>
      </c>
      <c r="Z27" s="165">
        <f t="shared" si="43"/>
        <v>-11800.63</v>
      </c>
      <c r="AA27" s="165">
        <f t="shared" si="43"/>
        <v>-10620.567000000001</v>
      </c>
      <c r="AB27" s="165">
        <f t="shared" si="43"/>
        <v>-10570.047</v>
      </c>
      <c r="AC27" s="165">
        <f t="shared" si="43"/>
        <v>-10519.527000000002</v>
      </c>
      <c r="AD27" s="165">
        <f t="shared" si="43"/>
        <v>-10469.007000000001</v>
      </c>
      <c r="AE27" s="165">
        <f t="shared" si="43"/>
        <v>-10418.487000000001</v>
      </c>
      <c r="AF27" s="165">
        <f t="shared" si="43"/>
        <v>-10367.967000000001</v>
      </c>
      <c r="AG27" s="165">
        <f t="shared" si="43"/>
        <v>-10317.447000000002</v>
      </c>
      <c r="AH27" s="165">
        <f t="shared" si="43"/>
        <v>-10266.927000000001</v>
      </c>
      <c r="AI27" s="165">
        <f t="shared" si="43"/>
        <v>-10216.407000000001</v>
      </c>
      <c r="AJ27" s="165">
        <f t="shared" si="43"/>
        <v>-10165.887000000001</v>
      </c>
      <c r="AK27" s="165">
        <f t="shared" si="43"/>
        <v>-10115.367</v>
      </c>
      <c r="AL27" s="165">
        <f t="shared" si="43"/>
        <v>-10064.847000000002</v>
      </c>
      <c r="AM27" s="165">
        <f t="shared" si="43"/>
        <v>-10014.327000000001</v>
      </c>
      <c r="AN27" s="165">
        <f t="shared" si="43"/>
        <v>-9963.8070000000007</v>
      </c>
      <c r="AO27" s="165">
        <f t="shared" si="43"/>
        <v>-9913.2870000000003</v>
      </c>
      <c r="AP27" s="165">
        <f t="shared" si="43"/>
        <v>-9862.7670000000016</v>
      </c>
      <c r="AQ27" s="165">
        <f t="shared" si="43"/>
        <v>-8876.4903000000013</v>
      </c>
      <c r="AR27" s="165">
        <f t="shared" si="43"/>
        <v>-8825.9703000000009</v>
      </c>
      <c r="AS27" s="165">
        <f t="shared" si="43"/>
        <v>-8775.4503000000004</v>
      </c>
      <c r="AT27" s="165">
        <f t="shared" si="43"/>
        <v>-8724.9303000000018</v>
      </c>
      <c r="AU27" s="165">
        <f t="shared" si="43"/>
        <v>-8674.4103000000014</v>
      </c>
      <c r="AV27" s="165">
        <f t="shared" si="43"/>
        <v>-8623.8903000000009</v>
      </c>
      <c r="AW27" s="165">
        <f t="shared" si="43"/>
        <v>-8573.3703000000005</v>
      </c>
      <c r="AX27" s="165">
        <f t="shared" si="43"/>
        <v>-8522.8503000000019</v>
      </c>
      <c r="AY27" s="165">
        <f t="shared" si="43"/>
        <v>-8472.3303000000014</v>
      </c>
      <c r="AZ27" s="165">
        <f t="shared" si="43"/>
        <v>-8421.810300000001</v>
      </c>
      <c r="BA27" s="165">
        <f t="shared" si="43"/>
        <v>-8371.2903000000006</v>
      </c>
      <c r="BB27" s="165">
        <f t="shared" si="43"/>
        <v>-8320.770300000002</v>
      </c>
      <c r="BC27" s="165">
        <f t="shared" si="43"/>
        <v>-8270.2503000000015</v>
      </c>
      <c r="BD27" s="165">
        <f t="shared" si="43"/>
        <v>-8219.7303000000011</v>
      </c>
      <c r="BE27" s="165">
        <f t="shared" si="43"/>
        <v>-8169.2103000000016</v>
      </c>
      <c r="BF27" s="165">
        <f t="shared" si="43"/>
        <v>-8118.6903000000011</v>
      </c>
      <c r="BG27" s="165">
        <f t="shared" si="43"/>
        <v>-12207.659100000003</v>
      </c>
      <c r="BH27" s="165">
        <f t="shared" si="43"/>
        <v>-12207.659100000003</v>
      </c>
      <c r="BI27" s="165">
        <f t="shared" si="43"/>
        <v>-12207.659100000003</v>
      </c>
      <c r="BJ27" s="165">
        <f t="shared" si="43"/>
        <v>-12207.659100000003</v>
      </c>
      <c r="BK27" s="165">
        <f t="shared" si="43"/>
        <v>-12207.659100000003</v>
      </c>
      <c r="BL27" s="165">
        <f t="shared" si="43"/>
        <v>-12207.659100000003</v>
      </c>
      <c r="BM27" s="165">
        <f t="shared" si="43"/>
        <v>-12207.659100000003</v>
      </c>
      <c r="BN27" s="165">
        <f t="shared" si="43"/>
        <v>-12207.659100000003</v>
      </c>
      <c r="BO27" s="165">
        <f t="shared" si="43"/>
        <v>-12207.659100000003</v>
      </c>
      <c r="BP27" s="165">
        <f t="shared" si="43"/>
        <v>-12207.659100000003</v>
      </c>
      <c r="BQ27" s="165">
        <f t="shared" si="43"/>
        <v>-12207.659100000003</v>
      </c>
      <c r="BR27" s="165">
        <f t="shared" si="43"/>
        <v>-12207.659100000003</v>
      </c>
      <c r="BS27" s="165">
        <f t="shared" si="43"/>
        <v>-12207.659100000003</v>
      </c>
      <c r="BT27" s="165">
        <f t="shared" si="43"/>
        <v>-12207.659100000003</v>
      </c>
      <c r="BU27" s="165">
        <f t="shared" si="43"/>
        <v>-12207.659100000003</v>
      </c>
      <c r="BV27" s="165">
        <f t="shared" si="43"/>
        <v>-12207.659100000003</v>
      </c>
      <c r="BW27" s="165">
        <f t="shared" si="43"/>
        <v>-12207.659100000003</v>
      </c>
      <c r="BX27" s="165">
        <f t="shared" ref="BX27:CI27" si="44">IF(BX14&gt;BX6,$C$5*BX6*(-1),BX14*$C$5*(-1))</f>
        <v>-12207.659100000003</v>
      </c>
      <c r="BY27" s="165">
        <f t="shared" si="44"/>
        <v>-12207.659100000003</v>
      </c>
      <c r="BZ27" s="165">
        <f t="shared" si="44"/>
        <v>-12207.659100000003</v>
      </c>
      <c r="CA27" s="165">
        <f t="shared" si="44"/>
        <v>-12207.659100000003</v>
      </c>
      <c r="CB27" s="165">
        <f t="shared" si="44"/>
        <v>-12207.659100000003</v>
      </c>
      <c r="CC27" s="165">
        <f t="shared" si="44"/>
        <v>-12207.659100000003</v>
      </c>
      <c r="CD27" s="165">
        <f t="shared" si="44"/>
        <v>-12207.659100000003</v>
      </c>
      <c r="CE27" s="165">
        <f t="shared" si="44"/>
        <v>-12207.659100000003</v>
      </c>
      <c r="CF27" s="165">
        <f t="shared" si="44"/>
        <v>-12207.659100000003</v>
      </c>
      <c r="CG27" s="165">
        <f t="shared" si="44"/>
        <v>-12207.659100000003</v>
      </c>
      <c r="CH27" s="165">
        <f t="shared" si="44"/>
        <v>-12207.659100000003</v>
      </c>
      <c r="CI27" s="165">
        <f t="shared" si="44"/>
        <v>-12207.659100000003</v>
      </c>
    </row>
    <row r="28" spans="1:87" x14ac:dyDescent="0.25">
      <c r="A28" s="136" t="s">
        <v>725</v>
      </c>
      <c r="B28" s="158">
        <f>B8*B23</f>
        <v>977.9</v>
      </c>
      <c r="C28" s="159">
        <f>B28-B8</f>
        <v>-419.1</v>
      </c>
      <c r="D28" s="155">
        <f t="shared" si="38"/>
        <v>-1047.75</v>
      </c>
      <c r="E28" s="160">
        <f t="shared" si="39"/>
        <v>0</v>
      </c>
      <c r="F28" s="161">
        <f t="shared" si="40"/>
        <v>-2514.6000000000004</v>
      </c>
      <c r="G28" s="161"/>
      <c r="H28" s="161"/>
      <c r="J28" s="164" t="s">
        <v>754</v>
      </c>
      <c r="K28" s="165">
        <f>IF(K15&gt;K7,$C$6*K7*(-1),K15*$C$6*(-1))</f>
        <v>-5700.5129999999999</v>
      </c>
      <c r="L28" s="165">
        <f t="shared" ref="L28:BW28" si="45">IF(L15&gt;L7,$C$6*L7*(-1),L15*$C$6*(-1))</f>
        <v>-5677.5809999999992</v>
      </c>
      <c r="M28" s="165">
        <f t="shared" si="45"/>
        <v>-5654.6489999999994</v>
      </c>
      <c r="N28" s="165">
        <f t="shared" si="45"/>
        <v>-5631.7169999999996</v>
      </c>
      <c r="O28" s="165">
        <f t="shared" si="45"/>
        <v>-5608.7849999999999</v>
      </c>
      <c r="P28" s="165">
        <f t="shared" si="45"/>
        <v>-5585.8530000000001</v>
      </c>
      <c r="Q28" s="165">
        <f t="shared" si="45"/>
        <v>-5562.9209999999994</v>
      </c>
      <c r="R28" s="165">
        <f t="shared" si="45"/>
        <v>-5539.9889999999996</v>
      </c>
      <c r="S28" s="165">
        <f t="shared" si="45"/>
        <v>-5517.0569999999998</v>
      </c>
      <c r="T28" s="165">
        <f t="shared" si="45"/>
        <v>-5494.125</v>
      </c>
      <c r="U28" s="165">
        <f t="shared" si="45"/>
        <v>-5471.1929999999993</v>
      </c>
      <c r="V28" s="165">
        <f t="shared" si="45"/>
        <v>-5448.2609999999995</v>
      </c>
      <c r="W28" s="165">
        <f t="shared" si="45"/>
        <v>-5425.3289999999997</v>
      </c>
      <c r="X28" s="165">
        <f t="shared" si="45"/>
        <v>-5402.3969999999999</v>
      </c>
      <c r="Y28" s="165">
        <f t="shared" si="45"/>
        <v>-5379.4649999999992</v>
      </c>
      <c r="Z28" s="165">
        <f t="shared" si="45"/>
        <v>-5356.5329999999994</v>
      </c>
      <c r="AA28" s="165">
        <f t="shared" si="45"/>
        <v>-4820.8797000000004</v>
      </c>
      <c r="AB28" s="165">
        <f t="shared" si="45"/>
        <v>-4797.9477000000006</v>
      </c>
      <c r="AC28" s="165">
        <f t="shared" si="45"/>
        <v>-4775.0156999999999</v>
      </c>
      <c r="AD28" s="165">
        <f t="shared" si="45"/>
        <v>-4752.0837000000001</v>
      </c>
      <c r="AE28" s="165">
        <f t="shared" si="45"/>
        <v>-4729.1517000000003</v>
      </c>
      <c r="AF28" s="165">
        <f t="shared" si="45"/>
        <v>-4706.2196999999996</v>
      </c>
      <c r="AG28" s="165">
        <f t="shared" si="45"/>
        <v>-4683.2877000000008</v>
      </c>
      <c r="AH28" s="165">
        <f t="shared" si="45"/>
        <v>-4660.3557000000001</v>
      </c>
      <c r="AI28" s="165">
        <f t="shared" si="45"/>
        <v>-4637.4237000000003</v>
      </c>
      <c r="AJ28" s="165">
        <f t="shared" si="45"/>
        <v>-4614.4916999999996</v>
      </c>
      <c r="AK28" s="165">
        <f t="shared" si="45"/>
        <v>-4591.5597000000007</v>
      </c>
      <c r="AL28" s="165">
        <f t="shared" si="45"/>
        <v>-4568.6277</v>
      </c>
      <c r="AM28" s="165">
        <f t="shared" si="45"/>
        <v>-4545.6957000000002</v>
      </c>
      <c r="AN28" s="165">
        <f t="shared" si="45"/>
        <v>-4522.7636999999995</v>
      </c>
      <c r="AO28" s="165">
        <f t="shared" si="45"/>
        <v>-4499.8317000000006</v>
      </c>
      <c r="AP28" s="165">
        <f t="shared" si="45"/>
        <v>-4476.8996999999999</v>
      </c>
      <c r="AQ28" s="165">
        <f t="shared" si="45"/>
        <v>-4029.2097300000005</v>
      </c>
      <c r="AR28" s="165">
        <f t="shared" si="45"/>
        <v>-4006.2777300000002</v>
      </c>
      <c r="AS28" s="165">
        <f t="shared" si="45"/>
        <v>-3983.34573</v>
      </c>
      <c r="AT28" s="165">
        <f t="shared" si="45"/>
        <v>-3960.4137300000007</v>
      </c>
      <c r="AU28" s="165">
        <f t="shared" si="45"/>
        <v>-3937.4817300000004</v>
      </c>
      <c r="AV28" s="165">
        <f t="shared" si="45"/>
        <v>-3914.5497300000002</v>
      </c>
      <c r="AW28" s="165">
        <f t="shared" si="45"/>
        <v>-3891.6177299999999</v>
      </c>
      <c r="AX28" s="165">
        <f t="shared" si="45"/>
        <v>-3868.6857300000006</v>
      </c>
      <c r="AY28" s="165">
        <f t="shared" si="45"/>
        <v>-3845.7537300000004</v>
      </c>
      <c r="AZ28" s="165">
        <f t="shared" si="45"/>
        <v>-3822.8217300000001</v>
      </c>
      <c r="BA28" s="165">
        <f t="shared" si="45"/>
        <v>-3799.8897299999999</v>
      </c>
      <c r="BB28" s="165">
        <f t="shared" si="45"/>
        <v>-3776.9577300000005</v>
      </c>
      <c r="BC28" s="165">
        <f t="shared" si="45"/>
        <v>-3754.0257300000003</v>
      </c>
      <c r="BD28" s="165">
        <f t="shared" si="45"/>
        <v>-3731.0937300000001</v>
      </c>
      <c r="BE28" s="165">
        <f t="shared" si="45"/>
        <v>-3708.1617300000003</v>
      </c>
      <c r="BF28" s="165">
        <f t="shared" si="45"/>
        <v>-3685.2297300000005</v>
      </c>
      <c r="BG28" s="165">
        <f t="shared" si="45"/>
        <v>-6559.9398900000006</v>
      </c>
      <c r="BH28" s="165">
        <f t="shared" si="45"/>
        <v>-6559.9398900000006</v>
      </c>
      <c r="BI28" s="165">
        <f t="shared" si="45"/>
        <v>-6559.9398900000006</v>
      </c>
      <c r="BJ28" s="165">
        <f t="shared" si="45"/>
        <v>-6559.9398900000006</v>
      </c>
      <c r="BK28" s="165">
        <f t="shared" si="45"/>
        <v>-6559.9398900000006</v>
      </c>
      <c r="BL28" s="165">
        <f t="shared" si="45"/>
        <v>-6559.9398900000006</v>
      </c>
      <c r="BM28" s="165">
        <f t="shared" si="45"/>
        <v>-6559.9398900000006</v>
      </c>
      <c r="BN28" s="165">
        <f t="shared" si="45"/>
        <v>-6559.9398900000006</v>
      </c>
      <c r="BO28" s="165">
        <f t="shared" si="45"/>
        <v>-6559.9398900000006</v>
      </c>
      <c r="BP28" s="165">
        <f t="shared" si="45"/>
        <v>-6559.9398900000006</v>
      </c>
      <c r="BQ28" s="165">
        <f t="shared" si="45"/>
        <v>-6559.9398900000006</v>
      </c>
      <c r="BR28" s="165">
        <f t="shared" si="45"/>
        <v>-6559.9398900000006</v>
      </c>
      <c r="BS28" s="165">
        <f t="shared" si="45"/>
        <v>-6559.9398900000006</v>
      </c>
      <c r="BT28" s="165">
        <f t="shared" si="45"/>
        <v>-6559.9398900000006</v>
      </c>
      <c r="BU28" s="165">
        <f t="shared" si="45"/>
        <v>-6559.9398900000006</v>
      </c>
      <c r="BV28" s="165">
        <f t="shared" si="45"/>
        <v>-6559.9398900000006</v>
      </c>
      <c r="BW28" s="165">
        <f t="shared" si="45"/>
        <v>-6559.9398900000006</v>
      </c>
      <c r="BX28" s="165">
        <f t="shared" ref="BX28:CI28" si="46">IF(BX15&gt;BX7,$C$6*BX7*(-1),BX15*$C$6*(-1))</f>
        <v>-6559.9398900000006</v>
      </c>
      <c r="BY28" s="165">
        <f t="shared" si="46"/>
        <v>-6559.9398900000006</v>
      </c>
      <c r="BZ28" s="165">
        <f t="shared" si="46"/>
        <v>-6559.9398900000006</v>
      </c>
      <c r="CA28" s="165">
        <f t="shared" si="46"/>
        <v>-6559.9398900000006</v>
      </c>
      <c r="CB28" s="165">
        <f t="shared" si="46"/>
        <v>-6559.9398900000006</v>
      </c>
      <c r="CC28" s="165">
        <f t="shared" si="46"/>
        <v>-6559.9398900000006</v>
      </c>
      <c r="CD28" s="165">
        <f t="shared" si="46"/>
        <v>-6559.9398900000006</v>
      </c>
      <c r="CE28" s="165">
        <f t="shared" si="46"/>
        <v>-6559.9398900000006</v>
      </c>
      <c r="CF28" s="165">
        <f t="shared" si="46"/>
        <v>-6559.9398900000006</v>
      </c>
      <c r="CG28" s="165">
        <f t="shared" si="46"/>
        <v>-6559.9398900000006</v>
      </c>
      <c r="CH28" s="165">
        <f t="shared" si="46"/>
        <v>-6559.9398900000006</v>
      </c>
      <c r="CI28" s="165">
        <f t="shared" si="46"/>
        <v>-6559.9398900000006</v>
      </c>
    </row>
    <row r="29" spans="1:87" x14ac:dyDescent="0.25">
      <c r="C29" s="35"/>
      <c r="D29" s="35"/>
      <c r="E29" s="35"/>
      <c r="J29" s="164" t="s">
        <v>755</v>
      </c>
      <c r="K29" s="165">
        <f>IF(K16&gt;K8,$C$7*K8*(-1),K16*$C$7*(-1))</f>
        <v>-5121.5126999999993</v>
      </c>
      <c r="L29" s="165">
        <f t="shared" ref="L29:BW29" si="47">IF(L16&gt;L8,$C$7*L8*(-1),L16*$C$7*(-1))</f>
        <v>-5100.9098999999997</v>
      </c>
      <c r="M29" s="165">
        <f t="shared" si="47"/>
        <v>-5080.3071</v>
      </c>
      <c r="N29" s="165">
        <f t="shared" si="47"/>
        <v>-5059.7042999999994</v>
      </c>
      <c r="O29" s="165">
        <f t="shared" si="47"/>
        <v>-5039.1014999999998</v>
      </c>
      <c r="P29" s="165">
        <f t="shared" si="47"/>
        <v>-5018.4986999999992</v>
      </c>
      <c r="Q29" s="165">
        <f t="shared" si="47"/>
        <v>-4997.8958999999995</v>
      </c>
      <c r="R29" s="165">
        <f t="shared" si="47"/>
        <v>-4977.2930999999999</v>
      </c>
      <c r="S29" s="165">
        <f t="shared" si="47"/>
        <v>-4956.6902999999993</v>
      </c>
      <c r="T29" s="165">
        <f t="shared" si="47"/>
        <v>-4936.0874999999996</v>
      </c>
      <c r="U29" s="165">
        <f t="shared" si="47"/>
        <v>-4915.4847</v>
      </c>
      <c r="V29" s="165">
        <f t="shared" si="47"/>
        <v>-4894.8818999999994</v>
      </c>
      <c r="W29" s="165">
        <f t="shared" si="47"/>
        <v>-4874.2790999999997</v>
      </c>
      <c r="X29" s="165">
        <f t="shared" si="47"/>
        <v>-4853.6763000000001</v>
      </c>
      <c r="Y29" s="165">
        <f t="shared" si="47"/>
        <v>-4833.0734999999995</v>
      </c>
      <c r="Z29" s="165">
        <f t="shared" si="47"/>
        <v>-4812.4706999999999</v>
      </c>
      <c r="AA29" s="165">
        <f t="shared" si="47"/>
        <v>-4331.2236300000004</v>
      </c>
      <c r="AB29" s="165">
        <f t="shared" si="47"/>
        <v>-4310.6208299999998</v>
      </c>
      <c r="AC29" s="165">
        <f t="shared" si="47"/>
        <v>-4290.0180300000002</v>
      </c>
      <c r="AD29" s="165">
        <f t="shared" si="47"/>
        <v>-4269.4152300000005</v>
      </c>
      <c r="AE29" s="165">
        <f t="shared" si="47"/>
        <v>-4248.8124299999999</v>
      </c>
      <c r="AF29" s="165">
        <f t="shared" si="47"/>
        <v>-4228.2096300000003</v>
      </c>
      <c r="AG29" s="165">
        <f t="shared" si="47"/>
        <v>-4207.6068299999997</v>
      </c>
      <c r="AH29" s="165">
        <f t="shared" si="47"/>
        <v>-4187.0040300000001</v>
      </c>
      <c r="AI29" s="165">
        <f t="shared" si="47"/>
        <v>-4166.4012300000004</v>
      </c>
      <c r="AJ29" s="165">
        <f t="shared" si="47"/>
        <v>-4145.7984299999998</v>
      </c>
      <c r="AK29" s="165">
        <f t="shared" si="47"/>
        <v>-4125.1956300000002</v>
      </c>
      <c r="AL29" s="165">
        <f t="shared" si="47"/>
        <v>-4104.5928300000005</v>
      </c>
      <c r="AM29" s="165">
        <f t="shared" si="47"/>
        <v>-4083.9900300000004</v>
      </c>
      <c r="AN29" s="165">
        <f t="shared" si="47"/>
        <v>-4063.3872300000003</v>
      </c>
      <c r="AO29" s="165">
        <f t="shared" si="47"/>
        <v>-4042.7844300000002</v>
      </c>
      <c r="AP29" s="165">
        <f t="shared" si="47"/>
        <v>-4022.18163</v>
      </c>
      <c r="AQ29" s="165">
        <f t="shared" si="47"/>
        <v>-3619.963467</v>
      </c>
      <c r="AR29" s="165">
        <f t="shared" si="47"/>
        <v>-3599.3606670000004</v>
      </c>
      <c r="AS29" s="165">
        <f t="shared" si="47"/>
        <v>-3578.7578670000003</v>
      </c>
      <c r="AT29" s="165">
        <f t="shared" si="47"/>
        <v>-3558.1550670000001</v>
      </c>
      <c r="AU29" s="165">
        <f t="shared" si="47"/>
        <v>-3537.552267</v>
      </c>
      <c r="AV29" s="165">
        <f t="shared" si="47"/>
        <v>-3516.9494670000004</v>
      </c>
      <c r="AW29" s="165">
        <f t="shared" si="47"/>
        <v>-3496.3466670000003</v>
      </c>
      <c r="AX29" s="165">
        <f t="shared" si="47"/>
        <v>-3475.7438670000001</v>
      </c>
      <c r="AY29" s="165">
        <f t="shared" si="47"/>
        <v>-3455.141067</v>
      </c>
      <c r="AZ29" s="165">
        <f t="shared" si="47"/>
        <v>-3434.5382670000004</v>
      </c>
      <c r="BA29" s="165">
        <f t="shared" si="47"/>
        <v>-3413.9354670000002</v>
      </c>
      <c r="BB29" s="165">
        <f t="shared" si="47"/>
        <v>-3393.3326670000001</v>
      </c>
      <c r="BC29" s="165">
        <f t="shared" si="47"/>
        <v>-3372.7298670000005</v>
      </c>
      <c r="BD29" s="165">
        <f t="shared" si="47"/>
        <v>-3352.1270670000004</v>
      </c>
      <c r="BE29" s="165">
        <f t="shared" si="47"/>
        <v>-3331.5242670000002</v>
      </c>
      <c r="BF29" s="165">
        <f t="shared" si="47"/>
        <v>-3310.9214670000001</v>
      </c>
      <c r="BG29" s="165">
        <f t="shared" si="47"/>
        <v>-7900.4826750000002</v>
      </c>
      <c r="BH29" s="165">
        <f t="shared" si="47"/>
        <v>-7900.4826750000002</v>
      </c>
      <c r="BI29" s="165">
        <f t="shared" si="47"/>
        <v>-7900.4826750000002</v>
      </c>
      <c r="BJ29" s="165">
        <f t="shared" si="47"/>
        <v>-7900.4826750000002</v>
      </c>
      <c r="BK29" s="165">
        <f t="shared" si="47"/>
        <v>-7900.4826750000002</v>
      </c>
      <c r="BL29" s="165">
        <f t="shared" si="47"/>
        <v>-7900.4826750000002</v>
      </c>
      <c r="BM29" s="165">
        <f t="shared" si="47"/>
        <v>-7900.4826750000002</v>
      </c>
      <c r="BN29" s="165">
        <f t="shared" si="47"/>
        <v>-7900.4826750000002</v>
      </c>
      <c r="BO29" s="165">
        <f t="shared" si="47"/>
        <v>-7900.4826750000002</v>
      </c>
      <c r="BP29" s="165">
        <f t="shared" si="47"/>
        <v>-7900.4826750000002</v>
      </c>
      <c r="BQ29" s="165">
        <f t="shared" si="47"/>
        <v>-7900.4826750000002</v>
      </c>
      <c r="BR29" s="165">
        <f t="shared" si="47"/>
        <v>-7900.4826750000002</v>
      </c>
      <c r="BS29" s="165">
        <f t="shared" si="47"/>
        <v>-7900.4826750000002</v>
      </c>
      <c r="BT29" s="165">
        <f t="shared" si="47"/>
        <v>-7900.4826750000002</v>
      </c>
      <c r="BU29" s="165">
        <f t="shared" si="47"/>
        <v>-7900.4826750000002</v>
      </c>
      <c r="BV29" s="165">
        <f t="shared" si="47"/>
        <v>-7900.4826750000002</v>
      </c>
      <c r="BW29" s="165">
        <f t="shared" si="47"/>
        <v>-7900.4826750000002</v>
      </c>
      <c r="BX29" s="165">
        <f t="shared" ref="BX29:CI29" si="48">IF(BX16&gt;BX8,$C$7*BX8*(-1),BX16*$C$7*(-1))</f>
        <v>-7900.4826750000002</v>
      </c>
      <c r="BY29" s="165">
        <f t="shared" si="48"/>
        <v>-7900.4826750000002</v>
      </c>
      <c r="BZ29" s="165">
        <f t="shared" si="48"/>
        <v>-7900.4826750000002</v>
      </c>
      <c r="CA29" s="165">
        <f t="shared" si="48"/>
        <v>-7900.4826750000002</v>
      </c>
      <c r="CB29" s="165">
        <f t="shared" si="48"/>
        <v>-7900.4826750000002</v>
      </c>
      <c r="CC29" s="165">
        <f t="shared" si="48"/>
        <v>-7900.4826750000002</v>
      </c>
      <c r="CD29" s="165">
        <f t="shared" si="48"/>
        <v>-7900.4826750000002</v>
      </c>
      <c r="CE29" s="165">
        <f t="shared" si="48"/>
        <v>-7900.4826750000002</v>
      </c>
      <c r="CF29" s="165">
        <f t="shared" si="48"/>
        <v>-7900.4826750000002</v>
      </c>
      <c r="CG29" s="165">
        <f t="shared" si="48"/>
        <v>-7900.4826750000002</v>
      </c>
      <c r="CH29" s="165">
        <f t="shared" si="48"/>
        <v>-7900.4826750000002</v>
      </c>
      <c r="CI29" s="165">
        <f t="shared" si="48"/>
        <v>-7900.4826750000002</v>
      </c>
    </row>
    <row r="30" spans="1:87" x14ac:dyDescent="0.25">
      <c r="A30" s="166"/>
      <c r="C30" s="35"/>
      <c r="D30" s="167" t="s">
        <v>756</v>
      </c>
      <c r="E30" s="168">
        <f>K40</f>
        <v>-119737.00000000001</v>
      </c>
      <c r="J30" s="164" t="s">
        <v>757</v>
      </c>
      <c r="K30" s="165">
        <f>IF(K17&gt;K9,$C$8*K9*(-1),K17*$C$8*(-1))</f>
        <v>-1342.35</v>
      </c>
      <c r="L30" s="165">
        <f t="shared" ref="L30:BW30" si="49">IF(L17&gt;L9,$C$8*L9*(-1),L17*$C$8*(-1))</f>
        <v>-1336.9499999999998</v>
      </c>
      <c r="M30" s="165">
        <f t="shared" si="49"/>
        <v>-1331.55</v>
      </c>
      <c r="N30" s="165">
        <f t="shared" si="49"/>
        <v>-1326.15</v>
      </c>
      <c r="O30" s="165">
        <f t="shared" si="49"/>
        <v>-1320.75</v>
      </c>
      <c r="P30" s="165">
        <f t="shared" si="49"/>
        <v>-1315.35</v>
      </c>
      <c r="Q30" s="165">
        <f t="shared" si="49"/>
        <v>-1309.95</v>
      </c>
      <c r="R30" s="165">
        <f t="shared" si="49"/>
        <v>-1304.5499999999997</v>
      </c>
      <c r="S30" s="165">
        <f t="shared" si="49"/>
        <v>-1299.1499999999999</v>
      </c>
      <c r="T30" s="165">
        <f t="shared" si="49"/>
        <v>-1293.75</v>
      </c>
      <c r="U30" s="165">
        <f t="shared" si="49"/>
        <v>-1288.3500000000001</v>
      </c>
      <c r="V30" s="165">
        <f t="shared" si="49"/>
        <v>-1282.9499999999998</v>
      </c>
      <c r="W30" s="165">
        <f t="shared" si="49"/>
        <v>-1277.55</v>
      </c>
      <c r="X30" s="165">
        <f t="shared" si="49"/>
        <v>-1272.1499999999999</v>
      </c>
      <c r="Y30" s="165">
        <f t="shared" si="49"/>
        <v>-1266.75</v>
      </c>
      <c r="Z30" s="165">
        <f t="shared" si="49"/>
        <v>-1261.3499999999999</v>
      </c>
      <c r="AA30" s="165">
        <f t="shared" si="49"/>
        <v>-1135.2150000000001</v>
      </c>
      <c r="AB30" s="165">
        <f t="shared" si="49"/>
        <v>-1129.8150000000001</v>
      </c>
      <c r="AC30" s="165">
        <f t="shared" si="49"/>
        <v>-1124.415</v>
      </c>
      <c r="AD30" s="165">
        <f t="shared" si="49"/>
        <v>-1119.0150000000001</v>
      </c>
      <c r="AE30" s="165">
        <f t="shared" si="49"/>
        <v>-1113.615</v>
      </c>
      <c r="AF30" s="165">
        <f t="shared" si="49"/>
        <v>-1108.2150000000001</v>
      </c>
      <c r="AG30" s="165">
        <f t="shared" si="49"/>
        <v>-1102.8150000000001</v>
      </c>
      <c r="AH30" s="165">
        <f t="shared" si="49"/>
        <v>-1097.415</v>
      </c>
      <c r="AI30" s="165">
        <f t="shared" si="49"/>
        <v>-1092.0150000000001</v>
      </c>
      <c r="AJ30" s="165">
        <f t="shared" si="49"/>
        <v>-1086.615</v>
      </c>
      <c r="AK30" s="165">
        <f t="shared" si="49"/>
        <v>-1081.2150000000001</v>
      </c>
      <c r="AL30" s="165">
        <f t="shared" si="49"/>
        <v>-1075.8150000000001</v>
      </c>
      <c r="AM30" s="165">
        <f t="shared" si="49"/>
        <v>-1070.4150000000002</v>
      </c>
      <c r="AN30" s="165">
        <f t="shared" si="49"/>
        <v>-1065.0150000000001</v>
      </c>
      <c r="AO30" s="165">
        <f t="shared" si="49"/>
        <v>-1059.6150000000002</v>
      </c>
      <c r="AP30" s="165">
        <f t="shared" si="49"/>
        <v>-1054.2150000000001</v>
      </c>
      <c r="AQ30" s="165">
        <f t="shared" si="49"/>
        <v>-948.79350000000022</v>
      </c>
      <c r="AR30" s="165">
        <f t="shared" si="49"/>
        <v>-943.39350000000013</v>
      </c>
      <c r="AS30" s="165">
        <f t="shared" si="49"/>
        <v>-937.99350000000004</v>
      </c>
      <c r="AT30" s="165">
        <f t="shared" si="49"/>
        <v>-932.59350000000018</v>
      </c>
      <c r="AU30" s="165">
        <f t="shared" si="49"/>
        <v>-927.19350000000009</v>
      </c>
      <c r="AV30" s="165">
        <f t="shared" si="49"/>
        <v>-921.79350000000011</v>
      </c>
      <c r="AW30" s="165">
        <f t="shared" si="49"/>
        <v>-916.39350000000013</v>
      </c>
      <c r="AX30" s="165">
        <f t="shared" si="49"/>
        <v>-910.99350000000015</v>
      </c>
      <c r="AY30" s="165">
        <f t="shared" si="49"/>
        <v>-905.59350000000006</v>
      </c>
      <c r="AZ30" s="165">
        <f t="shared" si="49"/>
        <v>-900.19350000000009</v>
      </c>
      <c r="BA30" s="165">
        <f t="shared" si="49"/>
        <v>-894.79350000000011</v>
      </c>
      <c r="BB30" s="165">
        <f t="shared" si="49"/>
        <v>-889.39350000000002</v>
      </c>
      <c r="BC30" s="165">
        <f t="shared" si="49"/>
        <v>-883.99350000000015</v>
      </c>
      <c r="BD30" s="165">
        <f t="shared" si="49"/>
        <v>-878.59350000000006</v>
      </c>
      <c r="BE30" s="165">
        <f t="shared" si="49"/>
        <v>-873.19350000000009</v>
      </c>
      <c r="BF30" s="165">
        <f t="shared" si="49"/>
        <v>-867.79350000000011</v>
      </c>
      <c r="BG30" s="165">
        <f t="shared" si="49"/>
        <v>-2443.4482500000004</v>
      </c>
      <c r="BH30" s="165">
        <f t="shared" si="49"/>
        <v>-2443.4482500000004</v>
      </c>
      <c r="BI30" s="165">
        <f t="shared" si="49"/>
        <v>-2443.4482500000004</v>
      </c>
      <c r="BJ30" s="165">
        <f t="shared" si="49"/>
        <v>-2443.4482500000004</v>
      </c>
      <c r="BK30" s="165">
        <f t="shared" si="49"/>
        <v>-2443.4482500000004</v>
      </c>
      <c r="BL30" s="165">
        <f t="shared" si="49"/>
        <v>-2443.4482500000004</v>
      </c>
      <c r="BM30" s="165">
        <f t="shared" si="49"/>
        <v>-2443.4482500000004</v>
      </c>
      <c r="BN30" s="165">
        <f t="shared" si="49"/>
        <v>-2443.4482500000004</v>
      </c>
      <c r="BO30" s="165">
        <f t="shared" si="49"/>
        <v>-2443.4482500000004</v>
      </c>
      <c r="BP30" s="165">
        <f t="shared" si="49"/>
        <v>-2443.4482500000004</v>
      </c>
      <c r="BQ30" s="165">
        <f t="shared" si="49"/>
        <v>-2443.4482500000004</v>
      </c>
      <c r="BR30" s="165">
        <f t="shared" si="49"/>
        <v>-2443.4482500000004</v>
      </c>
      <c r="BS30" s="165">
        <f t="shared" si="49"/>
        <v>-2443.4482500000004</v>
      </c>
      <c r="BT30" s="165">
        <f t="shared" si="49"/>
        <v>-2443.4482500000004</v>
      </c>
      <c r="BU30" s="165">
        <f t="shared" si="49"/>
        <v>-2443.4482500000004</v>
      </c>
      <c r="BV30" s="165">
        <f t="shared" si="49"/>
        <v>-2443.4482500000004</v>
      </c>
      <c r="BW30" s="165">
        <f t="shared" si="49"/>
        <v>-2443.4482500000004</v>
      </c>
      <c r="BX30" s="165">
        <f t="shared" ref="BX30:CI30" si="50">IF(BX17&gt;BX9,$C$8*BX9*(-1),BX17*$C$8*(-1))</f>
        <v>-2443.4482500000004</v>
      </c>
      <c r="BY30" s="165">
        <f t="shared" si="50"/>
        <v>-2443.4482500000004</v>
      </c>
      <c r="BZ30" s="165">
        <f t="shared" si="50"/>
        <v>-2443.4482500000004</v>
      </c>
      <c r="CA30" s="165">
        <f t="shared" si="50"/>
        <v>-2443.4482500000004</v>
      </c>
      <c r="CB30" s="165">
        <f t="shared" si="50"/>
        <v>-2443.4482500000004</v>
      </c>
      <c r="CC30" s="165">
        <f t="shared" si="50"/>
        <v>-2443.4482500000004</v>
      </c>
      <c r="CD30" s="165">
        <f t="shared" si="50"/>
        <v>-2443.4482500000004</v>
      </c>
      <c r="CE30" s="165">
        <f t="shared" si="50"/>
        <v>-2443.4482500000004</v>
      </c>
      <c r="CF30" s="165">
        <f t="shared" si="50"/>
        <v>-2443.4482500000004</v>
      </c>
      <c r="CG30" s="165">
        <f t="shared" si="50"/>
        <v>-2443.4482500000004</v>
      </c>
      <c r="CH30" s="165">
        <f t="shared" si="50"/>
        <v>-2443.4482500000004</v>
      </c>
      <c r="CI30" s="165">
        <f t="shared" si="50"/>
        <v>-2443.4482500000004</v>
      </c>
    </row>
    <row r="31" spans="1:87" x14ac:dyDescent="0.25">
      <c r="C31" s="35"/>
      <c r="D31" s="35" t="s">
        <v>758</v>
      </c>
      <c r="E31" s="48">
        <f>BV44</f>
        <v>660374.78000000014</v>
      </c>
      <c r="J31" s="164" t="s">
        <v>759</v>
      </c>
      <c r="K31" s="165">
        <f>IF(K14&gt;K6,$C$5*(K14-K6)*(-1),0)</f>
        <v>-4885.57</v>
      </c>
      <c r="L31" s="165">
        <f t="shared" ref="L31:BW31" si="51">IF(L14&gt;L6,$C$5*(L14-L6)*(-1),0)</f>
        <v>0</v>
      </c>
      <c r="M31" s="165">
        <f t="shared" si="51"/>
        <v>0</v>
      </c>
      <c r="N31" s="165">
        <f t="shared" si="51"/>
        <v>0</v>
      </c>
      <c r="O31" s="165">
        <f t="shared" si="51"/>
        <v>0</v>
      </c>
      <c r="P31" s="165">
        <f t="shared" si="51"/>
        <v>0</v>
      </c>
      <c r="Q31" s="165">
        <f t="shared" si="51"/>
        <v>0</v>
      </c>
      <c r="R31" s="165">
        <f t="shared" si="51"/>
        <v>-6.0100000000002183</v>
      </c>
      <c r="S31" s="165">
        <f t="shared" si="51"/>
        <v>-56.529999999998836</v>
      </c>
      <c r="T31" s="165">
        <f t="shared" si="51"/>
        <v>-107.04999999999927</v>
      </c>
      <c r="U31" s="165">
        <f t="shared" si="51"/>
        <v>-157.56999999999971</v>
      </c>
      <c r="V31" s="165">
        <f t="shared" si="51"/>
        <v>-208.09000000000015</v>
      </c>
      <c r="W31" s="165">
        <f t="shared" si="51"/>
        <v>-258.60999999999876</v>
      </c>
      <c r="X31" s="165">
        <f t="shared" si="51"/>
        <v>-309.1299999999992</v>
      </c>
      <c r="Y31" s="165">
        <f t="shared" si="51"/>
        <v>-359.64999999999964</v>
      </c>
      <c r="Z31" s="165">
        <f t="shared" si="51"/>
        <v>-410.17000000000007</v>
      </c>
      <c r="AA31" s="165">
        <f t="shared" si="51"/>
        <v>-1590.2329999999984</v>
      </c>
      <c r="AB31" s="165">
        <f t="shared" si="51"/>
        <v>-1640.7529999999988</v>
      </c>
      <c r="AC31" s="165">
        <f t="shared" si="51"/>
        <v>-1691.2729999999974</v>
      </c>
      <c r="AD31" s="165">
        <f t="shared" si="51"/>
        <v>-1741.7929999999978</v>
      </c>
      <c r="AE31" s="165">
        <f t="shared" si="51"/>
        <v>-1792.3129999999983</v>
      </c>
      <c r="AF31" s="165">
        <f t="shared" si="51"/>
        <v>-1842.8329999999987</v>
      </c>
      <c r="AG31" s="165">
        <f t="shared" si="51"/>
        <v>-1893.3529999999973</v>
      </c>
      <c r="AH31" s="165">
        <f t="shared" si="51"/>
        <v>-1943.8729999999978</v>
      </c>
      <c r="AI31" s="165">
        <f t="shared" si="51"/>
        <v>-1994.3929999999982</v>
      </c>
      <c r="AJ31" s="165">
        <f t="shared" si="51"/>
        <v>-2044.9129999999986</v>
      </c>
      <c r="AK31" s="165">
        <f t="shared" si="51"/>
        <v>-2095.4329999999991</v>
      </c>
      <c r="AL31" s="165">
        <f t="shared" si="51"/>
        <v>-2145.9529999999977</v>
      </c>
      <c r="AM31" s="165">
        <f t="shared" si="51"/>
        <v>-2196.4729999999981</v>
      </c>
      <c r="AN31" s="165">
        <f t="shared" si="51"/>
        <v>-2246.9929999999986</v>
      </c>
      <c r="AO31" s="165">
        <f t="shared" si="51"/>
        <v>-2297.512999999999</v>
      </c>
      <c r="AP31" s="165">
        <f t="shared" si="51"/>
        <v>-2348.0329999999976</v>
      </c>
      <c r="AQ31" s="165">
        <f t="shared" si="51"/>
        <v>-3334.309699999998</v>
      </c>
      <c r="AR31" s="165">
        <f t="shared" si="51"/>
        <v>-3384.8296999999984</v>
      </c>
      <c r="AS31" s="165">
        <f t="shared" si="51"/>
        <v>-3435.3496999999988</v>
      </c>
      <c r="AT31" s="165">
        <f t="shared" si="51"/>
        <v>-3485.8696999999975</v>
      </c>
      <c r="AU31" s="165">
        <f t="shared" si="51"/>
        <v>-3536.3896999999979</v>
      </c>
      <c r="AV31" s="165">
        <f t="shared" si="51"/>
        <v>-3586.9096999999983</v>
      </c>
      <c r="AW31" s="165">
        <f t="shared" si="51"/>
        <v>-3637.4296999999988</v>
      </c>
      <c r="AX31" s="165">
        <f t="shared" si="51"/>
        <v>-3687.9496999999974</v>
      </c>
      <c r="AY31" s="165">
        <f t="shared" si="51"/>
        <v>-3738.4696999999978</v>
      </c>
      <c r="AZ31" s="165">
        <f t="shared" si="51"/>
        <v>-3788.9896999999983</v>
      </c>
      <c r="BA31" s="165">
        <f t="shared" si="51"/>
        <v>-3839.5096999999987</v>
      </c>
      <c r="BB31" s="165">
        <f t="shared" si="51"/>
        <v>-3890.0296999999973</v>
      </c>
      <c r="BC31" s="165">
        <f t="shared" si="51"/>
        <v>-3940.5496999999978</v>
      </c>
      <c r="BD31" s="165">
        <f t="shared" si="51"/>
        <v>-3991.0696999999982</v>
      </c>
      <c r="BE31" s="165">
        <f t="shared" si="51"/>
        <v>-4041.5896999999977</v>
      </c>
      <c r="BF31" s="165">
        <f t="shared" si="51"/>
        <v>-4092.1096999999982</v>
      </c>
      <c r="BG31" s="165">
        <f t="shared" si="51"/>
        <v>-3.1408999999966909</v>
      </c>
      <c r="BH31" s="165">
        <f t="shared" si="51"/>
        <v>-3.1408999999966909</v>
      </c>
      <c r="BI31" s="165">
        <f t="shared" si="51"/>
        <v>-3.1408999999966909</v>
      </c>
      <c r="BJ31" s="165">
        <f t="shared" si="51"/>
        <v>-3.1408999999966909</v>
      </c>
      <c r="BK31" s="165">
        <f t="shared" si="51"/>
        <v>-3.1408999999966909</v>
      </c>
      <c r="BL31" s="165">
        <f t="shared" si="51"/>
        <v>-3.1408999999966909</v>
      </c>
      <c r="BM31" s="165">
        <f t="shared" si="51"/>
        <v>-3.1408999999966909</v>
      </c>
      <c r="BN31" s="165">
        <f t="shared" si="51"/>
        <v>-3.1408999999966909</v>
      </c>
      <c r="BO31" s="165">
        <f t="shared" si="51"/>
        <v>-3.1408999999966909</v>
      </c>
      <c r="BP31" s="165">
        <f t="shared" si="51"/>
        <v>-3.1408999999966909</v>
      </c>
      <c r="BQ31" s="165">
        <f t="shared" si="51"/>
        <v>-3.1408999999966909</v>
      </c>
      <c r="BR31" s="165">
        <f t="shared" si="51"/>
        <v>-3.1408999999966909</v>
      </c>
      <c r="BS31" s="165">
        <f t="shared" si="51"/>
        <v>-3.1408999999966909</v>
      </c>
      <c r="BT31" s="165">
        <f t="shared" si="51"/>
        <v>-3.1408999999966909</v>
      </c>
      <c r="BU31" s="165">
        <f t="shared" si="51"/>
        <v>-3.1408999999966909</v>
      </c>
      <c r="BV31" s="165">
        <f t="shared" si="51"/>
        <v>-3.1408999999966909</v>
      </c>
      <c r="BW31" s="165">
        <f t="shared" si="51"/>
        <v>-3.1408999999966909</v>
      </c>
      <c r="BX31" s="165">
        <f t="shared" ref="BX31:CI31" si="52">IF(BX14&gt;BX6,$C$5*(BX14-BX6)*(-1),0)</f>
        <v>-3.1408999999966909</v>
      </c>
      <c r="BY31" s="165">
        <f t="shared" si="52"/>
        <v>-3.1408999999966909</v>
      </c>
      <c r="BZ31" s="165">
        <f t="shared" si="52"/>
        <v>-3.1408999999966909</v>
      </c>
      <c r="CA31" s="165">
        <f t="shared" si="52"/>
        <v>-3.1408999999966909</v>
      </c>
      <c r="CB31" s="165">
        <f t="shared" si="52"/>
        <v>-3.1408999999966909</v>
      </c>
      <c r="CC31" s="165">
        <f t="shared" si="52"/>
        <v>-3.1408999999966909</v>
      </c>
      <c r="CD31" s="165">
        <f t="shared" si="52"/>
        <v>-3.1408999999966909</v>
      </c>
      <c r="CE31" s="165">
        <f t="shared" si="52"/>
        <v>-3.1408999999966909</v>
      </c>
      <c r="CF31" s="165">
        <f t="shared" si="52"/>
        <v>-3.1408999999966909</v>
      </c>
      <c r="CG31" s="165">
        <f t="shared" si="52"/>
        <v>-3.1408999999966909</v>
      </c>
      <c r="CH31" s="165">
        <f t="shared" si="52"/>
        <v>-3.1408999999966909</v>
      </c>
      <c r="CI31" s="165">
        <f t="shared" si="52"/>
        <v>-3.1408999999966909</v>
      </c>
    </row>
    <row r="32" spans="1:87" x14ac:dyDescent="0.25">
      <c r="C32" s="35"/>
      <c r="D32" s="35"/>
      <c r="E32" s="35"/>
      <c r="J32" s="164" t="s">
        <v>760</v>
      </c>
      <c r="K32" s="165">
        <f>IF(K15&gt;K7,$C$6*(K15-K7)*(-1),0)</f>
        <v>-3673.1869999999994</v>
      </c>
      <c r="L32" s="165">
        <f t="shared" ref="L32:BW32" si="53">IF(L15&gt;L7,$C$6*(L15-L7)*(-1),0)</f>
        <v>-884.00899999999922</v>
      </c>
      <c r="M32" s="165">
        <f t="shared" si="53"/>
        <v>-906.94099999999935</v>
      </c>
      <c r="N32" s="165">
        <f t="shared" si="53"/>
        <v>-929.87299999999891</v>
      </c>
      <c r="O32" s="165">
        <f t="shared" si="53"/>
        <v>-952.80499999999904</v>
      </c>
      <c r="P32" s="165">
        <f t="shared" si="53"/>
        <v>-975.73699999999917</v>
      </c>
      <c r="Q32" s="165">
        <f t="shared" si="53"/>
        <v>-998.6689999999993</v>
      </c>
      <c r="R32" s="165">
        <f t="shared" si="53"/>
        <v>-1021.6009999999995</v>
      </c>
      <c r="S32" s="165">
        <f t="shared" si="53"/>
        <v>-1044.532999999999</v>
      </c>
      <c r="T32" s="165">
        <f t="shared" si="53"/>
        <v>-1067.4649999999992</v>
      </c>
      <c r="U32" s="165">
        <f t="shared" si="53"/>
        <v>-1090.3969999999993</v>
      </c>
      <c r="V32" s="165">
        <f t="shared" si="53"/>
        <v>-1113.3289999999995</v>
      </c>
      <c r="W32" s="165">
        <f t="shared" si="53"/>
        <v>-1136.2609999999991</v>
      </c>
      <c r="X32" s="165">
        <f t="shared" si="53"/>
        <v>-1159.1929999999991</v>
      </c>
      <c r="Y32" s="165">
        <f t="shared" si="53"/>
        <v>-1182.1249999999993</v>
      </c>
      <c r="Z32" s="165">
        <f t="shared" si="53"/>
        <v>-1205.0569999999993</v>
      </c>
      <c r="AA32" s="165">
        <f t="shared" si="53"/>
        <v>-1740.7102999999988</v>
      </c>
      <c r="AB32" s="165">
        <f t="shared" si="53"/>
        <v>-1763.6422999999984</v>
      </c>
      <c r="AC32" s="165">
        <f t="shared" si="53"/>
        <v>-1786.5742999999984</v>
      </c>
      <c r="AD32" s="165">
        <f t="shared" si="53"/>
        <v>-1809.5062999999986</v>
      </c>
      <c r="AE32" s="165">
        <f t="shared" si="53"/>
        <v>-1832.4382999999987</v>
      </c>
      <c r="AF32" s="165">
        <f t="shared" si="53"/>
        <v>-1855.3702999999989</v>
      </c>
      <c r="AG32" s="165">
        <f t="shared" si="53"/>
        <v>-1878.3022999999985</v>
      </c>
      <c r="AH32" s="165">
        <f t="shared" si="53"/>
        <v>-1901.2342999999985</v>
      </c>
      <c r="AI32" s="165">
        <f t="shared" si="53"/>
        <v>-1924.1662999999987</v>
      </c>
      <c r="AJ32" s="165">
        <f t="shared" si="53"/>
        <v>-1947.098299999999</v>
      </c>
      <c r="AK32" s="165">
        <f t="shared" si="53"/>
        <v>-1970.0302999999983</v>
      </c>
      <c r="AL32" s="165">
        <f t="shared" si="53"/>
        <v>-1992.9622999999985</v>
      </c>
      <c r="AM32" s="165">
        <f t="shared" si="53"/>
        <v>-2015.8942999999988</v>
      </c>
      <c r="AN32" s="165">
        <f t="shared" si="53"/>
        <v>-2038.8262999999988</v>
      </c>
      <c r="AO32" s="165">
        <f t="shared" si="53"/>
        <v>-2061.7582999999986</v>
      </c>
      <c r="AP32" s="165">
        <f t="shared" si="53"/>
        <v>-2084.6902999999984</v>
      </c>
      <c r="AQ32" s="165">
        <f t="shared" si="53"/>
        <v>-2532.3802699999983</v>
      </c>
      <c r="AR32" s="165">
        <f t="shared" si="53"/>
        <v>-2555.3122699999985</v>
      </c>
      <c r="AS32" s="165">
        <f t="shared" si="53"/>
        <v>-2578.2442699999988</v>
      </c>
      <c r="AT32" s="165">
        <f t="shared" si="53"/>
        <v>-2601.1762699999981</v>
      </c>
      <c r="AU32" s="165">
        <f t="shared" si="53"/>
        <v>-2624.1082699999984</v>
      </c>
      <c r="AV32" s="165">
        <f t="shared" si="53"/>
        <v>-2647.0402699999986</v>
      </c>
      <c r="AW32" s="165">
        <f t="shared" si="53"/>
        <v>-2669.9722699999988</v>
      </c>
      <c r="AX32" s="165">
        <f t="shared" si="53"/>
        <v>-2692.9042699999982</v>
      </c>
      <c r="AY32" s="165">
        <f t="shared" si="53"/>
        <v>-2715.8362699999984</v>
      </c>
      <c r="AZ32" s="165">
        <f t="shared" si="53"/>
        <v>-2738.7682699999987</v>
      </c>
      <c r="BA32" s="165">
        <f t="shared" si="53"/>
        <v>-2761.7002699999989</v>
      </c>
      <c r="BB32" s="165">
        <f t="shared" si="53"/>
        <v>-2784.6322699999982</v>
      </c>
      <c r="BC32" s="165">
        <f t="shared" si="53"/>
        <v>-2807.5642699999985</v>
      </c>
      <c r="BD32" s="165">
        <f t="shared" si="53"/>
        <v>-2830.4962699999987</v>
      </c>
      <c r="BE32" s="165">
        <f t="shared" si="53"/>
        <v>-2853.4282699999985</v>
      </c>
      <c r="BF32" s="165">
        <f t="shared" si="53"/>
        <v>-2876.3602699999983</v>
      </c>
      <c r="BG32" s="165">
        <f t="shared" si="53"/>
        <v>-1.6501099999984943</v>
      </c>
      <c r="BH32" s="165">
        <f t="shared" si="53"/>
        <v>-1.6501099999984943</v>
      </c>
      <c r="BI32" s="165">
        <f t="shared" si="53"/>
        <v>-1.6501099999984943</v>
      </c>
      <c r="BJ32" s="165">
        <f t="shared" si="53"/>
        <v>-1.6501099999984943</v>
      </c>
      <c r="BK32" s="165">
        <f t="shared" si="53"/>
        <v>-1.6501099999984943</v>
      </c>
      <c r="BL32" s="165">
        <f t="shared" si="53"/>
        <v>-1.6501099999984943</v>
      </c>
      <c r="BM32" s="165">
        <f t="shared" si="53"/>
        <v>-1.6501099999984943</v>
      </c>
      <c r="BN32" s="165">
        <f t="shared" si="53"/>
        <v>-1.6501099999984943</v>
      </c>
      <c r="BO32" s="165">
        <f t="shared" si="53"/>
        <v>-1.6501099999984943</v>
      </c>
      <c r="BP32" s="165">
        <f t="shared" si="53"/>
        <v>-1.6501099999984943</v>
      </c>
      <c r="BQ32" s="165">
        <f t="shared" si="53"/>
        <v>-1.6501099999984943</v>
      </c>
      <c r="BR32" s="165">
        <f t="shared" si="53"/>
        <v>-1.6501099999984943</v>
      </c>
      <c r="BS32" s="165">
        <f t="shared" si="53"/>
        <v>-1.6501099999984943</v>
      </c>
      <c r="BT32" s="165">
        <f t="shared" si="53"/>
        <v>-1.6501099999984943</v>
      </c>
      <c r="BU32" s="165">
        <f t="shared" si="53"/>
        <v>-1.6501099999984943</v>
      </c>
      <c r="BV32" s="165">
        <f t="shared" si="53"/>
        <v>-1.6501099999984943</v>
      </c>
      <c r="BW32" s="165">
        <f t="shared" si="53"/>
        <v>-1.6501099999984943</v>
      </c>
      <c r="BX32" s="165">
        <f t="shared" ref="BX32:CI32" si="54">IF(BX15&gt;BX7,$C$6*(BX15-BX7)*(-1),0)</f>
        <v>-1.6501099999984943</v>
      </c>
      <c r="BY32" s="165">
        <f t="shared" si="54"/>
        <v>-1.6501099999984943</v>
      </c>
      <c r="BZ32" s="165">
        <f t="shared" si="54"/>
        <v>-1.6501099999984943</v>
      </c>
      <c r="CA32" s="165">
        <f t="shared" si="54"/>
        <v>-1.6501099999984943</v>
      </c>
      <c r="CB32" s="165">
        <f t="shared" si="54"/>
        <v>-1.6501099999984943</v>
      </c>
      <c r="CC32" s="165">
        <f t="shared" si="54"/>
        <v>-1.6501099999984943</v>
      </c>
      <c r="CD32" s="165">
        <f t="shared" si="54"/>
        <v>-1.6501099999984943</v>
      </c>
      <c r="CE32" s="165">
        <f t="shared" si="54"/>
        <v>-1.6501099999984943</v>
      </c>
      <c r="CF32" s="165">
        <f t="shared" si="54"/>
        <v>-1.6501099999984943</v>
      </c>
      <c r="CG32" s="165">
        <f t="shared" si="54"/>
        <v>-1.6501099999984943</v>
      </c>
      <c r="CH32" s="165">
        <f t="shared" si="54"/>
        <v>-1.6501099999984943</v>
      </c>
      <c r="CI32" s="165">
        <f t="shared" si="54"/>
        <v>-1.6501099999984943</v>
      </c>
    </row>
    <row r="33" spans="1:87" x14ac:dyDescent="0.25">
      <c r="C33" s="35"/>
      <c r="D33" s="35"/>
      <c r="E33" s="35"/>
      <c r="J33" s="164" t="s">
        <v>761</v>
      </c>
      <c r="K33" s="165">
        <f>IF(K16&gt;K8,$C$7*(K16-K8)*(-1),0)</f>
        <v>-6167.4873000000007</v>
      </c>
      <c r="L33" s="165">
        <f t="shared" ref="L33:BW33" si="55">IF(L16&gt;L8,$C$7*(L16-L8)*(-1),0)</f>
        <v>-2801.3900999999996</v>
      </c>
      <c r="M33" s="165">
        <f t="shared" si="55"/>
        <v>-2821.9928999999993</v>
      </c>
      <c r="N33" s="165">
        <f t="shared" si="55"/>
        <v>-2842.5956999999999</v>
      </c>
      <c r="O33" s="165">
        <f t="shared" si="55"/>
        <v>-2863.1984999999995</v>
      </c>
      <c r="P33" s="165">
        <f t="shared" si="55"/>
        <v>-2883.8013000000001</v>
      </c>
      <c r="Q33" s="165">
        <f t="shared" si="55"/>
        <v>-2904.4040999999997</v>
      </c>
      <c r="R33" s="165">
        <f t="shared" si="55"/>
        <v>-2925.0068999999994</v>
      </c>
      <c r="S33" s="165">
        <f t="shared" si="55"/>
        <v>-2945.6097</v>
      </c>
      <c r="T33" s="165">
        <f t="shared" si="55"/>
        <v>-2966.2124999999996</v>
      </c>
      <c r="U33" s="165">
        <f t="shared" si="55"/>
        <v>-2986.8152999999993</v>
      </c>
      <c r="V33" s="165">
        <f t="shared" si="55"/>
        <v>-3007.4180999999999</v>
      </c>
      <c r="W33" s="165">
        <f t="shared" si="55"/>
        <v>-3028.0208999999995</v>
      </c>
      <c r="X33" s="165">
        <f t="shared" si="55"/>
        <v>-3048.6236999999992</v>
      </c>
      <c r="Y33" s="165">
        <f t="shared" si="55"/>
        <v>-3069.2264999999998</v>
      </c>
      <c r="Z33" s="165">
        <f t="shared" si="55"/>
        <v>-3089.8292999999994</v>
      </c>
      <c r="AA33" s="165">
        <f t="shared" si="55"/>
        <v>-3571.0763699999989</v>
      </c>
      <c r="AB33" s="165">
        <f t="shared" si="55"/>
        <v>-3591.6791699999994</v>
      </c>
      <c r="AC33" s="165">
        <f t="shared" si="55"/>
        <v>-3612.2819699999991</v>
      </c>
      <c r="AD33" s="165">
        <f t="shared" si="55"/>
        <v>-3632.8847699999988</v>
      </c>
      <c r="AE33" s="165">
        <f t="shared" si="55"/>
        <v>-3653.4875699999993</v>
      </c>
      <c r="AF33" s="165">
        <f t="shared" si="55"/>
        <v>-3674.090369999999</v>
      </c>
      <c r="AG33" s="165">
        <f t="shared" si="55"/>
        <v>-3694.6931699999996</v>
      </c>
      <c r="AH33" s="165">
        <f t="shared" si="55"/>
        <v>-3715.2959699999992</v>
      </c>
      <c r="AI33" s="165">
        <f t="shared" si="55"/>
        <v>-3735.8987699999989</v>
      </c>
      <c r="AJ33" s="165">
        <f t="shared" si="55"/>
        <v>-3756.5015699999994</v>
      </c>
      <c r="AK33" s="165">
        <f t="shared" si="55"/>
        <v>-3777.1043699999991</v>
      </c>
      <c r="AL33" s="165">
        <f t="shared" si="55"/>
        <v>-3797.7071699999988</v>
      </c>
      <c r="AM33" s="165">
        <f t="shared" si="55"/>
        <v>-3818.3099699999989</v>
      </c>
      <c r="AN33" s="165">
        <f t="shared" si="55"/>
        <v>-3838.912769999999</v>
      </c>
      <c r="AO33" s="165">
        <f t="shared" si="55"/>
        <v>-3859.5155699999991</v>
      </c>
      <c r="AP33" s="165">
        <f t="shared" si="55"/>
        <v>-3880.1183699999992</v>
      </c>
      <c r="AQ33" s="165">
        <f t="shared" si="55"/>
        <v>-4282.3365329999997</v>
      </c>
      <c r="AR33" s="165">
        <f t="shared" si="55"/>
        <v>-4302.9393329999984</v>
      </c>
      <c r="AS33" s="165">
        <f t="shared" si="55"/>
        <v>-4323.542132999999</v>
      </c>
      <c r="AT33" s="165">
        <f t="shared" si="55"/>
        <v>-4344.1449329999996</v>
      </c>
      <c r="AU33" s="165">
        <f t="shared" si="55"/>
        <v>-4364.7477329999992</v>
      </c>
      <c r="AV33" s="165">
        <f t="shared" si="55"/>
        <v>-4385.3505329999989</v>
      </c>
      <c r="AW33" s="165">
        <f t="shared" si="55"/>
        <v>-4405.9533329999995</v>
      </c>
      <c r="AX33" s="165">
        <f t="shared" si="55"/>
        <v>-4426.5561329999991</v>
      </c>
      <c r="AY33" s="165">
        <f t="shared" si="55"/>
        <v>-4447.1589329999988</v>
      </c>
      <c r="AZ33" s="165">
        <f t="shared" si="55"/>
        <v>-4467.7617329999994</v>
      </c>
      <c r="BA33" s="165">
        <f t="shared" si="55"/>
        <v>-4488.364532999999</v>
      </c>
      <c r="BB33" s="165">
        <f t="shared" si="55"/>
        <v>-4508.9673329999987</v>
      </c>
      <c r="BC33" s="165">
        <f t="shared" si="55"/>
        <v>-4529.5701329999993</v>
      </c>
      <c r="BD33" s="165">
        <f t="shared" si="55"/>
        <v>-4550.1729329999989</v>
      </c>
      <c r="BE33" s="165">
        <f t="shared" si="55"/>
        <v>-4570.7757329999986</v>
      </c>
      <c r="BF33" s="165">
        <f t="shared" si="55"/>
        <v>-4591.3785329999992</v>
      </c>
      <c r="BG33" s="165">
        <f t="shared" si="55"/>
        <v>-1.817324999999073</v>
      </c>
      <c r="BH33" s="165">
        <f t="shared" si="55"/>
        <v>-1.817324999999073</v>
      </c>
      <c r="BI33" s="165">
        <f t="shared" si="55"/>
        <v>-1.817324999999073</v>
      </c>
      <c r="BJ33" s="165">
        <f t="shared" si="55"/>
        <v>-1.817324999999073</v>
      </c>
      <c r="BK33" s="165">
        <f t="shared" si="55"/>
        <v>-1.817324999999073</v>
      </c>
      <c r="BL33" s="165">
        <f t="shared" si="55"/>
        <v>-1.817324999999073</v>
      </c>
      <c r="BM33" s="165">
        <f t="shared" si="55"/>
        <v>-1.817324999999073</v>
      </c>
      <c r="BN33" s="165">
        <f t="shared" si="55"/>
        <v>-1.817324999999073</v>
      </c>
      <c r="BO33" s="165">
        <f t="shared" si="55"/>
        <v>-1.817324999999073</v>
      </c>
      <c r="BP33" s="165">
        <f t="shared" si="55"/>
        <v>-1.817324999999073</v>
      </c>
      <c r="BQ33" s="165">
        <f t="shared" si="55"/>
        <v>-1.817324999999073</v>
      </c>
      <c r="BR33" s="165">
        <f t="shared" si="55"/>
        <v>-1.817324999999073</v>
      </c>
      <c r="BS33" s="165">
        <f t="shared" si="55"/>
        <v>-1.817324999999073</v>
      </c>
      <c r="BT33" s="165">
        <f t="shared" si="55"/>
        <v>-1.817324999999073</v>
      </c>
      <c r="BU33" s="165">
        <f t="shared" si="55"/>
        <v>-1.817324999999073</v>
      </c>
      <c r="BV33" s="165">
        <f t="shared" si="55"/>
        <v>-1.817324999999073</v>
      </c>
      <c r="BW33" s="165">
        <f t="shared" si="55"/>
        <v>-1.817324999999073</v>
      </c>
      <c r="BX33" s="165">
        <f t="shared" ref="BX33:CI33" si="56">IF(BX16&gt;BX8,$C$7*(BX16-BX8)*(-1),0)</f>
        <v>-1.817324999999073</v>
      </c>
      <c r="BY33" s="165">
        <f t="shared" si="56"/>
        <v>-1.817324999999073</v>
      </c>
      <c r="BZ33" s="165">
        <f t="shared" si="56"/>
        <v>-1.817324999999073</v>
      </c>
      <c r="CA33" s="165">
        <f t="shared" si="56"/>
        <v>-1.817324999999073</v>
      </c>
      <c r="CB33" s="165">
        <f t="shared" si="56"/>
        <v>-1.817324999999073</v>
      </c>
      <c r="CC33" s="165">
        <f t="shared" si="56"/>
        <v>-1.817324999999073</v>
      </c>
      <c r="CD33" s="165">
        <f t="shared" si="56"/>
        <v>-1.817324999999073</v>
      </c>
      <c r="CE33" s="165">
        <f t="shared" si="56"/>
        <v>-1.817324999999073</v>
      </c>
      <c r="CF33" s="165">
        <f t="shared" si="56"/>
        <v>-1.817324999999073</v>
      </c>
      <c r="CG33" s="165">
        <f t="shared" si="56"/>
        <v>-1.817324999999073</v>
      </c>
      <c r="CH33" s="165">
        <f t="shared" si="56"/>
        <v>-1.817324999999073</v>
      </c>
      <c r="CI33" s="165">
        <f t="shared" si="56"/>
        <v>-1.817324999999073</v>
      </c>
    </row>
    <row r="34" spans="1:87" x14ac:dyDescent="0.25">
      <c r="A34" s="169"/>
      <c r="B34" s="169" t="s">
        <v>762</v>
      </c>
      <c r="C34" s="169" t="s">
        <v>763</v>
      </c>
      <c r="D34" s="169" t="s">
        <v>764</v>
      </c>
      <c r="E34" s="169" t="s">
        <v>765</v>
      </c>
      <c r="F34" s="169" t="s">
        <v>733</v>
      </c>
      <c r="J34" s="164" t="s">
        <v>766</v>
      </c>
      <c r="K34" s="165">
        <f>IF(K17&gt;K9,$C$8*(K17-K9)*(-1),0)</f>
        <v>-2150.15</v>
      </c>
      <c r="L34" s="165">
        <f t="shared" ref="L34:BW34" si="57">IF(L17&gt;L9,$C$8*(L17-L9)*(-1),0)</f>
        <v>-1107.8</v>
      </c>
      <c r="M34" s="165">
        <f t="shared" si="57"/>
        <v>-1113.1999999999998</v>
      </c>
      <c r="N34" s="165">
        <f t="shared" si="57"/>
        <v>-1118.5999999999999</v>
      </c>
      <c r="O34" s="165">
        <f t="shared" si="57"/>
        <v>-1124</v>
      </c>
      <c r="P34" s="165">
        <f t="shared" si="57"/>
        <v>-1129.4000000000001</v>
      </c>
      <c r="Q34" s="165">
        <f t="shared" si="57"/>
        <v>-1134.8</v>
      </c>
      <c r="R34" s="165">
        <f t="shared" si="57"/>
        <v>-1140.2</v>
      </c>
      <c r="S34" s="165">
        <f t="shared" si="57"/>
        <v>-1145.5999999999999</v>
      </c>
      <c r="T34" s="165">
        <f t="shared" si="57"/>
        <v>-1151</v>
      </c>
      <c r="U34" s="165">
        <f t="shared" si="57"/>
        <v>-1156.3999999999999</v>
      </c>
      <c r="V34" s="165">
        <f t="shared" si="57"/>
        <v>-1161.8000000000002</v>
      </c>
      <c r="W34" s="165">
        <f t="shared" si="57"/>
        <v>-1167.2</v>
      </c>
      <c r="X34" s="165">
        <f t="shared" si="57"/>
        <v>-1172.6000000000001</v>
      </c>
      <c r="Y34" s="165">
        <f t="shared" si="57"/>
        <v>-1178</v>
      </c>
      <c r="Z34" s="165">
        <f t="shared" si="57"/>
        <v>-1183.4000000000001</v>
      </c>
      <c r="AA34" s="165">
        <f t="shared" si="57"/>
        <v>-1309.5349999999999</v>
      </c>
      <c r="AB34" s="165">
        <f t="shared" si="57"/>
        <v>-1314.9349999999999</v>
      </c>
      <c r="AC34" s="165">
        <f t="shared" si="57"/>
        <v>-1320.335</v>
      </c>
      <c r="AD34" s="165">
        <f t="shared" si="57"/>
        <v>-1325.7349999999997</v>
      </c>
      <c r="AE34" s="165">
        <f t="shared" si="57"/>
        <v>-1331.1349999999998</v>
      </c>
      <c r="AF34" s="165">
        <f t="shared" si="57"/>
        <v>-1336.5349999999999</v>
      </c>
      <c r="AG34" s="165">
        <f t="shared" si="57"/>
        <v>-1341.9349999999997</v>
      </c>
      <c r="AH34" s="165">
        <f t="shared" si="57"/>
        <v>-1347.335</v>
      </c>
      <c r="AI34" s="165">
        <f t="shared" si="57"/>
        <v>-1352.7349999999999</v>
      </c>
      <c r="AJ34" s="165">
        <f t="shared" si="57"/>
        <v>-1358.1349999999998</v>
      </c>
      <c r="AK34" s="165">
        <f t="shared" si="57"/>
        <v>-1363.5349999999999</v>
      </c>
      <c r="AL34" s="165">
        <f t="shared" si="57"/>
        <v>-1368.9349999999999</v>
      </c>
      <c r="AM34" s="165">
        <f t="shared" si="57"/>
        <v>-1374.3349999999998</v>
      </c>
      <c r="AN34" s="165">
        <f t="shared" si="57"/>
        <v>-1379.7350000000001</v>
      </c>
      <c r="AO34" s="165">
        <f t="shared" si="57"/>
        <v>-1385.1349999999998</v>
      </c>
      <c r="AP34" s="165">
        <f t="shared" si="57"/>
        <v>-1390.5349999999999</v>
      </c>
      <c r="AQ34" s="165">
        <f t="shared" si="57"/>
        <v>-1495.9564999999998</v>
      </c>
      <c r="AR34" s="165">
        <f t="shared" si="57"/>
        <v>-1501.3564999999999</v>
      </c>
      <c r="AS34" s="165">
        <f t="shared" si="57"/>
        <v>-1506.7565</v>
      </c>
      <c r="AT34" s="165">
        <f t="shared" si="57"/>
        <v>-1512.1564999999998</v>
      </c>
      <c r="AU34" s="165">
        <f t="shared" si="57"/>
        <v>-1517.5565000000001</v>
      </c>
      <c r="AV34" s="165">
        <f t="shared" si="57"/>
        <v>-1522.9564999999998</v>
      </c>
      <c r="AW34" s="165">
        <f t="shared" si="57"/>
        <v>-1528.3564999999999</v>
      </c>
      <c r="AX34" s="165">
        <f t="shared" si="57"/>
        <v>-1533.7564999999997</v>
      </c>
      <c r="AY34" s="165">
        <f t="shared" si="57"/>
        <v>-1539.1564999999996</v>
      </c>
      <c r="AZ34" s="165">
        <f t="shared" si="57"/>
        <v>-1544.5564999999999</v>
      </c>
      <c r="BA34" s="165">
        <f t="shared" si="57"/>
        <v>-1549.9564999999998</v>
      </c>
      <c r="BB34" s="165">
        <f t="shared" si="57"/>
        <v>-1555.3564999999999</v>
      </c>
      <c r="BC34" s="165">
        <f t="shared" si="57"/>
        <v>-1560.7565</v>
      </c>
      <c r="BD34" s="165">
        <f t="shared" si="57"/>
        <v>-1566.1564999999998</v>
      </c>
      <c r="BE34" s="165">
        <f t="shared" si="57"/>
        <v>-1571.5564999999997</v>
      </c>
      <c r="BF34" s="165">
        <f t="shared" si="57"/>
        <v>-1576.9565</v>
      </c>
      <c r="BG34" s="165">
        <f t="shared" si="57"/>
        <v>-1.3017499999995152</v>
      </c>
      <c r="BH34" s="165">
        <f t="shared" si="57"/>
        <v>-1.3017499999995152</v>
      </c>
      <c r="BI34" s="165">
        <f t="shared" si="57"/>
        <v>-1.3017499999995152</v>
      </c>
      <c r="BJ34" s="165">
        <f t="shared" si="57"/>
        <v>-1.3017499999995152</v>
      </c>
      <c r="BK34" s="165">
        <f t="shared" si="57"/>
        <v>-1.3017499999995152</v>
      </c>
      <c r="BL34" s="165">
        <f t="shared" si="57"/>
        <v>-1.3017499999995152</v>
      </c>
      <c r="BM34" s="165">
        <f t="shared" si="57"/>
        <v>-1.3017499999995152</v>
      </c>
      <c r="BN34" s="165">
        <f t="shared" si="57"/>
        <v>-1.3017499999995152</v>
      </c>
      <c r="BO34" s="165">
        <f t="shared" si="57"/>
        <v>-1.3017499999995152</v>
      </c>
      <c r="BP34" s="165">
        <f t="shared" si="57"/>
        <v>-1.3017499999995152</v>
      </c>
      <c r="BQ34" s="165">
        <f t="shared" si="57"/>
        <v>-1.3017499999995152</v>
      </c>
      <c r="BR34" s="165">
        <f t="shared" si="57"/>
        <v>-1.3017499999995152</v>
      </c>
      <c r="BS34" s="165">
        <f t="shared" si="57"/>
        <v>-1.3017499999995152</v>
      </c>
      <c r="BT34" s="165">
        <f t="shared" si="57"/>
        <v>-1.3017499999995152</v>
      </c>
      <c r="BU34" s="165">
        <f t="shared" si="57"/>
        <v>-1.3017499999995152</v>
      </c>
      <c r="BV34" s="165">
        <f t="shared" si="57"/>
        <v>-1.3017499999995152</v>
      </c>
      <c r="BW34" s="165">
        <f t="shared" si="57"/>
        <v>-1.3017499999995152</v>
      </c>
      <c r="BX34" s="165">
        <f t="shared" ref="BX34:CI34" si="58">IF(BX17&gt;BX9,$C$8*(BX17-BX9)*(-1),0)</f>
        <v>-1.3017499999995152</v>
      </c>
      <c r="BY34" s="165">
        <f t="shared" si="58"/>
        <v>-1.3017499999995152</v>
      </c>
      <c r="BZ34" s="165">
        <f t="shared" si="58"/>
        <v>-1.3017499999995152</v>
      </c>
      <c r="CA34" s="165">
        <f t="shared" si="58"/>
        <v>-1.3017499999995152</v>
      </c>
      <c r="CB34" s="165">
        <f t="shared" si="58"/>
        <v>-1.3017499999995152</v>
      </c>
      <c r="CC34" s="165">
        <f t="shared" si="58"/>
        <v>-1.3017499999995152</v>
      </c>
      <c r="CD34" s="165">
        <f t="shared" si="58"/>
        <v>-1.3017499999995152</v>
      </c>
      <c r="CE34" s="165">
        <f t="shared" si="58"/>
        <v>-1.3017499999995152</v>
      </c>
      <c r="CF34" s="165">
        <f t="shared" si="58"/>
        <v>-1.3017499999995152</v>
      </c>
      <c r="CG34" s="165">
        <f t="shared" si="58"/>
        <v>-1.3017499999995152</v>
      </c>
      <c r="CH34" s="165">
        <f t="shared" si="58"/>
        <v>-1.3017499999995152</v>
      </c>
      <c r="CI34" s="165">
        <f t="shared" si="58"/>
        <v>-1.3017499999995152</v>
      </c>
    </row>
    <row r="35" spans="1:87" ht="30" x14ac:dyDescent="0.25">
      <c r="A35" s="170" t="s">
        <v>719</v>
      </c>
      <c r="B35" s="171">
        <v>102</v>
      </c>
      <c r="C35" s="35">
        <f>F5</f>
        <v>6</v>
      </c>
      <c r="D35" s="35">
        <f>C5*B35</f>
        <v>51</v>
      </c>
      <c r="E35" s="35">
        <f>D5</f>
        <v>45</v>
      </c>
      <c r="F35" s="35">
        <f>D35-C35-E35</f>
        <v>0</v>
      </c>
      <c r="J35" s="140" t="s">
        <v>767</v>
      </c>
      <c r="K35" s="172">
        <v>-10000</v>
      </c>
      <c r="L35" s="173">
        <v>0</v>
      </c>
      <c r="M35" s="174">
        <v>0</v>
      </c>
      <c r="N35" s="174">
        <v>0</v>
      </c>
      <c r="O35" s="174">
        <v>0</v>
      </c>
      <c r="P35" s="174">
        <v>0</v>
      </c>
      <c r="Q35" s="174">
        <v>0</v>
      </c>
      <c r="R35" s="174">
        <v>0</v>
      </c>
      <c r="S35" s="174">
        <v>0</v>
      </c>
      <c r="T35" s="174">
        <v>0</v>
      </c>
      <c r="U35" s="174">
        <v>0</v>
      </c>
      <c r="V35" s="174">
        <v>0</v>
      </c>
      <c r="W35" s="174">
        <v>0</v>
      </c>
      <c r="X35" s="174">
        <v>0</v>
      </c>
      <c r="Y35" s="174">
        <v>0</v>
      </c>
      <c r="Z35" s="174">
        <v>0</v>
      </c>
      <c r="AA35" s="174">
        <v>0</v>
      </c>
      <c r="AB35" s="174">
        <v>0</v>
      </c>
      <c r="AC35" s="174">
        <v>0</v>
      </c>
      <c r="AD35" s="174">
        <v>0</v>
      </c>
      <c r="AE35" s="174">
        <v>0</v>
      </c>
      <c r="AF35" s="174">
        <v>0</v>
      </c>
      <c r="AG35" s="174">
        <v>0</v>
      </c>
      <c r="AH35" s="174">
        <v>0</v>
      </c>
      <c r="AI35" s="174">
        <v>0</v>
      </c>
      <c r="AJ35" s="174">
        <v>0</v>
      </c>
      <c r="AK35" s="174">
        <v>0</v>
      </c>
      <c r="AL35" s="174">
        <v>0</v>
      </c>
      <c r="AM35" s="174">
        <v>0</v>
      </c>
      <c r="AN35" s="174">
        <v>0</v>
      </c>
      <c r="AO35" s="174">
        <v>0</v>
      </c>
      <c r="AP35" s="174">
        <v>0</v>
      </c>
      <c r="AQ35" s="174">
        <v>0</v>
      </c>
      <c r="AR35" s="174">
        <v>0</v>
      </c>
      <c r="AS35" s="174">
        <v>0</v>
      </c>
      <c r="AT35" s="174">
        <v>0</v>
      </c>
      <c r="AU35" s="174">
        <v>0</v>
      </c>
      <c r="AV35" s="174">
        <v>0</v>
      </c>
      <c r="AW35" s="174">
        <v>0</v>
      </c>
      <c r="AX35" s="174">
        <v>0</v>
      </c>
      <c r="AY35" s="174">
        <v>0</v>
      </c>
      <c r="AZ35" s="174">
        <v>0</v>
      </c>
      <c r="BA35" s="174">
        <v>0</v>
      </c>
      <c r="BB35" s="174">
        <v>0</v>
      </c>
      <c r="BC35" s="174">
        <v>0</v>
      </c>
      <c r="BD35" s="174">
        <v>0</v>
      </c>
      <c r="BE35" s="174">
        <v>0</v>
      </c>
      <c r="BF35" s="174">
        <v>0</v>
      </c>
      <c r="BG35" s="174">
        <v>0</v>
      </c>
      <c r="BH35" s="174">
        <v>0</v>
      </c>
      <c r="BI35" s="174">
        <v>0</v>
      </c>
      <c r="BJ35" s="174">
        <v>0</v>
      </c>
      <c r="BK35" s="174">
        <v>0</v>
      </c>
      <c r="BL35" s="174">
        <v>0</v>
      </c>
      <c r="BM35" s="174">
        <v>0</v>
      </c>
      <c r="BN35" s="174">
        <v>0</v>
      </c>
      <c r="BO35" s="174">
        <v>0</v>
      </c>
      <c r="BP35" s="174">
        <v>0</v>
      </c>
      <c r="BQ35" s="174">
        <v>0</v>
      </c>
      <c r="BR35" s="174">
        <v>0</v>
      </c>
      <c r="BS35" s="174">
        <v>0</v>
      </c>
      <c r="BT35" s="174">
        <v>0</v>
      </c>
      <c r="BU35" s="174">
        <v>0</v>
      </c>
      <c r="BV35" s="174">
        <v>0</v>
      </c>
      <c r="BW35" s="174">
        <v>0</v>
      </c>
      <c r="BX35" s="174">
        <v>0</v>
      </c>
      <c r="BY35" s="174">
        <v>0</v>
      </c>
      <c r="BZ35" s="174">
        <v>0</v>
      </c>
      <c r="CA35" s="174">
        <v>0</v>
      </c>
      <c r="CB35" s="174">
        <v>0</v>
      </c>
      <c r="CC35" s="174">
        <v>0</v>
      </c>
      <c r="CD35" s="174">
        <v>0</v>
      </c>
      <c r="CE35" s="174">
        <v>0</v>
      </c>
      <c r="CF35" s="174">
        <v>0</v>
      </c>
      <c r="CG35" s="174">
        <v>0</v>
      </c>
      <c r="CH35" s="174">
        <v>0</v>
      </c>
      <c r="CI35" s="174">
        <v>0</v>
      </c>
    </row>
    <row r="36" spans="1:87" ht="30" x14ac:dyDescent="0.25">
      <c r="A36" s="170" t="s">
        <v>721</v>
      </c>
      <c r="B36" s="175">
        <f>(75+6)/C6</f>
        <v>115.71428571428572</v>
      </c>
      <c r="C36" s="35">
        <f t="shared" ref="C36:C38" si="59">F6</f>
        <v>6</v>
      </c>
      <c r="D36" s="35">
        <f t="shared" ref="D36:D38" si="60">C6*B36</f>
        <v>81</v>
      </c>
      <c r="E36" s="35">
        <f t="shared" ref="E36:E38" si="61">D6</f>
        <v>75</v>
      </c>
      <c r="F36" s="35">
        <f t="shared" ref="F36:F38" si="62">D36-C36-E36</f>
        <v>0</v>
      </c>
      <c r="J36" s="140" t="s">
        <v>768</v>
      </c>
      <c r="K36" s="174">
        <f>IF(C25&gt;0,C25*D5*(-1),C25*F5)</f>
        <v>-62798.400000000009</v>
      </c>
      <c r="L36" s="174">
        <v>0</v>
      </c>
      <c r="M36" s="174">
        <v>0</v>
      </c>
      <c r="N36" s="174">
        <v>0</v>
      </c>
      <c r="O36" s="174">
        <v>0</v>
      </c>
      <c r="P36" s="174">
        <v>0</v>
      </c>
      <c r="Q36" s="174">
        <v>0</v>
      </c>
      <c r="R36" s="174">
        <v>0</v>
      </c>
      <c r="S36" s="174">
        <v>0</v>
      </c>
      <c r="T36" s="174">
        <v>0</v>
      </c>
      <c r="U36" s="174">
        <v>0</v>
      </c>
      <c r="V36" s="174">
        <v>0</v>
      </c>
      <c r="W36" s="174">
        <v>0</v>
      </c>
      <c r="X36" s="174">
        <v>0</v>
      </c>
      <c r="Y36" s="174">
        <v>0</v>
      </c>
      <c r="Z36" s="174">
        <v>0</v>
      </c>
      <c r="AA36" s="174">
        <v>0</v>
      </c>
      <c r="AB36" s="174">
        <v>0</v>
      </c>
      <c r="AC36" s="174">
        <v>0</v>
      </c>
      <c r="AD36" s="174">
        <v>0</v>
      </c>
      <c r="AE36" s="174">
        <v>0</v>
      </c>
      <c r="AF36" s="174">
        <v>0</v>
      </c>
      <c r="AG36" s="174">
        <v>0</v>
      </c>
      <c r="AH36" s="174">
        <v>0</v>
      </c>
      <c r="AI36" s="174">
        <v>0</v>
      </c>
      <c r="AJ36" s="174">
        <v>0</v>
      </c>
      <c r="AK36" s="174">
        <v>0</v>
      </c>
      <c r="AL36" s="174">
        <v>0</v>
      </c>
      <c r="AM36" s="174">
        <v>0</v>
      </c>
      <c r="AN36" s="174">
        <v>0</v>
      </c>
      <c r="AO36" s="174">
        <v>0</v>
      </c>
      <c r="AP36" s="174">
        <v>0</v>
      </c>
      <c r="AQ36" s="174">
        <v>0</v>
      </c>
      <c r="AR36" s="174">
        <v>0</v>
      </c>
      <c r="AS36" s="174">
        <v>0</v>
      </c>
      <c r="AT36" s="174">
        <v>0</v>
      </c>
      <c r="AU36" s="174">
        <v>0</v>
      </c>
      <c r="AV36" s="174">
        <v>0</v>
      </c>
      <c r="AW36" s="174">
        <v>0</v>
      </c>
      <c r="AX36" s="174">
        <v>0</v>
      </c>
      <c r="AY36" s="174">
        <v>0</v>
      </c>
      <c r="AZ36" s="174">
        <v>0</v>
      </c>
      <c r="BA36" s="174">
        <v>0</v>
      </c>
      <c r="BB36" s="174">
        <v>0</v>
      </c>
      <c r="BC36" s="174">
        <v>0</v>
      </c>
      <c r="BD36" s="174">
        <v>0</v>
      </c>
      <c r="BE36" s="174">
        <v>0</v>
      </c>
      <c r="BF36" s="174">
        <v>0</v>
      </c>
      <c r="BG36" s="174">
        <v>0</v>
      </c>
      <c r="BH36" s="174">
        <v>0</v>
      </c>
      <c r="BI36" s="174">
        <v>0</v>
      </c>
      <c r="BJ36" s="174">
        <v>0</v>
      </c>
      <c r="BK36" s="174">
        <v>0</v>
      </c>
      <c r="BL36" s="174">
        <v>0</v>
      </c>
      <c r="BM36" s="174">
        <v>0</v>
      </c>
      <c r="BN36" s="174">
        <v>0</v>
      </c>
      <c r="BO36" s="174">
        <v>0</v>
      </c>
      <c r="BP36" s="174">
        <v>0</v>
      </c>
      <c r="BQ36" s="174">
        <v>0</v>
      </c>
      <c r="BR36" s="174">
        <v>0</v>
      </c>
      <c r="BS36" s="174">
        <v>0</v>
      </c>
      <c r="BT36" s="174">
        <v>0</v>
      </c>
      <c r="BU36" s="174">
        <v>0</v>
      </c>
      <c r="BV36" s="174">
        <v>0</v>
      </c>
      <c r="BW36" s="174">
        <v>0</v>
      </c>
      <c r="BX36" s="174">
        <v>0</v>
      </c>
      <c r="BY36" s="174">
        <v>0</v>
      </c>
      <c r="BZ36" s="174">
        <v>0</v>
      </c>
      <c r="CA36" s="174">
        <v>0</v>
      </c>
      <c r="CB36" s="174">
        <v>0</v>
      </c>
      <c r="CC36" s="174">
        <v>0</v>
      </c>
      <c r="CD36" s="174">
        <v>0</v>
      </c>
      <c r="CE36" s="174">
        <v>0</v>
      </c>
      <c r="CF36" s="174">
        <v>0</v>
      </c>
      <c r="CG36" s="174">
        <v>0</v>
      </c>
      <c r="CH36" s="174">
        <v>0</v>
      </c>
      <c r="CI36" s="174">
        <v>0</v>
      </c>
    </row>
    <row r="37" spans="1:87" x14ac:dyDescent="0.25">
      <c r="A37" s="170" t="s">
        <v>723</v>
      </c>
      <c r="B37" s="171">
        <v>96</v>
      </c>
      <c r="C37" s="35">
        <f t="shared" si="59"/>
        <v>6</v>
      </c>
      <c r="D37" s="35">
        <f t="shared" si="60"/>
        <v>96</v>
      </c>
      <c r="E37" s="35">
        <f t="shared" si="61"/>
        <v>90</v>
      </c>
      <c r="F37" s="35">
        <f t="shared" si="62"/>
        <v>0</v>
      </c>
      <c r="J37" s="140" t="s">
        <v>769</v>
      </c>
      <c r="K37" s="174">
        <f>IF(C26&gt;0,C26*D6*(-1),C26*F6)</f>
        <v>-24103.800000000007</v>
      </c>
      <c r="L37" s="174">
        <v>0</v>
      </c>
      <c r="M37" s="174">
        <v>0</v>
      </c>
      <c r="N37" s="174">
        <v>0</v>
      </c>
      <c r="O37" s="174">
        <v>0</v>
      </c>
      <c r="P37" s="174">
        <v>0</v>
      </c>
      <c r="Q37" s="174">
        <v>0</v>
      </c>
      <c r="R37" s="174">
        <v>0</v>
      </c>
      <c r="S37" s="174">
        <v>0</v>
      </c>
      <c r="T37" s="174">
        <v>0</v>
      </c>
      <c r="U37" s="174">
        <v>0</v>
      </c>
      <c r="V37" s="174">
        <v>0</v>
      </c>
      <c r="W37" s="174">
        <v>0</v>
      </c>
      <c r="X37" s="174">
        <v>0</v>
      </c>
      <c r="Y37" s="174">
        <v>0</v>
      </c>
      <c r="Z37" s="174">
        <v>0</v>
      </c>
      <c r="AA37" s="174">
        <v>0</v>
      </c>
      <c r="AB37" s="174">
        <v>0</v>
      </c>
      <c r="AC37" s="174">
        <v>0</v>
      </c>
      <c r="AD37" s="174">
        <v>0</v>
      </c>
      <c r="AE37" s="174">
        <v>0</v>
      </c>
      <c r="AF37" s="174">
        <v>0</v>
      </c>
      <c r="AG37" s="174">
        <v>0</v>
      </c>
      <c r="AH37" s="174">
        <v>0</v>
      </c>
      <c r="AI37" s="174">
        <v>0</v>
      </c>
      <c r="AJ37" s="174">
        <v>0</v>
      </c>
      <c r="AK37" s="174">
        <v>0</v>
      </c>
      <c r="AL37" s="174">
        <v>0</v>
      </c>
      <c r="AM37" s="174">
        <v>0</v>
      </c>
      <c r="AN37" s="174">
        <v>0</v>
      </c>
      <c r="AO37" s="174">
        <v>0</v>
      </c>
      <c r="AP37" s="174">
        <v>0</v>
      </c>
      <c r="AQ37" s="174">
        <v>0</v>
      </c>
      <c r="AR37" s="174">
        <v>0</v>
      </c>
      <c r="AS37" s="174">
        <v>0</v>
      </c>
      <c r="AT37" s="174">
        <v>0</v>
      </c>
      <c r="AU37" s="174">
        <v>0</v>
      </c>
      <c r="AV37" s="174">
        <v>0</v>
      </c>
      <c r="AW37" s="174">
        <v>0</v>
      </c>
      <c r="AX37" s="174">
        <v>0</v>
      </c>
      <c r="AY37" s="174">
        <v>0</v>
      </c>
      <c r="AZ37" s="174">
        <v>0</v>
      </c>
      <c r="BA37" s="174">
        <v>0</v>
      </c>
      <c r="BB37" s="174">
        <v>0</v>
      </c>
      <c r="BC37" s="174">
        <v>0</v>
      </c>
      <c r="BD37" s="174">
        <v>0</v>
      </c>
      <c r="BE37" s="174">
        <v>0</v>
      </c>
      <c r="BF37" s="174">
        <v>0</v>
      </c>
      <c r="BG37" s="174">
        <v>0</v>
      </c>
      <c r="BH37" s="174">
        <v>0</v>
      </c>
      <c r="BI37" s="174">
        <v>0</v>
      </c>
      <c r="BJ37" s="174">
        <v>0</v>
      </c>
      <c r="BK37" s="174">
        <v>0</v>
      </c>
      <c r="BL37" s="174">
        <v>0</v>
      </c>
      <c r="BM37" s="174">
        <v>0</v>
      </c>
      <c r="BN37" s="174">
        <v>0</v>
      </c>
      <c r="BO37" s="174">
        <v>0</v>
      </c>
      <c r="BP37" s="174">
        <v>0</v>
      </c>
      <c r="BQ37" s="174">
        <v>0</v>
      </c>
      <c r="BR37" s="174">
        <v>0</v>
      </c>
      <c r="BS37" s="174">
        <v>0</v>
      </c>
      <c r="BT37" s="174">
        <v>0</v>
      </c>
      <c r="BU37" s="174">
        <v>0</v>
      </c>
      <c r="BV37" s="174">
        <v>0</v>
      </c>
      <c r="BW37" s="174">
        <v>0</v>
      </c>
      <c r="BX37" s="174">
        <v>0</v>
      </c>
      <c r="BY37" s="174">
        <v>0</v>
      </c>
      <c r="BZ37" s="174">
        <v>0</v>
      </c>
      <c r="CA37" s="174">
        <v>0</v>
      </c>
      <c r="CB37" s="174">
        <v>0</v>
      </c>
      <c r="CC37" s="174">
        <v>0</v>
      </c>
      <c r="CD37" s="174">
        <v>0</v>
      </c>
      <c r="CE37" s="174">
        <v>0</v>
      </c>
      <c r="CF37" s="174">
        <v>0</v>
      </c>
      <c r="CG37" s="174">
        <v>0</v>
      </c>
      <c r="CH37" s="174">
        <v>0</v>
      </c>
      <c r="CI37" s="174">
        <v>0</v>
      </c>
    </row>
    <row r="38" spans="1:87" x14ac:dyDescent="0.25">
      <c r="A38" s="170" t="s">
        <v>725</v>
      </c>
      <c r="B38" s="171">
        <f>(300+6)/C8</f>
        <v>122.4</v>
      </c>
      <c r="C38" s="35">
        <f t="shared" si="59"/>
        <v>6</v>
      </c>
      <c r="D38" s="35">
        <f t="shared" si="60"/>
        <v>306</v>
      </c>
      <c r="E38" s="35">
        <f t="shared" si="61"/>
        <v>300</v>
      </c>
      <c r="F38" s="35">
        <f t="shared" si="62"/>
        <v>0</v>
      </c>
      <c r="J38" s="140" t="s">
        <v>770</v>
      </c>
      <c r="K38" s="174">
        <f>IF(C27&gt;0,C27*D7*(-1),C27*F7)</f>
        <v>-20320.200000000004</v>
      </c>
      <c r="L38" s="174">
        <v>0</v>
      </c>
      <c r="M38" s="174">
        <v>0</v>
      </c>
      <c r="N38" s="174">
        <v>0</v>
      </c>
      <c r="O38" s="174">
        <v>0</v>
      </c>
      <c r="P38" s="174">
        <v>0</v>
      </c>
      <c r="Q38" s="174">
        <v>0</v>
      </c>
      <c r="R38" s="174">
        <v>0</v>
      </c>
      <c r="S38" s="174">
        <v>0</v>
      </c>
      <c r="T38" s="174">
        <v>0</v>
      </c>
      <c r="U38" s="174">
        <v>0</v>
      </c>
      <c r="V38" s="174">
        <v>0</v>
      </c>
      <c r="W38" s="174">
        <v>0</v>
      </c>
      <c r="X38" s="174">
        <v>0</v>
      </c>
      <c r="Y38" s="174">
        <v>0</v>
      </c>
      <c r="Z38" s="174">
        <v>0</v>
      </c>
      <c r="AA38" s="174">
        <v>0</v>
      </c>
      <c r="AB38" s="174">
        <v>0</v>
      </c>
      <c r="AC38" s="174">
        <v>0</v>
      </c>
      <c r="AD38" s="174">
        <v>0</v>
      </c>
      <c r="AE38" s="174">
        <v>0</v>
      </c>
      <c r="AF38" s="174">
        <v>0</v>
      </c>
      <c r="AG38" s="174">
        <v>0</v>
      </c>
      <c r="AH38" s="174">
        <v>0</v>
      </c>
      <c r="AI38" s="174">
        <v>0</v>
      </c>
      <c r="AJ38" s="174">
        <v>0</v>
      </c>
      <c r="AK38" s="174">
        <v>0</v>
      </c>
      <c r="AL38" s="174">
        <v>0</v>
      </c>
      <c r="AM38" s="174">
        <v>0</v>
      </c>
      <c r="AN38" s="174">
        <v>0</v>
      </c>
      <c r="AO38" s="174">
        <v>0</v>
      </c>
      <c r="AP38" s="174">
        <v>0</v>
      </c>
      <c r="AQ38" s="174">
        <v>0</v>
      </c>
      <c r="AR38" s="174">
        <v>0</v>
      </c>
      <c r="AS38" s="174">
        <v>0</v>
      </c>
      <c r="AT38" s="174">
        <v>0</v>
      </c>
      <c r="AU38" s="174">
        <v>0</v>
      </c>
      <c r="AV38" s="174">
        <v>0</v>
      </c>
      <c r="AW38" s="174">
        <v>0</v>
      </c>
      <c r="AX38" s="174">
        <v>0</v>
      </c>
      <c r="AY38" s="174">
        <v>0</v>
      </c>
      <c r="AZ38" s="174">
        <v>0</v>
      </c>
      <c r="BA38" s="174">
        <v>0</v>
      </c>
      <c r="BB38" s="174">
        <v>0</v>
      </c>
      <c r="BC38" s="174">
        <v>0</v>
      </c>
      <c r="BD38" s="174">
        <v>0</v>
      </c>
      <c r="BE38" s="174">
        <v>0</v>
      </c>
      <c r="BF38" s="174">
        <v>0</v>
      </c>
      <c r="BG38" s="174">
        <v>0</v>
      </c>
      <c r="BH38" s="174">
        <v>0</v>
      </c>
      <c r="BI38" s="174">
        <v>0</v>
      </c>
      <c r="BJ38" s="174">
        <v>0</v>
      </c>
      <c r="BK38" s="174">
        <v>0</v>
      </c>
      <c r="BL38" s="174">
        <v>0</v>
      </c>
      <c r="BM38" s="174">
        <v>0</v>
      </c>
      <c r="BN38" s="174">
        <v>0</v>
      </c>
      <c r="BO38" s="174">
        <v>0</v>
      </c>
      <c r="BP38" s="174">
        <v>0</v>
      </c>
      <c r="BQ38" s="174">
        <v>0</v>
      </c>
      <c r="BR38" s="174">
        <v>0</v>
      </c>
      <c r="BS38" s="174">
        <v>0</v>
      </c>
      <c r="BT38" s="174">
        <v>0</v>
      </c>
      <c r="BU38" s="174">
        <v>0</v>
      </c>
      <c r="BV38" s="174">
        <v>0</v>
      </c>
      <c r="BW38" s="174">
        <v>0</v>
      </c>
      <c r="BX38" s="174">
        <v>0</v>
      </c>
      <c r="BY38" s="174">
        <v>0</v>
      </c>
      <c r="BZ38" s="174">
        <v>0</v>
      </c>
      <c r="CA38" s="174">
        <v>0</v>
      </c>
      <c r="CB38" s="174">
        <v>0</v>
      </c>
      <c r="CC38" s="174">
        <v>0</v>
      </c>
      <c r="CD38" s="174">
        <v>0</v>
      </c>
      <c r="CE38" s="174">
        <v>0</v>
      </c>
      <c r="CF38" s="174">
        <v>0</v>
      </c>
      <c r="CG38" s="174">
        <v>0</v>
      </c>
      <c r="CH38" s="174">
        <v>0</v>
      </c>
      <c r="CI38" s="174">
        <v>0</v>
      </c>
    </row>
    <row r="39" spans="1:87" x14ac:dyDescent="0.25">
      <c r="C39" s="35"/>
      <c r="D39" s="35"/>
      <c r="E39" s="35"/>
      <c r="J39" s="140" t="s">
        <v>771</v>
      </c>
      <c r="K39" s="174">
        <f>IF(C28&gt;0,C28*D8*(-1),C28*F8)</f>
        <v>-2514.6000000000004</v>
      </c>
      <c r="L39" s="174">
        <v>0</v>
      </c>
      <c r="M39" s="174">
        <v>0</v>
      </c>
      <c r="N39" s="174">
        <v>0</v>
      </c>
      <c r="O39" s="174">
        <v>0</v>
      </c>
      <c r="P39" s="174">
        <v>0</v>
      </c>
      <c r="Q39" s="174">
        <v>0</v>
      </c>
      <c r="R39" s="174">
        <v>0</v>
      </c>
      <c r="S39" s="174">
        <v>0</v>
      </c>
      <c r="T39" s="174">
        <v>0</v>
      </c>
      <c r="U39" s="174">
        <v>0</v>
      </c>
      <c r="V39" s="174">
        <v>0</v>
      </c>
      <c r="W39" s="174">
        <v>0</v>
      </c>
      <c r="X39" s="174">
        <v>0</v>
      </c>
      <c r="Y39" s="174">
        <v>0</v>
      </c>
      <c r="Z39" s="174">
        <v>0</v>
      </c>
      <c r="AA39" s="174">
        <v>0</v>
      </c>
      <c r="AB39" s="174">
        <v>0</v>
      </c>
      <c r="AC39" s="174">
        <v>0</v>
      </c>
      <c r="AD39" s="174">
        <v>0</v>
      </c>
      <c r="AE39" s="174">
        <v>0</v>
      </c>
      <c r="AF39" s="174">
        <v>0</v>
      </c>
      <c r="AG39" s="174">
        <v>0</v>
      </c>
      <c r="AH39" s="174">
        <v>0</v>
      </c>
      <c r="AI39" s="174">
        <v>0</v>
      </c>
      <c r="AJ39" s="174">
        <v>0</v>
      </c>
      <c r="AK39" s="174">
        <v>0</v>
      </c>
      <c r="AL39" s="174">
        <v>0</v>
      </c>
      <c r="AM39" s="174">
        <v>0</v>
      </c>
      <c r="AN39" s="174">
        <v>0</v>
      </c>
      <c r="AO39" s="174">
        <v>0</v>
      </c>
      <c r="AP39" s="174">
        <v>0</v>
      </c>
      <c r="AQ39" s="174">
        <v>0</v>
      </c>
      <c r="AR39" s="174">
        <v>0</v>
      </c>
      <c r="AS39" s="174">
        <v>0</v>
      </c>
      <c r="AT39" s="174">
        <v>0</v>
      </c>
      <c r="AU39" s="174">
        <v>0</v>
      </c>
      <c r="AV39" s="174">
        <v>0</v>
      </c>
      <c r="AW39" s="174">
        <v>0</v>
      </c>
      <c r="AX39" s="174">
        <v>0</v>
      </c>
      <c r="AY39" s="174">
        <v>0</v>
      </c>
      <c r="AZ39" s="174">
        <v>0</v>
      </c>
      <c r="BA39" s="174">
        <v>0</v>
      </c>
      <c r="BB39" s="174">
        <v>0</v>
      </c>
      <c r="BC39" s="174">
        <v>0</v>
      </c>
      <c r="BD39" s="174">
        <v>0</v>
      </c>
      <c r="BE39" s="174">
        <v>0</v>
      </c>
      <c r="BF39" s="174">
        <v>0</v>
      </c>
      <c r="BG39" s="174">
        <v>0</v>
      </c>
      <c r="BH39" s="174">
        <v>0</v>
      </c>
      <c r="BI39" s="174">
        <v>0</v>
      </c>
      <c r="BJ39" s="174">
        <v>0</v>
      </c>
      <c r="BK39" s="174">
        <v>0</v>
      </c>
      <c r="BL39" s="174">
        <v>0</v>
      </c>
      <c r="BM39" s="174">
        <v>0</v>
      </c>
      <c r="BN39" s="174">
        <v>0</v>
      </c>
      <c r="BO39" s="174">
        <v>0</v>
      </c>
      <c r="BP39" s="174">
        <v>0</v>
      </c>
      <c r="BQ39" s="174">
        <v>0</v>
      </c>
      <c r="BR39" s="174">
        <v>0</v>
      </c>
      <c r="BS39" s="174">
        <v>0</v>
      </c>
      <c r="BT39" s="174">
        <v>0</v>
      </c>
      <c r="BU39" s="174">
        <v>0</v>
      </c>
      <c r="BV39" s="174">
        <v>0</v>
      </c>
      <c r="BW39" s="174">
        <v>0</v>
      </c>
      <c r="BX39" s="174">
        <v>0</v>
      </c>
      <c r="BY39" s="174">
        <v>0</v>
      </c>
      <c r="BZ39" s="174">
        <v>0</v>
      </c>
      <c r="CA39" s="174">
        <v>0</v>
      </c>
      <c r="CB39" s="174">
        <v>0</v>
      </c>
      <c r="CC39" s="174">
        <v>0</v>
      </c>
      <c r="CD39" s="174">
        <v>0</v>
      </c>
      <c r="CE39" s="174">
        <v>0</v>
      </c>
      <c r="CF39" s="174">
        <v>0</v>
      </c>
      <c r="CG39" s="174">
        <v>0</v>
      </c>
      <c r="CH39" s="174">
        <v>0</v>
      </c>
      <c r="CI39" s="174">
        <v>0</v>
      </c>
    </row>
    <row r="40" spans="1:87" x14ac:dyDescent="0.25">
      <c r="C40" s="35"/>
      <c r="D40" s="35"/>
      <c r="E40" s="35"/>
      <c r="J40" s="140" t="s">
        <v>772</v>
      </c>
      <c r="K40" s="176">
        <f>K39+K38+K37+K36+K35</f>
        <v>-119737.00000000001</v>
      </c>
      <c r="L40" s="174">
        <v>0</v>
      </c>
      <c r="M40" s="174">
        <v>0</v>
      </c>
      <c r="N40" s="174">
        <v>0</v>
      </c>
      <c r="O40" s="174">
        <v>0</v>
      </c>
      <c r="P40" s="174">
        <v>0</v>
      </c>
      <c r="Q40" s="174">
        <v>0</v>
      </c>
      <c r="R40" s="174">
        <v>0</v>
      </c>
      <c r="S40" s="174">
        <v>0</v>
      </c>
      <c r="T40" s="174">
        <v>0</v>
      </c>
      <c r="U40" s="174">
        <v>0</v>
      </c>
      <c r="V40" s="174">
        <v>0</v>
      </c>
      <c r="W40" s="174">
        <v>0</v>
      </c>
      <c r="X40" s="174">
        <v>0</v>
      </c>
      <c r="Y40" s="174">
        <v>0</v>
      </c>
      <c r="Z40" s="174">
        <v>0</v>
      </c>
      <c r="AA40" s="174">
        <v>0</v>
      </c>
      <c r="AB40" s="174">
        <v>0</v>
      </c>
      <c r="AC40" s="174">
        <v>0</v>
      </c>
      <c r="AD40" s="174">
        <v>0</v>
      </c>
      <c r="AE40" s="174">
        <v>0</v>
      </c>
      <c r="AF40" s="174">
        <v>0</v>
      </c>
      <c r="AG40" s="174">
        <v>0</v>
      </c>
      <c r="AH40" s="174">
        <v>0</v>
      </c>
      <c r="AI40" s="174">
        <v>0</v>
      </c>
      <c r="AJ40" s="174">
        <v>0</v>
      </c>
      <c r="AK40" s="174">
        <v>0</v>
      </c>
      <c r="AL40" s="174">
        <v>0</v>
      </c>
      <c r="AM40" s="174">
        <v>0</v>
      </c>
      <c r="AN40" s="174">
        <v>0</v>
      </c>
      <c r="AO40" s="174">
        <v>0</v>
      </c>
      <c r="AP40" s="174">
        <v>0</v>
      </c>
      <c r="AQ40" s="174">
        <v>0</v>
      </c>
      <c r="AR40" s="174">
        <v>0</v>
      </c>
      <c r="AS40" s="174">
        <v>0</v>
      </c>
      <c r="AT40" s="174">
        <v>0</v>
      </c>
      <c r="AU40" s="174">
        <v>0</v>
      </c>
      <c r="AV40" s="174">
        <v>0</v>
      </c>
      <c r="AW40" s="174">
        <v>0</v>
      </c>
      <c r="AX40" s="174">
        <v>0</v>
      </c>
      <c r="AY40" s="174">
        <v>0</v>
      </c>
      <c r="AZ40" s="174">
        <v>0</v>
      </c>
      <c r="BA40" s="174">
        <v>0</v>
      </c>
      <c r="BB40" s="174">
        <v>0</v>
      </c>
      <c r="BC40" s="174">
        <v>0</v>
      </c>
      <c r="BD40" s="174">
        <v>0</v>
      </c>
      <c r="BE40" s="174">
        <v>0</v>
      </c>
      <c r="BF40" s="174">
        <v>0</v>
      </c>
      <c r="BG40" s="174">
        <v>0</v>
      </c>
      <c r="BH40" s="174">
        <v>0</v>
      </c>
      <c r="BI40" s="174">
        <v>0</v>
      </c>
      <c r="BJ40" s="174">
        <v>0</v>
      </c>
      <c r="BK40" s="174">
        <v>0</v>
      </c>
      <c r="BL40" s="174">
        <v>0</v>
      </c>
      <c r="BM40" s="174">
        <v>0</v>
      </c>
      <c r="BN40" s="174">
        <v>0</v>
      </c>
      <c r="BO40" s="174">
        <v>0</v>
      </c>
      <c r="BP40" s="174">
        <v>0</v>
      </c>
      <c r="BQ40" s="174">
        <v>0</v>
      </c>
      <c r="BR40" s="174">
        <v>0</v>
      </c>
      <c r="BS40" s="174">
        <v>0</v>
      </c>
      <c r="BT40" s="174">
        <v>0</v>
      </c>
      <c r="BU40" s="174">
        <v>0</v>
      </c>
      <c r="BV40" s="174">
        <v>0</v>
      </c>
      <c r="BW40" s="174">
        <v>0</v>
      </c>
      <c r="BX40" s="174">
        <v>0</v>
      </c>
      <c r="BY40" s="174">
        <v>0</v>
      </c>
      <c r="BZ40" s="174">
        <v>0</v>
      </c>
      <c r="CA40" s="174">
        <v>0</v>
      </c>
      <c r="CB40" s="174">
        <v>0</v>
      </c>
      <c r="CC40" s="174">
        <v>0</v>
      </c>
      <c r="CD40" s="174">
        <v>0</v>
      </c>
      <c r="CE40" s="174">
        <v>0</v>
      </c>
      <c r="CF40" s="174">
        <v>0</v>
      </c>
      <c r="CG40" s="174">
        <v>0</v>
      </c>
      <c r="CH40" s="174">
        <v>0</v>
      </c>
      <c r="CI40" s="174">
        <v>0</v>
      </c>
    </row>
    <row r="41" spans="1:87" x14ac:dyDescent="0.25">
      <c r="C41" s="35"/>
      <c r="D41" s="35"/>
      <c r="E41" s="35"/>
      <c r="J41" s="177" t="s">
        <v>773</v>
      </c>
      <c r="K41" s="178">
        <f>K26+K18+K19+K20+K21</f>
        <v>331756.36129999999</v>
      </c>
      <c r="L41" s="178">
        <f t="shared" ref="L41:BW41" si="63">L26+L18+L19+L20+L21</f>
        <v>-41599.199999999997</v>
      </c>
      <c r="M41" s="178">
        <f t="shared" si="63"/>
        <v>328752.49490000005</v>
      </c>
      <c r="N41" s="178">
        <f t="shared" si="63"/>
        <v>-41599.199999999997</v>
      </c>
      <c r="O41" s="178">
        <f t="shared" si="63"/>
        <v>325748.62849999999</v>
      </c>
      <c r="P41" s="178">
        <f t="shared" si="63"/>
        <v>-41599.199999999997</v>
      </c>
      <c r="Q41" s="178">
        <f t="shared" si="63"/>
        <v>322744.76209999999</v>
      </c>
      <c r="R41" s="178">
        <f t="shared" si="63"/>
        <v>-41599.199999999997</v>
      </c>
      <c r="S41" s="178">
        <f t="shared" si="63"/>
        <v>319740.89569999994</v>
      </c>
      <c r="T41" s="178">
        <f t="shared" si="63"/>
        <v>-41599.199999999997</v>
      </c>
      <c r="U41" s="178">
        <f t="shared" si="63"/>
        <v>316737.02929999999</v>
      </c>
      <c r="V41" s="178">
        <f t="shared" si="63"/>
        <v>-41599.199999999997</v>
      </c>
      <c r="W41" s="178">
        <f t="shared" si="63"/>
        <v>-41599.199999999997</v>
      </c>
      <c r="X41" s="178">
        <f t="shared" si="63"/>
        <v>-41599.199999999997</v>
      </c>
      <c r="Y41" s="178">
        <f t="shared" si="63"/>
        <v>310729.2965</v>
      </c>
      <c r="Z41" s="178">
        <f t="shared" si="63"/>
        <v>-41599.199999999997</v>
      </c>
      <c r="AA41" s="178">
        <f t="shared" si="63"/>
        <v>274144.70697000006</v>
      </c>
      <c r="AB41" s="178">
        <f t="shared" si="63"/>
        <v>-41599.199999999997</v>
      </c>
      <c r="AC41" s="178">
        <f t="shared" si="63"/>
        <v>271140.84057000006</v>
      </c>
      <c r="AD41" s="178">
        <f t="shared" si="63"/>
        <v>-41599.199999999997</v>
      </c>
      <c r="AE41" s="178">
        <f t="shared" si="63"/>
        <v>268136.97417</v>
      </c>
      <c r="AF41" s="178">
        <f t="shared" si="63"/>
        <v>-41599.199999999997</v>
      </c>
      <c r="AG41" s="178">
        <f t="shared" si="63"/>
        <v>265133.10777000006</v>
      </c>
      <c r="AH41" s="178">
        <f t="shared" si="63"/>
        <v>-41599.199999999997</v>
      </c>
      <c r="AI41" s="178">
        <f t="shared" si="63"/>
        <v>262129.24136999997</v>
      </c>
      <c r="AJ41" s="178">
        <f t="shared" si="63"/>
        <v>-41599.199999999997</v>
      </c>
      <c r="AK41" s="178">
        <f t="shared" si="63"/>
        <v>259125.37497000003</v>
      </c>
      <c r="AL41" s="178">
        <f t="shared" si="63"/>
        <v>-41599.199999999997</v>
      </c>
      <c r="AM41" s="178">
        <f t="shared" si="63"/>
        <v>-41599.199999999997</v>
      </c>
      <c r="AN41" s="178">
        <f t="shared" si="63"/>
        <v>254619.57537000004</v>
      </c>
      <c r="AO41" s="178">
        <f t="shared" si="63"/>
        <v>-41599.199999999997</v>
      </c>
      <c r="AP41" s="178">
        <f t="shared" si="63"/>
        <v>251615.70897000004</v>
      </c>
      <c r="AQ41" s="178">
        <f t="shared" si="63"/>
        <v>-41599.199999999997</v>
      </c>
      <c r="AR41" s="178">
        <f t="shared" si="63"/>
        <v>220792.28487300003</v>
      </c>
      <c r="AS41" s="178">
        <f t="shared" si="63"/>
        <v>-41599.199999999997</v>
      </c>
      <c r="AT41" s="178">
        <f t="shared" si="63"/>
        <v>217788.41847300006</v>
      </c>
      <c r="AU41" s="178">
        <f t="shared" si="63"/>
        <v>-41599.199999999997</v>
      </c>
      <c r="AV41" s="178">
        <f t="shared" si="63"/>
        <v>214784.55207300003</v>
      </c>
      <c r="AW41" s="178">
        <f t="shared" si="63"/>
        <v>-41599.199999999997</v>
      </c>
      <c r="AX41" s="178">
        <f t="shared" si="63"/>
        <v>211780.68567300009</v>
      </c>
      <c r="AY41" s="178">
        <f t="shared" si="63"/>
        <v>-41599.199999999997</v>
      </c>
      <c r="AZ41" s="178">
        <f t="shared" si="63"/>
        <v>208776.81927300006</v>
      </c>
      <c r="BA41" s="178">
        <f t="shared" si="63"/>
        <v>-41599.199999999997</v>
      </c>
      <c r="BB41" s="178">
        <f t="shared" si="63"/>
        <v>-41599.199999999997</v>
      </c>
      <c r="BC41" s="178">
        <f t="shared" si="63"/>
        <v>-41599.199999999997</v>
      </c>
      <c r="BD41" s="178">
        <f t="shared" si="63"/>
        <v>202769.08647300003</v>
      </c>
      <c r="BE41" s="178">
        <f t="shared" si="63"/>
        <v>-41599.199999999997</v>
      </c>
      <c r="BF41" s="178">
        <f t="shared" si="63"/>
        <v>199765.22007300003</v>
      </c>
      <c r="BG41" s="178">
        <f t="shared" si="63"/>
        <v>-41599.199999999997</v>
      </c>
      <c r="BH41" s="178">
        <f t="shared" si="63"/>
        <v>407338.90072500007</v>
      </c>
      <c r="BI41" s="178">
        <f t="shared" si="63"/>
        <v>-41599.199999999997</v>
      </c>
      <c r="BJ41" s="178">
        <f t="shared" si="63"/>
        <v>407338.90072500007</v>
      </c>
      <c r="BK41" s="178">
        <f t="shared" si="63"/>
        <v>-41599.199999999997</v>
      </c>
      <c r="BL41" s="178">
        <f t="shared" si="63"/>
        <v>407338.90072500007</v>
      </c>
      <c r="BM41" s="178">
        <f t="shared" si="63"/>
        <v>-41599.199999999997</v>
      </c>
      <c r="BN41" s="178">
        <f t="shared" si="63"/>
        <v>407338.90072500007</v>
      </c>
      <c r="BO41" s="178">
        <f t="shared" si="63"/>
        <v>-41599.199999999997</v>
      </c>
      <c r="BP41" s="178">
        <f t="shared" si="63"/>
        <v>407338.90072500007</v>
      </c>
      <c r="BQ41" s="178">
        <f t="shared" si="63"/>
        <v>-41599.199999999997</v>
      </c>
      <c r="BR41" s="178">
        <f t="shared" si="63"/>
        <v>-41599.199999999997</v>
      </c>
      <c r="BS41" s="178">
        <f t="shared" si="63"/>
        <v>-41599.199999999997</v>
      </c>
      <c r="BT41" s="178">
        <f t="shared" si="63"/>
        <v>407338.90072500007</v>
      </c>
      <c r="BU41" s="178">
        <f t="shared" si="63"/>
        <v>-41599.199999999997</v>
      </c>
      <c r="BV41" s="178">
        <f t="shared" si="63"/>
        <v>407338.90072500007</v>
      </c>
      <c r="BW41" s="178">
        <f t="shared" si="63"/>
        <v>-41599.199999999997</v>
      </c>
      <c r="BX41" s="178">
        <f t="shared" ref="BX41:CI41" si="64">BX26+BX18+BX19+BX20+BX21</f>
        <v>407338.90072500007</v>
      </c>
      <c r="BY41" s="178">
        <f t="shared" si="64"/>
        <v>-41599.199999999997</v>
      </c>
      <c r="BZ41" s="178">
        <f t="shared" si="64"/>
        <v>407338.90072500007</v>
      </c>
      <c r="CA41" s="178">
        <f t="shared" si="64"/>
        <v>-41599.199999999997</v>
      </c>
      <c r="CB41" s="178">
        <f t="shared" si="64"/>
        <v>407338.90072500007</v>
      </c>
      <c r="CC41" s="178">
        <f t="shared" si="64"/>
        <v>-41599.199999999997</v>
      </c>
      <c r="CD41" s="178">
        <f t="shared" si="64"/>
        <v>407338.90072500007</v>
      </c>
      <c r="CE41" s="178">
        <f t="shared" si="64"/>
        <v>-41599.199999999997</v>
      </c>
      <c r="CF41" s="178">
        <f t="shared" si="64"/>
        <v>407338.90072500007</v>
      </c>
      <c r="CG41" s="178">
        <f t="shared" si="64"/>
        <v>-41599.199999999997</v>
      </c>
      <c r="CH41" s="178">
        <f t="shared" si="64"/>
        <v>-41599.199999999997</v>
      </c>
      <c r="CI41" s="178">
        <f t="shared" si="64"/>
        <v>-41599.199999999997</v>
      </c>
    </row>
    <row r="42" spans="1:87" x14ac:dyDescent="0.25">
      <c r="C42" s="35"/>
      <c r="D42" s="35"/>
      <c r="E42" s="35"/>
      <c r="J42" s="177" t="s">
        <v>774</v>
      </c>
      <c r="K42" s="178">
        <f>K27+K28+K29+K30+K31+K32+K33+K34+K35+K36+K37+K38+K39+K22+K23+K24+K25</f>
        <v>212019.36129999996</v>
      </c>
      <c r="L42" s="178">
        <f t="shared" ref="L42:BW42" si="65">L27+L28+L29+L30+L31+L32+L33+L34+L35+L36+L37+L38+L39+L22+L23+L24+L25</f>
        <v>-29119.439999999995</v>
      </c>
      <c r="M42" s="178">
        <f t="shared" si="65"/>
        <v>337779.99489999999</v>
      </c>
      <c r="N42" s="178">
        <f t="shared" si="65"/>
        <v>-29119.439999999995</v>
      </c>
      <c r="O42" s="178">
        <f t="shared" si="65"/>
        <v>336190.68849999999</v>
      </c>
      <c r="P42" s="178">
        <f t="shared" si="65"/>
        <v>-29119.439999999995</v>
      </c>
      <c r="Q42" s="178">
        <f t="shared" si="65"/>
        <v>334601.38209999999</v>
      </c>
      <c r="R42" s="178">
        <f t="shared" si="65"/>
        <v>-29119.439999999995</v>
      </c>
      <c r="S42" s="178">
        <f t="shared" si="65"/>
        <v>332220.65569999994</v>
      </c>
      <c r="T42" s="178">
        <f t="shared" si="65"/>
        <v>-29119.440000000002</v>
      </c>
      <c r="U42" s="178">
        <f t="shared" si="65"/>
        <v>329216.7893</v>
      </c>
      <c r="V42" s="178">
        <f t="shared" si="65"/>
        <v>-29119.439999999995</v>
      </c>
      <c r="W42" s="178">
        <f t="shared" si="65"/>
        <v>-29119.439999999995</v>
      </c>
      <c r="X42" s="178">
        <f t="shared" si="65"/>
        <v>-29119.439999999999</v>
      </c>
      <c r="Y42" s="178">
        <f t="shared" si="65"/>
        <v>323209.05650000001</v>
      </c>
      <c r="Z42" s="178">
        <f t="shared" si="65"/>
        <v>-29119.439999999995</v>
      </c>
      <c r="AA42" s="178">
        <f t="shared" si="65"/>
        <v>286624.46697000007</v>
      </c>
      <c r="AB42" s="178">
        <f t="shared" si="65"/>
        <v>-29119.440000000002</v>
      </c>
      <c r="AC42" s="178">
        <f t="shared" si="65"/>
        <v>283620.60057000007</v>
      </c>
      <c r="AD42" s="178">
        <f t="shared" si="65"/>
        <v>-29119.439999999995</v>
      </c>
      <c r="AE42" s="178">
        <f t="shared" si="65"/>
        <v>280616.73417000001</v>
      </c>
      <c r="AF42" s="178">
        <f t="shared" si="65"/>
        <v>-29119.439999999995</v>
      </c>
      <c r="AG42" s="178">
        <f t="shared" si="65"/>
        <v>277612.86777000001</v>
      </c>
      <c r="AH42" s="178">
        <f t="shared" si="65"/>
        <v>-29119.439999999999</v>
      </c>
      <c r="AI42" s="178">
        <f t="shared" si="65"/>
        <v>274609.00137000001</v>
      </c>
      <c r="AJ42" s="178">
        <f t="shared" si="65"/>
        <v>-29119.439999999999</v>
      </c>
      <c r="AK42" s="178">
        <f t="shared" si="65"/>
        <v>271605.13497000001</v>
      </c>
      <c r="AL42" s="178">
        <f t="shared" si="65"/>
        <v>-29119.439999999999</v>
      </c>
      <c r="AM42" s="178">
        <f t="shared" si="65"/>
        <v>-29119.439999999999</v>
      </c>
      <c r="AN42" s="178">
        <f t="shared" si="65"/>
        <v>267099.33537000004</v>
      </c>
      <c r="AO42" s="178">
        <f t="shared" si="65"/>
        <v>-29119.439999999999</v>
      </c>
      <c r="AP42" s="178">
        <f t="shared" si="65"/>
        <v>264095.46897000005</v>
      </c>
      <c r="AQ42" s="178">
        <f t="shared" si="65"/>
        <v>-29119.439999999995</v>
      </c>
      <c r="AR42" s="178">
        <f t="shared" si="65"/>
        <v>233272.04487300004</v>
      </c>
      <c r="AS42" s="178">
        <f t="shared" si="65"/>
        <v>-29119.439999999999</v>
      </c>
      <c r="AT42" s="178">
        <f t="shared" si="65"/>
        <v>230268.17847300007</v>
      </c>
      <c r="AU42" s="178">
        <f t="shared" si="65"/>
        <v>-29119.439999999999</v>
      </c>
      <c r="AV42" s="178">
        <f t="shared" si="65"/>
        <v>227264.31207300001</v>
      </c>
      <c r="AW42" s="178">
        <f t="shared" si="65"/>
        <v>-29119.439999999995</v>
      </c>
      <c r="AX42" s="178">
        <f t="shared" si="65"/>
        <v>224260.44567300004</v>
      </c>
      <c r="AY42" s="178">
        <f t="shared" si="65"/>
        <v>-29119.439999999999</v>
      </c>
      <c r="AZ42" s="178">
        <f t="shared" si="65"/>
        <v>221256.57927300004</v>
      </c>
      <c r="BA42" s="178">
        <f t="shared" si="65"/>
        <v>-29119.439999999995</v>
      </c>
      <c r="BB42" s="178">
        <f t="shared" si="65"/>
        <v>-29119.439999999995</v>
      </c>
      <c r="BC42" s="178">
        <f t="shared" si="65"/>
        <v>-29119.439999999999</v>
      </c>
      <c r="BD42" s="178">
        <f t="shared" si="65"/>
        <v>215248.84647300004</v>
      </c>
      <c r="BE42" s="178">
        <f t="shared" si="65"/>
        <v>-29119.439999999999</v>
      </c>
      <c r="BF42" s="178">
        <f t="shared" si="65"/>
        <v>212244.98007300001</v>
      </c>
      <c r="BG42" s="178">
        <f t="shared" si="65"/>
        <v>-29119.439999999995</v>
      </c>
      <c r="BH42" s="178">
        <f t="shared" si="65"/>
        <v>419818.66072500008</v>
      </c>
      <c r="BI42" s="178">
        <f t="shared" si="65"/>
        <v>-29119.439999999995</v>
      </c>
      <c r="BJ42" s="178">
        <f t="shared" si="65"/>
        <v>419818.66072500008</v>
      </c>
      <c r="BK42" s="178">
        <f t="shared" si="65"/>
        <v>-29119.439999999995</v>
      </c>
      <c r="BL42" s="178">
        <f t="shared" si="65"/>
        <v>419818.66072500008</v>
      </c>
      <c r="BM42" s="178">
        <f t="shared" si="65"/>
        <v>-29119.439999999995</v>
      </c>
      <c r="BN42" s="178">
        <f t="shared" si="65"/>
        <v>419818.66072500008</v>
      </c>
      <c r="BO42" s="178">
        <f t="shared" si="65"/>
        <v>-29119.439999999995</v>
      </c>
      <c r="BP42" s="178">
        <f t="shared" si="65"/>
        <v>419818.66072500008</v>
      </c>
      <c r="BQ42" s="178">
        <f t="shared" si="65"/>
        <v>-29119.439999999995</v>
      </c>
      <c r="BR42" s="178">
        <f t="shared" si="65"/>
        <v>-29119.439999999995</v>
      </c>
      <c r="BS42" s="178">
        <f t="shared" si="65"/>
        <v>-29119.439999999995</v>
      </c>
      <c r="BT42" s="178">
        <f t="shared" si="65"/>
        <v>419818.66072500008</v>
      </c>
      <c r="BU42" s="178">
        <f t="shared" si="65"/>
        <v>-29119.439999999995</v>
      </c>
      <c r="BV42" s="178">
        <f t="shared" si="65"/>
        <v>419818.66072500008</v>
      </c>
      <c r="BW42" s="178">
        <f t="shared" si="65"/>
        <v>-29119.439999999995</v>
      </c>
      <c r="BX42" s="178">
        <f t="shared" ref="BX42:CI42" si="66">BX27+BX28+BX29+BX30+BX31+BX32+BX33+BX34+BX35+BX36+BX37+BX38+BX39+BX22+BX23+BX24+BX25</f>
        <v>419818.66072500008</v>
      </c>
      <c r="BY42" s="178">
        <f t="shared" si="66"/>
        <v>-29119.439999999995</v>
      </c>
      <c r="BZ42" s="178">
        <f t="shared" si="66"/>
        <v>419818.66072500008</v>
      </c>
      <c r="CA42" s="178">
        <f t="shared" si="66"/>
        <v>-29119.439999999995</v>
      </c>
      <c r="CB42" s="178">
        <f t="shared" si="66"/>
        <v>419818.66072500008</v>
      </c>
      <c r="CC42" s="178">
        <f t="shared" si="66"/>
        <v>-29119.439999999995</v>
      </c>
      <c r="CD42" s="178">
        <f t="shared" si="66"/>
        <v>419818.66072500008</v>
      </c>
      <c r="CE42" s="178">
        <f t="shared" si="66"/>
        <v>-29119.439999999995</v>
      </c>
      <c r="CF42" s="178">
        <f t="shared" si="66"/>
        <v>419818.66072500008</v>
      </c>
      <c r="CG42" s="178">
        <f t="shared" si="66"/>
        <v>-29119.439999999995</v>
      </c>
      <c r="CH42" s="178">
        <f t="shared" si="66"/>
        <v>-29119.439999999995</v>
      </c>
      <c r="CI42" s="178">
        <f t="shared" si="66"/>
        <v>-29119.439999999995</v>
      </c>
    </row>
    <row r="43" spans="1:87" ht="18.75" x14ac:dyDescent="0.3">
      <c r="A43" s="179"/>
      <c r="C43" s="180"/>
      <c r="D43" s="180"/>
      <c r="E43" s="180"/>
      <c r="F43" s="179"/>
      <c r="G43" s="179"/>
      <c r="H43" s="179"/>
      <c r="I43" s="179"/>
      <c r="J43" s="181" t="s">
        <v>749</v>
      </c>
      <c r="K43" s="182">
        <f>K42-K41</f>
        <v>-119737.00000000003</v>
      </c>
      <c r="L43" s="182">
        <f t="shared" ref="L43:BW43" si="67">L42-L41</f>
        <v>12479.760000000002</v>
      </c>
      <c r="M43" s="182">
        <f t="shared" si="67"/>
        <v>9027.4999999999418</v>
      </c>
      <c r="N43" s="182">
        <f t="shared" si="67"/>
        <v>12479.760000000002</v>
      </c>
      <c r="O43" s="182">
        <f t="shared" si="67"/>
        <v>10442.059999999998</v>
      </c>
      <c r="P43" s="182">
        <f t="shared" si="67"/>
        <v>12479.760000000002</v>
      </c>
      <c r="Q43" s="182">
        <f t="shared" si="67"/>
        <v>11856.619999999995</v>
      </c>
      <c r="R43" s="182">
        <f t="shared" si="67"/>
        <v>12479.760000000002</v>
      </c>
      <c r="S43" s="182">
        <f t="shared" si="67"/>
        <v>12479.760000000009</v>
      </c>
      <c r="T43" s="182">
        <f t="shared" si="67"/>
        <v>12479.759999999995</v>
      </c>
      <c r="U43" s="182">
        <f t="shared" si="67"/>
        <v>12479.760000000009</v>
      </c>
      <c r="V43" s="182">
        <f t="shared" si="67"/>
        <v>12479.760000000002</v>
      </c>
      <c r="W43" s="182">
        <f t="shared" si="67"/>
        <v>12479.760000000002</v>
      </c>
      <c r="X43" s="182">
        <f t="shared" si="67"/>
        <v>12479.759999999998</v>
      </c>
      <c r="Y43" s="182">
        <f t="shared" si="67"/>
        <v>12479.760000000009</v>
      </c>
      <c r="Z43" s="182">
        <f t="shared" si="67"/>
        <v>12479.760000000002</v>
      </c>
      <c r="AA43" s="182">
        <f t="shared" si="67"/>
        <v>12479.760000000009</v>
      </c>
      <c r="AB43" s="182">
        <f t="shared" si="67"/>
        <v>12479.759999999995</v>
      </c>
      <c r="AC43" s="182">
        <f t="shared" si="67"/>
        <v>12479.760000000009</v>
      </c>
      <c r="AD43" s="182">
        <f t="shared" si="67"/>
        <v>12479.760000000002</v>
      </c>
      <c r="AE43" s="182">
        <f t="shared" si="67"/>
        <v>12479.760000000009</v>
      </c>
      <c r="AF43" s="182">
        <f t="shared" si="67"/>
        <v>12479.760000000002</v>
      </c>
      <c r="AG43" s="182">
        <f t="shared" si="67"/>
        <v>12479.759999999951</v>
      </c>
      <c r="AH43" s="182">
        <f t="shared" si="67"/>
        <v>12479.759999999998</v>
      </c>
      <c r="AI43" s="182">
        <f t="shared" si="67"/>
        <v>12479.760000000038</v>
      </c>
      <c r="AJ43" s="182">
        <f t="shared" si="67"/>
        <v>12479.759999999998</v>
      </c>
      <c r="AK43" s="182">
        <f t="shared" si="67"/>
        <v>12479.75999999998</v>
      </c>
      <c r="AL43" s="182">
        <f t="shared" si="67"/>
        <v>12479.759999999998</v>
      </c>
      <c r="AM43" s="182">
        <f t="shared" si="67"/>
        <v>12479.759999999998</v>
      </c>
      <c r="AN43" s="182">
        <f t="shared" si="67"/>
        <v>12479.760000000009</v>
      </c>
      <c r="AO43" s="182">
        <f t="shared" si="67"/>
        <v>12479.759999999998</v>
      </c>
      <c r="AP43" s="182">
        <f t="shared" si="67"/>
        <v>12479.760000000009</v>
      </c>
      <c r="AQ43" s="182">
        <f t="shared" si="67"/>
        <v>12479.760000000002</v>
      </c>
      <c r="AR43" s="182">
        <f t="shared" si="67"/>
        <v>12479.760000000009</v>
      </c>
      <c r="AS43" s="182">
        <f t="shared" si="67"/>
        <v>12479.759999999998</v>
      </c>
      <c r="AT43" s="182">
        <f t="shared" si="67"/>
        <v>12479.760000000009</v>
      </c>
      <c r="AU43" s="182">
        <f t="shared" si="67"/>
        <v>12479.759999999998</v>
      </c>
      <c r="AV43" s="182">
        <f t="shared" si="67"/>
        <v>12479.75999999998</v>
      </c>
      <c r="AW43" s="182">
        <f t="shared" si="67"/>
        <v>12479.760000000002</v>
      </c>
      <c r="AX43" s="182">
        <f t="shared" si="67"/>
        <v>12479.759999999951</v>
      </c>
      <c r="AY43" s="182">
        <f t="shared" si="67"/>
        <v>12479.759999999998</v>
      </c>
      <c r="AZ43" s="182">
        <f t="shared" si="67"/>
        <v>12479.75999999998</v>
      </c>
      <c r="BA43" s="182">
        <f t="shared" si="67"/>
        <v>12479.760000000002</v>
      </c>
      <c r="BB43" s="182">
        <f t="shared" si="67"/>
        <v>12479.760000000002</v>
      </c>
      <c r="BC43" s="182">
        <f t="shared" si="67"/>
        <v>12479.759999999998</v>
      </c>
      <c r="BD43" s="182">
        <f t="shared" si="67"/>
        <v>12479.760000000009</v>
      </c>
      <c r="BE43" s="182">
        <f t="shared" si="67"/>
        <v>12479.759999999998</v>
      </c>
      <c r="BF43" s="182">
        <f t="shared" si="67"/>
        <v>12479.75999999998</v>
      </c>
      <c r="BG43" s="182">
        <f t="shared" si="67"/>
        <v>12479.760000000002</v>
      </c>
      <c r="BH43" s="182">
        <f t="shared" si="67"/>
        <v>12479.760000000009</v>
      </c>
      <c r="BI43" s="182">
        <f t="shared" si="67"/>
        <v>12479.760000000002</v>
      </c>
      <c r="BJ43" s="182">
        <f t="shared" si="67"/>
        <v>12479.760000000009</v>
      </c>
      <c r="BK43" s="182">
        <f t="shared" si="67"/>
        <v>12479.760000000002</v>
      </c>
      <c r="BL43" s="182">
        <f t="shared" si="67"/>
        <v>12479.760000000009</v>
      </c>
      <c r="BM43" s="182">
        <f t="shared" si="67"/>
        <v>12479.760000000002</v>
      </c>
      <c r="BN43" s="182">
        <f t="shared" si="67"/>
        <v>12479.760000000009</v>
      </c>
      <c r="BO43" s="182">
        <f t="shared" si="67"/>
        <v>12479.760000000002</v>
      </c>
      <c r="BP43" s="182">
        <f t="shared" si="67"/>
        <v>12479.760000000009</v>
      </c>
      <c r="BQ43" s="182">
        <f t="shared" si="67"/>
        <v>12479.760000000002</v>
      </c>
      <c r="BR43" s="182">
        <f t="shared" si="67"/>
        <v>12479.760000000002</v>
      </c>
      <c r="BS43" s="182">
        <f t="shared" si="67"/>
        <v>12479.760000000002</v>
      </c>
      <c r="BT43" s="182">
        <f t="shared" si="67"/>
        <v>12479.760000000009</v>
      </c>
      <c r="BU43" s="182">
        <f t="shared" si="67"/>
        <v>12479.760000000002</v>
      </c>
      <c r="BV43" s="182">
        <f t="shared" si="67"/>
        <v>12479.760000000009</v>
      </c>
      <c r="BW43" s="182">
        <f t="shared" si="67"/>
        <v>12479.760000000002</v>
      </c>
      <c r="BX43" s="182">
        <f t="shared" ref="BX43:CI43" si="68">BX42-BX41</f>
        <v>12479.760000000009</v>
      </c>
      <c r="BY43" s="182">
        <f t="shared" si="68"/>
        <v>12479.760000000002</v>
      </c>
      <c r="BZ43" s="182">
        <f t="shared" si="68"/>
        <v>12479.760000000009</v>
      </c>
      <c r="CA43" s="182">
        <f t="shared" si="68"/>
        <v>12479.760000000002</v>
      </c>
      <c r="CB43" s="182">
        <f t="shared" si="68"/>
        <v>12479.760000000009</v>
      </c>
      <c r="CC43" s="182">
        <f t="shared" si="68"/>
        <v>12479.760000000002</v>
      </c>
      <c r="CD43" s="182">
        <f t="shared" si="68"/>
        <v>12479.760000000009</v>
      </c>
      <c r="CE43" s="182">
        <f t="shared" si="68"/>
        <v>12479.760000000002</v>
      </c>
      <c r="CF43" s="182">
        <f t="shared" si="68"/>
        <v>12479.760000000009</v>
      </c>
      <c r="CG43" s="182">
        <f t="shared" si="68"/>
        <v>12479.760000000002</v>
      </c>
      <c r="CH43" s="182">
        <f t="shared" si="68"/>
        <v>12479.760000000002</v>
      </c>
      <c r="CI43" s="182">
        <f t="shared" si="68"/>
        <v>12479.760000000002</v>
      </c>
    </row>
    <row r="44" spans="1:87" ht="18.75" x14ac:dyDescent="0.3">
      <c r="A44" s="179"/>
      <c r="C44" s="180"/>
      <c r="D44" s="180"/>
      <c r="E44" s="180"/>
      <c r="F44" s="179"/>
      <c r="G44" s="179"/>
      <c r="H44" s="179"/>
      <c r="I44" s="179"/>
      <c r="J44" s="183" t="s">
        <v>775</v>
      </c>
      <c r="K44" s="184">
        <f>K43</f>
        <v>-119737.00000000003</v>
      </c>
      <c r="L44" s="184">
        <f>K44+L43</f>
        <v>-107257.24000000002</v>
      </c>
      <c r="M44" s="184">
        <f t="shared" ref="M44:BX44" si="69">L44+M43</f>
        <v>-98229.740000000078</v>
      </c>
      <c r="N44" s="184">
        <f t="shared" si="69"/>
        <v>-85749.980000000069</v>
      </c>
      <c r="O44" s="184">
        <f t="shared" si="69"/>
        <v>-75307.920000000071</v>
      </c>
      <c r="P44" s="184">
        <f t="shared" si="69"/>
        <v>-62828.160000000069</v>
      </c>
      <c r="Q44" s="184">
        <f t="shared" si="69"/>
        <v>-50971.540000000074</v>
      </c>
      <c r="R44" s="184">
        <f t="shared" si="69"/>
        <v>-38491.780000000072</v>
      </c>
      <c r="S44" s="184">
        <f t="shared" si="69"/>
        <v>-26012.020000000062</v>
      </c>
      <c r="T44" s="184">
        <f t="shared" si="69"/>
        <v>-13532.260000000068</v>
      </c>
      <c r="U44" s="184">
        <f t="shared" si="69"/>
        <v>-1052.5000000000582</v>
      </c>
      <c r="V44" s="184">
        <f t="shared" si="69"/>
        <v>11427.259999999944</v>
      </c>
      <c r="W44" s="184">
        <f t="shared" si="69"/>
        <v>23907.019999999946</v>
      </c>
      <c r="X44" s="184">
        <f t="shared" si="69"/>
        <v>36386.779999999941</v>
      </c>
      <c r="Y44" s="184">
        <f t="shared" si="69"/>
        <v>48866.53999999995</v>
      </c>
      <c r="Z44" s="184">
        <f t="shared" si="69"/>
        <v>61346.299999999952</v>
      </c>
      <c r="AA44" s="184">
        <f t="shared" si="69"/>
        <v>73826.059999999969</v>
      </c>
      <c r="AB44" s="184">
        <f t="shared" si="69"/>
        <v>86305.819999999963</v>
      </c>
      <c r="AC44" s="184">
        <f t="shared" si="69"/>
        <v>98785.579999999973</v>
      </c>
      <c r="AD44" s="184">
        <f t="shared" si="69"/>
        <v>111265.33999999997</v>
      </c>
      <c r="AE44" s="184">
        <f t="shared" si="69"/>
        <v>123745.09999999998</v>
      </c>
      <c r="AF44" s="184">
        <f t="shared" si="69"/>
        <v>136224.85999999999</v>
      </c>
      <c r="AG44" s="184">
        <f t="shared" si="69"/>
        <v>148704.61999999994</v>
      </c>
      <c r="AH44" s="184">
        <f t="shared" si="69"/>
        <v>161184.37999999995</v>
      </c>
      <c r="AI44" s="184">
        <f t="shared" si="69"/>
        <v>173664.13999999998</v>
      </c>
      <c r="AJ44" s="184">
        <f t="shared" si="69"/>
        <v>186143.9</v>
      </c>
      <c r="AK44" s="184">
        <f t="shared" si="69"/>
        <v>198623.65999999997</v>
      </c>
      <c r="AL44" s="184">
        <f t="shared" si="69"/>
        <v>211103.41999999998</v>
      </c>
      <c r="AM44" s="184">
        <f t="shared" si="69"/>
        <v>223583.18</v>
      </c>
      <c r="AN44" s="184">
        <f t="shared" si="69"/>
        <v>236062.94</v>
      </c>
      <c r="AO44" s="184">
        <f t="shared" si="69"/>
        <v>248542.7</v>
      </c>
      <c r="AP44" s="184">
        <f t="shared" si="69"/>
        <v>261022.46000000002</v>
      </c>
      <c r="AQ44" s="184">
        <f t="shared" si="69"/>
        <v>273502.22000000003</v>
      </c>
      <c r="AR44" s="184">
        <f t="shared" si="69"/>
        <v>285981.98000000004</v>
      </c>
      <c r="AS44" s="184">
        <f t="shared" si="69"/>
        <v>298461.74000000005</v>
      </c>
      <c r="AT44" s="184">
        <f t="shared" si="69"/>
        <v>310941.50000000006</v>
      </c>
      <c r="AU44" s="184">
        <f t="shared" si="69"/>
        <v>323421.26000000007</v>
      </c>
      <c r="AV44" s="184">
        <f t="shared" si="69"/>
        <v>335901.02</v>
      </c>
      <c r="AW44" s="184">
        <f t="shared" si="69"/>
        <v>348380.78</v>
      </c>
      <c r="AX44" s="184">
        <f t="shared" si="69"/>
        <v>360860.54</v>
      </c>
      <c r="AY44" s="184">
        <f t="shared" si="69"/>
        <v>373340.3</v>
      </c>
      <c r="AZ44" s="184">
        <f t="shared" si="69"/>
        <v>385820.05999999994</v>
      </c>
      <c r="BA44" s="184">
        <f t="shared" si="69"/>
        <v>398299.81999999995</v>
      </c>
      <c r="BB44" s="184">
        <f t="shared" si="69"/>
        <v>410779.57999999996</v>
      </c>
      <c r="BC44" s="184">
        <f t="shared" si="69"/>
        <v>423259.33999999997</v>
      </c>
      <c r="BD44" s="184">
        <f t="shared" si="69"/>
        <v>435739.1</v>
      </c>
      <c r="BE44" s="184">
        <f t="shared" si="69"/>
        <v>448218.86</v>
      </c>
      <c r="BF44" s="184">
        <f t="shared" si="69"/>
        <v>460698.62</v>
      </c>
      <c r="BG44" s="184">
        <f t="shared" si="69"/>
        <v>473178.38</v>
      </c>
      <c r="BH44" s="184">
        <f t="shared" si="69"/>
        <v>485658.14</v>
      </c>
      <c r="BI44" s="184">
        <f t="shared" si="69"/>
        <v>498137.9</v>
      </c>
      <c r="BJ44" s="184">
        <f t="shared" si="69"/>
        <v>510617.66000000003</v>
      </c>
      <c r="BK44" s="184">
        <f t="shared" si="69"/>
        <v>523097.42000000004</v>
      </c>
      <c r="BL44" s="184">
        <f t="shared" si="69"/>
        <v>535577.18000000005</v>
      </c>
      <c r="BM44" s="184">
        <f t="shared" si="69"/>
        <v>548056.94000000006</v>
      </c>
      <c r="BN44" s="184">
        <f t="shared" si="69"/>
        <v>560536.70000000007</v>
      </c>
      <c r="BO44" s="184">
        <f t="shared" si="69"/>
        <v>573016.46000000008</v>
      </c>
      <c r="BP44" s="184">
        <f t="shared" si="69"/>
        <v>585496.22000000009</v>
      </c>
      <c r="BQ44" s="184">
        <f t="shared" si="69"/>
        <v>597975.9800000001</v>
      </c>
      <c r="BR44" s="184">
        <f t="shared" si="69"/>
        <v>610455.74000000011</v>
      </c>
      <c r="BS44" s="184">
        <f t="shared" si="69"/>
        <v>622935.50000000012</v>
      </c>
      <c r="BT44" s="184">
        <f t="shared" si="69"/>
        <v>635415.26000000013</v>
      </c>
      <c r="BU44" s="184">
        <f t="shared" si="69"/>
        <v>647895.02000000014</v>
      </c>
      <c r="BV44" s="184">
        <f t="shared" si="69"/>
        <v>660374.78000000014</v>
      </c>
      <c r="BW44" s="184">
        <f t="shared" si="69"/>
        <v>672854.54000000015</v>
      </c>
      <c r="BX44" s="184">
        <f t="shared" si="69"/>
        <v>685334.30000000016</v>
      </c>
      <c r="BY44" s="184">
        <f t="shared" ref="BY44:CI44" si="70">BX44+BY43</f>
        <v>697814.06000000017</v>
      </c>
      <c r="BZ44" s="184">
        <f t="shared" si="70"/>
        <v>710293.82000000018</v>
      </c>
      <c r="CA44" s="184">
        <f t="shared" si="70"/>
        <v>722773.58000000019</v>
      </c>
      <c r="CB44" s="184">
        <f t="shared" si="70"/>
        <v>735253.3400000002</v>
      </c>
      <c r="CC44" s="184">
        <f t="shared" si="70"/>
        <v>747733.10000000021</v>
      </c>
      <c r="CD44" s="184">
        <f t="shared" si="70"/>
        <v>760212.86000000022</v>
      </c>
      <c r="CE44" s="184">
        <f t="shared" si="70"/>
        <v>772692.62000000023</v>
      </c>
      <c r="CF44" s="184">
        <f t="shared" si="70"/>
        <v>785172.38000000024</v>
      </c>
      <c r="CG44" s="184">
        <f t="shared" si="70"/>
        <v>797652.14000000025</v>
      </c>
      <c r="CH44" s="184">
        <f t="shared" si="70"/>
        <v>810131.90000000026</v>
      </c>
      <c r="CI44" s="184">
        <f t="shared" si="70"/>
        <v>822611.66000000027</v>
      </c>
    </row>
    <row r="45" spans="1:87" x14ac:dyDescent="0.25">
      <c r="C45" s="35"/>
      <c r="D45" s="35"/>
      <c r="E45" s="35"/>
    </row>
    <row r="46" spans="1:87" x14ac:dyDescent="0.25">
      <c r="C46" s="35"/>
      <c r="D46" s="35"/>
      <c r="E46" s="35"/>
    </row>
    <row r="47" spans="1:87" x14ac:dyDescent="0.25">
      <c r="C47" s="35"/>
      <c r="D47" s="35"/>
      <c r="E47" s="35"/>
    </row>
    <row r="48" spans="1:87" x14ac:dyDescent="0.25">
      <c r="C48" s="35"/>
      <c r="D48" s="35"/>
      <c r="E48" s="35"/>
    </row>
    <row r="49" spans="3:5" x14ac:dyDescent="0.25">
      <c r="C49" s="35"/>
      <c r="D49" s="35"/>
      <c r="E49" s="35"/>
    </row>
    <row r="50" spans="3:5" x14ac:dyDescent="0.25">
      <c r="C50" s="35"/>
      <c r="D50" s="35"/>
      <c r="E50" s="35"/>
    </row>
    <row r="51" spans="3:5" x14ac:dyDescent="0.25">
      <c r="C51" s="35"/>
      <c r="D51" s="35"/>
      <c r="E51" s="35"/>
    </row>
    <row r="52" spans="3:5" x14ac:dyDescent="0.25">
      <c r="C52" s="35"/>
      <c r="D52" s="35"/>
      <c r="E52" s="35"/>
    </row>
    <row r="53" spans="3:5" x14ac:dyDescent="0.25">
      <c r="C53" s="35"/>
      <c r="D53" s="35"/>
      <c r="E53" s="35"/>
    </row>
    <row r="54" spans="3:5" x14ac:dyDescent="0.25">
      <c r="C54" s="35"/>
      <c r="D54" s="35"/>
      <c r="E54" s="35"/>
    </row>
    <row r="55" spans="3:5" x14ac:dyDescent="0.25">
      <c r="C55" s="35"/>
      <c r="D55" s="35"/>
      <c r="E55" s="35"/>
    </row>
    <row r="56" spans="3:5" x14ac:dyDescent="0.25">
      <c r="C56" s="35"/>
      <c r="D56" s="35"/>
      <c r="E56" s="35"/>
    </row>
    <row r="57" spans="3:5" x14ac:dyDescent="0.25">
      <c r="C57" s="35"/>
      <c r="D57" s="35"/>
      <c r="E57" s="35"/>
    </row>
    <row r="58" spans="3:5" x14ac:dyDescent="0.25">
      <c r="C58" s="35"/>
      <c r="D58" s="35"/>
      <c r="E58" s="35"/>
    </row>
    <row r="59" spans="3:5" x14ac:dyDescent="0.25">
      <c r="C59" s="35"/>
      <c r="D59" s="35"/>
      <c r="E59" s="35"/>
    </row>
    <row r="60" spans="3:5" x14ac:dyDescent="0.25">
      <c r="C60" s="35"/>
      <c r="D60" s="35"/>
      <c r="E60" s="35"/>
    </row>
    <row r="61" spans="3:5" x14ac:dyDescent="0.25">
      <c r="C61" s="35"/>
      <c r="D61" s="35"/>
      <c r="E61" s="35"/>
    </row>
    <row r="62" spans="3:5" x14ac:dyDescent="0.25">
      <c r="C62" s="35"/>
      <c r="D62" s="35"/>
      <c r="E62" s="35"/>
    </row>
    <row r="63" spans="3:5" x14ac:dyDescent="0.25">
      <c r="C63" s="35"/>
      <c r="D63" s="35"/>
      <c r="E63" s="35"/>
    </row>
    <row r="64" spans="3:5" x14ac:dyDescent="0.25">
      <c r="C64" s="35"/>
      <c r="D64" s="35"/>
      <c r="E64" s="35"/>
    </row>
    <row r="65" spans="3:5" x14ac:dyDescent="0.25">
      <c r="C65" s="35"/>
      <c r="D65" s="35"/>
      <c r="E65" s="35"/>
    </row>
    <row r="66" spans="3:5" x14ac:dyDescent="0.25">
      <c r="C66" s="35"/>
      <c r="D66" s="35"/>
      <c r="E66" s="35"/>
    </row>
    <row r="67" spans="3:5" x14ac:dyDescent="0.25">
      <c r="C67" s="35"/>
      <c r="D67" s="35"/>
      <c r="E67" s="35"/>
    </row>
    <row r="68" spans="3:5" x14ac:dyDescent="0.25">
      <c r="C68" s="35"/>
      <c r="D68" s="35"/>
      <c r="E68" s="35"/>
    </row>
    <row r="69" spans="3:5" x14ac:dyDescent="0.25">
      <c r="C69" s="35"/>
      <c r="D69" s="35"/>
      <c r="E69" s="35"/>
    </row>
    <row r="70" spans="3:5" x14ac:dyDescent="0.25">
      <c r="C70" s="35"/>
      <c r="D70" s="35"/>
      <c r="E70" s="35"/>
    </row>
    <row r="71" spans="3:5" x14ac:dyDescent="0.25">
      <c r="C71" s="35"/>
      <c r="D71" s="35"/>
      <c r="E71" s="35"/>
    </row>
    <row r="72" spans="3:5" x14ac:dyDescent="0.25">
      <c r="C72" s="35"/>
      <c r="D72" s="35"/>
      <c r="E72" s="35"/>
    </row>
    <row r="73" spans="3:5" x14ac:dyDescent="0.25">
      <c r="C73" s="35"/>
      <c r="D73" s="35"/>
      <c r="E73" s="35"/>
    </row>
    <row r="74" spans="3:5" x14ac:dyDescent="0.25">
      <c r="C74" s="35"/>
      <c r="D74" s="35"/>
      <c r="E74" s="35"/>
    </row>
    <row r="75" spans="3:5" x14ac:dyDescent="0.25">
      <c r="C75" s="35"/>
      <c r="D75" s="35"/>
      <c r="E75" s="35"/>
    </row>
    <row r="76" spans="3:5" x14ac:dyDescent="0.25">
      <c r="C76" s="35"/>
      <c r="D76" s="35"/>
      <c r="E76" s="35"/>
    </row>
    <row r="77" spans="3:5" x14ac:dyDescent="0.25">
      <c r="C77" s="35"/>
      <c r="D77" s="35"/>
      <c r="E77" s="35"/>
    </row>
    <row r="78" spans="3:5" x14ac:dyDescent="0.25">
      <c r="C78" s="35"/>
      <c r="D78" s="35"/>
      <c r="E78" s="35"/>
    </row>
    <row r="79" spans="3:5" x14ac:dyDescent="0.25">
      <c r="C79" s="35"/>
      <c r="D79" s="35"/>
      <c r="E79" s="35"/>
    </row>
    <row r="80" spans="3:5" x14ac:dyDescent="0.25">
      <c r="C80" s="35"/>
      <c r="D80" s="35"/>
      <c r="E80" s="35"/>
    </row>
    <row r="81" spans="3:5" x14ac:dyDescent="0.25">
      <c r="C81" s="35"/>
      <c r="D81" s="35"/>
      <c r="E81" s="35"/>
    </row>
    <row r="82" spans="3:5" x14ac:dyDescent="0.25">
      <c r="C82" s="35"/>
      <c r="D82" s="35"/>
      <c r="E82" s="35"/>
    </row>
    <row r="83" spans="3:5" x14ac:dyDescent="0.25">
      <c r="C83" s="35"/>
      <c r="D83" s="35"/>
      <c r="E83" s="35"/>
    </row>
    <row r="84" spans="3:5" x14ac:dyDescent="0.25">
      <c r="C84" s="35"/>
      <c r="D84" s="35"/>
      <c r="E84" s="35"/>
    </row>
    <row r="85" spans="3:5" x14ac:dyDescent="0.25">
      <c r="C85" s="35"/>
      <c r="D85" s="35"/>
      <c r="E85" s="35"/>
    </row>
    <row r="86" spans="3:5" x14ac:dyDescent="0.25">
      <c r="C86" s="35"/>
      <c r="D86" s="35"/>
      <c r="E86" s="35"/>
    </row>
    <row r="87" spans="3:5" x14ac:dyDescent="0.25">
      <c r="C87" s="35"/>
      <c r="D87" s="35"/>
      <c r="E87" s="35"/>
    </row>
    <row r="88" spans="3:5" x14ac:dyDescent="0.25">
      <c r="C88" s="35"/>
      <c r="D88" s="35"/>
      <c r="E88" s="35"/>
    </row>
    <row r="89" spans="3:5" x14ac:dyDescent="0.25">
      <c r="C89" s="35"/>
      <c r="D89" s="35"/>
      <c r="E89" s="35"/>
    </row>
    <row r="90" spans="3:5" x14ac:dyDescent="0.25">
      <c r="C90" s="35"/>
      <c r="D90" s="35"/>
      <c r="E90" s="35"/>
    </row>
    <row r="91" spans="3:5" x14ac:dyDescent="0.25">
      <c r="C91" s="35"/>
      <c r="D91" s="35"/>
      <c r="E91" s="35"/>
    </row>
    <row r="92" spans="3:5" x14ac:dyDescent="0.25">
      <c r="C92" s="35"/>
      <c r="D92" s="35"/>
      <c r="E92" s="35"/>
    </row>
    <row r="93" spans="3:5" x14ac:dyDescent="0.25">
      <c r="C93" s="35"/>
      <c r="D93" s="35"/>
      <c r="E93" s="35"/>
    </row>
    <row r="94" spans="3:5" x14ac:dyDescent="0.25">
      <c r="C94" s="35"/>
      <c r="D94" s="35"/>
      <c r="E94" s="35"/>
    </row>
    <row r="95" spans="3:5" x14ac:dyDescent="0.25">
      <c r="C95" s="35"/>
      <c r="D95" s="35"/>
      <c r="E95" s="35"/>
    </row>
    <row r="96" spans="3:5" x14ac:dyDescent="0.25">
      <c r="C96" s="35"/>
      <c r="D96" s="35"/>
      <c r="E96" s="35"/>
    </row>
    <row r="97" spans="3:5" x14ac:dyDescent="0.25">
      <c r="C97" s="35"/>
      <c r="D97" s="35"/>
      <c r="E97" s="35"/>
    </row>
    <row r="98" spans="3:5" x14ac:dyDescent="0.25">
      <c r="C98" s="35"/>
      <c r="D98" s="35"/>
      <c r="E98" s="35"/>
    </row>
    <row r="99" spans="3:5" x14ac:dyDescent="0.25">
      <c r="C99" s="35"/>
      <c r="D99" s="35"/>
      <c r="E99" s="35"/>
    </row>
    <row r="100" spans="3:5" x14ac:dyDescent="0.25">
      <c r="C100" s="35"/>
      <c r="D100" s="35"/>
      <c r="E100" s="35"/>
    </row>
    <row r="101" spans="3:5" x14ac:dyDescent="0.25">
      <c r="C101" s="35"/>
      <c r="D101" s="35"/>
      <c r="E101" s="35"/>
    </row>
    <row r="102" spans="3:5" x14ac:dyDescent="0.25">
      <c r="C102" s="35"/>
      <c r="D102" s="35"/>
      <c r="E102" s="35"/>
    </row>
    <row r="103" spans="3:5" x14ac:dyDescent="0.25">
      <c r="C103" s="35"/>
      <c r="D103" s="35"/>
      <c r="E103" s="35"/>
    </row>
    <row r="104" spans="3:5" x14ac:dyDescent="0.25">
      <c r="C104" s="35"/>
      <c r="D104" s="35"/>
      <c r="E104" s="35"/>
    </row>
    <row r="105" spans="3:5" x14ac:dyDescent="0.25">
      <c r="C105" s="35"/>
      <c r="D105" s="35"/>
      <c r="E105" s="35"/>
    </row>
    <row r="106" spans="3:5" x14ac:dyDescent="0.25">
      <c r="C106" s="35"/>
      <c r="D106" s="35"/>
      <c r="E106" s="35"/>
    </row>
    <row r="107" spans="3:5" x14ac:dyDescent="0.25">
      <c r="C107" s="35"/>
      <c r="D107" s="35"/>
      <c r="E107" s="35"/>
    </row>
    <row r="108" spans="3:5" x14ac:dyDescent="0.25">
      <c r="C108" s="35"/>
      <c r="D108" s="35"/>
      <c r="E108" s="35"/>
    </row>
    <row r="109" spans="3:5" x14ac:dyDescent="0.25">
      <c r="C109" s="35"/>
      <c r="D109" s="35"/>
      <c r="E109" s="35"/>
    </row>
    <row r="110" spans="3:5" x14ac:dyDescent="0.25">
      <c r="C110" s="35"/>
      <c r="D110" s="35"/>
      <c r="E110" s="35"/>
    </row>
    <row r="111" spans="3:5" x14ac:dyDescent="0.25">
      <c r="C111" s="35"/>
      <c r="D111" s="35"/>
      <c r="E111" s="35"/>
    </row>
    <row r="112" spans="3:5" x14ac:dyDescent="0.25">
      <c r="C112" s="35"/>
      <c r="D112" s="35"/>
      <c r="E112" s="35"/>
    </row>
    <row r="113" spans="3:5" x14ac:dyDescent="0.25">
      <c r="C113" s="35"/>
      <c r="D113" s="35"/>
      <c r="E113" s="35"/>
    </row>
    <row r="114" spans="3:5" x14ac:dyDescent="0.25">
      <c r="C114" s="35"/>
      <c r="D114" s="35"/>
      <c r="E114" s="35"/>
    </row>
    <row r="115" spans="3:5" x14ac:dyDescent="0.25">
      <c r="C115" s="35"/>
      <c r="D115" s="35"/>
      <c r="E115" s="35"/>
    </row>
    <row r="116" spans="3:5" x14ac:dyDescent="0.25">
      <c r="C116" s="35"/>
      <c r="D116" s="35"/>
      <c r="E116" s="35"/>
    </row>
    <row r="117" spans="3:5" x14ac:dyDescent="0.25">
      <c r="C117" s="35"/>
      <c r="D117" s="35"/>
      <c r="E117" s="35"/>
    </row>
    <row r="118" spans="3:5" x14ac:dyDescent="0.25">
      <c r="C118" s="35"/>
      <c r="D118" s="35"/>
      <c r="E118" s="35"/>
    </row>
    <row r="119" spans="3:5" x14ac:dyDescent="0.25">
      <c r="C119" s="35"/>
      <c r="D119" s="35"/>
      <c r="E119" s="35"/>
    </row>
    <row r="120" spans="3:5" x14ac:dyDescent="0.25">
      <c r="C120" s="35"/>
      <c r="D120" s="35"/>
      <c r="E120" s="35"/>
    </row>
    <row r="121" spans="3:5" x14ac:dyDescent="0.25">
      <c r="C121" s="35"/>
      <c r="D121" s="35"/>
      <c r="E121" s="35"/>
    </row>
    <row r="122" spans="3:5" x14ac:dyDescent="0.25">
      <c r="C122" s="35"/>
      <c r="D122" s="35"/>
      <c r="E122" s="35"/>
    </row>
    <row r="123" spans="3:5" x14ac:dyDescent="0.25">
      <c r="C123" s="35"/>
      <c r="D123" s="35"/>
      <c r="E123" s="35"/>
    </row>
    <row r="124" spans="3:5" x14ac:dyDescent="0.25">
      <c r="C124" s="35"/>
      <c r="D124" s="35"/>
      <c r="E124" s="35"/>
    </row>
    <row r="125" spans="3:5" x14ac:dyDescent="0.25">
      <c r="C125" s="35"/>
      <c r="D125" s="35"/>
      <c r="E125" s="35"/>
    </row>
    <row r="126" spans="3:5" x14ac:dyDescent="0.25">
      <c r="C126" s="35"/>
      <c r="D126" s="35"/>
      <c r="E126" s="35"/>
    </row>
    <row r="127" spans="3:5" x14ac:dyDescent="0.25">
      <c r="C127" s="35"/>
      <c r="D127" s="35"/>
      <c r="E127" s="35"/>
    </row>
    <row r="128" spans="3:5" x14ac:dyDescent="0.25">
      <c r="C128" s="35"/>
      <c r="D128" s="35"/>
      <c r="E128" s="35"/>
    </row>
    <row r="129" spans="3:5" x14ac:dyDescent="0.25">
      <c r="C129" s="35"/>
      <c r="D129" s="35"/>
      <c r="E129" s="35"/>
    </row>
    <row r="130" spans="3:5" x14ac:dyDescent="0.25">
      <c r="C130" s="35"/>
      <c r="D130" s="35"/>
      <c r="E130" s="35"/>
    </row>
    <row r="131" spans="3:5" x14ac:dyDescent="0.25">
      <c r="C131" s="35"/>
      <c r="D131" s="35"/>
      <c r="E131" s="35"/>
    </row>
    <row r="132" spans="3:5" x14ac:dyDescent="0.25">
      <c r="C132" s="35"/>
      <c r="D132" s="35"/>
      <c r="E132" s="35"/>
    </row>
    <row r="133" spans="3:5" x14ac:dyDescent="0.25">
      <c r="C133" s="35"/>
      <c r="D133" s="35"/>
      <c r="E133" s="35"/>
    </row>
    <row r="134" spans="3:5" x14ac:dyDescent="0.25">
      <c r="C134" s="35"/>
      <c r="D134" s="35"/>
      <c r="E134" s="35"/>
    </row>
    <row r="135" spans="3:5" x14ac:dyDescent="0.25">
      <c r="C135" s="35"/>
      <c r="D135" s="35"/>
      <c r="E135" s="35"/>
    </row>
    <row r="136" spans="3:5" x14ac:dyDescent="0.25">
      <c r="C136" s="35"/>
      <c r="D136" s="35"/>
      <c r="E136" s="35"/>
    </row>
    <row r="137" spans="3:5" x14ac:dyDescent="0.25">
      <c r="C137" s="35"/>
      <c r="D137" s="35"/>
      <c r="E137" s="35"/>
    </row>
    <row r="138" spans="3:5" x14ac:dyDescent="0.25">
      <c r="C138" s="35"/>
      <c r="D138" s="35"/>
      <c r="E138" s="35"/>
    </row>
    <row r="139" spans="3:5" x14ac:dyDescent="0.25">
      <c r="C139" s="35"/>
      <c r="D139" s="35"/>
      <c r="E139" s="35"/>
    </row>
    <row r="140" spans="3:5" x14ac:dyDescent="0.25">
      <c r="C140" s="35"/>
      <c r="D140" s="35"/>
      <c r="E140" s="35"/>
    </row>
    <row r="141" spans="3:5" x14ac:dyDescent="0.25">
      <c r="C141" s="35"/>
      <c r="D141" s="35"/>
      <c r="E141" s="35"/>
    </row>
    <row r="142" spans="3:5" x14ac:dyDescent="0.25">
      <c r="C142" s="35"/>
      <c r="D142" s="35"/>
      <c r="E142" s="35"/>
    </row>
    <row r="143" spans="3:5" x14ac:dyDescent="0.25">
      <c r="C143" s="35"/>
      <c r="D143" s="35"/>
      <c r="E143" s="35"/>
    </row>
    <row r="144" spans="3:5" x14ac:dyDescent="0.25">
      <c r="C144" s="35"/>
      <c r="D144" s="35"/>
      <c r="E144" s="35"/>
    </row>
    <row r="145" spans="3:5" x14ac:dyDescent="0.25">
      <c r="C145" s="35"/>
      <c r="D145" s="35"/>
      <c r="E145" s="35"/>
    </row>
    <row r="146" spans="3:5" x14ac:dyDescent="0.25">
      <c r="C146" s="35"/>
      <c r="D146" s="35"/>
      <c r="E146" s="35"/>
    </row>
    <row r="147" spans="3:5" x14ac:dyDescent="0.25">
      <c r="C147" s="35"/>
      <c r="D147" s="35"/>
      <c r="E147" s="35"/>
    </row>
    <row r="148" spans="3:5" x14ac:dyDescent="0.25">
      <c r="C148" s="35"/>
      <c r="D148" s="35"/>
      <c r="E148" s="35"/>
    </row>
    <row r="149" spans="3:5" x14ac:dyDescent="0.25">
      <c r="C149" s="35"/>
      <c r="D149" s="35"/>
      <c r="E149" s="35"/>
    </row>
    <row r="150" spans="3:5" x14ac:dyDescent="0.25">
      <c r="C150" s="35"/>
      <c r="D150" s="35"/>
      <c r="E150" s="35"/>
    </row>
    <row r="151" spans="3:5" x14ac:dyDescent="0.25">
      <c r="C151" s="35"/>
      <c r="D151" s="35"/>
      <c r="E151" s="35"/>
    </row>
    <row r="152" spans="3:5" x14ac:dyDescent="0.25">
      <c r="C152" s="35"/>
      <c r="D152" s="35"/>
      <c r="E152" s="35"/>
    </row>
    <row r="153" spans="3:5" x14ac:dyDescent="0.25">
      <c r="C153" s="35"/>
      <c r="D153" s="35"/>
      <c r="E153" s="35"/>
    </row>
    <row r="154" spans="3:5" x14ac:dyDescent="0.25">
      <c r="C154" s="35"/>
      <c r="D154" s="35"/>
      <c r="E154" s="35"/>
    </row>
    <row r="155" spans="3:5" x14ac:dyDescent="0.25">
      <c r="C155" s="35"/>
      <c r="D155" s="35"/>
      <c r="E155" s="35"/>
    </row>
    <row r="156" spans="3:5" x14ac:dyDescent="0.25">
      <c r="C156" s="35"/>
      <c r="D156" s="35"/>
      <c r="E156" s="35"/>
    </row>
    <row r="157" spans="3:5" x14ac:dyDescent="0.25">
      <c r="C157" s="35"/>
      <c r="D157" s="35"/>
      <c r="E157" s="35"/>
    </row>
    <row r="158" spans="3:5" x14ac:dyDescent="0.25">
      <c r="C158" s="35"/>
      <c r="D158" s="35"/>
      <c r="E158" s="35"/>
    </row>
    <row r="159" spans="3:5" x14ac:dyDescent="0.25">
      <c r="C159" s="35"/>
      <c r="D159" s="35"/>
      <c r="E159" s="35"/>
    </row>
    <row r="160" spans="3:5" x14ac:dyDescent="0.25">
      <c r="C160" s="35"/>
      <c r="D160" s="35"/>
      <c r="E160" s="35"/>
    </row>
    <row r="161" spans="3:5" x14ac:dyDescent="0.25">
      <c r="C161" s="35"/>
      <c r="D161" s="35"/>
      <c r="E161" s="35"/>
    </row>
    <row r="162" spans="3:5" x14ac:dyDescent="0.25">
      <c r="C162" s="35"/>
      <c r="D162" s="35"/>
      <c r="E162" s="35"/>
    </row>
    <row r="163" spans="3:5" x14ac:dyDescent="0.25">
      <c r="C163" s="35"/>
      <c r="D163" s="35"/>
      <c r="E163" s="35"/>
    </row>
    <row r="164" spans="3:5" x14ac:dyDescent="0.25">
      <c r="C164" s="35"/>
      <c r="D164" s="35"/>
      <c r="E164" s="35"/>
    </row>
    <row r="165" spans="3:5" x14ac:dyDescent="0.25">
      <c r="C165" s="35"/>
      <c r="D165" s="35"/>
      <c r="E165" s="35"/>
    </row>
    <row r="166" spans="3:5" x14ac:dyDescent="0.25">
      <c r="C166" s="35"/>
      <c r="D166" s="35"/>
      <c r="E166" s="35"/>
    </row>
    <row r="167" spans="3:5" x14ac:dyDescent="0.25">
      <c r="C167" s="35"/>
      <c r="D167" s="35"/>
      <c r="E167" s="35"/>
    </row>
    <row r="168" spans="3:5" x14ac:dyDescent="0.25">
      <c r="C168" s="35"/>
      <c r="D168" s="35"/>
      <c r="E168" s="35"/>
    </row>
    <row r="169" spans="3:5" x14ac:dyDescent="0.25">
      <c r="C169" s="35"/>
      <c r="D169" s="35"/>
      <c r="E169" s="35"/>
    </row>
    <row r="170" spans="3:5" x14ac:dyDescent="0.25">
      <c r="C170" s="35"/>
      <c r="D170" s="35"/>
      <c r="E170" s="35"/>
    </row>
    <row r="171" spans="3:5" x14ac:dyDescent="0.25">
      <c r="C171" s="35"/>
      <c r="D171" s="35"/>
      <c r="E171" s="35"/>
    </row>
    <row r="172" spans="3:5" x14ac:dyDescent="0.25">
      <c r="C172" s="35"/>
      <c r="D172" s="35"/>
      <c r="E172" s="35"/>
    </row>
    <row r="173" spans="3:5" x14ac:dyDescent="0.25">
      <c r="C173" s="35"/>
      <c r="D173" s="35"/>
      <c r="E173" s="35"/>
    </row>
    <row r="174" spans="3:5" x14ac:dyDescent="0.25">
      <c r="C174" s="35"/>
      <c r="D174" s="35"/>
      <c r="E174" s="35"/>
    </row>
    <row r="175" spans="3:5" x14ac:dyDescent="0.25">
      <c r="C175" s="35"/>
      <c r="D175" s="35"/>
      <c r="E175" s="35"/>
    </row>
    <row r="176" spans="3:5" x14ac:dyDescent="0.25">
      <c r="C176" s="35"/>
      <c r="D176" s="35"/>
      <c r="E176" s="35"/>
    </row>
    <row r="177" spans="3:5" x14ac:dyDescent="0.25">
      <c r="C177" s="35"/>
      <c r="D177" s="35"/>
      <c r="E177" s="35"/>
    </row>
    <row r="178" spans="3:5" x14ac:dyDescent="0.25">
      <c r="C178" s="35"/>
      <c r="D178" s="35"/>
      <c r="E178" s="35"/>
    </row>
    <row r="179" spans="3:5" x14ac:dyDescent="0.25">
      <c r="C179" s="35"/>
      <c r="D179" s="35"/>
      <c r="E179" s="35"/>
    </row>
    <row r="180" spans="3:5" x14ac:dyDescent="0.25">
      <c r="C180" s="35"/>
      <c r="D180" s="35"/>
      <c r="E180" s="35"/>
    </row>
    <row r="181" spans="3:5" x14ac:dyDescent="0.25">
      <c r="C181" s="35"/>
      <c r="D181" s="35"/>
      <c r="E181" s="35"/>
    </row>
    <row r="182" spans="3:5" x14ac:dyDescent="0.25">
      <c r="C182" s="35"/>
      <c r="D182" s="35"/>
      <c r="E182" s="35"/>
    </row>
    <row r="183" spans="3:5" x14ac:dyDescent="0.25">
      <c r="C183" s="35"/>
      <c r="D183" s="35"/>
      <c r="E183" s="35"/>
    </row>
    <row r="184" spans="3:5" x14ac:dyDescent="0.25">
      <c r="C184" s="35"/>
      <c r="D184" s="35"/>
      <c r="E184" s="35"/>
    </row>
    <row r="185" spans="3:5" x14ac:dyDescent="0.25">
      <c r="C185" s="35"/>
      <c r="D185" s="35"/>
      <c r="E185" s="35"/>
    </row>
    <row r="186" spans="3:5" x14ac:dyDescent="0.25">
      <c r="C186" s="35"/>
      <c r="D186" s="35"/>
      <c r="E186" s="35"/>
    </row>
    <row r="187" spans="3:5" x14ac:dyDescent="0.25">
      <c r="C187" s="35"/>
      <c r="D187" s="35"/>
      <c r="E187" s="35"/>
    </row>
    <row r="188" spans="3:5" x14ac:dyDescent="0.25">
      <c r="C188" s="35"/>
      <c r="D188" s="35"/>
      <c r="E188" s="35"/>
    </row>
    <row r="189" spans="3:5" x14ac:dyDescent="0.25">
      <c r="C189" s="35"/>
      <c r="D189" s="35"/>
      <c r="E189" s="35"/>
    </row>
    <row r="190" spans="3:5" x14ac:dyDescent="0.25">
      <c r="C190" s="35"/>
      <c r="D190" s="35"/>
      <c r="E190" s="35"/>
    </row>
    <row r="191" spans="3:5" x14ac:dyDescent="0.25">
      <c r="C191" s="35"/>
      <c r="D191" s="35"/>
      <c r="E191" s="35"/>
    </row>
    <row r="192" spans="3:5" x14ac:dyDescent="0.25">
      <c r="C192" s="35"/>
      <c r="D192" s="35"/>
      <c r="E192" s="35"/>
    </row>
    <row r="193" spans="3:5" x14ac:dyDescent="0.25">
      <c r="C193" s="35"/>
      <c r="D193" s="35"/>
      <c r="E193" s="35"/>
    </row>
    <row r="194" spans="3:5" x14ac:dyDescent="0.25">
      <c r="C194" s="35"/>
      <c r="D194" s="35"/>
      <c r="E194" s="35"/>
    </row>
    <row r="195" spans="3:5" x14ac:dyDescent="0.25">
      <c r="C195" s="35"/>
      <c r="D195" s="35"/>
      <c r="E195" s="35"/>
    </row>
    <row r="196" spans="3:5" x14ac:dyDescent="0.25">
      <c r="C196" s="35"/>
      <c r="D196" s="35"/>
      <c r="E196" s="35"/>
    </row>
    <row r="197" spans="3:5" x14ac:dyDescent="0.25">
      <c r="C197" s="35"/>
      <c r="D197" s="35"/>
      <c r="E197" s="35"/>
    </row>
    <row r="198" spans="3:5" x14ac:dyDescent="0.25">
      <c r="C198" s="35"/>
      <c r="D198" s="35"/>
      <c r="E198" s="35"/>
    </row>
    <row r="199" spans="3:5" x14ac:dyDescent="0.25">
      <c r="C199" s="35"/>
      <c r="D199" s="35"/>
      <c r="E199" s="35"/>
    </row>
    <row r="200" spans="3:5" x14ac:dyDescent="0.25">
      <c r="C200" s="35"/>
      <c r="D200" s="35"/>
      <c r="E200" s="35"/>
    </row>
    <row r="201" spans="3:5" x14ac:dyDescent="0.25">
      <c r="C201" s="35"/>
      <c r="D201" s="35"/>
      <c r="E201" s="35"/>
    </row>
    <row r="202" spans="3:5" x14ac:dyDescent="0.25">
      <c r="C202" s="35"/>
      <c r="D202" s="35"/>
      <c r="E202" s="35"/>
    </row>
    <row r="203" spans="3:5" x14ac:dyDescent="0.25">
      <c r="C203" s="35"/>
      <c r="D203" s="35"/>
      <c r="E203" s="35"/>
    </row>
    <row r="204" spans="3:5" x14ac:dyDescent="0.25">
      <c r="C204" s="35"/>
      <c r="D204" s="35"/>
      <c r="E204" s="35"/>
    </row>
    <row r="205" spans="3:5" x14ac:dyDescent="0.25">
      <c r="C205" s="35"/>
      <c r="D205" s="35"/>
      <c r="E205" s="35"/>
    </row>
    <row r="206" spans="3:5" x14ac:dyDescent="0.25">
      <c r="C206" s="35"/>
      <c r="D206" s="35"/>
      <c r="E206" s="35"/>
    </row>
    <row r="207" spans="3:5" x14ac:dyDescent="0.25">
      <c r="C207" s="35"/>
      <c r="D207" s="35"/>
      <c r="E207" s="35"/>
    </row>
    <row r="208" spans="3:5" x14ac:dyDescent="0.25">
      <c r="C208" s="35"/>
      <c r="D208" s="35"/>
      <c r="E208" s="35"/>
    </row>
    <row r="209" spans="3:5" x14ac:dyDescent="0.25">
      <c r="C209" s="35"/>
      <c r="D209" s="35"/>
      <c r="E209" s="35"/>
    </row>
    <row r="210" spans="3:5" x14ac:dyDescent="0.25">
      <c r="C210" s="35"/>
      <c r="D210" s="35"/>
      <c r="E210" s="35"/>
    </row>
    <row r="211" spans="3:5" x14ac:dyDescent="0.25">
      <c r="C211" s="35"/>
      <c r="D211" s="35"/>
      <c r="E211" s="35"/>
    </row>
    <row r="212" spans="3:5" x14ac:dyDescent="0.25">
      <c r="C212" s="35"/>
      <c r="D212" s="35"/>
      <c r="E212" s="35"/>
    </row>
    <row r="213" spans="3:5" x14ac:dyDescent="0.25">
      <c r="C213" s="35"/>
      <c r="D213" s="35"/>
      <c r="E213" s="35"/>
    </row>
    <row r="214" spans="3:5" x14ac:dyDescent="0.25">
      <c r="C214" s="35"/>
      <c r="D214" s="35"/>
      <c r="E214" s="35"/>
    </row>
    <row r="215" spans="3:5" x14ac:dyDescent="0.25">
      <c r="C215" s="35"/>
      <c r="D215" s="35"/>
      <c r="E215" s="35"/>
    </row>
    <row r="216" spans="3:5" x14ac:dyDescent="0.25">
      <c r="C216" s="35"/>
      <c r="D216" s="35"/>
      <c r="E216" s="35"/>
    </row>
    <row r="217" spans="3:5" x14ac:dyDescent="0.25">
      <c r="C217" s="35"/>
      <c r="D217" s="35"/>
      <c r="E217" s="35"/>
    </row>
    <row r="218" spans="3:5" x14ac:dyDescent="0.25">
      <c r="C218" s="35"/>
      <c r="D218" s="35"/>
      <c r="E218" s="35"/>
    </row>
    <row r="219" spans="3:5" x14ac:dyDescent="0.25">
      <c r="C219" s="35"/>
      <c r="D219" s="35"/>
      <c r="E219" s="35"/>
    </row>
    <row r="220" spans="3:5" x14ac:dyDescent="0.25">
      <c r="C220" s="35"/>
      <c r="D220" s="35"/>
      <c r="E220" s="35"/>
    </row>
    <row r="221" spans="3:5" x14ac:dyDescent="0.25">
      <c r="C221" s="35"/>
      <c r="D221" s="35"/>
      <c r="E221" s="35"/>
    </row>
    <row r="222" spans="3:5" x14ac:dyDescent="0.25">
      <c r="C222" s="35"/>
      <c r="D222" s="35"/>
      <c r="E222" s="35"/>
    </row>
    <row r="223" spans="3:5" x14ac:dyDescent="0.25">
      <c r="C223" s="35"/>
      <c r="D223" s="35"/>
      <c r="E223" s="35"/>
    </row>
    <row r="224" spans="3:5" x14ac:dyDescent="0.25">
      <c r="C224" s="35"/>
      <c r="D224" s="35"/>
      <c r="E224" s="35"/>
    </row>
    <row r="225" spans="3:5" x14ac:dyDescent="0.25">
      <c r="C225" s="35"/>
      <c r="D225" s="35"/>
      <c r="E225" s="35"/>
    </row>
    <row r="226" spans="3:5" x14ac:dyDescent="0.25">
      <c r="C226" s="35"/>
      <c r="D226" s="35"/>
      <c r="E226" s="35"/>
    </row>
    <row r="227" spans="3:5" x14ac:dyDescent="0.25">
      <c r="C227" s="35"/>
      <c r="D227" s="35"/>
      <c r="E227" s="35"/>
    </row>
    <row r="228" spans="3:5" x14ac:dyDescent="0.25">
      <c r="C228" s="35"/>
      <c r="D228" s="35"/>
      <c r="E228" s="35"/>
    </row>
    <row r="229" spans="3:5" x14ac:dyDescent="0.25">
      <c r="C229" s="35"/>
      <c r="D229" s="35"/>
      <c r="E229" s="35"/>
    </row>
    <row r="230" spans="3:5" x14ac:dyDescent="0.25">
      <c r="C230" s="35"/>
      <c r="D230" s="35"/>
      <c r="E230" s="35"/>
    </row>
    <row r="231" spans="3:5" x14ac:dyDescent="0.25">
      <c r="C231" s="35"/>
      <c r="D231" s="35"/>
      <c r="E231" s="35"/>
    </row>
    <row r="232" spans="3:5" x14ac:dyDescent="0.25">
      <c r="C232" s="35"/>
      <c r="D232" s="35"/>
      <c r="E232" s="35"/>
    </row>
    <row r="233" spans="3:5" x14ac:dyDescent="0.25">
      <c r="C233" s="35"/>
      <c r="D233" s="35"/>
      <c r="E233" s="35"/>
    </row>
    <row r="234" spans="3:5" x14ac:dyDescent="0.25">
      <c r="C234" s="35"/>
      <c r="D234" s="35"/>
      <c r="E234" s="35"/>
    </row>
    <row r="235" spans="3:5" x14ac:dyDescent="0.25">
      <c r="C235" s="35"/>
      <c r="D235" s="35"/>
      <c r="E235" s="35"/>
    </row>
    <row r="236" spans="3:5" x14ac:dyDescent="0.25">
      <c r="C236" s="35"/>
      <c r="D236" s="35"/>
      <c r="E236" s="35"/>
    </row>
    <row r="237" spans="3:5" x14ac:dyDescent="0.25">
      <c r="C237" s="35"/>
      <c r="D237" s="35"/>
      <c r="E237" s="35"/>
    </row>
    <row r="238" spans="3:5" x14ac:dyDescent="0.25">
      <c r="C238" s="35"/>
      <c r="D238" s="35"/>
      <c r="E238" s="35"/>
    </row>
    <row r="239" spans="3:5" x14ac:dyDescent="0.25">
      <c r="C239" s="35"/>
      <c r="D239" s="35"/>
      <c r="E239" s="35"/>
    </row>
    <row r="240" spans="3:5" x14ac:dyDescent="0.25">
      <c r="C240" s="35"/>
      <c r="D240" s="35"/>
      <c r="E240" s="35"/>
    </row>
  </sheetData>
  <conditionalFormatting sqref="K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185" t="s">
        <v>776</v>
      </c>
      <c r="R1" s="35"/>
    </row>
    <row r="2" spans="1:30" x14ac:dyDescent="0.25">
      <c r="A2" t="s">
        <v>777</v>
      </c>
      <c r="R2" s="35"/>
    </row>
    <row r="3" spans="1:30" x14ac:dyDescent="0.25">
      <c r="A3" t="s">
        <v>778</v>
      </c>
      <c r="R3" s="35"/>
    </row>
    <row r="4" spans="1:30" ht="18" x14ac:dyDescent="0.3">
      <c r="A4" s="185" t="s">
        <v>779</v>
      </c>
      <c r="R4" s="35"/>
      <c r="AC4" t="s">
        <v>379</v>
      </c>
      <c r="AD4">
        <v>8</v>
      </c>
    </row>
    <row r="5" spans="1:30" x14ac:dyDescent="0.25">
      <c r="A5" t="s">
        <v>780</v>
      </c>
      <c r="R5" s="35"/>
      <c r="AC5" t="s">
        <v>781</v>
      </c>
      <c r="AD5">
        <v>6</v>
      </c>
    </row>
    <row r="6" spans="1:30" x14ac:dyDescent="0.25">
      <c r="A6" t="s">
        <v>782</v>
      </c>
      <c r="R6" s="35"/>
    </row>
    <row r="7" spans="1:30" x14ac:dyDescent="0.25">
      <c r="A7" t="s">
        <v>783</v>
      </c>
      <c r="R7" s="35"/>
    </row>
    <row r="8" spans="1:30" x14ac:dyDescent="0.25">
      <c r="R8" s="35"/>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35"/>
    </row>
    <row r="26" spans="1:18" x14ac:dyDescent="0.25">
      <c r="A26" t="s">
        <v>793</v>
      </c>
      <c r="R26" s="35"/>
    </row>
    <row r="27" spans="1:18" x14ac:dyDescent="0.25">
      <c r="R27" s="35"/>
    </row>
    <row r="28" spans="1:18" ht="15.75" x14ac:dyDescent="0.25">
      <c r="A28" s="186" t="s">
        <v>794</v>
      </c>
      <c r="R28" s="35"/>
    </row>
    <row r="29" spans="1:18" ht="15.75" x14ac:dyDescent="0.25">
      <c r="A29" s="186" t="s">
        <v>795</v>
      </c>
      <c r="R29" s="35"/>
    </row>
    <row r="30" spans="1:18" ht="15.75" x14ac:dyDescent="0.25">
      <c r="A30" s="186" t="s">
        <v>796</v>
      </c>
      <c r="R30" s="35"/>
    </row>
    <row r="31" spans="1:18" ht="15.75" x14ac:dyDescent="0.25">
      <c r="A31" s="187" t="s">
        <v>797</v>
      </c>
      <c r="R31" s="35"/>
    </row>
    <row r="32" spans="1:18" ht="15.75" x14ac:dyDescent="0.25">
      <c r="A32" s="187" t="s">
        <v>798</v>
      </c>
      <c r="R32" s="35"/>
    </row>
    <row r="33" spans="18:18" x14ac:dyDescent="0.25">
      <c r="R33" s="35"/>
    </row>
    <row r="34" spans="18:18" x14ac:dyDescent="0.25">
      <c r="R34" s="35"/>
    </row>
    <row r="35" spans="18:18" x14ac:dyDescent="0.25">
      <c r="R35" s="3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18" t="s">
        <v>800</v>
      </c>
      <c r="G1" s="118"/>
    </row>
    <row r="2" spans="1:7" ht="15.75" thickBot="1" x14ac:dyDescent="0.3">
      <c r="A2" t="s">
        <v>801</v>
      </c>
      <c r="G2" s="188" t="s">
        <v>802</v>
      </c>
    </row>
    <row r="3" spans="1:7" ht="15.75" thickBot="1" x14ac:dyDescent="0.3">
      <c r="G3" s="189"/>
    </row>
    <row r="4" spans="1:7" ht="54" x14ac:dyDescent="0.25">
      <c r="A4" s="84" t="s">
        <v>803</v>
      </c>
      <c r="G4" s="190" t="s">
        <v>804</v>
      </c>
    </row>
    <row r="5" spans="1:7" x14ac:dyDescent="0.25">
      <c r="A5" s="84" t="s">
        <v>262</v>
      </c>
      <c r="G5" s="191"/>
    </row>
    <row r="6" spans="1:7" ht="22.5" x14ac:dyDescent="0.25">
      <c r="A6" s="84" t="s">
        <v>264</v>
      </c>
      <c r="G6" s="190" t="s">
        <v>805</v>
      </c>
    </row>
    <row r="7" spans="1:7" x14ac:dyDescent="0.25">
      <c r="A7" s="84" t="s">
        <v>266</v>
      </c>
      <c r="G7" s="190" t="s">
        <v>806</v>
      </c>
    </row>
    <row r="8" spans="1:7" ht="22.5" x14ac:dyDescent="0.25">
      <c r="A8" s="84" t="s">
        <v>268</v>
      </c>
      <c r="G8" s="190" t="s">
        <v>807</v>
      </c>
    </row>
    <row r="9" spans="1:7" x14ac:dyDescent="0.25">
      <c r="A9" s="84" t="s">
        <v>270</v>
      </c>
      <c r="E9" s="33" t="s">
        <v>808</v>
      </c>
      <c r="F9" s="33"/>
      <c r="G9" s="190" t="s">
        <v>809</v>
      </c>
    </row>
    <row r="10" spans="1:7" x14ac:dyDescent="0.25">
      <c r="A10" s="84" t="s">
        <v>272</v>
      </c>
      <c r="E10" s="33" t="s">
        <v>810</v>
      </c>
      <c r="F10" s="33"/>
    </row>
    <row r="11" spans="1:7" x14ac:dyDescent="0.25">
      <c r="A11" s="84" t="s">
        <v>274</v>
      </c>
      <c r="E11" s="117" t="s">
        <v>811</v>
      </c>
      <c r="F11" s="117" t="s">
        <v>516</v>
      </c>
    </row>
    <row r="12" spans="1:7" x14ac:dyDescent="0.25">
      <c r="A12" s="84" t="s">
        <v>276</v>
      </c>
      <c r="E12" s="115">
        <v>0</v>
      </c>
      <c r="F12" s="192">
        <f>(E12/7)^0.5</f>
        <v>0</v>
      </c>
    </row>
    <row r="13" spans="1:7" x14ac:dyDescent="0.25">
      <c r="A13" s="84" t="s">
        <v>278</v>
      </c>
      <c r="E13" s="115">
        <v>0.5</v>
      </c>
      <c r="F13" s="192">
        <f>(E13/7)^0.5</f>
        <v>0.2672612419124244</v>
      </c>
    </row>
    <row r="14" spans="1:7" x14ac:dyDescent="0.25">
      <c r="A14" s="84" t="s">
        <v>280</v>
      </c>
      <c r="E14" s="115">
        <v>1</v>
      </c>
      <c r="F14" s="192">
        <f>(E14/7)^0.5</f>
        <v>0.3779644730092272</v>
      </c>
    </row>
    <row r="15" spans="1:7" x14ac:dyDescent="0.25">
      <c r="A15" s="84" t="s">
        <v>283</v>
      </c>
      <c r="E15" s="115">
        <v>1.5</v>
      </c>
      <c r="F15" s="192">
        <f t="shared" ref="F15:F26" si="0">(E15/7)^0.5</f>
        <v>0.46291004988627571</v>
      </c>
    </row>
    <row r="16" spans="1:7" x14ac:dyDescent="0.25">
      <c r="A16" s="84" t="s">
        <v>286</v>
      </c>
      <c r="E16" s="115">
        <v>2</v>
      </c>
      <c r="F16" s="192">
        <f t="shared" si="0"/>
        <v>0.53452248382484879</v>
      </c>
    </row>
    <row r="17" spans="1:6" x14ac:dyDescent="0.25">
      <c r="A17" s="84" t="s">
        <v>289</v>
      </c>
      <c r="E17" s="115">
        <v>2.5</v>
      </c>
      <c r="F17" s="192">
        <f t="shared" si="0"/>
        <v>0.59761430466719678</v>
      </c>
    </row>
    <row r="18" spans="1:6" x14ac:dyDescent="0.25">
      <c r="A18" s="84" t="s">
        <v>291</v>
      </c>
      <c r="E18" s="115">
        <v>3</v>
      </c>
      <c r="F18" s="192">
        <f t="shared" si="0"/>
        <v>0.65465367070797709</v>
      </c>
    </row>
    <row r="19" spans="1:6" x14ac:dyDescent="0.25">
      <c r="A19" s="84" t="s">
        <v>294</v>
      </c>
      <c r="E19" s="115">
        <v>3.5</v>
      </c>
      <c r="F19" s="192">
        <f t="shared" si="0"/>
        <v>0.70710678118654757</v>
      </c>
    </row>
    <row r="20" spans="1:6" x14ac:dyDescent="0.25">
      <c r="A20" s="84" t="s">
        <v>297</v>
      </c>
      <c r="E20" s="115">
        <v>4</v>
      </c>
      <c r="F20" s="192">
        <f t="shared" si="0"/>
        <v>0.7559289460184544</v>
      </c>
    </row>
    <row r="21" spans="1:6" x14ac:dyDescent="0.25">
      <c r="A21" s="84" t="s">
        <v>299</v>
      </c>
      <c r="E21" s="115">
        <v>4.5</v>
      </c>
      <c r="F21" s="192">
        <f t="shared" si="0"/>
        <v>0.80178372573727319</v>
      </c>
    </row>
    <row r="22" spans="1:6" x14ac:dyDescent="0.25">
      <c r="A22" s="84" t="s">
        <v>302</v>
      </c>
      <c r="E22" s="115">
        <v>5</v>
      </c>
      <c r="F22" s="192">
        <f t="shared" si="0"/>
        <v>0.84515425472851657</v>
      </c>
    </row>
    <row r="23" spans="1:6" x14ac:dyDescent="0.25">
      <c r="A23" s="84" t="s">
        <v>304</v>
      </c>
      <c r="E23" s="115">
        <v>5.5</v>
      </c>
      <c r="F23" s="192">
        <f t="shared" si="0"/>
        <v>0.88640526042791834</v>
      </c>
    </row>
    <row r="24" spans="1:6" x14ac:dyDescent="0.25">
      <c r="A24" s="84" t="s">
        <v>306</v>
      </c>
      <c r="E24" s="115">
        <v>6</v>
      </c>
      <c r="F24" s="192">
        <f t="shared" si="0"/>
        <v>0.92582009977255142</v>
      </c>
    </row>
    <row r="25" spans="1:6" x14ac:dyDescent="0.25">
      <c r="A25" s="84" t="s">
        <v>308</v>
      </c>
      <c r="E25" s="115">
        <v>6.5</v>
      </c>
      <c r="F25" s="192">
        <f t="shared" si="0"/>
        <v>0.96362411165943151</v>
      </c>
    </row>
    <row r="26" spans="1:6" x14ac:dyDescent="0.25">
      <c r="E26" s="115">
        <v>7</v>
      </c>
      <c r="F26" s="192">
        <f t="shared" si="0"/>
        <v>1</v>
      </c>
    </row>
    <row r="28" spans="1:6" x14ac:dyDescent="0.25">
      <c r="A28" t="s">
        <v>812</v>
      </c>
    </row>
    <row r="29" spans="1:6" x14ac:dyDescent="0.25">
      <c r="A29" t="s">
        <v>811</v>
      </c>
    </row>
    <row r="30" spans="1:6" x14ac:dyDescent="0.25">
      <c r="A30" t="s">
        <v>117</v>
      </c>
    </row>
    <row r="32" spans="1:6" x14ac:dyDescent="0.25">
      <c r="A32" s="84" t="s">
        <v>813</v>
      </c>
    </row>
    <row r="33" spans="1:5" x14ac:dyDescent="0.25">
      <c r="A33" s="84" t="s">
        <v>814</v>
      </c>
    </row>
    <row r="34" spans="1:5" x14ac:dyDescent="0.25">
      <c r="A34" s="84" t="s">
        <v>815</v>
      </c>
    </row>
    <row r="35" spans="1:5" x14ac:dyDescent="0.25">
      <c r="A35" s="84" t="s">
        <v>816</v>
      </c>
    </row>
    <row r="36" spans="1:5" x14ac:dyDescent="0.25">
      <c r="A36" s="84" t="s">
        <v>817</v>
      </c>
    </row>
    <row r="37" spans="1:5" x14ac:dyDescent="0.25">
      <c r="A37" s="84" t="s">
        <v>818</v>
      </c>
    </row>
    <row r="38" spans="1:5" x14ac:dyDescent="0.25">
      <c r="A38" s="84" t="s">
        <v>819</v>
      </c>
    </row>
    <row r="39" spans="1:5" x14ac:dyDescent="0.25">
      <c r="A39" s="84" t="s">
        <v>820</v>
      </c>
    </row>
    <row r="40" spans="1:5" x14ac:dyDescent="0.25">
      <c r="A40" s="84" t="s">
        <v>821</v>
      </c>
      <c r="E40" s="1"/>
    </row>
    <row r="41" spans="1:5" x14ac:dyDescent="0.25">
      <c r="A41" s="84" t="s">
        <v>822</v>
      </c>
      <c r="E41" s="1"/>
    </row>
    <row r="42" spans="1:5" x14ac:dyDescent="0.25">
      <c r="E42" s="1"/>
    </row>
    <row r="44" spans="1:5" x14ac:dyDescent="0.25">
      <c r="A44" t="s">
        <v>823</v>
      </c>
    </row>
    <row r="45" spans="1:5" x14ac:dyDescent="0.25">
      <c r="A45" t="s">
        <v>824</v>
      </c>
    </row>
    <row r="47" spans="1:5" x14ac:dyDescent="0.25">
      <c r="A47" s="84" t="s">
        <v>813</v>
      </c>
    </row>
    <row r="48" spans="1:5" x14ac:dyDescent="0.25">
      <c r="A48" s="84" t="s">
        <v>814</v>
      </c>
    </row>
    <row r="49" spans="1:1" x14ac:dyDescent="0.25">
      <c r="A49" s="84" t="s">
        <v>815</v>
      </c>
    </row>
    <row r="50" spans="1:1" x14ac:dyDescent="0.25">
      <c r="A50" s="84" t="s">
        <v>816</v>
      </c>
    </row>
    <row r="51" spans="1:1" x14ac:dyDescent="0.25">
      <c r="A51" s="84" t="s">
        <v>817</v>
      </c>
    </row>
    <row r="52" spans="1:1" x14ac:dyDescent="0.25">
      <c r="A52" s="84" t="s">
        <v>818</v>
      </c>
    </row>
    <row r="53" spans="1:1" x14ac:dyDescent="0.25">
      <c r="A53" s="84" t="s">
        <v>819</v>
      </c>
    </row>
    <row r="54" spans="1:1" x14ac:dyDescent="0.25">
      <c r="A54" s="84" t="s">
        <v>820</v>
      </c>
    </row>
    <row r="55" spans="1:1" x14ac:dyDescent="0.25">
      <c r="A55" s="84" t="s">
        <v>821</v>
      </c>
    </row>
    <row r="56" spans="1:1" x14ac:dyDescent="0.25">
      <c r="A56" s="84" t="s">
        <v>822</v>
      </c>
    </row>
    <row r="59" spans="1:1" x14ac:dyDescent="0.25">
      <c r="A59" t="s">
        <v>825</v>
      </c>
    </row>
    <row r="61" spans="1:1" x14ac:dyDescent="0.25">
      <c r="A61" s="84" t="s">
        <v>826</v>
      </c>
    </row>
    <row r="62" spans="1:1" x14ac:dyDescent="0.25">
      <c r="A62" s="84" t="s">
        <v>827</v>
      </c>
    </row>
    <row r="63" spans="1:1" x14ac:dyDescent="0.25">
      <c r="A63" s="84" t="s">
        <v>828</v>
      </c>
    </row>
    <row r="64" spans="1:1" x14ac:dyDescent="0.25">
      <c r="A64" s="84" t="s">
        <v>829</v>
      </c>
    </row>
    <row r="65" spans="1:1" x14ac:dyDescent="0.25">
      <c r="A65" s="84" t="s">
        <v>830</v>
      </c>
    </row>
    <row r="66" spans="1:1" x14ac:dyDescent="0.25">
      <c r="A66" s="84" t="s">
        <v>831</v>
      </c>
    </row>
    <row r="67" spans="1:1" x14ac:dyDescent="0.25">
      <c r="A67" s="84" t="s">
        <v>832</v>
      </c>
    </row>
    <row r="68" spans="1:1" x14ac:dyDescent="0.25">
      <c r="A68" s="84" t="s">
        <v>833</v>
      </c>
    </row>
    <row r="69" spans="1:1" x14ac:dyDescent="0.25">
      <c r="A69" s="84" t="s">
        <v>834</v>
      </c>
    </row>
    <row r="70" spans="1:1" x14ac:dyDescent="0.25">
      <c r="A70" s="84" t="s">
        <v>835</v>
      </c>
    </row>
    <row r="71" spans="1:1" x14ac:dyDescent="0.25">
      <c r="A71" s="84" t="s">
        <v>836</v>
      </c>
    </row>
    <row r="74" spans="1:1" x14ac:dyDescent="0.25">
      <c r="A74" t="s">
        <v>837</v>
      </c>
    </row>
    <row r="76" spans="1:1" x14ac:dyDescent="0.25">
      <c r="A76" s="84" t="s">
        <v>826</v>
      </c>
    </row>
    <row r="77" spans="1:1" x14ac:dyDescent="0.25">
      <c r="A77" s="84" t="s">
        <v>838</v>
      </c>
    </row>
    <row r="78" spans="1:1" x14ac:dyDescent="0.25">
      <c r="A78" s="84" t="s">
        <v>839</v>
      </c>
    </row>
    <row r="79" spans="1:1" x14ac:dyDescent="0.25">
      <c r="A79" s="84" t="s">
        <v>840</v>
      </c>
    </row>
    <row r="80" spans="1:1" x14ac:dyDescent="0.25">
      <c r="A80" s="84" t="s">
        <v>841</v>
      </c>
    </row>
    <row r="81" spans="1:1" x14ac:dyDescent="0.25">
      <c r="A81" s="84" t="s">
        <v>842</v>
      </c>
    </row>
    <row r="82" spans="1:1" x14ac:dyDescent="0.25">
      <c r="A82" s="84" t="s">
        <v>843</v>
      </c>
    </row>
    <row r="83" spans="1:1" x14ac:dyDescent="0.25">
      <c r="A83" s="84" t="s">
        <v>844</v>
      </c>
    </row>
    <row r="84" spans="1:1" x14ac:dyDescent="0.25">
      <c r="A84" s="84" t="s">
        <v>845</v>
      </c>
    </row>
    <row r="85" spans="1:1" x14ac:dyDescent="0.25">
      <c r="A85" s="84" t="s">
        <v>846</v>
      </c>
    </row>
    <row r="86" spans="1:1" x14ac:dyDescent="0.25">
      <c r="A86" s="84" t="s">
        <v>847</v>
      </c>
    </row>
    <row r="87" spans="1:1" x14ac:dyDescent="0.25">
      <c r="A87" s="84" t="s">
        <v>835</v>
      </c>
    </row>
    <row r="88" spans="1:1" x14ac:dyDescent="0.25">
      <c r="A88" s="84" t="s">
        <v>836</v>
      </c>
    </row>
    <row r="91" spans="1:1" x14ac:dyDescent="0.25">
      <c r="A91" t="s">
        <v>848</v>
      </c>
    </row>
    <row r="93" spans="1:1" x14ac:dyDescent="0.25">
      <c r="A93" s="84" t="s">
        <v>826</v>
      </c>
    </row>
    <row r="94" spans="1:1" x14ac:dyDescent="0.25">
      <c r="A94" s="84" t="s">
        <v>849</v>
      </c>
    </row>
    <row r="95" spans="1:1" x14ac:dyDescent="0.25">
      <c r="A95" s="84" t="s">
        <v>850</v>
      </c>
    </row>
    <row r="96" spans="1:1" x14ac:dyDescent="0.25">
      <c r="A96" s="84" t="s">
        <v>851</v>
      </c>
    </row>
    <row r="97" spans="1:1" x14ac:dyDescent="0.25">
      <c r="A97" s="84" t="s">
        <v>852</v>
      </c>
    </row>
    <row r="98" spans="1:1" x14ac:dyDescent="0.25">
      <c r="A98" s="84" t="s">
        <v>853</v>
      </c>
    </row>
    <row r="99" spans="1:1" x14ac:dyDescent="0.25">
      <c r="A99" s="84" t="s">
        <v>854</v>
      </c>
    </row>
    <row r="100" spans="1:1" x14ac:dyDescent="0.25">
      <c r="A100" s="84" t="s">
        <v>855</v>
      </c>
    </row>
    <row r="101" spans="1:1" x14ac:dyDescent="0.25">
      <c r="A101" s="84" t="s">
        <v>856</v>
      </c>
    </row>
    <row r="102" spans="1:1" x14ac:dyDescent="0.25">
      <c r="A102" s="84" t="s">
        <v>857</v>
      </c>
    </row>
    <row r="103" spans="1:1" x14ac:dyDescent="0.25">
      <c r="A103" s="84" t="s">
        <v>858</v>
      </c>
    </row>
    <row r="104" spans="1:1" x14ac:dyDescent="0.25">
      <c r="A104" s="84" t="s">
        <v>859</v>
      </c>
    </row>
    <row r="105" spans="1:1" x14ac:dyDescent="0.25">
      <c r="A105" s="84" t="s">
        <v>860</v>
      </c>
    </row>
    <row r="108" spans="1:1" x14ac:dyDescent="0.25">
      <c r="A108" t="s">
        <v>861</v>
      </c>
    </row>
    <row r="110" spans="1:1" x14ac:dyDescent="0.25">
      <c r="A110" s="84" t="s">
        <v>862</v>
      </c>
    </row>
    <row r="111" spans="1:1" x14ac:dyDescent="0.25">
      <c r="A111" s="84" t="s">
        <v>863</v>
      </c>
    </row>
    <row r="112" spans="1:1" x14ac:dyDescent="0.25">
      <c r="A112" s="84" t="s">
        <v>864</v>
      </c>
    </row>
    <row r="113" spans="1:1" x14ac:dyDescent="0.25">
      <c r="A113" s="84" t="s">
        <v>865</v>
      </c>
    </row>
    <row r="114" spans="1:1" x14ac:dyDescent="0.25">
      <c r="A114" s="84" t="s">
        <v>866</v>
      </c>
    </row>
    <row r="115" spans="1:1" x14ac:dyDescent="0.25">
      <c r="A115" s="84" t="s">
        <v>867</v>
      </c>
    </row>
    <row r="116" spans="1:1" x14ac:dyDescent="0.25">
      <c r="A116" s="84" t="s">
        <v>868</v>
      </c>
    </row>
    <row r="117" spans="1:1" x14ac:dyDescent="0.25">
      <c r="A117" s="84" t="s">
        <v>869</v>
      </c>
    </row>
    <row r="120" spans="1:1" x14ac:dyDescent="0.25">
      <c r="A120" t="s">
        <v>870</v>
      </c>
    </row>
    <row r="122" spans="1:1" x14ac:dyDescent="0.25">
      <c r="A122" s="84" t="s">
        <v>871</v>
      </c>
    </row>
    <row r="123" spans="1:1" x14ac:dyDescent="0.25">
      <c r="A123" s="84" t="s">
        <v>872</v>
      </c>
    </row>
    <row r="124" spans="1:1" x14ac:dyDescent="0.25">
      <c r="A124" s="84" t="s">
        <v>873</v>
      </c>
    </row>
    <row r="125" spans="1:1" x14ac:dyDescent="0.25">
      <c r="A125" s="84" t="s">
        <v>874</v>
      </c>
    </row>
    <row r="126" spans="1:1" x14ac:dyDescent="0.25">
      <c r="A126" s="84" t="s">
        <v>875</v>
      </c>
    </row>
    <row r="127" spans="1:1" x14ac:dyDescent="0.25">
      <c r="A127" s="84" t="s">
        <v>876</v>
      </c>
    </row>
    <row r="128" spans="1:1" x14ac:dyDescent="0.25">
      <c r="A128" s="84" t="s">
        <v>877</v>
      </c>
    </row>
    <row r="131" spans="1:1" x14ac:dyDescent="0.25">
      <c r="A131" t="s">
        <v>878</v>
      </c>
    </row>
    <row r="133" spans="1:1" x14ac:dyDescent="0.25">
      <c r="A133" s="84" t="s">
        <v>879</v>
      </c>
    </row>
    <row r="134" spans="1:1" x14ac:dyDescent="0.25">
      <c r="A134" s="84" t="s">
        <v>880</v>
      </c>
    </row>
    <row r="135" spans="1:1" x14ac:dyDescent="0.25">
      <c r="A135" s="84" t="s">
        <v>881</v>
      </c>
    </row>
    <row r="136" spans="1:1" x14ac:dyDescent="0.25">
      <c r="A136" s="84" t="s">
        <v>882</v>
      </c>
    </row>
    <row r="137" spans="1:1" x14ac:dyDescent="0.25">
      <c r="A137" s="84" t="s">
        <v>883</v>
      </c>
    </row>
    <row r="138" spans="1:1" x14ac:dyDescent="0.25">
      <c r="A138" s="84" t="s">
        <v>884</v>
      </c>
    </row>
    <row r="139" spans="1:1" x14ac:dyDescent="0.25">
      <c r="A139" s="84" t="s">
        <v>885</v>
      </c>
    </row>
    <row r="142" spans="1:1" x14ac:dyDescent="0.25">
      <c r="A142" t="s">
        <v>886</v>
      </c>
    </row>
    <row r="144" spans="1:1" x14ac:dyDescent="0.25">
      <c r="A144" s="84" t="s">
        <v>887</v>
      </c>
    </row>
    <row r="145" spans="1:1" x14ac:dyDescent="0.25">
      <c r="A145" s="84" t="s">
        <v>888</v>
      </c>
    </row>
    <row r="146" spans="1:1" x14ac:dyDescent="0.25">
      <c r="A146" s="84" t="s">
        <v>889</v>
      </c>
    </row>
    <row r="147" spans="1:1" x14ac:dyDescent="0.25">
      <c r="A147" s="84" t="s">
        <v>890</v>
      </c>
    </row>
    <row r="148" spans="1:1" x14ac:dyDescent="0.25">
      <c r="A148" s="84" t="s">
        <v>891</v>
      </c>
    </row>
    <row r="149" spans="1:1" x14ac:dyDescent="0.25">
      <c r="A149" s="84" t="s">
        <v>892</v>
      </c>
    </row>
    <row r="150" spans="1:1" x14ac:dyDescent="0.25">
      <c r="A150" s="84" t="s">
        <v>893</v>
      </c>
    </row>
    <row r="153" spans="1:1" x14ac:dyDescent="0.25">
      <c r="A153" t="s">
        <v>894</v>
      </c>
    </row>
    <row r="155" spans="1:1" x14ac:dyDescent="0.25">
      <c r="A155" s="84" t="s">
        <v>895</v>
      </c>
    </row>
    <row r="156" spans="1:1" x14ac:dyDescent="0.25">
      <c r="A156" s="84" t="s">
        <v>896</v>
      </c>
    </row>
    <row r="157" spans="1:1" x14ac:dyDescent="0.25">
      <c r="A157" s="84" t="s">
        <v>897</v>
      </c>
    </row>
    <row r="158" spans="1:1" x14ac:dyDescent="0.25">
      <c r="A158" s="84" t="s">
        <v>898</v>
      </c>
    </row>
    <row r="159" spans="1:1" x14ac:dyDescent="0.25">
      <c r="A159" s="84" t="s">
        <v>899</v>
      </c>
    </row>
    <row r="160" spans="1:1" x14ac:dyDescent="0.25">
      <c r="A160" s="84" t="s">
        <v>900</v>
      </c>
    </row>
    <row r="161" spans="1:1" x14ac:dyDescent="0.25">
      <c r="A161" s="84" t="s">
        <v>901</v>
      </c>
    </row>
    <row r="162" spans="1:1" x14ac:dyDescent="0.25">
      <c r="A162" s="84" t="s">
        <v>902</v>
      </c>
    </row>
    <row r="163" spans="1:1" x14ac:dyDescent="0.25">
      <c r="A163" s="84" t="s">
        <v>903</v>
      </c>
    </row>
    <row r="164" spans="1:1" x14ac:dyDescent="0.25">
      <c r="A164" s="84" t="s">
        <v>904</v>
      </c>
    </row>
    <row r="165" spans="1:1" x14ac:dyDescent="0.25">
      <c r="A165" s="84" t="s">
        <v>905</v>
      </c>
    </row>
    <row r="166" spans="1:1" x14ac:dyDescent="0.25">
      <c r="A166" s="84" t="s">
        <v>906</v>
      </c>
    </row>
    <row r="169" spans="1:1" x14ac:dyDescent="0.25">
      <c r="A169" t="s">
        <v>907</v>
      </c>
    </row>
    <row r="171" spans="1:1" x14ac:dyDescent="0.25">
      <c r="A171" s="84" t="s">
        <v>908</v>
      </c>
    </row>
    <row r="172" spans="1:1" x14ac:dyDescent="0.25">
      <c r="A172" s="84" t="s">
        <v>909</v>
      </c>
    </row>
    <row r="173" spans="1:1" x14ac:dyDescent="0.25">
      <c r="A173" s="84" t="s">
        <v>910</v>
      </c>
    </row>
    <row r="174" spans="1:1" x14ac:dyDescent="0.25">
      <c r="A174" s="84" t="s">
        <v>911</v>
      </c>
    </row>
    <row r="175" spans="1:1" x14ac:dyDescent="0.25">
      <c r="A175" s="84" t="s">
        <v>912</v>
      </c>
    </row>
    <row r="176" spans="1:1" x14ac:dyDescent="0.25">
      <c r="A176" s="84" t="s">
        <v>913</v>
      </c>
    </row>
    <row r="177" spans="1:1" x14ac:dyDescent="0.25">
      <c r="A177" s="84" t="s">
        <v>914</v>
      </c>
    </row>
    <row r="178" spans="1:1" x14ac:dyDescent="0.25">
      <c r="A178" s="84" t="s">
        <v>915</v>
      </c>
    </row>
    <row r="179" spans="1:1" x14ac:dyDescent="0.25">
      <c r="A179" s="84" t="s">
        <v>916</v>
      </c>
    </row>
    <row r="180" spans="1:1" x14ac:dyDescent="0.25">
      <c r="A180" s="84" t="s">
        <v>917</v>
      </c>
    </row>
    <row r="181" spans="1:1" x14ac:dyDescent="0.25">
      <c r="A181" s="84" t="s">
        <v>918</v>
      </c>
    </row>
    <row r="182" spans="1:1" x14ac:dyDescent="0.25">
      <c r="A182" s="188" t="s">
        <v>919</v>
      </c>
    </row>
    <row r="183" spans="1:1" x14ac:dyDescent="0.25">
      <c r="A183" t="s">
        <v>920</v>
      </c>
    </row>
    <row r="184" spans="1:1" x14ac:dyDescent="0.25">
      <c r="A184" s="193" t="s">
        <v>921</v>
      </c>
    </row>
    <row r="185" spans="1:1" x14ac:dyDescent="0.25">
      <c r="A185" s="188" t="s">
        <v>922</v>
      </c>
    </row>
    <row r="188" spans="1:1" x14ac:dyDescent="0.25">
      <c r="A188" t="s">
        <v>923</v>
      </c>
    </row>
    <row r="189" spans="1:1" x14ac:dyDescent="0.25">
      <c r="A189" s="84" t="s">
        <v>924</v>
      </c>
    </row>
    <row r="190" spans="1:1" x14ac:dyDescent="0.25">
      <c r="A190" s="84" t="s">
        <v>925</v>
      </c>
    </row>
    <row r="191" spans="1:1" x14ac:dyDescent="0.25">
      <c r="A191" s="84" t="s">
        <v>926</v>
      </c>
    </row>
    <row r="192" spans="1:1" x14ac:dyDescent="0.25">
      <c r="A192" s="84" t="s">
        <v>927</v>
      </c>
    </row>
    <row r="193" spans="1:1" x14ac:dyDescent="0.25">
      <c r="A193" s="84" t="s">
        <v>928</v>
      </c>
    </row>
    <row r="194" spans="1:1" x14ac:dyDescent="0.25">
      <c r="A194" s="84" t="s">
        <v>929</v>
      </c>
    </row>
    <row r="195" spans="1:1" x14ac:dyDescent="0.25">
      <c r="A195" s="84" t="s">
        <v>930</v>
      </c>
    </row>
    <row r="196" spans="1:1" x14ac:dyDescent="0.25">
      <c r="A196" s="84" t="s">
        <v>931</v>
      </c>
    </row>
    <row r="197" spans="1:1" x14ac:dyDescent="0.25">
      <c r="A197" s="84" t="s">
        <v>932</v>
      </c>
    </row>
    <row r="198" spans="1:1" x14ac:dyDescent="0.25">
      <c r="A198" s="84" t="s">
        <v>933</v>
      </c>
    </row>
    <row r="199" spans="1:1" x14ac:dyDescent="0.25">
      <c r="A199" s="84" t="s">
        <v>934</v>
      </c>
    </row>
    <row r="200" spans="1:1" x14ac:dyDescent="0.25">
      <c r="A200" s="84" t="s">
        <v>935</v>
      </c>
    </row>
    <row r="201" spans="1:1" x14ac:dyDescent="0.25">
      <c r="A201" s="84" t="s">
        <v>936</v>
      </c>
    </row>
    <row r="202" spans="1:1" x14ac:dyDescent="0.25">
      <c r="A202" s="84" t="s">
        <v>937</v>
      </c>
    </row>
    <row r="203" spans="1:1" x14ac:dyDescent="0.25">
      <c r="A203" s="84" t="s">
        <v>938</v>
      </c>
    </row>
    <row r="204" spans="1:1" x14ac:dyDescent="0.25">
      <c r="A204" s="84" t="s">
        <v>939</v>
      </c>
    </row>
    <row r="205" spans="1:1" x14ac:dyDescent="0.25">
      <c r="A205" s="84" t="s">
        <v>940</v>
      </c>
    </row>
    <row r="206" spans="1:1" x14ac:dyDescent="0.25">
      <c r="A206" s="84" t="s">
        <v>941</v>
      </c>
    </row>
    <row r="207" spans="1:1" x14ac:dyDescent="0.25">
      <c r="A207" s="84" t="s">
        <v>942</v>
      </c>
    </row>
    <row r="208" spans="1:1" x14ac:dyDescent="0.25">
      <c r="A208" s="84" t="s">
        <v>943</v>
      </c>
    </row>
    <row r="209" spans="1:1" x14ac:dyDescent="0.25">
      <c r="A209" s="84" t="s">
        <v>944</v>
      </c>
    </row>
    <row r="210" spans="1:1" x14ac:dyDescent="0.25">
      <c r="A210" s="84" t="s">
        <v>945</v>
      </c>
    </row>
    <row r="211" spans="1:1" x14ac:dyDescent="0.25">
      <c r="A211" s="84" t="s">
        <v>946</v>
      </c>
    </row>
    <row r="212" spans="1:1" x14ac:dyDescent="0.25">
      <c r="A212" s="84" t="s">
        <v>947</v>
      </c>
    </row>
    <row r="213" spans="1:1" x14ac:dyDescent="0.25">
      <c r="A213" s="84" t="s">
        <v>948</v>
      </c>
    </row>
    <row r="214" spans="1:1" x14ac:dyDescent="0.25">
      <c r="A214" s="84" t="s">
        <v>949</v>
      </c>
    </row>
    <row r="215" spans="1:1" x14ac:dyDescent="0.25">
      <c r="A215" s="84" t="s">
        <v>950</v>
      </c>
    </row>
    <row r="216" spans="1:1" x14ac:dyDescent="0.25">
      <c r="A216" s="84" t="s">
        <v>951</v>
      </c>
    </row>
    <row r="217" spans="1:1" x14ac:dyDescent="0.25">
      <c r="A217" s="84" t="s">
        <v>952</v>
      </c>
    </row>
    <row r="218" spans="1:1" x14ac:dyDescent="0.25">
      <c r="A218" s="84" t="s">
        <v>953</v>
      </c>
    </row>
    <row r="219" spans="1:1" x14ac:dyDescent="0.25">
      <c r="A219" s="84" t="s">
        <v>954</v>
      </c>
    </row>
    <row r="220" spans="1:1" x14ac:dyDescent="0.25">
      <c r="A220" s="84" t="s">
        <v>955</v>
      </c>
    </row>
    <row r="221" spans="1:1" x14ac:dyDescent="0.25">
      <c r="A221" s="84" t="s">
        <v>956</v>
      </c>
    </row>
    <row r="222" spans="1:1" x14ac:dyDescent="0.25">
      <c r="A222" s="84" t="s">
        <v>957</v>
      </c>
    </row>
    <row r="223" spans="1:1" x14ac:dyDescent="0.25">
      <c r="A223" s="84" t="s">
        <v>958</v>
      </c>
    </row>
    <row r="224" spans="1:1" x14ac:dyDescent="0.25">
      <c r="A224" s="84" t="s">
        <v>959</v>
      </c>
    </row>
    <row r="225" spans="1:1" x14ac:dyDescent="0.25">
      <c r="A225" s="84" t="s">
        <v>960</v>
      </c>
    </row>
    <row r="226" spans="1:1" x14ac:dyDescent="0.25">
      <c r="A226" s="84" t="s">
        <v>961</v>
      </c>
    </row>
    <row r="227" spans="1:1" x14ac:dyDescent="0.25">
      <c r="A227" s="84" t="s">
        <v>962</v>
      </c>
    </row>
    <row r="228" spans="1:1" x14ac:dyDescent="0.25">
      <c r="A228" s="84" t="s">
        <v>963</v>
      </c>
    </row>
    <row r="229" spans="1:1" x14ac:dyDescent="0.25">
      <c r="A229" s="84" t="s">
        <v>964</v>
      </c>
    </row>
    <row r="230" spans="1:1" x14ac:dyDescent="0.25">
      <c r="A230" s="84" t="s">
        <v>965</v>
      </c>
    </row>
    <row r="231" spans="1:1" x14ac:dyDescent="0.25">
      <c r="A231" s="84" t="s">
        <v>966</v>
      </c>
    </row>
    <row r="232" spans="1:1" x14ac:dyDescent="0.25">
      <c r="A232" s="84" t="s">
        <v>967</v>
      </c>
    </row>
    <row r="233" spans="1:1" x14ac:dyDescent="0.25">
      <c r="A233" s="84" t="s">
        <v>968</v>
      </c>
    </row>
    <row r="234" spans="1:1" x14ac:dyDescent="0.25">
      <c r="A234" s="84" t="s">
        <v>969</v>
      </c>
    </row>
    <row r="235" spans="1:1" x14ac:dyDescent="0.25">
      <c r="A235" s="84" t="s">
        <v>970</v>
      </c>
    </row>
    <row r="236" spans="1:1" x14ac:dyDescent="0.25">
      <c r="A236" s="84" t="s">
        <v>971</v>
      </c>
    </row>
    <row r="237" spans="1:1" x14ac:dyDescent="0.25">
      <c r="A237" s="84" t="s">
        <v>972</v>
      </c>
    </row>
    <row r="238" spans="1:1" x14ac:dyDescent="0.25">
      <c r="A238" s="84" t="s">
        <v>973</v>
      </c>
    </row>
    <row r="239" spans="1:1" x14ac:dyDescent="0.25">
      <c r="A239" s="84" t="s">
        <v>974</v>
      </c>
    </row>
    <row r="240" spans="1:1" x14ac:dyDescent="0.25">
      <c r="A240" s="84" t="s">
        <v>975</v>
      </c>
    </row>
    <row r="241" spans="1:1" x14ac:dyDescent="0.25">
      <c r="A241" s="84" t="s">
        <v>976</v>
      </c>
    </row>
    <row r="242" spans="1:1" x14ac:dyDescent="0.25">
      <c r="A242" s="84" t="s">
        <v>977</v>
      </c>
    </row>
    <row r="243" spans="1:1" x14ac:dyDescent="0.25">
      <c r="A243" s="84" t="s">
        <v>978</v>
      </c>
    </row>
    <row r="244" spans="1:1" x14ac:dyDescent="0.25">
      <c r="A244" s="84" t="s">
        <v>979</v>
      </c>
    </row>
    <row r="245" spans="1:1" x14ac:dyDescent="0.25">
      <c r="A245" s="84" t="s">
        <v>980</v>
      </c>
    </row>
    <row r="246" spans="1:1" x14ac:dyDescent="0.25">
      <c r="A246" s="84" t="s">
        <v>981</v>
      </c>
    </row>
    <row r="247" spans="1:1" x14ac:dyDescent="0.25">
      <c r="A247" s="84" t="s">
        <v>982</v>
      </c>
    </row>
    <row r="248" spans="1:1" x14ac:dyDescent="0.25">
      <c r="A248" s="84" t="s">
        <v>983</v>
      </c>
    </row>
    <row r="249" spans="1:1" x14ac:dyDescent="0.25">
      <c r="A249" s="84" t="s">
        <v>984</v>
      </c>
    </row>
    <row r="250" spans="1:1" x14ac:dyDescent="0.25">
      <c r="A250" s="84" t="s">
        <v>520</v>
      </c>
    </row>
    <row r="251" spans="1:1" x14ac:dyDescent="0.25">
      <c r="A251" s="84" t="s">
        <v>521</v>
      </c>
    </row>
    <row r="252" spans="1:1" x14ac:dyDescent="0.25">
      <c r="A252" s="84" t="s">
        <v>522</v>
      </c>
    </row>
    <row r="253" spans="1:1" x14ac:dyDescent="0.25">
      <c r="A253" s="84" t="s">
        <v>523</v>
      </c>
    </row>
    <row r="254" spans="1:1" x14ac:dyDescent="0.25">
      <c r="A254" s="84" t="s">
        <v>524</v>
      </c>
    </row>
    <row r="255" spans="1:1" x14ac:dyDescent="0.25">
      <c r="A255" s="84" t="s">
        <v>525</v>
      </c>
    </row>
    <row r="256" spans="1:1" x14ac:dyDescent="0.25">
      <c r="A256" s="84" t="s">
        <v>526</v>
      </c>
    </row>
    <row r="257" spans="1:1" x14ac:dyDescent="0.25">
      <c r="A257" s="84" t="s">
        <v>527</v>
      </c>
    </row>
    <row r="258" spans="1:1" x14ac:dyDescent="0.25">
      <c r="A258" s="84" t="s">
        <v>528</v>
      </c>
    </row>
    <row r="259" spans="1:1" x14ac:dyDescent="0.25">
      <c r="A259" s="84" t="s">
        <v>529</v>
      </c>
    </row>
    <row r="260" spans="1:1" x14ac:dyDescent="0.25">
      <c r="A260" s="84" t="s">
        <v>530</v>
      </c>
    </row>
    <row r="261" spans="1:1" x14ac:dyDescent="0.25">
      <c r="A261" s="84" t="s">
        <v>531</v>
      </c>
    </row>
    <row r="262" spans="1:1" x14ac:dyDescent="0.25">
      <c r="A262" s="84" t="s">
        <v>532</v>
      </c>
    </row>
    <row r="263" spans="1:1" x14ac:dyDescent="0.25">
      <c r="A263" s="84" t="s">
        <v>533</v>
      </c>
    </row>
    <row r="264" spans="1:1" x14ac:dyDescent="0.25">
      <c r="A264" s="84" t="s">
        <v>534</v>
      </c>
    </row>
    <row r="265" spans="1:1" x14ac:dyDescent="0.25">
      <c r="A265" s="84" t="s">
        <v>535</v>
      </c>
    </row>
    <row r="266" spans="1:1" x14ac:dyDescent="0.25">
      <c r="A266" s="84" t="s">
        <v>536</v>
      </c>
    </row>
    <row r="267" spans="1:1" x14ac:dyDescent="0.25">
      <c r="A267" s="84" t="s">
        <v>537</v>
      </c>
    </row>
    <row r="268" spans="1:1" x14ac:dyDescent="0.25">
      <c r="A268" s="84" t="s">
        <v>538</v>
      </c>
    </row>
    <row r="269" spans="1:1" x14ac:dyDescent="0.25">
      <c r="A269" s="84" t="s">
        <v>539</v>
      </c>
    </row>
    <row r="270" spans="1:1" x14ac:dyDescent="0.25">
      <c r="A270" s="84"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194" t="s">
        <v>985</v>
      </c>
    </row>
    <row r="2" spans="1:16" x14ac:dyDescent="0.25">
      <c r="P2" t="s">
        <v>1152</v>
      </c>
    </row>
    <row r="4" spans="1:16" x14ac:dyDescent="0.25">
      <c r="P4" t="s">
        <v>1153</v>
      </c>
    </row>
    <row r="5" spans="1:16" x14ac:dyDescent="0.25">
      <c r="A5" t="s">
        <v>986</v>
      </c>
    </row>
    <row r="6" spans="1:16" x14ac:dyDescent="0.25">
      <c r="A6" t="s">
        <v>987</v>
      </c>
    </row>
    <row r="7" spans="1:16" x14ac:dyDescent="0.25">
      <c r="A7" s="84" t="s">
        <v>988</v>
      </c>
      <c r="H7" s="195" t="s">
        <v>989</v>
      </c>
      <c r="P7" t="s">
        <v>1154</v>
      </c>
    </row>
    <row r="8" spans="1:16" x14ac:dyDescent="0.25">
      <c r="A8" s="84" t="s">
        <v>990</v>
      </c>
      <c r="H8" s="1" t="s">
        <v>991</v>
      </c>
    </row>
    <row r="9" spans="1:16" x14ac:dyDescent="0.25">
      <c r="A9" s="84" t="s">
        <v>992</v>
      </c>
      <c r="F9" t="s">
        <v>993</v>
      </c>
      <c r="H9" s="1" t="s">
        <v>994</v>
      </c>
      <c r="P9" t="s">
        <v>1155</v>
      </c>
    </row>
    <row r="10" spans="1:16" x14ac:dyDescent="0.25">
      <c r="A10" s="84" t="s">
        <v>995</v>
      </c>
      <c r="F10" t="s">
        <v>996</v>
      </c>
      <c r="H10" s="1" t="s">
        <v>997</v>
      </c>
      <c r="P10" t="s">
        <v>1156</v>
      </c>
    </row>
    <row r="11" spans="1:16" x14ac:dyDescent="0.25">
      <c r="A11" s="84" t="s">
        <v>998</v>
      </c>
      <c r="F11" t="s">
        <v>999</v>
      </c>
      <c r="H11" s="1" t="s">
        <v>1000</v>
      </c>
      <c r="P11" t="s">
        <v>1157</v>
      </c>
    </row>
    <row r="12" spans="1:16" x14ac:dyDescent="0.25">
      <c r="A12" s="84" t="s">
        <v>1001</v>
      </c>
      <c r="F12" t="s">
        <v>1002</v>
      </c>
      <c r="H12" s="1" t="s">
        <v>1003</v>
      </c>
      <c r="P12" t="s">
        <v>1158</v>
      </c>
    </row>
    <row r="13" spans="1:16" x14ac:dyDescent="0.25">
      <c r="A13" s="84" t="s">
        <v>1004</v>
      </c>
      <c r="F13" t="s">
        <v>1005</v>
      </c>
      <c r="H13" s="1" t="s">
        <v>1006</v>
      </c>
      <c r="P13" t="s">
        <v>1159</v>
      </c>
    </row>
    <row r="14" spans="1:16" x14ac:dyDescent="0.25">
      <c r="A14" s="84"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3"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11" customWidth="1"/>
  </cols>
  <sheetData>
    <row r="1" spans="1:1" x14ac:dyDescent="0.25">
      <c r="A1" s="7" t="s">
        <v>1023</v>
      </c>
    </row>
    <row r="2" spans="1:1" ht="45" x14ac:dyDescent="0.25">
      <c r="A2" s="11" t="s">
        <v>1024</v>
      </c>
    </row>
    <row r="3" spans="1:1" x14ac:dyDescent="0.25">
      <c r="A3" s="11" t="s">
        <v>1025</v>
      </c>
    </row>
    <row r="5" spans="1:1" x14ac:dyDescent="0.25">
      <c r="A5" s="7" t="s">
        <v>1026</v>
      </c>
    </row>
    <row r="6" spans="1:1" ht="45" x14ac:dyDescent="0.25">
      <c r="A6" s="11" t="s">
        <v>1027</v>
      </c>
    </row>
    <row r="7" spans="1:1" ht="30" x14ac:dyDescent="0.25">
      <c r="A7" s="11" t="s">
        <v>1028</v>
      </c>
    </row>
    <row r="9" spans="1:1" x14ac:dyDescent="0.25">
      <c r="A9" s="7" t="s">
        <v>1029</v>
      </c>
    </row>
    <row r="10" spans="1:1" ht="45" x14ac:dyDescent="0.25">
      <c r="A10" s="11" t="s">
        <v>1030</v>
      </c>
    </row>
    <row r="12" spans="1:1" x14ac:dyDescent="0.25">
      <c r="A12" s="11" t="s">
        <v>1031</v>
      </c>
    </row>
    <row r="13" spans="1:1" ht="30" x14ac:dyDescent="0.25">
      <c r="A13" s="11" t="s">
        <v>1032</v>
      </c>
    </row>
    <row r="15" spans="1:1" x14ac:dyDescent="0.25">
      <c r="A15" s="11" t="s">
        <v>1033</v>
      </c>
    </row>
    <row r="16" spans="1:1" ht="45" x14ac:dyDescent="0.25">
      <c r="A16" s="11" t="s">
        <v>1034</v>
      </c>
    </row>
    <row r="19" spans="1:1" x14ac:dyDescent="0.25">
      <c r="A19" s="7" t="s">
        <v>1035</v>
      </c>
    </row>
    <row r="20" spans="1:1" ht="60" x14ac:dyDescent="0.25">
      <c r="A20" s="11" t="s">
        <v>1036</v>
      </c>
    </row>
    <row r="22" spans="1:1" x14ac:dyDescent="0.25">
      <c r="A22" s="196" t="s">
        <v>1037</v>
      </c>
    </row>
    <row r="24" spans="1:1" x14ac:dyDescent="0.25">
      <c r="A24" s="7" t="s">
        <v>1038</v>
      </c>
    </row>
    <row r="25" spans="1:1" x14ac:dyDescent="0.25">
      <c r="A25" s="11" t="s">
        <v>1039</v>
      </c>
    </row>
    <row r="27" spans="1:1" x14ac:dyDescent="0.25">
      <c r="A27" s="11" t="s">
        <v>1040</v>
      </c>
    </row>
    <row r="28" spans="1:1" x14ac:dyDescent="0.25">
      <c r="A28" s="11" t="s">
        <v>1041</v>
      </c>
    </row>
    <row r="30" spans="1:1" ht="45" x14ac:dyDescent="0.25">
      <c r="A30" s="11" t="s">
        <v>1042</v>
      </c>
    </row>
    <row r="32" spans="1:1" ht="45" x14ac:dyDescent="0.25">
      <c r="A32" s="11" t="s">
        <v>1043</v>
      </c>
    </row>
    <row r="34" spans="1:1" ht="45" x14ac:dyDescent="0.25">
      <c r="A34" s="11" t="s">
        <v>1044</v>
      </c>
    </row>
    <row r="36" spans="1:1" x14ac:dyDescent="0.25">
      <c r="A36" s="11" t="s">
        <v>1045</v>
      </c>
    </row>
    <row r="37" spans="1:1" ht="90" x14ac:dyDescent="0.25">
      <c r="A37" s="11" t="s">
        <v>1046</v>
      </c>
    </row>
    <row r="38" spans="1:1" ht="30" x14ac:dyDescent="0.25">
      <c r="A38" s="11" t="s">
        <v>1047</v>
      </c>
    </row>
    <row r="40" spans="1:1" ht="45" x14ac:dyDescent="0.25">
      <c r="A40" s="11" t="s">
        <v>1048</v>
      </c>
    </row>
    <row r="42" spans="1:1" x14ac:dyDescent="0.25">
      <c r="A42" s="11" t="s">
        <v>1049</v>
      </c>
    </row>
    <row r="43" spans="1:1" ht="30" x14ac:dyDescent="0.25">
      <c r="A43" s="11" t="s">
        <v>1050</v>
      </c>
    </row>
    <row r="44" spans="1:1" ht="75" x14ac:dyDescent="0.25">
      <c r="A44" s="11" t="s">
        <v>1051</v>
      </c>
    </row>
    <row r="46" spans="1:1" ht="45" x14ac:dyDescent="0.25">
      <c r="A46" s="11" t="s">
        <v>1052</v>
      </c>
    </row>
    <row r="48" spans="1:1" ht="30" x14ac:dyDescent="0.25">
      <c r="A48" s="11" t="s">
        <v>1053</v>
      </c>
    </row>
    <row r="49" spans="1:1" ht="60" x14ac:dyDescent="0.25">
      <c r="A49" s="11" t="s">
        <v>1054</v>
      </c>
    </row>
    <row r="50" spans="1:1" ht="60" x14ac:dyDescent="0.25">
      <c r="A50" s="11" t="s">
        <v>1055</v>
      </c>
    </row>
    <row r="52" spans="1:1" x14ac:dyDescent="0.25">
      <c r="A52" s="11" t="s">
        <v>1056</v>
      </c>
    </row>
    <row r="53" spans="1:1" ht="30" x14ac:dyDescent="0.25">
      <c r="A53" s="11" t="s">
        <v>1057</v>
      </c>
    </row>
    <row r="54" spans="1:1" ht="60" x14ac:dyDescent="0.25">
      <c r="A54" s="11" t="s">
        <v>1058</v>
      </c>
    </row>
    <row r="56" spans="1:1" x14ac:dyDescent="0.25">
      <c r="A56" s="196" t="s">
        <v>1059</v>
      </c>
    </row>
    <row r="58" spans="1:1" x14ac:dyDescent="0.25">
      <c r="A58" s="7" t="s">
        <v>1060</v>
      </c>
    </row>
    <row r="59" spans="1:1" ht="30" x14ac:dyDescent="0.25">
      <c r="A59" s="11" t="s">
        <v>1061</v>
      </c>
    </row>
    <row r="61" spans="1:1" x14ac:dyDescent="0.25">
      <c r="A61" s="11" t="s">
        <v>1062</v>
      </c>
    </row>
    <row r="62" spans="1:1" ht="75" x14ac:dyDescent="0.25">
      <c r="A62" s="11" t="s">
        <v>1063</v>
      </c>
    </row>
    <row r="63" spans="1:1" x14ac:dyDescent="0.25">
      <c r="A63" s="11" t="s">
        <v>1064</v>
      </c>
    </row>
    <row r="65" spans="1:1" x14ac:dyDescent="0.25">
      <c r="A65" s="11" t="s">
        <v>1065</v>
      </c>
    </row>
    <row r="66" spans="1:1" ht="75" x14ac:dyDescent="0.25">
      <c r="A66" s="11" t="s">
        <v>1066</v>
      </c>
    </row>
    <row r="67" spans="1:1" ht="30" x14ac:dyDescent="0.25">
      <c r="A67" s="11" t="s">
        <v>1067</v>
      </c>
    </row>
    <row r="69" spans="1:1" x14ac:dyDescent="0.25">
      <c r="A69" s="196" t="s">
        <v>1068</v>
      </c>
    </row>
    <row r="72" spans="1:1" ht="45" x14ac:dyDescent="0.25">
      <c r="A72" s="11" t="s">
        <v>1069</v>
      </c>
    </row>
    <row r="74" spans="1:1" x14ac:dyDescent="0.25">
      <c r="A74" s="7" t="s">
        <v>1070</v>
      </c>
    </row>
    <row r="75" spans="1:1" x14ac:dyDescent="0.25">
      <c r="A75" s="196" t="s">
        <v>1071</v>
      </c>
    </row>
    <row r="76" spans="1:1" x14ac:dyDescent="0.25">
      <c r="A76" s="196" t="s">
        <v>1072</v>
      </c>
    </row>
    <row r="77" spans="1:1" x14ac:dyDescent="0.25">
      <c r="A77" s="196" t="s">
        <v>1073</v>
      </c>
    </row>
    <row r="78" spans="1:1" x14ac:dyDescent="0.25">
      <c r="A78" s="196" t="s">
        <v>1074</v>
      </c>
    </row>
    <row r="79" spans="1:1" x14ac:dyDescent="0.25">
      <c r="A79" s="196" t="s">
        <v>1075</v>
      </c>
    </row>
    <row r="80" spans="1:1" x14ac:dyDescent="0.25">
      <c r="A80" s="196" t="s">
        <v>1076</v>
      </c>
    </row>
    <row r="85" spans="1:1" x14ac:dyDescent="0.25">
      <c r="A85" s="197" t="s">
        <v>1077</v>
      </c>
    </row>
    <row r="86" spans="1:1" x14ac:dyDescent="0.25">
      <c r="A86" s="197"/>
    </row>
    <row r="87" spans="1:1" x14ac:dyDescent="0.25">
      <c r="A87" s="197" t="s">
        <v>1065</v>
      </c>
    </row>
    <row r="88" spans="1:1" ht="75" x14ac:dyDescent="0.25">
      <c r="A88" s="197" t="s">
        <v>1066</v>
      </c>
    </row>
    <row r="89" spans="1:1" ht="30" x14ac:dyDescent="0.25">
      <c r="A89" s="197" t="s">
        <v>1067</v>
      </c>
    </row>
    <row r="94" spans="1:1" ht="45" x14ac:dyDescent="0.25">
      <c r="A94" s="11" t="s">
        <v>1078</v>
      </c>
    </row>
    <row r="96" spans="1:1" ht="45" x14ac:dyDescent="0.25">
      <c r="A96" s="11" t="s">
        <v>1079</v>
      </c>
    </row>
    <row r="98" spans="1:1" ht="60" x14ac:dyDescent="0.25">
      <c r="A98" s="11" t="s">
        <v>1080</v>
      </c>
    </row>
    <row r="100" spans="1:1" ht="30" x14ac:dyDescent="0.25">
      <c r="A100" s="11"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5B25-A896-409E-9A19-56F664E3DA32}">
  <dimension ref="A1:N36"/>
  <sheetViews>
    <sheetView tabSelected="1" workbookViewId="0">
      <selection activeCell="G17" sqref="G17"/>
    </sheetView>
  </sheetViews>
  <sheetFormatPr baseColWidth="10" defaultRowHeight="15" x14ac:dyDescent="0.25"/>
  <cols>
    <col min="1" max="1" width="7.85546875" style="35" bestFit="1" customWidth="1"/>
    <col min="2" max="2" width="7.140625" style="35" bestFit="1" customWidth="1"/>
  </cols>
  <sheetData>
    <row r="1" spans="1:14" x14ac:dyDescent="0.25">
      <c r="A1" s="247" t="s">
        <v>1174</v>
      </c>
      <c r="B1" s="247"/>
    </row>
    <row r="2" spans="1:14" x14ac:dyDescent="0.25">
      <c r="A2" s="35" t="s">
        <v>50</v>
      </c>
      <c r="C2" s="35" t="s">
        <v>78</v>
      </c>
      <c r="D2" s="35"/>
      <c r="E2" s="35" t="s">
        <v>77</v>
      </c>
      <c r="F2" s="35"/>
      <c r="G2" s="35" t="s">
        <v>51</v>
      </c>
      <c r="H2" s="35"/>
      <c r="I2" s="35" t="s">
        <v>69</v>
      </c>
      <c r="J2" s="35"/>
      <c r="K2" s="35" t="s">
        <v>1173</v>
      </c>
      <c r="L2" s="35"/>
      <c r="M2" s="35" t="s">
        <v>71</v>
      </c>
      <c r="N2" s="35"/>
    </row>
    <row r="3" spans="1:14" x14ac:dyDescent="0.25">
      <c r="A3" s="35" t="s">
        <v>1171</v>
      </c>
      <c r="B3" s="35" t="s">
        <v>1172</v>
      </c>
      <c r="C3" s="35" t="s">
        <v>1171</v>
      </c>
      <c r="D3" s="35" t="s">
        <v>1172</v>
      </c>
      <c r="E3" s="35" t="s">
        <v>1171</v>
      </c>
      <c r="F3" s="35" t="s">
        <v>1172</v>
      </c>
      <c r="G3" s="35" t="s">
        <v>1171</v>
      </c>
      <c r="H3" s="35" t="s">
        <v>1172</v>
      </c>
      <c r="I3" s="35" t="s">
        <v>1171</v>
      </c>
      <c r="J3" s="35" t="s">
        <v>1172</v>
      </c>
      <c r="K3" s="35" t="s">
        <v>1171</v>
      </c>
      <c r="L3" s="35" t="s">
        <v>1172</v>
      </c>
      <c r="M3" s="35" t="s">
        <v>1171</v>
      </c>
      <c r="N3" s="35" t="s">
        <v>1172</v>
      </c>
    </row>
    <row r="4" spans="1:14" x14ac:dyDescent="0.25">
      <c r="A4" s="35">
        <v>0.99</v>
      </c>
      <c r="B4" s="35">
        <v>0</v>
      </c>
      <c r="C4" s="35">
        <v>0.99</v>
      </c>
      <c r="D4" s="35">
        <v>0</v>
      </c>
      <c r="E4" s="35">
        <v>0.99</v>
      </c>
      <c r="F4" s="35">
        <v>0</v>
      </c>
      <c r="G4" s="35">
        <v>0.99</v>
      </c>
      <c r="H4" s="35">
        <v>0</v>
      </c>
      <c r="I4" s="35">
        <v>0.99</v>
      </c>
      <c r="J4" s="35">
        <v>0</v>
      </c>
      <c r="K4" s="35">
        <v>0.99</v>
      </c>
      <c r="L4" s="35">
        <v>0</v>
      </c>
      <c r="M4" s="35">
        <v>0.99</v>
      </c>
      <c r="N4" s="35">
        <v>0</v>
      </c>
    </row>
    <row r="5" spans="1:14" x14ac:dyDescent="0.25">
      <c r="A5" s="35">
        <f>A4+1</f>
        <v>1.99</v>
      </c>
      <c r="B5" s="35">
        <v>33</v>
      </c>
      <c r="C5" s="35">
        <f>C4+1</f>
        <v>1.99</v>
      </c>
      <c r="D5" s="35">
        <v>30</v>
      </c>
      <c r="E5" s="35">
        <f>E4+1</f>
        <v>1.99</v>
      </c>
      <c r="F5" s="35">
        <v>34</v>
      </c>
      <c r="G5" s="35">
        <f>G4+1</f>
        <v>1.99</v>
      </c>
      <c r="H5" s="35">
        <v>30</v>
      </c>
      <c r="I5" s="35">
        <f>I4+1</f>
        <v>1.99</v>
      </c>
      <c r="J5" s="35">
        <v>31</v>
      </c>
      <c r="K5" s="35">
        <f>K4+1</f>
        <v>1.99</v>
      </c>
      <c r="L5" s="35">
        <v>33</v>
      </c>
      <c r="M5" s="35">
        <f>M4+1</f>
        <v>1.99</v>
      </c>
      <c r="N5" s="35">
        <v>21</v>
      </c>
    </row>
    <row r="6" spans="1:14" x14ac:dyDescent="0.25">
      <c r="A6" s="35">
        <f t="shared" ref="A6:A10" si="0">A5+1</f>
        <v>2.99</v>
      </c>
      <c r="B6" s="35">
        <v>50</v>
      </c>
      <c r="C6" s="35">
        <f t="shared" ref="C6:C10" si="1">C5+1</f>
        <v>2.99</v>
      </c>
      <c r="D6" s="35">
        <v>41</v>
      </c>
      <c r="E6" s="35">
        <f t="shared" ref="E6:E10" si="2">E5+1</f>
        <v>2.99</v>
      </c>
      <c r="F6" s="35">
        <v>55</v>
      </c>
      <c r="G6" s="35">
        <f t="shared" ref="G6:G10" si="3">G5+1</f>
        <v>2.99</v>
      </c>
      <c r="H6" s="35">
        <v>43</v>
      </c>
      <c r="I6" s="35">
        <f t="shared" ref="I6:I10" si="4">I5+1</f>
        <v>2.99</v>
      </c>
      <c r="J6" s="35">
        <v>48</v>
      </c>
      <c r="K6" s="35">
        <f t="shared" ref="K6:K10" si="5">K5+1</f>
        <v>2.99</v>
      </c>
      <c r="L6" s="35">
        <v>52</v>
      </c>
      <c r="M6" s="35">
        <f t="shared" ref="M6:M10" si="6">M5+1</f>
        <v>2.99</v>
      </c>
      <c r="N6" s="35">
        <v>24</v>
      </c>
    </row>
    <row r="7" spans="1:14" x14ac:dyDescent="0.25">
      <c r="A7" s="35">
        <f t="shared" si="0"/>
        <v>3.99</v>
      </c>
      <c r="B7" s="35">
        <v>73</v>
      </c>
      <c r="C7" s="35">
        <f t="shared" si="1"/>
        <v>3.99</v>
      </c>
      <c r="D7" s="35">
        <v>57</v>
      </c>
      <c r="E7" s="35">
        <f t="shared" si="2"/>
        <v>3.99</v>
      </c>
      <c r="F7" s="35">
        <v>81</v>
      </c>
      <c r="G7" s="35">
        <f t="shared" si="3"/>
        <v>3.99</v>
      </c>
      <c r="H7" s="35">
        <v>59</v>
      </c>
      <c r="I7" s="35">
        <f t="shared" si="4"/>
        <v>3.99</v>
      </c>
      <c r="J7" s="35">
        <v>68</v>
      </c>
      <c r="K7" s="35">
        <f t="shared" si="5"/>
        <v>3.99</v>
      </c>
      <c r="L7" s="35">
        <v>75</v>
      </c>
      <c r="M7" s="35">
        <f t="shared" si="6"/>
        <v>3.99</v>
      </c>
      <c r="N7" s="35">
        <v>28</v>
      </c>
    </row>
    <row r="8" spans="1:14" x14ac:dyDescent="0.25">
      <c r="A8" s="35">
        <f t="shared" si="0"/>
        <v>4.99</v>
      </c>
      <c r="B8" s="35">
        <v>100</v>
      </c>
      <c r="C8" s="35">
        <f t="shared" si="1"/>
        <v>4.99</v>
      </c>
      <c r="D8" s="35">
        <v>74</v>
      </c>
      <c r="E8" s="35">
        <f t="shared" si="2"/>
        <v>4.99</v>
      </c>
      <c r="F8" s="35">
        <v>114</v>
      </c>
      <c r="G8" s="35">
        <f t="shared" si="3"/>
        <v>4.99</v>
      </c>
      <c r="H8" s="35">
        <v>78</v>
      </c>
      <c r="I8" s="35">
        <f t="shared" si="4"/>
        <v>4.99</v>
      </c>
      <c r="J8" s="35">
        <v>92</v>
      </c>
      <c r="K8" s="35">
        <f t="shared" si="5"/>
        <v>4.99</v>
      </c>
      <c r="L8" s="35">
        <v>104</v>
      </c>
      <c r="M8" s="35">
        <f t="shared" si="6"/>
        <v>4.99</v>
      </c>
      <c r="N8" s="35">
        <v>34</v>
      </c>
    </row>
    <row r="9" spans="1:14" x14ac:dyDescent="0.25">
      <c r="A9" s="35">
        <f t="shared" si="0"/>
        <v>5.99</v>
      </c>
      <c r="B9" s="35">
        <v>130</v>
      </c>
      <c r="C9" s="35">
        <f t="shared" si="1"/>
        <v>5.99</v>
      </c>
      <c r="D9" s="35">
        <v>94</v>
      </c>
      <c r="E9" s="35">
        <f t="shared" si="2"/>
        <v>5.99</v>
      </c>
      <c r="F9" s="35">
        <v>150</v>
      </c>
      <c r="G9" s="35">
        <f t="shared" si="3"/>
        <v>5.99</v>
      </c>
      <c r="H9" s="35">
        <v>99</v>
      </c>
      <c r="I9" s="35">
        <f t="shared" si="4"/>
        <v>5.99</v>
      </c>
      <c r="J9" s="35">
        <v>121</v>
      </c>
      <c r="K9" s="35">
        <f t="shared" si="5"/>
        <v>5.99</v>
      </c>
      <c r="L9" s="35">
        <v>135</v>
      </c>
      <c r="M9" s="35">
        <f t="shared" si="6"/>
        <v>5.99</v>
      </c>
      <c r="N9" s="35">
        <v>40</v>
      </c>
    </row>
    <row r="10" spans="1:14" x14ac:dyDescent="0.25">
      <c r="A10" s="35">
        <f t="shared" si="0"/>
        <v>6.99</v>
      </c>
      <c r="B10" s="35">
        <v>166</v>
      </c>
      <c r="C10" s="35">
        <f t="shared" si="1"/>
        <v>6.99</v>
      </c>
      <c r="D10" s="35">
        <v>117</v>
      </c>
      <c r="E10" s="35">
        <f t="shared" si="2"/>
        <v>6.99</v>
      </c>
      <c r="F10" s="35">
        <v>191</v>
      </c>
      <c r="G10" s="35">
        <f t="shared" si="3"/>
        <v>6.99</v>
      </c>
      <c r="H10" s="35">
        <v>123</v>
      </c>
      <c r="I10" s="35">
        <f t="shared" si="4"/>
        <v>6.99</v>
      </c>
      <c r="J10" s="35">
        <v>154</v>
      </c>
      <c r="K10" s="35">
        <f t="shared" si="5"/>
        <v>6.99</v>
      </c>
      <c r="L10" s="35">
        <v>172</v>
      </c>
      <c r="M10" s="35">
        <f t="shared" si="6"/>
        <v>6.99</v>
      </c>
      <c r="N10" s="35">
        <v>47</v>
      </c>
    </row>
    <row r="11" spans="1:14" x14ac:dyDescent="0.25">
      <c r="A11" s="160">
        <v>7</v>
      </c>
      <c r="B11" s="35">
        <v>206</v>
      </c>
      <c r="C11" s="160">
        <v>7</v>
      </c>
      <c r="D11" s="35">
        <v>141</v>
      </c>
      <c r="E11" s="160">
        <v>7</v>
      </c>
      <c r="F11" s="35">
        <v>237</v>
      </c>
      <c r="G11" s="160">
        <v>7</v>
      </c>
      <c r="H11" s="35">
        <v>150</v>
      </c>
      <c r="I11" s="160">
        <v>7</v>
      </c>
      <c r="J11" s="35">
        <v>190</v>
      </c>
      <c r="K11" s="160">
        <v>7</v>
      </c>
      <c r="L11" s="35">
        <v>213</v>
      </c>
      <c r="M11" s="160">
        <v>7</v>
      </c>
      <c r="N11" s="35">
        <v>56</v>
      </c>
    </row>
    <row r="14" spans="1:14" x14ac:dyDescent="0.25">
      <c r="A14" s="247" t="s">
        <v>1175</v>
      </c>
      <c r="B14" s="247"/>
    </row>
    <row r="15" spans="1:14" x14ac:dyDescent="0.25">
      <c r="A15" s="35" t="s">
        <v>50</v>
      </c>
      <c r="C15" s="35" t="s">
        <v>78</v>
      </c>
      <c r="D15" s="35"/>
      <c r="E15" s="35" t="s">
        <v>77</v>
      </c>
      <c r="F15" s="35"/>
      <c r="G15" s="35" t="s">
        <v>51</v>
      </c>
      <c r="H15" s="35"/>
      <c r="I15" s="35" t="s">
        <v>69</v>
      </c>
      <c r="J15" s="35"/>
      <c r="K15" s="35" t="s">
        <v>1173</v>
      </c>
      <c r="L15" s="35"/>
      <c r="M15" s="35" t="s">
        <v>71</v>
      </c>
      <c r="N15" s="35"/>
    </row>
    <row r="16" spans="1:14" x14ac:dyDescent="0.25">
      <c r="A16" s="35" t="s">
        <v>1171</v>
      </c>
      <c r="B16" s="35" t="s">
        <v>1172</v>
      </c>
      <c r="C16" s="35" t="s">
        <v>1171</v>
      </c>
      <c r="D16" s="35" t="s">
        <v>1172</v>
      </c>
      <c r="E16" s="35" t="s">
        <v>1171</v>
      </c>
      <c r="F16" s="35" t="s">
        <v>1172</v>
      </c>
      <c r="G16" s="35" t="s">
        <v>1171</v>
      </c>
      <c r="H16" s="35" t="s">
        <v>1172</v>
      </c>
      <c r="I16" s="35" t="s">
        <v>1171</v>
      </c>
      <c r="J16" s="35" t="s">
        <v>1172</v>
      </c>
      <c r="K16" s="35" t="s">
        <v>1171</v>
      </c>
      <c r="L16" s="35" t="s">
        <v>1172</v>
      </c>
      <c r="M16" s="35" t="s">
        <v>1171</v>
      </c>
      <c r="N16" s="35" t="s">
        <v>1172</v>
      </c>
    </row>
    <row r="17" spans="1:14" x14ac:dyDescent="0.25">
      <c r="A17" s="35">
        <v>0</v>
      </c>
      <c r="B17" s="35">
        <v>0</v>
      </c>
      <c r="C17" s="35">
        <v>0</v>
      </c>
      <c r="D17" s="35">
        <v>0</v>
      </c>
      <c r="E17" s="35">
        <v>0</v>
      </c>
      <c r="F17" s="35">
        <v>0</v>
      </c>
      <c r="G17" s="35">
        <v>0</v>
      </c>
      <c r="H17" s="35">
        <v>0</v>
      </c>
      <c r="I17" s="35">
        <v>0</v>
      </c>
      <c r="J17" s="35">
        <v>0</v>
      </c>
      <c r="K17" s="35">
        <v>0</v>
      </c>
      <c r="L17" s="35">
        <v>0</v>
      </c>
      <c r="M17" s="35">
        <v>0</v>
      </c>
      <c r="N17" s="35">
        <v>0</v>
      </c>
    </row>
    <row r="18" spans="1:14" x14ac:dyDescent="0.25">
      <c r="A18" s="35">
        <f>A17+1</f>
        <v>1</v>
      </c>
      <c r="B18" s="35">
        <v>33</v>
      </c>
      <c r="C18" s="35">
        <f>C17+1</f>
        <v>1</v>
      </c>
      <c r="D18" s="35">
        <v>30</v>
      </c>
      <c r="E18" s="35">
        <f>E17+1</f>
        <v>1</v>
      </c>
      <c r="F18" s="35">
        <v>34</v>
      </c>
      <c r="G18" s="35">
        <f>G17+1</f>
        <v>1</v>
      </c>
      <c r="H18" s="35">
        <v>30</v>
      </c>
      <c r="I18" s="35">
        <f>I17+1</f>
        <v>1</v>
      </c>
      <c r="J18" s="35">
        <v>31</v>
      </c>
      <c r="K18" s="35">
        <f>K17+1</f>
        <v>1</v>
      </c>
      <c r="L18" s="35">
        <v>33</v>
      </c>
      <c r="M18" s="35">
        <f>M17+1</f>
        <v>1</v>
      </c>
      <c r="N18" s="35">
        <v>21</v>
      </c>
    </row>
    <row r="19" spans="1:14" x14ac:dyDescent="0.25">
      <c r="A19" s="35">
        <f t="shared" ref="A19:C34" si="7">A18+1</f>
        <v>2</v>
      </c>
      <c r="B19" s="35">
        <v>50</v>
      </c>
      <c r="C19" s="35">
        <f t="shared" si="7"/>
        <v>2</v>
      </c>
      <c r="D19" s="35">
        <v>41</v>
      </c>
      <c r="E19" s="35">
        <f t="shared" ref="E19" si="8">E18+1</f>
        <v>2</v>
      </c>
      <c r="F19" s="35">
        <v>55</v>
      </c>
      <c r="G19" s="35">
        <f t="shared" ref="G19" si="9">G18+1</f>
        <v>2</v>
      </c>
      <c r="H19" s="35">
        <v>43</v>
      </c>
      <c r="I19" s="35">
        <f t="shared" ref="I19" si="10">I18+1</f>
        <v>2</v>
      </c>
      <c r="J19" s="35">
        <v>48</v>
      </c>
      <c r="K19" s="35">
        <f t="shared" ref="K19" si="11">K18+1</f>
        <v>2</v>
      </c>
      <c r="L19" s="35">
        <v>52</v>
      </c>
      <c r="M19" s="35">
        <f t="shared" ref="M19" si="12">M18+1</f>
        <v>2</v>
      </c>
      <c r="N19" s="35">
        <v>24</v>
      </c>
    </row>
    <row r="20" spans="1:14" x14ac:dyDescent="0.25">
      <c r="A20" s="35">
        <f t="shared" si="7"/>
        <v>3</v>
      </c>
      <c r="B20" s="35">
        <v>73</v>
      </c>
      <c r="C20" s="35">
        <f t="shared" si="7"/>
        <v>3</v>
      </c>
      <c r="D20" s="35">
        <v>57</v>
      </c>
      <c r="E20" s="35">
        <f t="shared" ref="E20" si="13">E19+1</f>
        <v>3</v>
      </c>
      <c r="F20" s="35">
        <v>81</v>
      </c>
      <c r="G20" s="35">
        <f t="shared" ref="G20" si="14">G19+1</f>
        <v>3</v>
      </c>
      <c r="H20" s="35">
        <v>59</v>
      </c>
      <c r="I20" s="35">
        <f t="shared" ref="I20" si="15">I19+1</f>
        <v>3</v>
      </c>
      <c r="J20" s="35">
        <v>68</v>
      </c>
      <c r="K20" s="35">
        <f t="shared" ref="K20" si="16">K19+1</f>
        <v>3</v>
      </c>
      <c r="L20" s="35">
        <v>75</v>
      </c>
      <c r="M20" s="35">
        <f t="shared" ref="M20" si="17">M19+1</f>
        <v>3</v>
      </c>
      <c r="N20" s="35">
        <v>28</v>
      </c>
    </row>
    <row r="21" spans="1:14" x14ac:dyDescent="0.25">
      <c r="A21" s="35">
        <f t="shared" si="7"/>
        <v>4</v>
      </c>
      <c r="B21" s="35">
        <v>100</v>
      </c>
      <c r="C21" s="35">
        <f t="shared" si="7"/>
        <v>4</v>
      </c>
      <c r="D21" s="35">
        <v>74</v>
      </c>
      <c r="E21" s="35">
        <f t="shared" ref="E21" si="18">E20+1</f>
        <v>4</v>
      </c>
      <c r="F21" s="35">
        <v>114</v>
      </c>
      <c r="G21" s="35">
        <f t="shared" ref="G21" si="19">G20+1</f>
        <v>4</v>
      </c>
      <c r="H21" s="35">
        <v>78</v>
      </c>
      <c r="I21" s="35">
        <f t="shared" ref="I21" si="20">I20+1</f>
        <v>4</v>
      </c>
      <c r="J21" s="35">
        <v>92</v>
      </c>
      <c r="K21" s="35">
        <f t="shared" ref="K21" si="21">K20+1</f>
        <v>4</v>
      </c>
      <c r="L21" s="35">
        <v>104</v>
      </c>
      <c r="M21" s="35">
        <f t="shared" ref="M21" si="22">M20+1</f>
        <v>4</v>
      </c>
      <c r="N21" s="35">
        <v>34</v>
      </c>
    </row>
    <row r="22" spans="1:14" x14ac:dyDescent="0.25">
      <c r="A22" s="35">
        <f t="shared" si="7"/>
        <v>5</v>
      </c>
      <c r="B22" s="35">
        <v>130</v>
      </c>
      <c r="C22" s="35">
        <f t="shared" si="7"/>
        <v>5</v>
      </c>
      <c r="D22" s="35">
        <v>94</v>
      </c>
      <c r="E22" s="35">
        <f t="shared" ref="E22" si="23">E21+1</f>
        <v>5</v>
      </c>
      <c r="F22" s="35">
        <v>150</v>
      </c>
      <c r="G22" s="35">
        <f t="shared" ref="G22" si="24">G21+1</f>
        <v>5</v>
      </c>
      <c r="H22" s="35">
        <v>99</v>
      </c>
      <c r="I22" s="35">
        <f t="shared" ref="I22" si="25">I21+1</f>
        <v>5</v>
      </c>
      <c r="J22" s="35">
        <v>121</v>
      </c>
      <c r="K22" s="35">
        <f t="shared" ref="K22" si="26">K21+1</f>
        <v>5</v>
      </c>
      <c r="L22" s="35">
        <v>135</v>
      </c>
      <c r="M22" s="35">
        <f t="shared" ref="M22" si="27">M21+1</f>
        <v>5</v>
      </c>
      <c r="N22" s="35">
        <v>40</v>
      </c>
    </row>
    <row r="23" spans="1:14" x14ac:dyDescent="0.25">
      <c r="A23" s="35">
        <f t="shared" si="7"/>
        <v>6</v>
      </c>
      <c r="B23" s="35">
        <v>166</v>
      </c>
      <c r="C23" s="35">
        <f t="shared" si="7"/>
        <v>6</v>
      </c>
      <c r="D23" s="35">
        <v>117</v>
      </c>
      <c r="E23" s="35">
        <f t="shared" ref="E23" si="28">E22+1</f>
        <v>6</v>
      </c>
      <c r="F23" s="35">
        <v>191</v>
      </c>
      <c r="G23" s="35">
        <f t="shared" ref="G23" si="29">G22+1</f>
        <v>6</v>
      </c>
      <c r="H23" s="35">
        <v>123</v>
      </c>
      <c r="I23" s="35">
        <f t="shared" ref="I23" si="30">I22+1</f>
        <v>6</v>
      </c>
      <c r="J23" s="35">
        <v>154</v>
      </c>
      <c r="K23" s="35">
        <f t="shared" ref="K23" si="31">K22+1</f>
        <v>6</v>
      </c>
      <c r="L23" s="35">
        <v>172</v>
      </c>
      <c r="M23" s="35">
        <f t="shared" ref="M23" si="32">M22+1</f>
        <v>6</v>
      </c>
      <c r="N23" s="35">
        <v>47</v>
      </c>
    </row>
    <row r="24" spans="1:14" x14ac:dyDescent="0.25">
      <c r="A24" s="35">
        <f t="shared" si="7"/>
        <v>7</v>
      </c>
      <c r="B24" s="35">
        <v>206</v>
      </c>
      <c r="C24" s="35">
        <f t="shared" si="7"/>
        <v>7</v>
      </c>
      <c r="D24" s="35">
        <v>141</v>
      </c>
      <c r="E24" s="35">
        <f t="shared" ref="E24" si="33">E23+1</f>
        <v>7</v>
      </c>
      <c r="F24" s="35">
        <v>237</v>
      </c>
      <c r="G24" s="35">
        <f t="shared" ref="G24" si="34">G23+1</f>
        <v>7</v>
      </c>
      <c r="H24" s="35">
        <v>150</v>
      </c>
      <c r="I24" s="35">
        <f t="shared" ref="I24" si="35">I23+1</f>
        <v>7</v>
      </c>
      <c r="J24" s="35">
        <v>190</v>
      </c>
      <c r="K24" s="35">
        <f t="shared" ref="K24" si="36">K23+1</f>
        <v>7</v>
      </c>
      <c r="L24" s="35">
        <v>213</v>
      </c>
      <c r="M24" s="35">
        <f t="shared" ref="M24" si="37">M23+1</f>
        <v>7</v>
      </c>
      <c r="N24" s="35">
        <v>56</v>
      </c>
    </row>
    <row r="25" spans="1:14" x14ac:dyDescent="0.25">
      <c r="A25" s="35">
        <f t="shared" si="7"/>
        <v>8</v>
      </c>
      <c r="B25" s="35">
        <v>247</v>
      </c>
      <c r="C25" s="35">
        <f t="shared" si="7"/>
        <v>8</v>
      </c>
      <c r="D25" s="35">
        <v>168</v>
      </c>
      <c r="E25" s="35">
        <f t="shared" ref="E25" si="38">E24+1</f>
        <v>8</v>
      </c>
      <c r="F25" s="35">
        <v>287</v>
      </c>
      <c r="G25" s="35">
        <f t="shared" ref="G25" si="39">G24+1</f>
        <v>8</v>
      </c>
      <c r="H25" s="35">
        <v>179</v>
      </c>
      <c r="I25" s="35">
        <f t="shared" ref="I25" si="40">I24+1</f>
        <v>8</v>
      </c>
      <c r="J25" s="35">
        <v>230</v>
      </c>
      <c r="K25" s="35">
        <f t="shared" ref="K25" si="41">K24+1</f>
        <v>8</v>
      </c>
      <c r="L25" s="35">
        <v>256</v>
      </c>
      <c r="M25" s="35">
        <f t="shared" ref="M25" si="42">M24+1</f>
        <v>8</v>
      </c>
      <c r="N25" s="35">
        <v>65</v>
      </c>
    </row>
    <row r="26" spans="1:14" x14ac:dyDescent="0.25">
      <c r="A26" s="35">
        <f t="shared" si="7"/>
        <v>9</v>
      </c>
      <c r="B26" s="35">
        <v>297</v>
      </c>
      <c r="C26" s="35">
        <f t="shared" si="7"/>
        <v>9</v>
      </c>
      <c r="D26" s="35">
        <v>201</v>
      </c>
      <c r="E26" s="35">
        <f t="shared" ref="E26" si="43">E25+1</f>
        <v>9</v>
      </c>
      <c r="F26" s="35">
        <v>346</v>
      </c>
      <c r="G26" s="35">
        <f t="shared" ref="G26" si="44">G25+1</f>
        <v>9</v>
      </c>
      <c r="H26" s="35">
        <v>213</v>
      </c>
      <c r="I26" s="35">
        <f t="shared" ref="I26" si="45">I25+1</f>
        <v>9</v>
      </c>
      <c r="J26" s="35">
        <v>276</v>
      </c>
      <c r="K26" s="35">
        <f t="shared" ref="K26" si="46">K25+1</f>
        <v>9</v>
      </c>
      <c r="L26" s="35">
        <v>307</v>
      </c>
      <c r="M26" s="35">
        <f t="shared" ref="M26" si="47">M25+1</f>
        <v>9</v>
      </c>
      <c r="N26" s="35">
        <v>75</v>
      </c>
    </row>
    <row r="27" spans="1:14" x14ac:dyDescent="0.25">
      <c r="A27" s="35">
        <f t="shared" si="7"/>
        <v>10</v>
      </c>
      <c r="B27" s="35">
        <v>357</v>
      </c>
      <c r="C27" s="35">
        <f t="shared" si="7"/>
        <v>10</v>
      </c>
      <c r="D27" s="35">
        <v>240</v>
      </c>
      <c r="E27" s="35">
        <f t="shared" ref="E27" si="48">E26+1</f>
        <v>10</v>
      </c>
      <c r="F27" s="35">
        <v>417</v>
      </c>
      <c r="G27" s="35">
        <f t="shared" ref="G27" si="49">G26+1</f>
        <v>10</v>
      </c>
      <c r="H27" s="35">
        <v>256</v>
      </c>
      <c r="I27" s="35">
        <f t="shared" ref="I27" si="50">I26+1</f>
        <v>10</v>
      </c>
      <c r="J27" s="35">
        <v>332</v>
      </c>
      <c r="K27" s="35">
        <f t="shared" ref="K27" si="51">K26+1</f>
        <v>10</v>
      </c>
      <c r="L27" s="35">
        <v>370</v>
      </c>
      <c r="M27" s="35">
        <f t="shared" ref="M27" si="52">M26+1</f>
        <v>10</v>
      </c>
      <c r="N27" s="35">
        <v>87</v>
      </c>
    </row>
    <row r="28" spans="1:14" x14ac:dyDescent="0.25">
      <c r="A28" s="35">
        <f t="shared" si="7"/>
        <v>11</v>
      </c>
      <c r="B28" s="35">
        <v>428</v>
      </c>
      <c r="C28" s="35">
        <f t="shared" si="7"/>
        <v>11</v>
      </c>
      <c r="D28" s="35">
        <v>286</v>
      </c>
      <c r="E28" s="35">
        <f t="shared" ref="E28" si="53">E27+1</f>
        <v>11</v>
      </c>
      <c r="F28" s="35">
        <v>500</v>
      </c>
      <c r="G28" s="35">
        <f t="shared" ref="G28" si="54">G27+1</f>
        <v>11</v>
      </c>
      <c r="H28" s="35">
        <v>305</v>
      </c>
      <c r="I28" s="35">
        <f t="shared" ref="I28" si="55">I27+1</f>
        <v>11</v>
      </c>
      <c r="J28" s="35">
        <v>398</v>
      </c>
      <c r="K28" s="35">
        <f t="shared" ref="K28" si="56">K27+1</f>
        <v>11</v>
      </c>
      <c r="L28" s="35">
        <v>443</v>
      </c>
      <c r="M28" s="35">
        <f t="shared" ref="M28" si="57">M27+1</f>
        <v>11</v>
      </c>
      <c r="N28" s="35">
        <v>100</v>
      </c>
    </row>
    <row r="29" spans="1:14" x14ac:dyDescent="0.25">
      <c r="A29" s="35">
        <f t="shared" si="7"/>
        <v>12</v>
      </c>
      <c r="B29" s="35">
        <v>509</v>
      </c>
      <c r="C29" s="35">
        <f t="shared" si="7"/>
        <v>12</v>
      </c>
      <c r="D29" s="35">
        <v>339</v>
      </c>
      <c r="E29" s="35">
        <f t="shared" ref="E29" si="58">E28+1</f>
        <v>12</v>
      </c>
      <c r="F29" s="35">
        <v>596</v>
      </c>
      <c r="G29" s="35">
        <f t="shared" ref="G29" si="59">G28+1</f>
        <v>12</v>
      </c>
      <c r="H29" s="35">
        <v>362</v>
      </c>
      <c r="I29" s="35">
        <f t="shared" ref="I29" si="60">I28+1</f>
        <v>12</v>
      </c>
      <c r="J29" s="35">
        <v>474</v>
      </c>
      <c r="K29" s="35">
        <f t="shared" ref="K29" si="61">K28+1</f>
        <v>12</v>
      </c>
      <c r="L29" s="35">
        <v>527</v>
      </c>
      <c r="M29" s="35">
        <f t="shared" ref="M29" si="62">M28+1</f>
        <v>12</v>
      </c>
      <c r="N29" s="35">
        <v>114</v>
      </c>
    </row>
    <row r="30" spans="1:14" x14ac:dyDescent="0.25">
      <c r="A30" s="35">
        <f t="shared" si="7"/>
        <v>13</v>
      </c>
      <c r="B30" s="35">
        <v>600</v>
      </c>
      <c r="C30" s="35">
        <f t="shared" si="7"/>
        <v>13</v>
      </c>
      <c r="D30" s="35">
        <v>398</v>
      </c>
      <c r="E30" s="35">
        <f t="shared" ref="E30" si="63">E29+1</f>
        <v>13</v>
      </c>
      <c r="F30" s="35">
        <v>705</v>
      </c>
      <c r="G30" s="35">
        <f t="shared" ref="G30" si="64">G29+1</f>
        <v>13</v>
      </c>
      <c r="H30" s="35">
        <v>425</v>
      </c>
      <c r="I30" s="35">
        <f t="shared" ref="I30" si="65">I29+1</f>
        <v>13</v>
      </c>
      <c r="J30" s="35">
        <v>557</v>
      </c>
      <c r="K30" s="35">
        <f t="shared" ref="K30" si="66">K29+1</f>
        <v>13</v>
      </c>
      <c r="L30" s="35">
        <v>623</v>
      </c>
      <c r="M30" s="35">
        <f t="shared" ref="M30" si="67">M29+1</f>
        <v>13</v>
      </c>
      <c r="N30" s="35">
        <v>131</v>
      </c>
    </row>
    <row r="31" spans="1:14" x14ac:dyDescent="0.25">
      <c r="A31" s="35">
        <f t="shared" si="7"/>
        <v>14</v>
      </c>
      <c r="B31" s="35">
        <v>701</v>
      </c>
      <c r="C31" s="35">
        <f t="shared" si="7"/>
        <v>14</v>
      </c>
      <c r="D31" s="35">
        <v>464</v>
      </c>
      <c r="E31" s="35">
        <f t="shared" ref="E31" si="68">E30+1</f>
        <v>14</v>
      </c>
      <c r="F31" s="35">
        <v>825</v>
      </c>
      <c r="G31" s="35">
        <f t="shared" ref="G31" si="69">G30+1</f>
        <v>14</v>
      </c>
      <c r="H31" s="35">
        <v>496</v>
      </c>
      <c r="I31" s="35">
        <f t="shared" ref="I31" si="70">I30+1</f>
        <v>14</v>
      </c>
      <c r="J31" s="35">
        <v>651</v>
      </c>
      <c r="K31" s="35">
        <f t="shared" ref="K31" si="71">K30+1</f>
        <v>14</v>
      </c>
      <c r="L31" s="35">
        <v>729</v>
      </c>
      <c r="M31" s="35">
        <f t="shared" ref="M31" si="72">M30+1</f>
        <v>14</v>
      </c>
      <c r="N31" s="35">
        <v>150</v>
      </c>
    </row>
    <row r="32" spans="1:14" x14ac:dyDescent="0.25">
      <c r="A32" s="35">
        <f t="shared" si="7"/>
        <v>15</v>
      </c>
      <c r="B32" s="35">
        <v>814</v>
      </c>
      <c r="C32" s="35">
        <f t="shared" si="7"/>
        <v>15</v>
      </c>
      <c r="D32" s="35">
        <v>537</v>
      </c>
      <c r="E32" s="35">
        <f t="shared" ref="E32" si="73">E31+1</f>
        <v>15</v>
      </c>
      <c r="F32" s="35">
        <v>958</v>
      </c>
      <c r="G32" s="35">
        <f t="shared" ref="G32" si="74">G31+1</f>
        <v>15</v>
      </c>
      <c r="H32" s="35">
        <v>573</v>
      </c>
      <c r="I32" s="35">
        <f t="shared" ref="I32" si="75">I31+1</f>
        <v>15</v>
      </c>
      <c r="J32" s="35">
        <v>755</v>
      </c>
      <c r="K32" s="35">
        <f t="shared" ref="K32" si="76">K31+1</f>
        <v>15</v>
      </c>
      <c r="L32" s="35">
        <v>846</v>
      </c>
      <c r="M32" s="35">
        <f t="shared" ref="M32" si="77">M31+1</f>
        <v>15</v>
      </c>
      <c r="N32" s="35">
        <v>172</v>
      </c>
    </row>
    <row r="33" spans="1:14" x14ac:dyDescent="0.25">
      <c r="A33" s="35">
        <f t="shared" si="7"/>
        <v>16</v>
      </c>
      <c r="B33" s="35">
        <v>940</v>
      </c>
      <c r="C33" s="35">
        <f t="shared" si="7"/>
        <v>16</v>
      </c>
      <c r="D33" s="35">
        <v>618</v>
      </c>
      <c r="E33" s="35">
        <f t="shared" ref="E33" si="78">E32+1</f>
        <v>16</v>
      </c>
      <c r="F33" s="35">
        <v>1108</v>
      </c>
      <c r="G33" s="35">
        <f t="shared" ref="G33" si="79">G32+1</f>
        <v>16</v>
      </c>
      <c r="H33" s="35">
        <v>660</v>
      </c>
      <c r="I33" s="35">
        <f t="shared" ref="I33" si="80">I32+1</f>
        <v>16</v>
      </c>
      <c r="J33" s="35">
        <v>871</v>
      </c>
      <c r="K33" s="35">
        <f t="shared" ref="K33" si="81">K32+1</f>
        <v>16</v>
      </c>
      <c r="L33" s="35">
        <v>977</v>
      </c>
      <c r="M33" s="35">
        <f t="shared" ref="M33" si="82">M32+1</f>
        <v>16</v>
      </c>
      <c r="N33" s="35">
        <v>198</v>
      </c>
    </row>
    <row r="34" spans="1:14" x14ac:dyDescent="0.25">
      <c r="A34" s="35">
        <f t="shared" si="7"/>
        <v>17</v>
      </c>
      <c r="B34" s="35">
        <v>1086</v>
      </c>
      <c r="C34" s="35">
        <f t="shared" si="7"/>
        <v>17</v>
      </c>
      <c r="D34" s="35">
        <v>815</v>
      </c>
      <c r="E34" s="35">
        <f t="shared" ref="E34" si="83">E33+1</f>
        <v>17</v>
      </c>
      <c r="F34" s="35">
        <v>1284</v>
      </c>
      <c r="G34" s="35">
        <f t="shared" ref="G34" si="84">G33+1</f>
        <v>17</v>
      </c>
      <c r="H34" s="35">
        <v>759</v>
      </c>
      <c r="I34" s="35">
        <f t="shared" ref="I34" si="85">I33+1</f>
        <v>17</v>
      </c>
      <c r="J34" s="35">
        <v>1005</v>
      </c>
      <c r="K34" s="35">
        <f t="shared" ref="K34" si="86">K33+1</f>
        <v>17</v>
      </c>
      <c r="L34" s="35">
        <v>1130</v>
      </c>
      <c r="M34" s="35">
        <f t="shared" ref="M34:M36" si="87">M33+1</f>
        <v>17</v>
      </c>
      <c r="N34" s="35">
        <v>229</v>
      </c>
    </row>
    <row r="35" spans="1:14" x14ac:dyDescent="0.25">
      <c r="M35" s="35">
        <f t="shared" si="87"/>
        <v>18</v>
      </c>
      <c r="N35" s="35">
        <v>265</v>
      </c>
    </row>
    <row r="36" spans="1:14" x14ac:dyDescent="0.25">
      <c r="M36" s="35">
        <f t="shared" si="87"/>
        <v>19</v>
      </c>
      <c r="N36" s="35">
        <v>306</v>
      </c>
    </row>
  </sheetData>
  <mergeCells count="2">
    <mergeCell ref="A1:B1"/>
    <mergeCell ref="A14: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pageSetUpPr fitToPage="1"/>
  </sheetPr>
  <dimension ref="A1:W37"/>
  <sheetViews>
    <sheetView workbookViewId="0">
      <selection activeCell="F7" sqref="F7"/>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207" t="s">
        <v>44</v>
      </c>
      <c r="B1" s="207" t="s">
        <v>45</v>
      </c>
      <c r="C1" s="207" t="s">
        <v>46</v>
      </c>
      <c r="D1" s="207" t="s">
        <v>47</v>
      </c>
      <c r="E1" s="207" t="s">
        <v>48</v>
      </c>
      <c r="F1" s="33"/>
      <c r="G1" s="207" t="s">
        <v>49</v>
      </c>
      <c r="H1" s="207" t="s">
        <v>45</v>
      </c>
      <c r="I1" s="207" t="s">
        <v>46</v>
      </c>
      <c r="J1" s="207" t="s">
        <v>47</v>
      </c>
      <c r="K1" s="207" t="s">
        <v>48</v>
      </c>
      <c r="L1" s="33"/>
      <c r="M1" s="207" t="s">
        <v>50</v>
      </c>
      <c r="N1" s="207" t="s">
        <v>45</v>
      </c>
      <c r="O1" s="207" t="s">
        <v>46</v>
      </c>
      <c r="P1" s="207" t="s">
        <v>47</v>
      </c>
      <c r="Q1" s="207" t="s">
        <v>48</v>
      </c>
      <c r="R1" s="33"/>
      <c r="S1" s="207" t="s">
        <v>51</v>
      </c>
      <c r="T1" s="207" t="s">
        <v>45</v>
      </c>
      <c r="U1" s="207" t="s">
        <v>46</v>
      </c>
      <c r="V1" s="207" t="s">
        <v>47</v>
      </c>
      <c r="W1" s="207"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207" t="s">
        <v>69</v>
      </c>
      <c r="B20" s="207" t="s">
        <v>45</v>
      </c>
      <c r="C20" s="207" t="s">
        <v>46</v>
      </c>
      <c r="D20" s="207" t="s">
        <v>47</v>
      </c>
      <c r="E20" s="207" t="s">
        <v>48</v>
      </c>
      <c r="G20" s="207" t="s">
        <v>70</v>
      </c>
      <c r="H20" s="207" t="s">
        <v>45</v>
      </c>
      <c r="I20" s="207" t="s">
        <v>46</v>
      </c>
      <c r="J20" s="207" t="s">
        <v>47</v>
      </c>
      <c r="K20" s="207" t="s">
        <v>48</v>
      </c>
      <c r="M20" s="207" t="s">
        <v>71</v>
      </c>
      <c r="N20" s="207" t="s">
        <v>45</v>
      </c>
      <c r="O20" s="207" t="s">
        <v>46</v>
      </c>
      <c r="P20" s="207" t="s">
        <v>47</v>
      </c>
      <c r="Q20" s="207" t="s">
        <v>48</v>
      </c>
      <c r="S20" s="207"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4">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4">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pageSetup paperSize="9"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79998168889431442"/>
    <pageSetUpPr fitToPage="1"/>
  </sheetPr>
  <dimension ref="A1:D34"/>
  <sheetViews>
    <sheetView workbookViewId="0">
      <selection activeCell="C11" sqref="C11"/>
    </sheetView>
  </sheetViews>
  <sheetFormatPr baseColWidth="10" defaultRowHeight="15" x14ac:dyDescent="0.25"/>
  <cols>
    <col min="1" max="1" width="13.42578125" bestFit="1" customWidth="1"/>
  </cols>
  <sheetData>
    <row r="1" spans="1:4" x14ac:dyDescent="0.25">
      <c r="A1" s="63" t="s">
        <v>208</v>
      </c>
      <c r="B1">
        <v>0</v>
      </c>
      <c r="C1">
        <f>B1</f>
        <v>0</v>
      </c>
    </row>
    <row r="2" spans="1:4" x14ac:dyDescent="0.25">
      <c r="A2" s="63" t="s">
        <v>210</v>
      </c>
      <c r="B2">
        <v>5735</v>
      </c>
      <c r="C2">
        <f t="shared" ref="C2:C6" si="0">B2</f>
        <v>5735</v>
      </c>
    </row>
    <row r="3" spans="1:4" x14ac:dyDescent="0.25">
      <c r="A3" s="63" t="s">
        <v>212</v>
      </c>
      <c r="B3">
        <v>0</v>
      </c>
      <c r="C3">
        <f t="shared" si="0"/>
        <v>0</v>
      </c>
    </row>
    <row r="4" spans="1:4" x14ac:dyDescent="0.25">
      <c r="A4" s="63" t="s">
        <v>214</v>
      </c>
      <c r="B4">
        <v>18090</v>
      </c>
      <c r="C4">
        <v>22065</v>
      </c>
    </row>
    <row r="5" spans="1:4" x14ac:dyDescent="0.25">
      <c r="A5" s="63" t="s">
        <v>216</v>
      </c>
      <c r="B5">
        <v>0</v>
      </c>
      <c r="C5">
        <f t="shared" si="0"/>
        <v>0</v>
      </c>
    </row>
    <row r="6" spans="1:4" x14ac:dyDescent="0.25">
      <c r="A6" s="63" t="s">
        <v>218</v>
      </c>
      <c r="B6">
        <v>0</v>
      </c>
      <c r="C6">
        <f t="shared" si="0"/>
        <v>0</v>
      </c>
      <c r="D6">
        <v>14.5</v>
      </c>
    </row>
    <row r="7" spans="1:4" x14ac:dyDescent="0.25">
      <c r="A7" s="64" t="s">
        <v>71</v>
      </c>
      <c r="B7" s="65">
        <v>5.5E-2</v>
      </c>
      <c r="C7" s="65">
        <v>5.8999999999999997E-2</v>
      </c>
    </row>
    <row r="9" spans="1:4" x14ac:dyDescent="0.25">
      <c r="A9" s="67" t="s">
        <v>120</v>
      </c>
      <c r="B9" s="68">
        <f>SUM(B1:B6)*(1+B7)</f>
        <v>25135.375</v>
      </c>
      <c r="C9" s="68">
        <f>SUM(C1:C6)*(1+C7)</f>
        <v>29440.199999999997</v>
      </c>
    </row>
    <row r="10" spans="1:4" x14ac:dyDescent="0.25">
      <c r="A10" s="67" t="s">
        <v>223</v>
      </c>
      <c r="B10" s="68">
        <f>B9*1.2</f>
        <v>30162.449999999997</v>
      </c>
      <c r="C10" s="68">
        <f>C9*1.2</f>
        <v>35328.239999999998</v>
      </c>
    </row>
    <row r="12" spans="1:4" x14ac:dyDescent="0.25">
      <c r="A12" s="63">
        <v>29</v>
      </c>
      <c r="B12" s="68">
        <f>B9*0.9</f>
        <v>22621.837500000001</v>
      </c>
      <c r="C12" s="68">
        <f>C9*0.9</f>
        <v>26496.179999999997</v>
      </c>
    </row>
    <row r="13" spans="1:4" x14ac:dyDescent="0.25">
      <c r="A13" s="63">
        <v>30</v>
      </c>
      <c r="B13" s="68">
        <f>B12*0.9</f>
        <v>20359.653750000001</v>
      </c>
      <c r="C13" s="68">
        <f>C12*0.9</f>
        <v>23846.561999999998</v>
      </c>
    </row>
    <row r="14" spans="1:4" x14ac:dyDescent="0.25">
      <c r="A14" s="63">
        <v>31</v>
      </c>
      <c r="B14" s="68">
        <f t="shared" ref="B14:C15" si="1">B13*0.9</f>
        <v>18323.688375000002</v>
      </c>
      <c r="C14" s="68">
        <f t="shared" si="1"/>
        <v>21461.9058</v>
      </c>
    </row>
    <row r="15" spans="1:4" x14ac:dyDescent="0.25">
      <c r="A15" s="63">
        <v>32</v>
      </c>
      <c r="B15" s="68">
        <f t="shared" si="1"/>
        <v>16491.319537500003</v>
      </c>
      <c r="C15" s="68">
        <f t="shared" si="1"/>
        <v>19315.715220000002</v>
      </c>
    </row>
    <row r="16" spans="1:4" x14ac:dyDescent="0.25">
      <c r="C16" s="70"/>
    </row>
    <row r="18" spans="1:1" x14ac:dyDescent="0.25">
      <c r="A18" t="s">
        <v>209</v>
      </c>
    </row>
    <row r="19" spans="1:1" x14ac:dyDescent="0.25">
      <c r="A19" t="s">
        <v>211</v>
      </c>
    </row>
    <row r="20" spans="1:1" x14ac:dyDescent="0.25">
      <c r="A20" t="s">
        <v>213</v>
      </c>
    </row>
    <row r="21" spans="1:1" x14ac:dyDescent="0.25">
      <c r="A21" t="s">
        <v>215</v>
      </c>
    </row>
    <row r="22" spans="1:1" x14ac:dyDescent="0.25">
      <c r="A22" t="s">
        <v>217</v>
      </c>
    </row>
    <row r="23" spans="1:1" x14ac:dyDescent="0.25">
      <c r="A23" t="s">
        <v>219</v>
      </c>
    </row>
    <row r="24" spans="1:1" x14ac:dyDescent="0.25">
      <c r="A24" t="s">
        <v>220</v>
      </c>
    </row>
    <row r="25" spans="1:1" x14ac:dyDescent="0.25">
      <c r="A25" t="s">
        <v>221</v>
      </c>
    </row>
    <row r="26" spans="1:1" x14ac:dyDescent="0.25">
      <c r="A26" t="s">
        <v>222</v>
      </c>
    </row>
    <row r="27" spans="1:1" x14ac:dyDescent="0.25">
      <c r="A27" t="s">
        <v>224</v>
      </c>
    </row>
    <row r="28" spans="1:1" x14ac:dyDescent="0.25">
      <c r="A28" t="s">
        <v>225</v>
      </c>
    </row>
    <row r="29" spans="1:1" x14ac:dyDescent="0.25">
      <c r="A29" t="s">
        <v>226</v>
      </c>
    </row>
    <row r="30" spans="1:1" x14ac:dyDescent="0.25">
      <c r="A30" t="s">
        <v>227</v>
      </c>
    </row>
    <row r="31" spans="1:1" x14ac:dyDescent="0.25">
      <c r="A31" t="s">
        <v>228</v>
      </c>
    </row>
    <row r="32" spans="1:1" x14ac:dyDescent="0.25">
      <c r="A32" t="s">
        <v>229</v>
      </c>
    </row>
    <row r="33" spans="1:1" x14ac:dyDescent="0.25">
      <c r="A33" t="s">
        <v>230</v>
      </c>
    </row>
    <row r="34" spans="1:1" x14ac:dyDescent="0.25">
      <c r="A34" t="s">
        <v>231</v>
      </c>
    </row>
  </sheetData>
  <pageMargins left="0.7" right="0.7" top="0.75" bottom="0.75" header="0.3" footer="0.3"/>
  <pageSetup paperSize="9" scale="5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3" t="s">
        <v>115</v>
      </c>
      <c r="B1" s="43" t="s">
        <v>114</v>
      </c>
      <c r="C1" s="43" t="s">
        <v>113</v>
      </c>
      <c r="D1" s="42" t="s">
        <v>112</v>
      </c>
      <c r="E1" s="42" t="s">
        <v>111</v>
      </c>
      <c r="F1" s="42" t="s">
        <v>110</v>
      </c>
      <c r="G1" s="42" t="s">
        <v>109</v>
      </c>
      <c r="H1" s="42" t="s">
        <v>108</v>
      </c>
      <c r="I1" s="42" t="s">
        <v>107</v>
      </c>
    </row>
    <row r="2" spans="1:9" ht="21" x14ac:dyDescent="0.25">
      <c r="A2" s="41" t="s">
        <v>106</v>
      </c>
      <c r="B2" s="40" t="s">
        <v>106</v>
      </c>
      <c r="C2" s="40" t="s">
        <v>105</v>
      </c>
      <c r="D2" s="36">
        <v>4</v>
      </c>
      <c r="E2" s="36">
        <v>18</v>
      </c>
      <c r="F2" s="36">
        <v>0</v>
      </c>
      <c r="G2" s="36">
        <v>0</v>
      </c>
      <c r="H2" s="37">
        <v>1</v>
      </c>
      <c r="I2" s="36">
        <f t="shared" ref="I2:I13" si="0">H2*4</f>
        <v>4</v>
      </c>
    </row>
    <row r="3" spans="1:9" x14ac:dyDescent="0.25">
      <c r="A3" s="39" t="s">
        <v>77</v>
      </c>
      <c r="B3" s="38" t="s">
        <v>77</v>
      </c>
      <c r="C3" s="38" t="s">
        <v>104</v>
      </c>
      <c r="D3" s="36">
        <v>0</v>
      </c>
      <c r="E3" s="36">
        <v>10</v>
      </c>
      <c r="F3" s="36">
        <v>0</v>
      </c>
      <c r="G3" s="36">
        <v>12</v>
      </c>
      <c r="H3" s="37">
        <v>5</v>
      </c>
      <c r="I3" s="36">
        <f t="shared" si="0"/>
        <v>20</v>
      </c>
    </row>
    <row r="4" spans="1:9" x14ac:dyDescent="0.25">
      <c r="A4" s="39" t="s">
        <v>103</v>
      </c>
      <c r="B4" s="38" t="s">
        <v>103</v>
      </c>
      <c r="C4" s="38" t="s">
        <v>102</v>
      </c>
      <c r="D4" s="36">
        <v>0</v>
      </c>
      <c r="E4" s="36">
        <v>6</v>
      </c>
      <c r="F4" s="36">
        <v>0</v>
      </c>
      <c r="G4" s="36">
        <v>16</v>
      </c>
      <c r="H4" s="37">
        <v>4.4000000000000004</v>
      </c>
      <c r="I4" s="36">
        <f t="shared" si="0"/>
        <v>17.600000000000001</v>
      </c>
    </row>
    <row r="5" spans="1:9" ht="21" x14ac:dyDescent="0.25">
      <c r="A5" s="39" t="s">
        <v>101</v>
      </c>
      <c r="B5" s="38" t="s">
        <v>83</v>
      </c>
      <c r="C5" s="38" t="s">
        <v>100</v>
      </c>
      <c r="D5" s="36">
        <v>0</v>
      </c>
      <c r="E5" s="36">
        <v>4</v>
      </c>
      <c r="F5" s="36">
        <v>4</v>
      </c>
      <c r="G5" s="36">
        <v>14</v>
      </c>
      <c r="H5" s="37">
        <v>3</v>
      </c>
      <c r="I5" s="36">
        <f t="shared" si="0"/>
        <v>12</v>
      </c>
    </row>
    <row r="6" spans="1:9" x14ac:dyDescent="0.25">
      <c r="A6" s="214" t="s">
        <v>99</v>
      </c>
      <c r="B6" s="38" t="s">
        <v>98</v>
      </c>
      <c r="C6" s="38" t="s">
        <v>97</v>
      </c>
      <c r="D6" s="36">
        <v>0</v>
      </c>
      <c r="E6" s="36">
        <v>22</v>
      </c>
      <c r="F6" s="36">
        <v>0</v>
      </c>
      <c r="G6" s="36">
        <v>0</v>
      </c>
      <c r="H6" s="37">
        <f>H4*2</f>
        <v>8.8000000000000007</v>
      </c>
      <c r="I6" s="36">
        <f t="shared" si="0"/>
        <v>35.200000000000003</v>
      </c>
    </row>
    <row r="7" spans="1:9" ht="21" x14ac:dyDescent="0.25">
      <c r="A7" s="214"/>
      <c r="B7" s="38" t="s">
        <v>96</v>
      </c>
      <c r="C7" s="38" t="s">
        <v>95</v>
      </c>
      <c r="D7" s="36">
        <v>0</v>
      </c>
      <c r="E7" s="36">
        <v>0</v>
      </c>
      <c r="F7" s="36">
        <v>0</v>
      </c>
      <c r="G7" s="36">
        <v>22</v>
      </c>
      <c r="H7" s="37">
        <f>H2/0.2</f>
        <v>5</v>
      </c>
      <c r="I7" s="36">
        <f t="shared" si="0"/>
        <v>20</v>
      </c>
    </row>
    <row r="8" spans="1:9" x14ac:dyDescent="0.25">
      <c r="A8" s="39" t="s">
        <v>94</v>
      </c>
      <c r="B8" s="38" t="s">
        <v>88</v>
      </c>
      <c r="C8" s="38" t="s">
        <v>93</v>
      </c>
      <c r="D8" s="36">
        <v>0</v>
      </c>
      <c r="E8" s="36">
        <v>16</v>
      </c>
      <c r="F8" s="36">
        <v>0</v>
      </c>
      <c r="G8" s="36">
        <v>6</v>
      </c>
      <c r="H8" s="37">
        <v>3.9</v>
      </c>
      <c r="I8" s="36">
        <f t="shared" si="0"/>
        <v>15.6</v>
      </c>
    </row>
    <row r="9" spans="1:9" x14ac:dyDescent="0.25">
      <c r="A9" s="39" t="s">
        <v>92</v>
      </c>
      <c r="B9" s="38" t="s">
        <v>92</v>
      </c>
      <c r="C9" s="38" t="s">
        <v>91</v>
      </c>
      <c r="D9" s="36">
        <v>0</v>
      </c>
      <c r="E9" s="36">
        <v>6</v>
      </c>
      <c r="F9" s="36">
        <v>4</v>
      </c>
      <c r="G9" s="36">
        <v>12</v>
      </c>
      <c r="H9" s="37">
        <v>4.0999999999999996</v>
      </c>
      <c r="I9" s="36">
        <f t="shared" si="0"/>
        <v>16.399999999999999</v>
      </c>
    </row>
    <row r="10" spans="1:9" x14ac:dyDescent="0.25">
      <c r="A10" s="39" t="s">
        <v>78</v>
      </c>
      <c r="B10" s="38" t="s">
        <v>78</v>
      </c>
      <c r="C10" s="38" t="s">
        <v>90</v>
      </c>
      <c r="D10" s="36">
        <v>0</v>
      </c>
      <c r="E10" s="36">
        <v>2</v>
      </c>
      <c r="F10" s="36">
        <v>0</v>
      </c>
      <c r="G10" s="36">
        <v>0</v>
      </c>
      <c r="H10" s="37">
        <v>2.7</v>
      </c>
      <c r="I10" s="36">
        <f t="shared" si="0"/>
        <v>10.8</v>
      </c>
    </row>
    <row r="11" spans="1:9" x14ac:dyDescent="0.25">
      <c r="A11" s="39" t="s">
        <v>89</v>
      </c>
      <c r="B11" s="38" t="s">
        <v>88</v>
      </c>
      <c r="C11" s="38" t="s">
        <v>87</v>
      </c>
      <c r="D11" s="36">
        <v>0</v>
      </c>
      <c r="E11" s="36">
        <v>20</v>
      </c>
      <c r="F11" s="36">
        <v>0</v>
      </c>
      <c r="G11" s="36">
        <v>2</v>
      </c>
      <c r="H11" s="37">
        <v>4.5999999999999996</v>
      </c>
      <c r="I11" s="36">
        <f t="shared" si="0"/>
        <v>18.399999999999999</v>
      </c>
    </row>
    <row r="12" spans="1:9" ht="21" x14ac:dyDescent="0.25">
      <c r="A12" s="39" t="s">
        <v>86</v>
      </c>
      <c r="B12" s="38" t="s">
        <v>77</v>
      </c>
      <c r="C12" s="38" t="s">
        <v>85</v>
      </c>
      <c r="D12" s="36">
        <v>0</v>
      </c>
      <c r="E12" s="36">
        <v>20</v>
      </c>
      <c r="F12" s="36">
        <v>0</v>
      </c>
      <c r="G12" s="36">
        <v>2</v>
      </c>
      <c r="H12" s="37">
        <v>9.9</v>
      </c>
      <c r="I12" s="36">
        <f t="shared" si="0"/>
        <v>39.6</v>
      </c>
    </row>
    <row r="13" spans="1:9" ht="21" x14ac:dyDescent="0.25">
      <c r="A13" s="39" t="s">
        <v>84</v>
      </c>
      <c r="B13" s="38" t="s">
        <v>83</v>
      </c>
      <c r="C13" s="38" t="s">
        <v>82</v>
      </c>
      <c r="D13" s="36">
        <v>0</v>
      </c>
      <c r="E13" s="36">
        <v>10</v>
      </c>
      <c r="F13" s="36">
        <v>0</v>
      </c>
      <c r="G13" s="36">
        <v>6</v>
      </c>
      <c r="H13" s="37">
        <v>4.9000000000000004</v>
      </c>
      <c r="I13" s="36">
        <f t="shared" si="0"/>
        <v>19.600000000000001</v>
      </c>
    </row>
    <row r="14" spans="1:9" x14ac:dyDescent="0.25">
      <c r="A14" s="35"/>
      <c r="D14" s="35" t="s">
        <v>81</v>
      </c>
      <c r="E14" s="35"/>
      <c r="F14" s="35"/>
      <c r="G14" s="35"/>
      <c r="H14" s="35"/>
      <c r="I14" s="35"/>
    </row>
    <row r="15" spans="1:9" x14ac:dyDescent="0.25">
      <c r="D15" s="35"/>
      <c r="E15" s="35"/>
      <c r="F15" s="35"/>
      <c r="G15" s="35"/>
      <c r="H15" s="35"/>
      <c r="I15" s="35"/>
    </row>
    <row r="16" spans="1:9" x14ac:dyDescent="0.25">
      <c r="D16" s="35"/>
      <c r="E16" s="35"/>
      <c r="F16" s="35"/>
      <c r="G16" s="35"/>
      <c r="H16" s="35"/>
      <c r="I16" s="35"/>
    </row>
    <row r="17" spans="1:9" x14ac:dyDescent="0.25">
      <c r="A17" t="s">
        <v>80</v>
      </c>
      <c r="B17" t="s">
        <v>79</v>
      </c>
      <c r="D17" s="35"/>
      <c r="E17" s="35"/>
      <c r="F17" s="35"/>
      <c r="G17" s="35"/>
      <c r="H17" s="35"/>
      <c r="I17" s="35"/>
    </row>
    <row r="18" spans="1:9" x14ac:dyDescent="0.25">
      <c r="A18" t="s">
        <v>78</v>
      </c>
      <c r="D18" s="35"/>
      <c r="E18" s="35"/>
      <c r="F18" s="35"/>
      <c r="G18" s="35"/>
      <c r="H18" s="35"/>
      <c r="I18" s="35"/>
    </row>
    <row r="19" spans="1:9" x14ac:dyDescent="0.25">
      <c r="A19" t="s">
        <v>77</v>
      </c>
      <c r="D19" s="35"/>
      <c r="E19" s="35"/>
      <c r="F19" s="35"/>
      <c r="G19" s="35"/>
      <c r="H19" s="35"/>
      <c r="I19" s="35"/>
    </row>
    <row r="20" spans="1:9" x14ac:dyDescent="0.25">
      <c r="A20" t="s">
        <v>76</v>
      </c>
      <c r="D20" s="35"/>
      <c r="E20" s="35"/>
      <c r="F20" s="35"/>
      <c r="G20" s="35"/>
      <c r="H20" s="35"/>
      <c r="I20" s="35"/>
    </row>
    <row r="21" spans="1:9" x14ac:dyDescent="0.25">
      <c r="A21" t="s">
        <v>51</v>
      </c>
      <c r="D21" s="35"/>
      <c r="E21" s="35"/>
      <c r="F21" s="35"/>
      <c r="G21" s="35"/>
      <c r="H21" s="35"/>
      <c r="I21" s="35"/>
    </row>
    <row r="22" spans="1:9" x14ac:dyDescent="0.25">
      <c r="A22" t="s">
        <v>71</v>
      </c>
      <c r="D22" s="35"/>
      <c r="E22" s="35"/>
      <c r="F22" s="35"/>
      <c r="G22" s="35"/>
      <c r="H22" s="35"/>
      <c r="I22" s="35"/>
    </row>
  </sheetData>
  <mergeCells count="1">
    <mergeCell ref="A6: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44" t="s">
        <v>116</v>
      </c>
      <c r="B1" s="45" t="s">
        <v>117</v>
      </c>
      <c r="C1" s="46" t="s">
        <v>118</v>
      </c>
      <c r="D1" s="46" t="s">
        <v>119</v>
      </c>
      <c r="E1" s="46" t="s">
        <v>120</v>
      </c>
      <c r="F1" s="46" t="s">
        <v>121</v>
      </c>
      <c r="G1" s="46" t="s">
        <v>122</v>
      </c>
      <c r="H1" s="47" t="s">
        <v>123</v>
      </c>
      <c r="I1" s="47" t="s">
        <v>124</v>
      </c>
      <c r="J1" s="47" t="s">
        <v>125</v>
      </c>
    </row>
    <row r="2" spans="1:14" x14ac:dyDescent="0.25">
      <c r="A2" t="s">
        <v>126</v>
      </c>
      <c r="B2" s="35" t="s">
        <v>127</v>
      </c>
      <c r="C2" s="48">
        <v>447000</v>
      </c>
      <c r="D2" s="48">
        <v>2800000</v>
      </c>
      <c r="E2" s="48">
        <v>350</v>
      </c>
      <c r="F2" s="35">
        <v>6.5</v>
      </c>
      <c r="G2" s="35">
        <v>11.5</v>
      </c>
      <c r="H2" s="48">
        <f>C2+D2+(E2*1*16*0.6)</f>
        <v>3250360</v>
      </c>
      <c r="I2" s="48">
        <f t="shared" ref="I2:I7" si="0">H2/F2</f>
        <v>500055.38461538462</v>
      </c>
      <c r="J2" s="49">
        <f t="shared" ref="J2:J7" si="1">H2/G2</f>
        <v>282640</v>
      </c>
    </row>
    <row r="3" spans="1:14" x14ac:dyDescent="0.25">
      <c r="A3" t="s">
        <v>126</v>
      </c>
      <c r="B3" s="35" t="s">
        <v>127</v>
      </c>
      <c r="C3" s="48">
        <v>350000</v>
      </c>
      <c r="D3" s="48">
        <v>2800000</v>
      </c>
      <c r="E3" s="48">
        <v>300</v>
      </c>
      <c r="F3" s="35">
        <f>1.5+2.5+2.5</f>
        <v>6.5</v>
      </c>
      <c r="G3" s="35">
        <f>1.5+2.5+2.5+2.5+2.5</f>
        <v>11.5</v>
      </c>
      <c r="H3" s="48">
        <f t="shared" ref="H3:H7" si="2">C3+D3+(E3*1*16*0.6)</f>
        <v>3152880</v>
      </c>
      <c r="I3" s="48">
        <f t="shared" si="0"/>
        <v>485058.46153846156</v>
      </c>
      <c r="J3" s="49">
        <f t="shared" si="1"/>
        <v>274163.47826086957</v>
      </c>
    </row>
    <row r="4" spans="1:14" x14ac:dyDescent="0.25">
      <c r="A4" t="s">
        <v>4</v>
      </c>
      <c r="B4" s="35" t="s">
        <v>127</v>
      </c>
      <c r="C4" s="48">
        <v>400000</v>
      </c>
      <c r="D4" s="48">
        <v>2590000</v>
      </c>
      <c r="E4" s="48">
        <v>400</v>
      </c>
      <c r="F4" s="35">
        <f>1.5+2.5+2.5</f>
        <v>6.5</v>
      </c>
      <c r="G4" s="35">
        <f>1.5+2.5+2.5+2.5+2.5</f>
        <v>11.5</v>
      </c>
      <c r="H4" s="48">
        <f t="shared" si="2"/>
        <v>2993840</v>
      </c>
      <c r="I4" s="48">
        <f t="shared" si="0"/>
        <v>460590.76923076925</v>
      </c>
      <c r="J4" s="49">
        <f t="shared" si="1"/>
        <v>260333.91304347827</v>
      </c>
    </row>
    <row r="5" spans="1:14" x14ac:dyDescent="0.25">
      <c r="A5" t="s">
        <v>128</v>
      </c>
      <c r="B5" s="35" t="s">
        <v>129</v>
      </c>
      <c r="C5" s="48">
        <v>1689000</v>
      </c>
      <c r="D5" s="48">
        <v>3000000</v>
      </c>
      <c r="E5" s="48">
        <v>400</v>
      </c>
      <c r="F5" s="35">
        <v>9</v>
      </c>
      <c r="G5" s="35">
        <v>14</v>
      </c>
      <c r="H5" s="48">
        <f t="shared" si="2"/>
        <v>4692840</v>
      </c>
      <c r="I5" s="48">
        <f t="shared" si="0"/>
        <v>521426.66666666669</v>
      </c>
      <c r="J5" s="49">
        <f t="shared" si="1"/>
        <v>335202.85714285716</v>
      </c>
    </row>
    <row r="6" spans="1:14" x14ac:dyDescent="0.25">
      <c r="A6" t="s">
        <v>130</v>
      </c>
      <c r="B6" s="35" t="s">
        <v>127</v>
      </c>
      <c r="C6" s="48">
        <v>500000</v>
      </c>
      <c r="D6" s="48">
        <v>2242000</v>
      </c>
      <c r="E6" s="48">
        <v>400</v>
      </c>
      <c r="F6" s="35">
        <f>1.5+2.5+2.5</f>
        <v>6.5</v>
      </c>
      <c r="G6" s="35">
        <f>1.5+2.5+2.5+2.5+2.5</f>
        <v>11.5</v>
      </c>
      <c r="H6" s="48">
        <f t="shared" si="2"/>
        <v>2745840</v>
      </c>
      <c r="I6" s="48">
        <f t="shared" si="0"/>
        <v>422436.92307692306</v>
      </c>
      <c r="J6" s="49">
        <f t="shared" si="1"/>
        <v>238768.69565217392</v>
      </c>
    </row>
    <row r="7" spans="1:14" x14ac:dyDescent="0.25">
      <c r="A7" t="s">
        <v>131</v>
      </c>
      <c r="B7" s="35" t="s">
        <v>132</v>
      </c>
      <c r="C7" s="48">
        <v>400000</v>
      </c>
      <c r="D7" s="48">
        <v>1650000</v>
      </c>
      <c r="E7" s="48">
        <v>5000</v>
      </c>
      <c r="F7" s="35">
        <v>4</v>
      </c>
      <c r="G7" s="35">
        <v>9</v>
      </c>
      <c r="H7" s="48">
        <f t="shared" si="2"/>
        <v>2098000</v>
      </c>
      <c r="I7" s="48">
        <f t="shared" si="0"/>
        <v>524500</v>
      </c>
      <c r="J7" s="49">
        <f t="shared" si="1"/>
        <v>233111.11111111112</v>
      </c>
    </row>
    <row r="8" spans="1:14" x14ac:dyDescent="0.25">
      <c r="A8" t="s">
        <v>126</v>
      </c>
      <c r="B8" s="35" t="s">
        <v>129</v>
      </c>
      <c r="C8" s="48">
        <v>2406000</v>
      </c>
      <c r="D8" s="48"/>
      <c r="E8" s="48"/>
      <c r="F8" s="35"/>
      <c r="G8" s="35"/>
      <c r="H8" s="48"/>
      <c r="I8" s="48"/>
      <c r="J8" s="49"/>
    </row>
    <row r="9" spans="1:14" x14ac:dyDescent="0.25">
      <c r="A9" t="s">
        <v>4</v>
      </c>
      <c r="B9" s="35" t="s">
        <v>129</v>
      </c>
      <c r="C9" s="48">
        <v>2505000</v>
      </c>
      <c r="D9" s="48"/>
      <c r="E9" s="48"/>
      <c r="F9" s="35"/>
      <c r="G9" s="35"/>
      <c r="H9" s="48"/>
      <c r="I9" s="48"/>
      <c r="J9" s="49"/>
    </row>
    <row r="10" spans="1:14" x14ac:dyDescent="0.25">
      <c r="B10" s="35"/>
      <c r="C10" s="48"/>
      <c r="D10" s="48"/>
      <c r="E10" s="48"/>
      <c r="F10" s="35"/>
      <c r="G10" s="35"/>
      <c r="H10" s="48"/>
      <c r="I10" s="48"/>
      <c r="J10" s="49"/>
    </row>
    <row r="11" spans="1:14" x14ac:dyDescent="0.25">
      <c r="B11" s="35"/>
      <c r="C11" s="48"/>
      <c r="D11" s="48"/>
      <c r="E11" s="48"/>
      <c r="F11" s="35"/>
      <c r="G11" s="35"/>
      <c r="H11" s="48"/>
      <c r="I11" s="48"/>
      <c r="J11" s="49"/>
    </row>
    <row r="12" spans="1:14" x14ac:dyDescent="0.25">
      <c r="B12" s="35"/>
      <c r="C12" s="48"/>
      <c r="D12" s="48"/>
      <c r="E12" s="48"/>
      <c r="F12" s="35"/>
      <c r="G12" s="35"/>
      <c r="H12" s="48"/>
      <c r="I12" s="48"/>
      <c r="J12" s="49"/>
    </row>
    <row r="13" spans="1:14" x14ac:dyDescent="0.25">
      <c r="B13" s="35"/>
      <c r="C13" s="48"/>
      <c r="D13" s="48"/>
      <c r="E13" s="48"/>
      <c r="F13" s="35"/>
      <c r="G13" s="35"/>
      <c r="H13" s="48"/>
      <c r="I13" s="48"/>
      <c r="J13" s="49"/>
    </row>
    <row r="14" spans="1:14" x14ac:dyDescent="0.25">
      <c r="F14" s="35"/>
      <c r="G14" s="48"/>
      <c r="H14" s="48"/>
      <c r="I14" s="48"/>
      <c r="J14" s="35"/>
      <c r="K14" s="35"/>
      <c r="L14" s="48"/>
      <c r="M14" s="48"/>
      <c r="N14" s="49"/>
    </row>
    <row r="15" spans="1:14" x14ac:dyDescent="0.25">
      <c r="A15" s="33" t="s">
        <v>133</v>
      </c>
      <c r="F15" s="35"/>
      <c r="G15" s="48"/>
      <c r="H15" s="48"/>
      <c r="I15" s="48"/>
      <c r="J15" s="35"/>
      <c r="K15" s="35"/>
      <c r="L15" s="48"/>
      <c r="M15" s="48"/>
      <c r="N15" s="49"/>
    </row>
    <row r="16" spans="1:14" x14ac:dyDescent="0.25">
      <c r="A16" s="1" t="s">
        <v>134</v>
      </c>
      <c r="F16" s="35"/>
      <c r="G16" s="48"/>
      <c r="H16" s="48"/>
      <c r="I16" s="48"/>
      <c r="J16" s="35"/>
      <c r="K16" s="35"/>
      <c r="L16" s="48"/>
      <c r="M16" s="48"/>
      <c r="N16" s="49"/>
    </row>
    <row r="17" spans="1:14" x14ac:dyDescent="0.25">
      <c r="A17" s="1" t="s">
        <v>135</v>
      </c>
      <c r="F17" s="35"/>
      <c r="G17" s="48"/>
      <c r="H17" s="48"/>
      <c r="I17" s="48"/>
      <c r="J17" s="35"/>
      <c r="K17" s="35"/>
      <c r="L17" s="48"/>
      <c r="M17" s="48"/>
      <c r="N17" s="49"/>
    </row>
    <row r="18" spans="1:14" x14ac:dyDescent="0.25">
      <c r="A18" s="1" t="s">
        <v>136</v>
      </c>
      <c r="F18" s="35"/>
      <c r="G18" s="48"/>
      <c r="H18" s="48"/>
      <c r="I18" s="48"/>
      <c r="J18" s="35"/>
      <c r="K18" s="35"/>
      <c r="L18" s="48"/>
      <c r="M18" s="48"/>
      <c r="N18" s="49"/>
    </row>
    <row r="19" spans="1:14" x14ac:dyDescent="0.25">
      <c r="A19" s="1" t="s">
        <v>137</v>
      </c>
      <c r="F19" s="35"/>
      <c r="G19" s="48"/>
      <c r="H19" s="48"/>
      <c r="I19" s="48"/>
      <c r="J19" s="35"/>
      <c r="K19" s="35"/>
      <c r="L19" s="48"/>
      <c r="M19" s="48"/>
      <c r="N19" s="49"/>
    </row>
    <row r="20" spans="1:14" x14ac:dyDescent="0.25">
      <c r="F20" s="35"/>
      <c r="G20" s="48"/>
      <c r="H20" s="48"/>
      <c r="I20" s="48"/>
      <c r="J20" s="35"/>
      <c r="K20" s="35"/>
      <c r="L20" s="48"/>
      <c r="M20" s="48"/>
      <c r="N20" s="49"/>
    </row>
    <row r="21" spans="1:14" x14ac:dyDescent="0.25">
      <c r="A21" s="1" t="s">
        <v>138</v>
      </c>
      <c r="F21" s="35"/>
      <c r="G21" s="48"/>
      <c r="H21" s="48"/>
      <c r="I21" s="48"/>
      <c r="J21" s="35"/>
      <c r="K21" s="35"/>
      <c r="L21" s="48"/>
      <c r="M21" s="48"/>
      <c r="N21" s="49"/>
    </row>
    <row r="22" spans="1:14" x14ac:dyDescent="0.25">
      <c r="A22" s="1" t="s">
        <v>139</v>
      </c>
      <c r="F22" s="35"/>
      <c r="G22" s="48"/>
      <c r="H22" s="48"/>
      <c r="I22" s="48"/>
      <c r="J22" s="35"/>
      <c r="K22" s="35"/>
      <c r="L22" s="48"/>
      <c r="M22" s="48"/>
      <c r="N22" s="49"/>
    </row>
    <row r="23" spans="1:14" x14ac:dyDescent="0.25">
      <c r="A23" s="1" t="s">
        <v>140</v>
      </c>
      <c r="F23" s="35"/>
      <c r="G23" s="48"/>
      <c r="H23" s="48"/>
      <c r="I23" s="48"/>
      <c r="J23" s="35"/>
      <c r="K23" s="35"/>
      <c r="L23" s="48"/>
      <c r="M23" s="48"/>
      <c r="N23" s="49"/>
    </row>
    <row r="24" spans="1:14" x14ac:dyDescent="0.25">
      <c r="A24" s="1" t="s">
        <v>141</v>
      </c>
      <c r="F24" s="35"/>
      <c r="G24" s="48"/>
      <c r="H24" s="48"/>
      <c r="I24" s="48"/>
      <c r="J24" s="35"/>
      <c r="K24" s="35"/>
      <c r="L24" s="48"/>
      <c r="M24" s="48"/>
      <c r="N24" s="49"/>
    </row>
    <row r="25" spans="1:14" x14ac:dyDescent="0.25">
      <c r="A25" s="1"/>
      <c r="F25" s="35"/>
      <c r="G25" s="48"/>
      <c r="H25" s="48"/>
      <c r="I25" s="48"/>
      <c r="J25" s="35"/>
      <c r="K25" s="35"/>
      <c r="L25" s="48"/>
      <c r="M25" s="48"/>
      <c r="N25" s="49"/>
    </row>
    <row r="26" spans="1:14" x14ac:dyDescent="0.25">
      <c r="A26" s="1" t="s">
        <v>142</v>
      </c>
      <c r="F26" s="35"/>
      <c r="G26" s="48"/>
      <c r="H26" s="48"/>
      <c r="I26" s="48"/>
      <c r="J26" s="35"/>
      <c r="K26" s="35"/>
      <c r="L26" s="48"/>
      <c r="M26" s="48"/>
      <c r="N26" s="49"/>
    </row>
    <row r="27" spans="1:14" x14ac:dyDescent="0.25">
      <c r="A27" s="1" t="s">
        <v>143</v>
      </c>
      <c r="F27" s="35"/>
      <c r="G27" s="48"/>
      <c r="H27" s="48"/>
      <c r="I27" s="48"/>
      <c r="J27" s="35"/>
      <c r="K27" s="35"/>
      <c r="L27" s="48"/>
      <c r="M27" s="48"/>
      <c r="N27" s="49"/>
    </row>
    <row r="28" spans="1:14" x14ac:dyDescent="0.25">
      <c r="A28" s="1" t="s">
        <v>144</v>
      </c>
      <c r="F28" s="35"/>
      <c r="G28" s="48"/>
      <c r="H28" s="48"/>
      <c r="I28" s="48"/>
      <c r="J28" s="35"/>
      <c r="K28" s="35"/>
      <c r="L28" s="48"/>
      <c r="M28" s="48"/>
      <c r="N28" s="49"/>
    </row>
    <row r="29" spans="1:14" x14ac:dyDescent="0.25">
      <c r="F29" s="35"/>
      <c r="G29" s="48"/>
      <c r="H29" s="48"/>
      <c r="I29" s="48"/>
      <c r="J29" s="35"/>
      <c r="K29" s="35"/>
      <c r="L29" s="48"/>
      <c r="M29" s="48"/>
      <c r="N29" s="49"/>
    </row>
    <row r="30" spans="1:14" x14ac:dyDescent="0.25">
      <c r="A30" s="1" t="s">
        <v>145</v>
      </c>
      <c r="F30" s="35"/>
      <c r="G30" s="48"/>
      <c r="H30" s="48"/>
      <c r="I30" s="48"/>
      <c r="J30" s="35"/>
      <c r="K30" s="35"/>
      <c r="L30" s="48"/>
      <c r="M30" s="48"/>
      <c r="N30" s="49"/>
    </row>
    <row r="31" spans="1:14" x14ac:dyDescent="0.25">
      <c r="A31" s="1" t="s">
        <v>146</v>
      </c>
      <c r="F31" s="35"/>
      <c r="G31" s="48"/>
      <c r="H31" s="48"/>
      <c r="I31" s="48"/>
      <c r="J31" s="35"/>
      <c r="K31" s="35"/>
      <c r="L31" s="48"/>
      <c r="M31" s="48"/>
      <c r="N31" s="49"/>
    </row>
    <row r="32" spans="1:14" x14ac:dyDescent="0.25">
      <c r="F32" s="33"/>
      <c r="G32" t="s">
        <v>147</v>
      </c>
      <c r="H32" t="s">
        <v>148</v>
      </c>
    </row>
    <row r="33" spans="1:10" x14ac:dyDescent="0.25">
      <c r="F33" s="50" t="s">
        <v>149</v>
      </c>
      <c r="G33" s="51"/>
      <c r="H33" s="48"/>
      <c r="I33" s="52">
        <v>400000</v>
      </c>
      <c r="J33" s="49"/>
    </row>
    <row r="34" spans="1:10" x14ac:dyDescent="0.25">
      <c r="F34" s="53" t="s">
        <v>150</v>
      </c>
      <c r="G34" s="54"/>
      <c r="H34" s="48">
        <v>4800000</v>
      </c>
      <c r="I34" s="55"/>
      <c r="J34" s="49"/>
    </row>
    <row r="35" spans="1:10" ht="19.5" x14ac:dyDescent="0.25">
      <c r="A35" s="215" t="s">
        <v>151</v>
      </c>
      <c r="B35" s="215"/>
      <c r="C35" s="215"/>
      <c r="D35" s="215"/>
      <c r="F35" s="50" t="s">
        <v>152</v>
      </c>
      <c r="G35" s="51"/>
      <c r="H35" s="48">
        <v>4210500</v>
      </c>
      <c r="I35" s="55"/>
      <c r="J35" s="49"/>
    </row>
    <row r="36" spans="1:10" x14ac:dyDescent="0.25">
      <c r="A36" s="216" t="s">
        <v>116</v>
      </c>
      <c r="B36" s="216" t="s">
        <v>153</v>
      </c>
      <c r="C36" s="216" t="s">
        <v>149</v>
      </c>
      <c r="D36" s="216" t="s">
        <v>150</v>
      </c>
      <c r="F36" s="53" t="s">
        <v>154</v>
      </c>
      <c r="G36" s="54"/>
      <c r="H36" s="48">
        <v>3750000</v>
      </c>
      <c r="I36" s="55"/>
      <c r="J36" s="49"/>
    </row>
    <row r="37" spans="1:10" x14ac:dyDescent="0.25">
      <c r="A37" s="216"/>
      <c r="B37" s="216"/>
      <c r="C37" s="216"/>
      <c r="D37" s="216"/>
      <c r="F37" s="50" t="s">
        <v>155</v>
      </c>
      <c r="G37" s="51"/>
      <c r="H37" s="48">
        <v>3356600</v>
      </c>
      <c r="I37" s="55"/>
      <c r="J37" s="49"/>
    </row>
    <row r="38" spans="1:10" x14ac:dyDescent="0.25">
      <c r="A38" s="56" t="s">
        <v>153</v>
      </c>
      <c r="B38" s="57" t="s">
        <v>156</v>
      </c>
      <c r="C38" s="57" t="s">
        <v>157</v>
      </c>
      <c r="D38" s="57" t="s">
        <v>157</v>
      </c>
      <c r="F38" s="53" t="s">
        <v>158</v>
      </c>
      <c r="G38" s="58">
        <f>I40-H38</f>
        <v>-62800</v>
      </c>
      <c r="H38" s="48">
        <v>3057300</v>
      </c>
      <c r="I38" s="55">
        <f>H38+G38</f>
        <v>2994500</v>
      </c>
      <c r="J38" s="49"/>
    </row>
    <row r="39" spans="1:10" x14ac:dyDescent="0.25">
      <c r="A39" s="59" t="s">
        <v>149</v>
      </c>
      <c r="B39" s="60" t="s">
        <v>159</v>
      </c>
      <c r="C39" s="60" t="s">
        <v>160</v>
      </c>
      <c r="D39" s="60" t="s">
        <v>157</v>
      </c>
      <c r="F39" s="50" t="s">
        <v>161</v>
      </c>
      <c r="G39" s="61">
        <f>I40-H39</f>
        <v>187500</v>
      </c>
      <c r="H39" s="48">
        <v>2807000</v>
      </c>
      <c r="I39" s="55">
        <f>H39+G39</f>
        <v>2994500</v>
      </c>
      <c r="J39" s="49"/>
    </row>
    <row r="40" spans="1:10" x14ac:dyDescent="0.25">
      <c r="A40" s="56" t="s">
        <v>150</v>
      </c>
      <c r="B40" s="57" t="s">
        <v>162</v>
      </c>
      <c r="C40" s="57" t="s">
        <v>163</v>
      </c>
      <c r="D40" s="57" t="s">
        <v>164</v>
      </c>
      <c r="F40" s="53" t="s">
        <v>165</v>
      </c>
      <c r="G40" s="62">
        <v>400000</v>
      </c>
      <c r="H40" s="48">
        <v>2594500</v>
      </c>
      <c r="I40" s="55">
        <f>H40+G40</f>
        <v>2994500</v>
      </c>
      <c r="J40" s="49"/>
    </row>
    <row r="41" spans="1:10" x14ac:dyDescent="0.25">
      <c r="A41" s="59" t="s">
        <v>152</v>
      </c>
      <c r="B41" s="60" t="s">
        <v>166</v>
      </c>
      <c r="C41" s="60" t="s">
        <v>167</v>
      </c>
      <c r="D41" s="60" t="s">
        <v>168</v>
      </c>
      <c r="F41" s="50" t="s">
        <v>169</v>
      </c>
      <c r="G41" s="62">
        <v>594500</v>
      </c>
      <c r="H41" s="48">
        <v>2400000</v>
      </c>
      <c r="I41" s="55">
        <f t="shared" ref="I41:I43" si="3">H41+G41</f>
        <v>2994500</v>
      </c>
      <c r="J41" s="49"/>
    </row>
    <row r="42" spans="1:10" x14ac:dyDescent="0.25">
      <c r="A42" s="56" t="s">
        <v>154</v>
      </c>
      <c r="B42" s="57" t="s">
        <v>170</v>
      </c>
      <c r="C42" s="57" t="s">
        <v>171</v>
      </c>
      <c r="D42" s="57" t="s">
        <v>172</v>
      </c>
      <c r="F42" s="53" t="s">
        <v>173</v>
      </c>
      <c r="G42" s="62">
        <v>752210</v>
      </c>
      <c r="H42" s="48">
        <v>2242290</v>
      </c>
      <c r="I42" s="55">
        <f t="shared" si="3"/>
        <v>2994500</v>
      </c>
      <c r="J42" s="49"/>
    </row>
    <row r="43" spans="1:10" x14ac:dyDescent="0.25">
      <c r="A43" s="59" t="s">
        <v>155</v>
      </c>
      <c r="B43" s="60" t="s">
        <v>174</v>
      </c>
      <c r="C43" s="60" t="s">
        <v>175</v>
      </c>
      <c r="D43" s="60" t="s">
        <v>176</v>
      </c>
      <c r="F43" s="50" t="s">
        <v>177</v>
      </c>
      <c r="G43" s="62">
        <v>889300</v>
      </c>
      <c r="H43" s="48">
        <v>2105200</v>
      </c>
      <c r="I43" s="55">
        <f t="shared" si="3"/>
        <v>2994500</v>
      </c>
      <c r="J43" s="49"/>
    </row>
    <row r="44" spans="1:10" x14ac:dyDescent="0.25">
      <c r="A44" s="56" t="s">
        <v>158</v>
      </c>
      <c r="B44" s="57" t="s">
        <v>178</v>
      </c>
      <c r="C44" s="57" t="s">
        <v>179</v>
      </c>
      <c r="D44" s="57" t="s">
        <v>180</v>
      </c>
    </row>
    <row r="45" spans="1:10" x14ac:dyDescent="0.25">
      <c r="A45" s="59" t="s">
        <v>161</v>
      </c>
      <c r="B45" s="60" t="s">
        <v>181</v>
      </c>
      <c r="C45" s="60" t="s">
        <v>182</v>
      </c>
      <c r="D45" s="60" t="s">
        <v>183</v>
      </c>
    </row>
    <row r="46" spans="1:10" x14ac:dyDescent="0.25">
      <c r="A46" s="56" t="s">
        <v>165</v>
      </c>
      <c r="B46" s="57" t="s">
        <v>184</v>
      </c>
      <c r="C46" s="57" t="s">
        <v>185</v>
      </c>
      <c r="D46" s="57" t="s">
        <v>186</v>
      </c>
    </row>
    <row r="47" spans="1:10" x14ac:dyDescent="0.25">
      <c r="A47" s="59" t="s">
        <v>169</v>
      </c>
      <c r="B47" s="60" t="s">
        <v>187</v>
      </c>
      <c r="C47" s="60" t="s">
        <v>188</v>
      </c>
      <c r="D47" s="60" t="s">
        <v>189</v>
      </c>
    </row>
    <row r="48" spans="1:10" x14ac:dyDescent="0.25">
      <c r="A48" s="56" t="s">
        <v>173</v>
      </c>
      <c r="B48" s="57" t="s">
        <v>190</v>
      </c>
      <c r="C48" s="57" t="s">
        <v>191</v>
      </c>
      <c r="D48" s="57" t="s">
        <v>192</v>
      </c>
    </row>
    <row r="49" spans="1:4" x14ac:dyDescent="0.25">
      <c r="A49" s="59" t="s">
        <v>177</v>
      </c>
      <c r="B49" s="60" t="s">
        <v>193</v>
      </c>
      <c r="C49" s="60" t="s">
        <v>194</v>
      </c>
      <c r="D49" s="60" t="s">
        <v>195</v>
      </c>
    </row>
    <row r="50" spans="1:4" x14ac:dyDescent="0.25">
      <c r="A50" s="56" t="s">
        <v>196</v>
      </c>
      <c r="B50" s="57" t="s">
        <v>197</v>
      </c>
      <c r="C50" s="57" t="s">
        <v>198</v>
      </c>
      <c r="D50" s="57" t="s">
        <v>199</v>
      </c>
    </row>
    <row r="51" spans="1:4" x14ac:dyDescent="0.25">
      <c r="A51" s="59" t="s">
        <v>200</v>
      </c>
      <c r="B51" s="60" t="s">
        <v>201</v>
      </c>
      <c r="C51" s="60" t="s">
        <v>202</v>
      </c>
      <c r="D51" s="60" t="s">
        <v>203</v>
      </c>
    </row>
    <row r="52" spans="1:4" x14ac:dyDescent="0.25">
      <c r="A52" s="56" t="s">
        <v>204</v>
      </c>
      <c r="B52" s="57" t="s">
        <v>205</v>
      </c>
      <c r="C52" s="57" t="s">
        <v>206</v>
      </c>
      <c r="D52" s="57"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187" t="s">
        <v>1082</v>
      </c>
      <c r="K1" s="186" t="s">
        <v>1083</v>
      </c>
    </row>
    <row r="2" spans="1:18" x14ac:dyDescent="0.25">
      <c r="A2" s="198"/>
      <c r="K2" s="198"/>
    </row>
    <row r="3" spans="1:18" x14ac:dyDescent="0.25">
      <c r="A3" s="198"/>
      <c r="K3" s="198"/>
    </row>
    <row r="16" spans="1:18" x14ac:dyDescent="0.25">
      <c r="G16" s="33" t="s">
        <v>1084</v>
      </c>
      <c r="H16" s="33" t="s">
        <v>1085</v>
      </c>
      <c r="Q16" s="33" t="s">
        <v>1084</v>
      </c>
      <c r="R16" s="33" t="s">
        <v>1085</v>
      </c>
    </row>
    <row r="17" spans="1:18" x14ac:dyDescent="0.25">
      <c r="A17" t="s">
        <v>1086</v>
      </c>
      <c r="B17">
        <v>315.39999999999998</v>
      </c>
      <c r="C17">
        <v>319.89999999999998</v>
      </c>
      <c r="D17">
        <v>40755</v>
      </c>
      <c r="E17">
        <v>9315.7000000000007</v>
      </c>
      <c r="F17">
        <v>8668.9</v>
      </c>
      <c r="G17" s="199">
        <f>1/B17+1/C17</f>
        <v>6.2965539127933729E-3</v>
      </c>
      <c r="H17" s="199">
        <f>1/F17+1/D17+1/E17</f>
        <v>2.4723741973102541E-4</v>
      </c>
      <c r="I17" s="66"/>
      <c r="J17" s="66"/>
      <c r="K17" s="66" t="s">
        <v>1087</v>
      </c>
      <c r="L17">
        <v>92</v>
      </c>
      <c r="M17">
        <v>17</v>
      </c>
      <c r="N17">
        <v>3727</v>
      </c>
      <c r="O17">
        <v>227</v>
      </c>
      <c r="P17">
        <v>3899</v>
      </c>
      <c r="Q17" s="199">
        <f>1/L17+1/M17</f>
        <v>6.9693094629156016E-2</v>
      </c>
      <c r="R17" s="199">
        <f>1/P17+1/N17+1/O17</f>
        <v>4.9300746786397958E-3</v>
      </c>
    </row>
    <row r="18" spans="1:18" x14ac:dyDescent="0.25">
      <c r="A18" t="s">
        <v>1088</v>
      </c>
      <c r="B18">
        <v>60.4</v>
      </c>
      <c r="C18">
        <v>78.099999999999994</v>
      </c>
      <c r="D18">
        <v>3663.1</v>
      </c>
      <c r="E18">
        <v>2641.4</v>
      </c>
      <c r="F18">
        <v>1166.9000000000001</v>
      </c>
      <c r="G18" s="199">
        <f t="shared" ref="G18:G21" si="0">1/B18+1/C18</f>
        <v>2.9360388701868044E-2</v>
      </c>
      <c r="H18" s="199">
        <f t="shared" ref="H18:H21" si="1">1/F18+1/D18+1/E18</f>
        <v>1.5085513960337905E-3</v>
      </c>
      <c r="I18" s="66"/>
      <c r="J18" s="66"/>
      <c r="K18" s="66" t="s">
        <v>1089</v>
      </c>
      <c r="L18">
        <v>79</v>
      </c>
      <c r="M18">
        <v>333</v>
      </c>
      <c r="N18">
        <v>14360</v>
      </c>
      <c r="O18">
        <v>9526</v>
      </c>
      <c r="P18">
        <v>1543</v>
      </c>
      <c r="Q18" s="199">
        <f t="shared" ref="Q18:Q21" si="2">1/L18+1/M18</f>
        <v>1.5661230851104269E-2</v>
      </c>
      <c r="R18" s="199">
        <f t="shared" ref="R18:R21" si="3">1/P18+1/N18+1/O18</f>
        <v>8.2270187854861755E-4</v>
      </c>
    </row>
    <row r="19" spans="1:18" x14ac:dyDescent="0.25">
      <c r="A19" t="s">
        <v>1090</v>
      </c>
      <c r="B19">
        <v>24.4</v>
      </c>
      <c r="C19">
        <v>1988.3</v>
      </c>
      <c r="D19">
        <v>646.20000000000005</v>
      </c>
      <c r="E19">
        <v>1247.7</v>
      </c>
      <c r="F19">
        <v>464.6</v>
      </c>
      <c r="G19" s="199">
        <f t="shared" si="0"/>
        <v>4.14865487693169E-2</v>
      </c>
      <c r="H19" s="199">
        <f t="shared" si="1"/>
        <v>4.5013723767282753E-3</v>
      </c>
      <c r="I19" s="66"/>
      <c r="J19" s="66"/>
      <c r="K19" s="66" t="s">
        <v>1091</v>
      </c>
      <c r="L19">
        <v>77</v>
      </c>
      <c r="M19">
        <v>89</v>
      </c>
      <c r="N19">
        <v>24647</v>
      </c>
      <c r="O19">
        <v>2776</v>
      </c>
      <c r="P19">
        <v>1531</v>
      </c>
      <c r="Q19" s="199">
        <f t="shared" si="2"/>
        <v>2.4222968043192763E-2</v>
      </c>
      <c r="R19" s="199">
        <f t="shared" si="3"/>
        <v>1.0539713008869561E-3</v>
      </c>
    </row>
    <row r="20" spans="1:18" x14ac:dyDescent="0.25">
      <c r="A20" t="s">
        <v>1092</v>
      </c>
      <c r="B20">
        <v>13.2</v>
      </c>
      <c r="C20">
        <v>49.9</v>
      </c>
      <c r="D20">
        <v>213.2</v>
      </c>
      <c r="E20">
        <v>747.2</v>
      </c>
      <c r="F20">
        <v>249.1</v>
      </c>
      <c r="G20" s="199">
        <f t="shared" si="0"/>
        <v>9.5797655917896407E-2</v>
      </c>
      <c r="H20" s="199">
        <f t="shared" si="1"/>
        <v>1.0043213311452047E-2</v>
      </c>
      <c r="I20" s="66"/>
      <c r="J20" s="66"/>
      <c r="K20" s="66" t="s">
        <v>1093</v>
      </c>
      <c r="L20">
        <v>82</v>
      </c>
      <c r="M20">
        <v>57</v>
      </c>
      <c r="N20">
        <v>1265</v>
      </c>
      <c r="O20">
        <v>1380</v>
      </c>
      <c r="P20">
        <v>1452</v>
      </c>
      <c r="Q20" s="199">
        <f t="shared" si="2"/>
        <v>2.9738981600342319E-2</v>
      </c>
      <c r="R20" s="199">
        <f t="shared" si="3"/>
        <v>2.203856749311295E-3</v>
      </c>
    </row>
    <row r="21" spans="1:18" x14ac:dyDescent="0.25">
      <c r="A21" t="s">
        <v>1094</v>
      </c>
      <c r="B21">
        <v>8.6</v>
      </c>
      <c r="C21">
        <v>48.2</v>
      </c>
      <c r="D21">
        <v>105.1</v>
      </c>
      <c r="E21">
        <v>608.5</v>
      </c>
      <c r="F21">
        <v>161</v>
      </c>
      <c r="G21" s="199">
        <f t="shared" si="0"/>
        <v>0.13702595773424683</v>
      </c>
      <c r="H21" s="199">
        <f t="shared" si="1"/>
        <v>1.7369313357275505E-2</v>
      </c>
      <c r="I21" s="66"/>
      <c r="J21" s="66"/>
      <c r="K21" s="66" t="s">
        <v>1095</v>
      </c>
      <c r="L21">
        <v>92</v>
      </c>
      <c r="M21">
        <v>1989</v>
      </c>
      <c r="N21">
        <v>1383</v>
      </c>
      <c r="O21">
        <v>652</v>
      </c>
      <c r="P21">
        <v>2286</v>
      </c>
      <c r="Q21" s="199">
        <f t="shared" si="2"/>
        <v>1.1372330426038866E-2</v>
      </c>
      <c r="R21" s="199">
        <f t="shared" si="3"/>
        <v>2.6942534496111345E-3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21" t="s">
        <v>1130</v>
      </c>
      <c r="B4" s="221" t="s">
        <v>1131</v>
      </c>
      <c r="C4" s="221" t="s">
        <v>1132</v>
      </c>
      <c r="D4" s="221" t="s">
        <v>1133</v>
      </c>
      <c r="E4" s="223" t="s">
        <v>1134</v>
      </c>
      <c r="F4" s="221" t="s">
        <v>1135</v>
      </c>
      <c r="G4" s="221" t="s">
        <v>1136</v>
      </c>
      <c r="H4" s="221" t="s">
        <v>1137</v>
      </c>
      <c r="I4" s="221" t="s">
        <v>1138</v>
      </c>
      <c r="J4" s="223" t="s">
        <v>1139</v>
      </c>
    </row>
    <row r="5" spans="1:10" ht="15.75" thickBot="1" x14ac:dyDescent="0.3">
      <c r="A5" s="222"/>
      <c r="B5" s="222"/>
      <c r="C5" s="222"/>
      <c r="D5" s="222"/>
      <c r="E5" s="224"/>
      <c r="F5" s="222"/>
      <c r="G5" s="222"/>
      <c r="H5" s="222"/>
      <c r="I5" s="222"/>
      <c r="J5" s="224"/>
    </row>
    <row r="6" spans="1:10" x14ac:dyDescent="0.25">
      <c r="A6" s="221" t="s">
        <v>1140</v>
      </c>
      <c r="B6" s="219">
        <v>3563</v>
      </c>
      <c r="C6" s="219">
        <v>3583</v>
      </c>
      <c r="D6" s="219">
        <v>3689</v>
      </c>
      <c r="E6" s="217">
        <v>3712</v>
      </c>
      <c r="F6" s="219">
        <v>3656</v>
      </c>
      <c r="G6" s="219">
        <v>3751</v>
      </c>
      <c r="H6" s="219">
        <v>3693</v>
      </c>
      <c r="I6" s="219">
        <v>3676</v>
      </c>
      <c r="J6" s="217">
        <v>3638</v>
      </c>
    </row>
    <row r="7" spans="1:10" ht="15.75" thickBot="1" x14ac:dyDescent="0.3">
      <c r="A7" s="222"/>
      <c r="B7" s="220"/>
      <c r="C7" s="220"/>
      <c r="D7" s="220"/>
      <c r="E7" s="218"/>
      <c r="F7" s="220"/>
      <c r="G7" s="220"/>
      <c r="H7" s="220"/>
      <c r="I7" s="220"/>
      <c r="J7" s="218"/>
    </row>
    <row r="8" spans="1:10" x14ac:dyDescent="0.25">
      <c r="A8" s="221" t="s">
        <v>1141</v>
      </c>
      <c r="B8" s="219">
        <v>2957</v>
      </c>
      <c r="C8" s="219">
        <v>3253</v>
      </c>
      <c r="D8" s="219">
        <v>3342</v>
      </c>
      <c r="E8" s="217">
        <v>3325</v>
      </c>
      <c r="F8" s="219">
        <v>3461</v>
      </c>
      <c r="G8" s="219">
        <v>3392</v>
      </c>
      <c r="H8" s="219">
        <v>3455</v>
      </c>
      <c r="I8" s="219">
        <v>3369</v>
      </c>
      <c r="J8" s="217">
        <v>3372</v>
      </c>
    </row>
    <row r="9" spans="1:10" ht="15.75" thickBot="1" x14ac:dyDescent="0.3">
      <c r="A9" s="222"/>
      <c r="B9" s="220"/>
      <c r="C9" s="220"/>
      <c r="D9" s="220"/>
      <c r="E9" s="218"/>
      <c r="F9" s="220"/>
      <c r="G9" s="220"/>
      <c r="H9" s="220"/>
      <c r="I9" s="220"/>
      <c r="J9" s="218"/>
    </row>
    <row r="10" spans="1:10" x14ac:dyDescent="0.25">
      <c r="A10" s="221" t="s">
        <v>1142</v>
      </c>
      <c r="B10" s="219">
        <v>2354</v>
      </c>
      <c r="C10" s="219">
        <v>2997</v>
      </c>
      <c r="D10" s="219">
        <v>3041</v>
      </c>
      <c r="E10" s="217">
        <v>3085</v>
      </c>
      <c r="F10" s="219">
        <v>3118</v>
      </c>
      <c r="G10" s="219">
        <v>3100</v>
      </c>
      <c r="H10" s="219">
        <v>3130</v>
      </c>
      <c r="I10" s="219">
        <v>3102</v>
      </c>
      <c r="J10" s="217">
        <v>3098</v>
      </c>
    </row>
    <row r="11" spans="1:10" ht="15.75" thickBot="1" x14ac:dyDescent="0.3">
      <c r="A11" s="222"/>
      <c r="B11" s="220"/>
      <c r="C11" s="220"/>
      <c r="D11" s="220"/>
      <c r="E11" s="218"/>
      <c r="F11" s="220"/>
      <c r="G11" s="220"/>
      <c r="H11" s="220"/>
      <c r="I11" s="220"/>
      <c r="J11" s="218"/>
    </row>
    <row r="12" spans="1:10" x14ac:dyDescent="0.25">
      <c r="A12" s="221" t="s">
        <v>1143</v>
      </c>
      <c r="B12" s="219"/>
      <c r="C12" s="219">
        <v>2361</v>
      </c>
      <c r="D12" s="219">
        <v>2778</v>
      </c>
      <c r="E12" s="217">
        <v>2793</v>
      </c>
      <c r="F12" s="219">
        <v>2808</v>
      </c>
      <c r="G12" s="219">
        <v>2810</v>
      </c>
      <c r="H12" s="219">
        <v>2814</v>
      </c>
      <c r="I12" s="219">
        <v>2795</v>
      </c>
      <c r="J12" s="217">
        <v>2793</v>
      </c>
    </row>
    <row r="13" spans="1:10" ht="15.75" thickBot="1" x14ac:dyDescent="0.3">
      <c r="A13" s="222"/>
      <c r="B13" s="220"/>
      <c r="C13" s="220"/>
      <c r="D13" s="220"/>
      <c r="E13" s="218"/>
      <c r="F13" s="220"/>
      <c r="G13" s="220"/>
      <c r="H13" s="220"/>
      <c r="I13" s="220"/>
      <c r="J13" s="218"/>
    </row>
    <row r="14" spans="1:10" x14ac:dyDescent="0.25">
      <c r="A14" s="221" t="s">
        <v>1144</v>
      </c>
      <c r="B14" s="219"/>
      <c r="C14" s="219"/>
      <c r="D14" s="219">
        <v>2241</v>
      </c>
      <c r="E14" s="217">
        <v>2467</v>
      </c>
      <c r="F14" s="219">
        <v>2521</v>
      </c>
      <c r="G14" s="219">
        <v>2507</v>
      </c>
      <c r="H14" s="219">
        <v>2536</v>
      </c>
      <c r="I14" s="219">
        <v>2517</v>
      </c>
      <c r="J14" s="217">
        <v>2525</v>
      </c>
    </row>
    <row r="15" spans="1:10" ht="15.75" thickBot="1" x14ac:dyDescent="0.3">
      <c r="A15" s="222"/>
      <c r="B15" s="220"/>
      <c r="C15" s="220"/>
      <c r="D15" s="220"/>
      <c r="E15" s="218"/>
      <c r="F15" s="220"/>
      <c r="G15" s="220"/>
      <c r="H15" s="220"/>
      <c r="I15" s="220"/>
      <c r="J15" s="218"/>
    </row>
    <row r="16" spans="1:10" x14ac:dyDescent="0.25">
      <c r="A16" s="221" t="s">
        <v>1145</v>
      </c>
      <c r="B16" s="219"/>
      <c r="C16" s="219"/>
      <c r="D16" s="219"/>
      <c r="E16" s="217">
        <v>2113</v>
      </c>
      <c r="F16" s="219">
        <v>2226</v>
      </c>
      <c r="G16" s="219">
        <v>2202</v>
      </c>
      <c r="H16" s="219">
        <v>2232</v>
      </c>
      <c r="I16" s="219">
        <v>2235</v>
      </c>
      <c r="J16" s="217">
        <v>2227</v>
      </c>
    </row>
    <row r="17" spans="1:10" ht="15.75" thickBot="1" x14ac:dyDescent="0.3">
      <c r="A17" s="222"/>
      <c r="B17" s="220"/>
      <c r="C17" s="220"/>
      <c r="D17" s="220"/>
      <c r="E17" s="218"/>
      <c r="F17" s="220"/>
      <c r="G17" s="220"/>
      <c r="H17" s="220"/>
      <c r="I17" s="220"/>
      <c r="J17" s="218"/>
    </row>
    <row r="18" spans="1:10" x14ac:dyDescent="0.25">
      <c r="A18" s="221" t="s">
        <v>1146</v>
      </c>
      <c r="B18" s="219"/>
      <c r="C18" s="219"/>
      <c r="D18" s="219"/>
      <c r="E18" s="217"/>
      <c r="F18" s="219">
        <v>1537</v>
      </c>
      <c r="G18" s="219">
        <v>1762</v>
      </c>
      <c r="H18" s="219">
        <v>1905</v>
      </c>
      <c r="I18" s="219">
        <v>1879</v>
      </c>
      <c r="J18" s="217">
        <v>1893</v>
      </c>
    </row>
    <row r="19" spans="1:10" ht="15.75" thickBot="1" x14ac:dyDescent="0.3">
      <c r="A19" s="222"/>
      <c r="B19" s="220"/>
      <c r="C19" s="220"/>
      <c r="D19" s="220"/>
      <c r="E19" s="218"/>
      <c r="F19" s="220"/>
      <c r="G19" s="220"/>
      <c r="H19" s="220"/>
      <c r="I19" s="220"/>
      <c r="J19" s="218"/>
    </row>
    <row r="20" spans="1:10" x14ac:dyDescent="0.25">
      <c r="A20" s="221" t="s">
        <v>1147</v>
      </c>
      <c r="B20" s="219"/>
      <c r="C20" s="219"/>
      <c r="D20" s="219"/>
      <c r="E20" s="217"/>
      <c r="F20" s="219"/>
      <c r="G20" s="219">
        <v>1412</v>
      </c>
      <c r="H20" s="219">
        <v>1689</v>
      </c>
      <c r="I20" s="219">
        <v>1630</v>
      </c>
      <c r="J20" s="217">
        <v>1640</v>
      </c>
    </row>
    <row r="21" spans="1:10" ht="15.75" thickBot="1" x14ac:dyDescent="0.3">
      <c r="A21" s="222"/>
      <c r="B21" s="220"/>
      <c r="C21" s="220"/>
      <c r="D21" s="220"/>
      <c r="E21" s="218"/>
      <c r="F21" s="220"/>
      <c r="G21" s="220"/>
      <c r="H21" s="220"/>
      <c r="I21" s="220"/>
      <c r="J21" s="218"/>
    </row>
    <row r="22" spans="1:10" x14ac:dyDescent="0.25">
      <c r="A22" s="221" t="s">
        <v>1148</v>
      </c>
      <c r="B22" s="219"/>
      <c r="C22" s="219"/>
      <c r="D22" s="219"/>
      <c r="E22" s="217"/>
      <c r="F22" s="219"/>
      <c r="G22" s="219"/>
      <c r="H22" s="219">
        <v>1082</v>
      </c>
      <c r="I22" s="219">
        <v>1341</v>
      </c>
      <c r="J22" s="217">
        <v>1325</v>
      </c>
    </row>
    <row r="23" spans="1:10" ht="15.75" thickBot="1" x14ac:dyDescent="0.3">
      <c r="A23" s="222"/>
      <c r="B23" s="220"/>
      <c r="C23" s="220"/>
      <c r="D23" s="220"/>
      <c r="E23" s="218"/>
      <c r="F23" s="220"/>
      <c r="G23" s="220"/>
      <c r="H23" s="220"/>
      <c r="I23" s="220"/>
      <c r="J23" s="218"/>
    </row>
    <row r="24" spans="1:10" x14ac:dyDescent="0.25">
      <c r="A24" s="221" t="s">
        <v>1149</v>
      </c>
      <c r="B24" s="219"/>
      <c r="C24" s="219"/>
      <c r="D24" s="219"/>
      <c r="E24" s="217"/>
      <c r="F24" s="219"/>
      <c r="G24" s="219"/>
      <c r="H24" s="219"/>
      <c r="I24" s="219">
        <v>1003</v>
      </c>
      <c r="J24" s="217">
        <v>1016</v>
      </c>
    </row>
    <row r="25" spans="1:10" ht="15.75" thickBot="1" x14ac:dyDescent="0.3">
      <c r="A25" s="222"/>
      <c r="B25" s="220"/>
      <c r="C25" s="220"/>
      <c r="D25" s="220"/>
      <c r="E25" s="218"/>
      <c r="F25" s="220"/>
      <c r="G25" s="220"/>
      <c r="H25" s="220"/>
      <c r="I25" s="220"/>
      <c r="J25" s="218"/>
    </row>
    <row r="26" spans="1:10" x14ac:dyDescent="0.25">
      <c r="A26" s="221" t="s">
        <v>1150</v>
      </c>
      <c r="B26" s="219"/>
      <c r="C26" s="219"/>
      <c r="D26" s="219"/>
      <c r="E26" s="217"/>
      <c r="F26" s="219"/>
      <c r="G26" s="219"/>
      <c r="H26" s="219"/>
      <c r="I26" s="219"/>
      <c r="J26" s="217">
        <v>632</v>
      </c>
    </row>
    <row r="27" spans="1:10" ht="15.75" thickBot="1" x14ac:dyDescent="0.3">
      <c r="A27" s="222"/>
      <c r="B27" s="220"/>
      <c r="C27" s="220"/>
      <c r="D27" s="220"/>
      <c r="E27" s="218"/>
      <c r="F27" s="220"/>
      <c r="G27" s="220"/>
      <c r="H27" s="220"/>
      <c r="I27" s="220"/>
      <c r="J27" s="218"/>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Tabla_HTMS</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2023-09-22T09:57:54Z</dcterms:modified>
</cp:coreProperties>
</file>