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2" activeTab="6"/>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PLANTILLA!$A$4:$AN$25</definedName>
    <definedName name="_xlnm._FilterDatabase" localSheetId="0" hidden="1">RecienPromocionados!$A$4:$D$22</definedName>
  </definedNames>
  <calcPr calcId="152511"/>
</workbook>
</file>

<file path=xl/calcChain.xml><?xml version="1.0" encoding="utf-8"?>
<calcChain xmlns="http://schemas.openxmlformats.org/spreadsheetml/2006/main">
  <c r="AC8" i="32" l="1"/>
  <c r="AD22" i="32" l="1"/>
  <c r="AD21" i="32"/>
  <c r="AD15" i="32"/>
  <c r="AD18" i="32"/>
  <c r="AD16" i="32"/>
  <c r="AD13" i="32"/>
  <c r="AD14" i="32"/>
  <c r="AD12" i="32"/>
  <c r="AD17" i="32"/>
  <c r="AD8" i="32"/>
  <c r="AD7" i="32"/>
  <c r="AD10" i="32"/>
  <c r="AD9" i="32"/>
  <c r="AD5" i="32"/>
  <c r="Z20" i="32" l="1"/>
  <c r="Z22" i="32"/>
  <c r="Z23" i="32"/>
  <c r="Z21" i="32"/>
  <c r="Z19" i="32"/>
  <c r="Z15" i="32"/>
  <c r="Z18" i="32"/>
  <c r="Z16" i="32"/>
  <c r="Z13" i="32"/>
  <c r="Z14" i="32"/>
  <c r="Z12" i="32"/>
  <c r="Z11" i="32"/>
  <c r="Z17" i="32"/>
  <c r="Z8" i="32"/>
  <c r="Z7" i="32"/>
  <c r="Z10" i="32"/>
  <c r="Z9" i="32"/>
  <c r="Z5" i="32"/>
  <c r="AA20" i="32" l="1"/>
  <c r="AA22" i="32"/>
  <c r="AA23" i="32"/>
  <c r="AA21" i="32"/>
  <c r="AA15" i="32"/>
  <c r="AA13" i="32"/>
  <c r="AA14" i="32"/>
  <c r="AA12" i="32"/>
  <c r="AA11" i="32"/>
  <c r="AA17" i="32"/>
  <c r="AA8" i="32"/>
  <c r="AA7" i="32"/>
  <c r="AA10" i="32"/>
  <c r="AA9" i="32"/>
  <c r="AA5" i="32"/>
  <c r="R33" i="49" l="1"/>
  <c r="Y22" i="32" l="1"/>
  <c r="Y23" i="32"/>
  <c r="Y21" i="32"/>
  <c r="Y15" i="32"/>
  <c r="Y18" i="32"/>
  <c r="Y16" i="32"/>
  <c r="Y13" i="32"/>
  <c r="Y14" i="32"/>
  <c r="Y12" i="32"/>
  <c r="Y11" i="32"/>
  <c r="Y17" i="32"/>
  <c r="Y8" i="32"/>
  <c r="Y7" i="32"/>
  <c r="Y10" i="32"/>
  <c r="Y9" i="32"/>
  <c r="Y6" i="32"/>
  <c r="Y5" i="32"/>
  <c r="Y19" i="32" l="1"/>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AA19" i="32" l="1"/>
  <c r="AA18" i="32"/>
  <c r="P22" i="32" l="1"/>
  <c r="P20" i="32"/>
  <c r="P7" i="32"/>
  <c r="P5" i="32"/>
  <c r="AM20" i="32" l="1"/>
  <c r="AN20" i="32"/>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0" i="32"/>
  <c r="W20" i="32"/>
  <c r="U20" i="32"/>
  <c r="R20" i="32"/>
  <c r="S20" i="32"/>
  <c r="N20" i="32"/>
  <c r="J20" i="32"/>
  <c r="K20" i="32"/>
  <c r="L20" i="32"/>
  <c r="AT20" i="32"/>
  <c r="L13" i="111"/>
  <c r="L12" i="110"/>
  <c r="L15" i="107"/>
  <c r="L19" i="108"/>
  <c r="L15" i="111"/>
  <c r="L15" i="110"/>
  <c r="L17" i="107"/>
  <c r="L10" i="108"/>
  <c r="L17" i="111"/>
  <c r="L13" i="110"/>
  <c r="L18" i="107"/>
  <c r="L18" i="108"/>
  <c r="L19" i="111"/>
  <c r="L18" i="110"/>
  <c r="L16" i="107"/>
  <c r="L4" i="108"/>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4" i="111"/>
  <c r="L14" i="111"/>
  <c r="L5" i="110"/>
  <c r="L5" i="107"/>
  <c r="Z12" i="108"/>
  <c r="L12" i="108"/>
  <c r="L10" i="111"/>
  <c r="L8" i="110"/>
  <c r="L9" i="107"/>
  <c r="L16" i="108"/>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AF20" i="32" l="1"/>
  <c r="AL20" i="32"/>
  <c r="AI20" i="32"/>
  <c r="AH20" i="32"/>
  <c r="AK20" i="32"/>
  <c r="AG20" i="32"/>
  <c r="AJ20" i="32"/>
  <c r="Z18" i="11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2" i="32" l="1"/>
  <c r="AB21"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14" i="32"/>
  <c r="I23" i="111" l="1"/>
  <c r="I23" i="110"/>
  <c r="I23" i="107"/>
  <c r="I10" i="107"/>
  <c r="I10" i="110"/>
  <c r="I6" i="111"/>
  <c r="AD23" i="32"/>
  <c r="AM16" i="32" l="1"/>
  <c r="AN16" i="32"/>
  <c r="AM12" i="32"/>
  <c r="AN12" i="32"/>
  <c r="AN22" i="32"/>
  <c r="AM22" i="32"/>
  <c r="AM17" i="32"/>
  <c r="AN17" i="32"/>
  <c r="AM10" i="32"/>
  <c r="AN10" i="32"/>
  <c r="AM18" i="32"/>
  <c r="AN18" i="32"/>
  <c r="AM7" i="32"/>
  <c r="AN7" i="32"/>
  <c r="AM14" i="32"/>
  <c r="AN14" i="32"/>
  <c r="AM15" i="32"/>
  <c r="AN15" i="32"/>
  <c r="AM9" i="32"/>
  <c r="AN9" i="32"/>
  <c r="AM23" i="32"/>
  <c r="AN23" i="32"/>
  <c r="AN5" i="32"/>
  <c r="AM5" i="32"/>
  <c r="AM8" i="32"/>
  <c r="AN8" i="32"/>
  <c r="AM13" i="32"/>
  <c r="AN13" i="32"/>
  <c r="AN21" i="32"/>
  <c r="AM21"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G22" i="49" l="1"/>
  <c r="O25" i="49" s="1"/>
  <c r="AT23" i="32"/>
  <c r="AT6" i="32"/>
  <c r="AT7" i="32"/>
  <c r="AT8" i="32"/>
  <c r="AT9" i="32"/>
  <c r="AT10" i="32"/>
  <c r="AT11" i="32"/>
  <c r="AT12" i="32"/>
  <c r="AT13" i="32"/>
  <c r="AT14" i="32"/>
  <c r="AT15" i="32"/>
  <c r="AT16" i="32"/>
  <c r="AT17" i="32"/>
  <c r="AT18" i="32"/>
  <c r="AT19" i="32"/>
  <c r="AT21" i="32"/>
  <c r="AT22" i="32"/>
  <c r="AT5" i="32"/>
  <c r="A18" i="85" l="1"/>
  <c r="AB23"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4" i="32"/>
  <c r="V25" i="32" s="1"/>
  <c r="T24" i="32"/>
  <c r="AD19" i="32"/>
  <c r="AD11" i="32"/>
  <c r="AC9" i="32"/>
  <c r="AM19" i="32" l="1"/>
  <c r="AN19" i="32"/>
  <c r="AM11" i="32"/>
  <c r="AN11" i="32"/>
  <c r="K22" i="110"/>
  <c r="K22" i="107"/>
  <c r="K22" i="111"/>
  <c r="D17" i="102"/>
  <c r="K21" i="110"/>
  <c r="K21" i="107"/>
  <c r="K21" i="111"/>
  <c r="D16" i="102"/>
  <c r="J7" i="111"/>
  <c r="J17" i="110"/>
  <c r="J14" i="107"/>
  <c r="C13" i="102"/>
  <c r="U15" i="49"/>
  <c r="V4" i="49" l="1"/>
  <c r="V9" i="49"/>
  <c r="V13" i="49"/>
  <c r="V16" i="49"/>
  <c r="V21" i="49"/>
  <c r="V12" i="49"/>
  <c r="V22" i="49"/>
  <c r="V15" i="49"/>
  <c r="V5" i="49"/>
  <c r="V8" i="49"/>
  <c r="V11" i="49"/>
  <c r="V3" i="49"/>
  <c r="V6" i="49"/>
  <c r="V14" i="49"/>
  <c r="V7" i="49"/>
  <c r="V10" i="49"/>
  <c r="V20" i="49"/>
  <c r="AB11" i="32" l="1"/>
  <c r="I20" i="107" l="1"/>
  <c r="I20" i="110"/>
  <c r="I20" i="111"/>
  <c r="I21" i="111"/>
  <c r="I21" i="110"/>
  <c r="I21" i="107"/>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3" i="32" l="1"/>
  <c r="AC21" i="32"/>
  <c r="AC15" i="32"/>
  <c r="AC18" i="32"/>
  <c r="AC16" i="32"/>
  <c r="AC13" i="32"/>
  <c r="AC14" i="32"/>
  <c r="AC12" i="32"/>
  <c r="AC7" i="32"/>
  <c r="AC10" i="32"/>
  <c r="AC5" i="32"/>
  <c r="J11" i="107" l="1"/>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1" i="32"/>
  <c r="J22" i="32"/>
  <c r="J23" i="32"/>
  <c r="J5" i="32"/>
  <c r="AG19" i="32" l="1"/>
  <c r="AH19" i="32"/>
  <c r="AF19" i="32"/>
  <c r="AL19" i="32"/>
  <c r="AH11" i="32"/>
  <c r="AF11" i="32"/>
  <c r="AG11" i="32"/>
  <c r="AL11" i="32"/>
  <c r="AK23" i="32"/>
  <c r="AG23" i="32"/>
  <c r="AL23" i="32"/>
  <c r="AJ23" i="32"/>
  <c r="F6" i="102" s="1"/>
  <c r="AI23" i="32"/>
  <c r="AH23" i="32"/>
  <c r="AF23" i="32"/>
  <c r="AK21" i="32"/>
  <c r="AG21" i="32"/>
  <c r="AJ21" i="32"/>
  <c r="F2" i="102" s="1"/>
  <c r="AH21" i="32"/>
  <c r="AI21" i="32"/>
  <c r="E2" i="102" s="1"/>
  <c r="AL21" i="32"/>
  <c r="AF21" i="32"/>
  <c r="AH15" i="32"/>
  <c r="AF15" i="32"/>
  <c r="AL15" i="32"/>
  <c r="AJ15" i="32"/>
  <c r="F9" i="102" s="1"/>
  <c r="AI15" i="32"/>
  <c r="AG15" i="32"/>
  <c r="AK15" i="32"/>
  <c r="AJ16" i="32"/>
  <c r="F10" i="102" s="1"/>
  <c r="AG16" i="32"/>
  <c r="AK16" i="32"/>
  <c r="AH16" i="32"/>
  <c r="AF16" i="32"/>
  <c r="AL16" i="32"/>
  <c r="AI16" i="32"/>
  <c r="AL8" i="32"/>
  <c r="AK8" i="32"/>
  <c r="AJ8" i="32"/>
  <c r="F14" i="102" s="1"/>
  <c r="AH8" i="32"/>
  <c r="AF8" i="32"/>
  <c r="AI8" i="32"/>
  <c r="AG8" i="32"/>
  <c r="AF6" i="32"/>
  <c r="AH6" i="32"/>
  <c r="AG6" i="32"/>
  <c r="AF22" i="32"/>
  <c r="AK22" i="32"/>
  <c r="AI22" i="32"/>
  <c r="AL22" i="32"/>
  <c r="AH22" i="32"/>
  <c r="AJ22" i="32"/>
  <c r="F4" i="102" s="1"/>
  <c r="AG22"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E11" i="102" s="1"/>
  <c r="AH9" i="32"/>
  <c r="AF9" i="32"/>
  <c r="AI9" i="32"/>
  <c r="AG9" i="32"/>
  <c r="AL9" i="32"/>
  <c r="AK9" i="32"/>
  <c r="AJ9" i="32"/>
  <c r="F13" i="102" s="1"/>
  <c r="AF5" i="32"/>
  <c r="AI5" i="32"/>
  <c r="AG5" i="32"/>
  <c r="AH5" i="32"/>
  <c r="AL5" i="32"/>
  <c r="AK5" i="32"/>
  <c r="AJ5" i="32"/>
  <c r="B12" i="102"/>
  <c r="C15" i="83"/>
  <c r="B15" i="83"/>
  <c r="B19" i="102"/>
  <c r="C19" i="83"/>
  <c r="B19" i="83"/>
  <c r="B2" i="102"/>
  <c r="L2" i="102" s="1"/>
  <c r="B10" i="83"/>
  <c r="C10" i="83"/>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B2" i="83"/>
  <c r="C2" i="83"/>
  <c r="C7" i="83"/>
  <c r="B7" i="83"/>
  <c r="B13" i="102"/>
  <c r="B20" i="83"/>
  <c r="C20" i="83"/>
  <c r="D5" i="83" l="1"/>
  <c r="D8" i="83"/>
  <c r="D19" i="83"/>
  <c r="D15" i="83"/>
  <c r="D3" i="83"/>
  <c r="D12" i="83"/>
  <c r="I5" i="83" s="1"/>
  <c r="N5" i="83" s="1"/>
  <c r="D18" i="83"/>
  <c r="D14" i="83"/>
  <c r="D9" i="83"/>
  <c r="D7" i="83"/>
  <c r="D10" i="83"/>
  <c r="D13" i="83"/>
  <c r="D11" i="83"/>
  <c r="D17" i="83"/>
  <c r="D4" i="83"/>
  <c r="D16" i="83"/>
  <c r="D6" i="83"/>
  <c r="I6" i="83" s="1"/>
  <c r="D2" i="83"/>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4" i="32"/>
  <c r="AD6" i="32"/>
  <c r="AM6" i="32" l="1"/>
  <c r="AN6" i="32"/>
  <c r="AL6" i="32"/>
  <c r="AI6" i="32"/>
  <c r="AJ6" i="32"/>
  <c r="AK6" i="32"/>
  <c r="K20" i="111"/>
  <c r="K20" i="110"/>
  <c r="K20" i="107"/>
  <c r="D12" i="102"/>
  <c r="K23" i="107"/>
  <c r="K23" i="110"/>
  <c r="K23" i="111"/>
  <c r="D19" i="102"/>
  <c r="Z10" i="110"/>
  <c r="Y10" i="110"/>
  <c r="Z9" i="107"/>
  <c r="Y9" i="107"/>
  <c r="Z10" i="108"/>
  <c r="Y10" i="108"/>
  <c r="AA10" i="108"/>
  <c r="AC19" i="32"/>
  <c r="AC11" i="32"/>
  <c r="AK11" i="32" l="1"/>
  <c r="AI11" i="32"/>
  <c r="AJ11" i="32"/>
  <c r="AI19" i="32"/>
  <c r="AK19" i="32"/>
  <c r="AJ19" i="32"/>
  <c r="F17" i="102" s="1"/>
  <c r="J23" i="111"/>
  <c r="J23" i="110"/>
  <c r="J23" i="107"/>
  <c r="E19" i="102"/>
  <c r="C19" i="102"/>
  <c r="J22" i="110"/>
  <c r="J22" i="107"/>
  <c r="J22" i="111"/>
  <c r="C17" i="102"/>
  <c r="F19" i="102"/>
  <c r="J21" i="110"/>
  <c r="J21" i="107"/>
  <c r="J21" i="111"/>
  <c r="C16" i="102"/>
  <c r="F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1" i="32"/>
  <c r="U22" i="32"/>
  <c r="U23" i="32"/>
  <c r="U5" i="32"/>
  <c r="O23" i="49" l="1"/>
  <c r="O4" i="49" l="1"/>
  <c r="O20" i="49"/>
  <c r="O22" i="49"/>
  <c r="O10" i="49"/>
  <c r="O3" i="49"/>
  <c r="O17" i="49"/>
  <c r="O6" i="49"/>
  <c r="O16" i="49"/>
  <c r="O18" i="49"/>
  <c r="O11" i="49"/>
  <c r="O8" i="49"/>
  <c r="O5" i="49"/>
  <c r="O14" i="49"/>
  <c r="O7" i="49"/>
  <c r="O12" i="49"/>
  <c r="O13"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4"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21" i="49" l="1"/>
  <c r="U20"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1" i="32"/>
  <c r="AQ22" i="32"/>
  <c r="AQ23"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K23" i="103" l="1"/>
  <c r="K27" i="103"/>
  <c r="K28" i="103" s="1"/>
  <c r="K30" i="103"/>
  <c r="K31" i="103" s="1"/>
  <c r="L16" i="103"/>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E19" i="83"/>
  <c r="R21" i="32"/>
  <c r="E10" i="83" s="1"/>
  <c r="S21" i="32"/>
  <c r="R22" i="32"/>
  <c r="E11" i="83" s="1"/>
  <c r="S22" i="32"/>
  <c r="R23" i="32"/>
  <c r="E8" i="83" s="1"/>
  <c r="S23"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2"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1" i="32"/>
  <c r="N22" i="32"/>
  <c r="N23"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8" i="49"/>
  <c r="M40" i="78"/>
  <c r="N7" i="78"/>
  <c r="L40" i="78"/>
  <c r="I6" i="78"/>
  <c r="I13" i="78" s="1"/>
  <c r="U10" i="49"/>
  <c r="U22" i="49"/>
  <c r="U14" i="49"/>
  <c r="U11" i="49"/>
  <c r="U13" i="49"/>
  <c r="U6" i="49"/>
  <c r="U9" i="49"/>
  <c r="U5" i="49"/>
  <c r="U3" i="49"/>
  <c r="K40" i="78"/>
  <c r="N8" i="79"/>
  <c r="P8" i="79"/>
  <c r="O8" i="79"/>
  <c r="P7" i="79"/>
  <c r="C13" i="79" s="1"/>
  <c r="O7" i="79"/>
  <c r="F12" i="79" s="1"/>
  <c r="N6" i="79"/>
  <c r="O6" i="79" s="1"/>
  <c r="P6" i="79"/>
  <c r="E19" i="78"/>
  <c r="C19" i="78" s="1"/>
  <c r="F20" i="79" s="1"/>
  <c r="F21" i="78"/>
  <c r="F6" i="78"/>
  <c r="F26" i="78" s="1"/>
  <c r="G6" i="78"/>
  <c r="J40" i="78"/>
  <c r="W23" i="32"/>
  <c r="K23" i="32"/>
  <c r="L23"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2" i="32"/>
  <c r="L22" i="32"/>
  <c r="K22"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1" i="32"/>
  <c r="W10" i="32"/>
  <c r="W8" i="32"/>
  <c r="W11"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4"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11" i="32"/>
  <c r="L11" i="32"/>
  <c r="K13" i="32"/>
  <c r="L13" i="32"/>
  <c r="K21" i="32"/>
  <c r="L21"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20" i="32" l="1"/>
  <c r="F8" i="32"/>
  <c r="F16" i="32"/>
  <c r="F17" i="32"/>
  <c r="F12" i="32"/>
  <c r="F21" i="32"/>
  <c r="F10" i="32"/>
  <c r="F19" i="32"/>
  <c r="F5" i="32"/>
  <c r="F23" i="32"/>
  <c r="F9" i="32"/>
  <c r="F6" i="32"/>
  <c r="D12" i="111"/>
  <c r="F7" i="32"/>
  <c r="D15" i="111" s="1"/>
  <c r="F13" i="32"/>
  <c r="F11" i="32"/>
  <c r="F22" i="32"/>
  <c r="F15" i="32"/>
  <c r="F14" i="32"/>
  <c r="F18"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0"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3" i="32"/>
  <c r="C19" i="32"/>
  <c r="C21" i="32"/>
  <c r="C22" i="32"/>
  <c r="C15" i="32"/>
  <c r="C6" i="32"/>
  <c r="C8" i="32"/>
  <c r="C9" i="32"/>
  <c r="C10" i="32"/>
  <c r="C14" i="32"/>
  <c r="C13"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<sst xmlns="http://schemas.openxmlformats.org/spreadsheetml/2006/main" count="4181" uniqueCount="881">
  <si>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</si>
  <si>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</si>
  <si>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</si>
  <si>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</si>
  <si>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</si>
  <si>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</si>
  <si>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</si>
  <si>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</si>
  <si>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</si>
  <si>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</si>
  <si>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</si>
  <si>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</si>
  <si>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</si>
  <si>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</si>
  <si>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</si>
  <si>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</si>
  <si>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</si>
  <si>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</si>
  <si>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</si>
  <si>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</si>
  <si>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</si>
  <si>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</si>
  <si>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</si>
  <si>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</si>
  <si>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</si>
  <si>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</si>
  <si>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</si>
  <si>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</si>
  <si>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</si>
  <si>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</si>
  <si>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</si>
  <si>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</si>
  <si>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</si>
  <si>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</si>
  <si>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</si>
  <si>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</si>
  <si>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</si>
  <si>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</si>
  <si>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</si>
  <si>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</si>
  <si>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</si>
  <si>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</si>
  <si>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</si>
  <si>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</si>
  <si>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</si>
  <si>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</si>
  <si>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</si>
  <si>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</si>
  <si>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</si>
  <si>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</si>
  <si>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</si>
  <si>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</si>
  <si>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</si>
  <si>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</si>
  <si>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</si>
  <si>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</si>
  <si>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</si>
  <si>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</si>
  <si>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</si>
  <si>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</si>
  <si>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</si>
  <si>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</si>
  <si>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</si>
  <si>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</si>
  <si>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</si>
  <si>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</si>
  <si>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</si>
  <si>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</si>
  <si>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</si>
  <si>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</si>
  <si>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</si>
  <si>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</si>
  <si>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</si>
  <si>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</si>
  <si>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</si>
  <si>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</si>
  <si>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</si>
  <si>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</si>
  <si>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</si>
  <si>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</si>
  <si>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</si>
  <si>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</si>
  <si>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</si>
  <si>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</si>
  <si>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</si>
  <si>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</si>
  <si>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</si>
  <si>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</si>
  <si>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</si>
  <si>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</si>
  <si>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</si>
  <si>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</si>
  <si>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</si>
  <si>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</si>
  <si>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</si>
  <si>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</si>
  <si>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</si>
  <si>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</si>
  <si>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</si>
  <si>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</si>
  <si>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</si>
  <si>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</si>
  <si>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</si>
  <si>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</si>
  <si>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</si>
  <si>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</si>
  <si>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</si>
  <si>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</si>
  <si>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</si>
  <si>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</si>
  <si>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</si>
  <si>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</si>
  <si>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</si>
  <si>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</si>
  <si>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</si>
  <si>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</si>
  <si>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</si>
  <si>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</si>
  <si>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</si>
  <si>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</si>
  <si>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</si>
  <si>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</si>
  <si>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</si>
  <si>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</si>
  <si>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</si>
  <si>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</si>
  <si>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</si>
  <si>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</si>
  <si>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</si>
  <si>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</si>
  <si>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</si>
  <si>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</si>
  <si>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</si>
  <si>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</si>
  <si>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</si>
  <si>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</si>
  <si>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</si>
  <si>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</si>
  <si>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</si>
  <si>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</si>
  <si>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</si>
  <si>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</si>
  <si>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</si>
  <si>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</si>
  <si>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</si>
  <si>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</si>
  <si>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</si>
  <si>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</si>
  <si>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</si>
  <si>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</si>
  <si>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</si>
  <si>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</si>
  <si>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</si>
  <si>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</si>
  <si>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</si>
  <si>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</si>
  <si>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</si>
  <si>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</si>
  <si>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</si>
  <si>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</si>
  <si>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</si>
  <si>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</si>
  <si>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</si>
  <si>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</si>
  <si>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</si>
  <si>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</si>
  <si>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</si>
  <si>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</si>
  <si>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</si>
  <si>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</si>
  <si>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</si>
  <si>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</si>
  <si>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</si>
  <si>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</si>
  <si>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</si>
  <si>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</si>
  <si>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</si>
  <si>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</si>
  <si>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</si>
  <si>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</si>
  <si>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</si>
  <si>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</si>
  <si>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</si>
  <si>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</si>
  <si>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</si>
  <si>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</si>
  <si>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</si>
  <si>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</si>
  <si>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</si>
  <si>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</si>
  <si>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</si>
  <si>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</si>
  <si>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</si>
  <si>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</si>
  <si>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</si>
  <si>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</si>
  <si>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</si>
  <si>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</si>
  <si>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</si>
  <si>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</si>
  <si>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</si>
  <si>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</si>
  <si>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</si>
  <si>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</si>
  <si>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</si>
  <si>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</si>
  <si>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</si>
  <si>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</si>
  <si>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</si>
  <si>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</si>
  <si>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</si>
  <si>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</si>
  <si>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</si>
  <si>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</si>
  <si>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</si>
  <si>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</si>
  <si>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</si>
  <si>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</si>
  <si>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</si>
  <si>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</si>
  <si>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</si>
  <si>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</si>
  <si>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</si>
  <si>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</si>
  <si>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</si>
  <si>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</si>
  <si>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</si>
  <si>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</si>
  <si>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</si>
  <si>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</si>
  <si>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</si>
  <si>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</si>
  <si>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</si>
  <si>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</si>
  <si>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</si>
  <si>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</si>
  <si>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</si>
  <si>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</si>
  <si>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</si>
  <si>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</si>
  <si>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</si>
  <si>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</si>
  <si>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</si>
  <si>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</si>
  <si>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</si>
  <si>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</si>
  <si>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</si>
  <si>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</si>
  <si>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</si>
  <si>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</si>
  <si>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</si>
  <si>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</si>
  <si>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</si>
  <si>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</si>
  <si>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</si>
  <si>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</si>
  <si>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</si>
  <si>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</si>
  <si>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</si>
  <si>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</si>
  <si>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</si>
  <si>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</si>
  <si>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</si>
  <si>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</si>
  <si>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</si>
  <si>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</si>
  <si>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</si>
  <si>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</si>
  <si>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</si>
  <si>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</si>
  <si>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</si>
  <si>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</si>
  <si>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</si>
  <si>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</si>
  <si>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</si>
  <si>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</si>
  <si>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</si>
  <si>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</si>
  <si>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</si>
  <si>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</si>
  <si>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</si>
  <si>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</si>
  <si>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</si>
  <si>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</si>
  <si>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</si>
  <si>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</si>
  <si>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</si>
  <si>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</si>
  <si>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</si>
  <si>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</si>
  <si>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</si>
  <si>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</si>
  <si>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</si>
  <si>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</si>
  <si>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</si>
  <si>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</si>
  <si>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</si>
  <si>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</si>
  <si>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</si>
  <si>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</si>
  <si>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</si>
  <si>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</si>
  <si>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</si>
  <si>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</si>
  <si>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</si>
  <si>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</si>
  <si>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</si>
  <si>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</si>
  <si>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</si>
  <si>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</si>
  <si>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</si>
  <si>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</si>
  <si>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</si>
  <si>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</si>
  <si>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</si>
  <si>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</si>
  <si>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</si>
  <si>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</si>
  <si>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</si>
  <si>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</si>
  <si>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</si>
  <si>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</si>
  <si>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</si>
  <si>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</si>
  <si>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</si>
  <si>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</si>
  <si>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</si>
  <si>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</si>
  <si>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</si>
  <si>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</si>
  <si>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</si>
  <si>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</si>
  <si>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</si>
  <si>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</si>
  <si>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</si>
  <si>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</si>
  <si>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</si>
  <si>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</si>
  <si>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</si>
  <si>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</si>
  <si>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</si>
  <si>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</si>
  <si>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</si>
  <si>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</si>
  <si>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</si>
  <si>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</si>
  <si>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</si>
  <si>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</si>
  <si>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</si>
  <si>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</si>
  <si>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</si>
  <si>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</si>
  <si>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</si>
  <si>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</si>
  <si>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</si>
  <si>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</si>
  <si>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</si>
  <si>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</si>
  <si>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</si>
  <si>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</si>
  <si>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</si>
  <si>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</si>
  <si>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</si>
  <si>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</si>
  <si>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</si>
  <si>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</si>
  <si>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</si>
  <si>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</si>
  <si>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</si>
  <si>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</si>
  <si>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</si>
  <si>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</si>
  <si>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</si>
  <si>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</si>
  <si>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</si>
  <si>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</si>
  <si>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</si>
  <si>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</si>
  <si>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</si>
  <si>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</si>
  <si>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</si>
  <si>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</si>
  <si>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</si>
  <si>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</si>
  <si>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</si>
  <si>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</si>
  <si>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</si>
  <si>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</si>
  <si>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</si>
  <si>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</si>
  <si>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</si>
  <si>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</si>
  <si>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</si>
  <si>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</si>
  <si>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</si>
  <si>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</si>
  <si>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</si>
  <si>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</si>
  <si>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</si>
  <si>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</si>
  <si>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</si>
  <si>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</si>
  <si>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</si>
  <si>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</si>
  <si>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</si>
  <si>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</si>
  <si>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</si>
  <si>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</si>
  <si>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</si>
  <si>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</si>
  <si>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</si>
  <si>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</si>
  <si>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</si>
  <si>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</si>
  <si>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</si>
  <si>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</si>
  <si>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</si>
  <si>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</si>
  <si>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</si>
  <si>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</si>
  <si>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</si>
  <si>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</si>
  <si>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</si>
  <si>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</si>
  <si>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</si>
  <si>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</si>
  <si>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</si>
  <si>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</si>
  <si>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</si>
  <si>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</si>
  <si>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</si>
  <si>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</si>
  <si>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</si>
  <si>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</si>
  <si>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</si>
  <si>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</si>
  <si>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</si>
  <si>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</si>
  <si>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</si>
  <si>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</si>
  <si>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</si>
  <si>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</si>
  <si>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</si>
  <si>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</si>
  <si>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</si>
  <si>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</si>
  <si>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</si>
  <si>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</si>
  <si>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</si>
  <si>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</si>
  <si>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</si>
  <si>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</si>
  <si>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</si>
  <si>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</si>
  <si>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</si>
  <si>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</si>
  <si>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</si>
  <si>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</si>
  <si>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</si>
  <si>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</si>
  <si>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</si>
  <si>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</si>
  <si>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</si>
  <si>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</si>
  <si>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</si>
  <si>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</si>
  <si>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</si>
  <si>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</si>
  <si>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</si>
  <si>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</si>
  <si>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</si>
  <si>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</si>
  <si>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</si>
  <si>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</si>
  <si>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</si>
  <si>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</si>
  <si>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</si>
  <si>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</si>
  <si>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</si>
  <si>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</si>
  <si>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</si>
  <si>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</si>
  <si>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</si>
  <si>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</si>
  <si>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</si>
  <si>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</si>
  <si>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</si>
  <si>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</si>
  <si>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</si>
  <si>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</si>
  <si>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</si>
  <si>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</si>
  <si>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</si>
  <si>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</si>
  <si>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</si>
  <si>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</si>
  <si>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</si>
  <si>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</si>
  <si>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</si>
  <si>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</si>
  <si>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</si>
  <si>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</si>
  <si>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</si>
  <si>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</si>
  <si>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</si>
  <si>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</si>
  <si>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</si>
  <si>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</si>
  <si>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</si>
  <si>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</si>
  <si>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</si>
  <si>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</si>
  <si>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</si>
  <si>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</si>
  <si>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</si>
  <si>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</si>
  <si>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</si>
  <si>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</si>
  <si>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</si>
  <si>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</si>
  <si>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</si>
  <si>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</si>
  <si>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</si>
  <si>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</si>
  <si>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</si>
  <si>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</si>
  <si>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</si>
  <si>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</si>
  <si>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</si>
  <si>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</si>
  <si>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</si>
  <si>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</si>
  <si>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</si>
  <si>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</si>
  <si>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</si>
  <si>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</si>
  <si>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</si>
  <si>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</si>
  <si>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</si>
  <si>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</si>
  <si>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</si>
  <si>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</si>
  <si>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</si>
  <si>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</si>
  <si>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</si>
  <si>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</si>
  <si>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</si>
  <si>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</si>
  <si>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</si>
  <si>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</si>
  <si>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</si>
  <si>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</si>
  <si>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</si>
  <si>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</si>
  <si>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</si>
  <si>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</si>
  <si>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</si>
  <si>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</si>
  <si>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</si>
  <si>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</si>
  <si>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</si>
  <si>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</si>
  <si>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</si>
  <si>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</si>
  <si>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</si>
  <si>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</si>
  <si>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</si>
  <si>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</si>
  <si>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</si>
  <si>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</si>
  <si>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</si>
  <si>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</si>
  <si>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</si>
  <si>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</si>
  <si>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</si>
  <si>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</si>
  <si>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</si>
  <si>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</si>
  <si>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</si>
  <si>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</si>
  <si>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</si>
  <si>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</si>
  <si>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</si>
  <si>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</si>
  <si>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</si>
  <si>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</si>
  <si>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</si>
  <si>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</si>
  <si>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</si>
  <si>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</si>
  <si>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</si>
  <si>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</si>
  <si>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</si>
  <si>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</si>
  <si>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</si>
  <si>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</si>
  <si>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</si>
  <si>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</si>
  <si>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</si>
  <si>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</si>
  <si>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</si>
  <si>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</si>
  <si>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</si>
  <si>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</si>
  <si>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</si>
  <si>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</si>
  <si>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</si>
  <si>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</si>
  <si>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</si>
  <si>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</si>
  <si>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</si>
  <si>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</si>
  <si>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</si>
  <si>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</si>
  <si>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</si>
  <si>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</si>
  <si>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</si>
  <si>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</si>
  <si>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</si>
  <si>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</si>
  <si>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</si>
  <si>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</si>
  <si>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</si>
  <si>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</si>
  <si>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</si>
  <si>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</si>
  <si>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</si>
  <si>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</si>
  <si>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</si>
  <si>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</si>
  <si>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</si>
  <si>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</si>
  <si>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</si>
  <si>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</si>
  <si>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</si>
  <si>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</si>
  <si>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</si>
  <si>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</si>
  <si>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</si>
  <si>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</si>
  <si>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</si>
  <si>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</si>
  <si>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</si>
  <si>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</si>
  <si>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</si>
  <si>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</si>
  <si>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</si>
  <si>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</si>
  <si>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</si>
  <si>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</si>
  <si>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</si>
  <si>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</si>
  <si>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</si>
  <si>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</si>
  <si>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</si>
  <si>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</si>
  <si>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</si>
  <si>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</si>
  <si>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</si>
  <si>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</si>
  <si>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</si>
  <si>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</si>
  <si>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</si>
  <si>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</si>
  <si>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</si>
  <si>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</si>
  <si>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</si>
  <si>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</si>
  <si>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</si>
  <si>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</si>
  <si>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</si>
  <si>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</si>
  <si>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</si>
  <si>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</si>
  <si>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</si>
  <si>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</si>
  <si>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</si>
  <si>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</si>
  <si>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</si>
  <si>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</si>
  <si>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</si>
  <si>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</si>
  <si>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</si>
  <si>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</si>
  <si>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</si>
  <si>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</si>
  <si>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</si>
  <si>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</si>
  <si>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</si>
  <si>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</si>
  <si>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</si>
  <si>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</si>
  <si>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</si>
  <si>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</si>
  <si>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</si>
  <si>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</si>
  <si>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</si>
  <si>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</si>
  <si>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</si>
  <si>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</si>
  <si>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</si>
  <si>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</si>
  <si>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</si>
  <si>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</si>
  <si>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</si>
  <si>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</si>
  <si>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</si>
  <si>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</si>
  <si>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</si>
  <si>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</si>
  <si>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</si>
  <si>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</si>
  <si>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</si>
  <si>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</si>
  <si>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</si>
  <si>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</si>
  <si>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</si>
  <si>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</si>
  <si>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</si>
  <si>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</si>
  <si>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</si>
  <si>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</si>
  <si>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</si>
  <si>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</si>
  <si>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</si>
  <si>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</si>
  <si>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</si>
  <si>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</si>
  <si>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</si>
  <si>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</si>
  <si>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</si>
  <si>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</si>
  <si>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</si>
  <si>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</si>
  <si>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</si>
  <si>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</si>
  <si>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</si>
  <si>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</si>
  <si>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</si>
  <si>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</si>
  <si>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</si>
  <si>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</si>
  <si>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</si>
  <si>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</si>
  <si>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</si>
  <si>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</si>
  <si>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</si>
  <si>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</si>
  <si>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</si>
  <si>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</si>
  <si>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</si>
  <si>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</si>
  <si>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</si>
  <si>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</si>
  <si>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</si>
  <si>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</si>
  <si>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</si>
  <si>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</si>
  <si>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</si>
  <si>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</si>
  <si>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</si>
  <si>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</si>
  <si>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</si>
  <si>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</si>
  <si>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</si>
  <si>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</si>
  <si>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</si>
  <si>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</si>
  <si>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</si>
  <si>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</si>
  <si>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</si>
  <si>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</si>
  <si>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</si>
  <si>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</si>
  <si>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</si>
  <si>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</si>
  <si>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</si>
  <si>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</si>
  <si>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</si>
  <si>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</si>
  <si>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</si>
  <si>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</si>
  <si>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</si>
  <si>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</si>
  <si>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</si>
  <si>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</si>
  <si>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</si>
  <si>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</si>
  <si>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</si>
  <si>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</si>
  <si>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</si>
  <si>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</si>
  <si>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</si>
  <si>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</si>
  <si>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</si>
  <si>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</si>
  <si>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</si>
  <si>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</si>
  <si>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</si>
  <si>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</si>
  <si>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</si>
  <si>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</si>
  <si>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</si>
  <si>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</si>
  <si>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</si>
  <si>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</si>
  <si>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</si>
  <si>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</si>
  <si>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</si>
  <si>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</si>
  <si>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</si>
  <si>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</si>
  <si>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</si>
  <si>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</si>
  <si>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</si>
  <si>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</si>
  <si>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</si>
  <si>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</si>
  <si>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</si>
  <si>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</si>
  <si>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</si>
  <si>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</si>
  <si>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</si>
  <si>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</si>
  <si>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</si>
  <si>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</si>
  <si>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</si>
  <si>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</si>
  <si>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</si>
  <si>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</si>
  <si>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</si>
  <si>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</si>
  <si>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</si>
  <si>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</si>
  <si>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</si>
  <si>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</si>
  <si>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</si>
  <si>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</si>
  <si>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</si>
  <si>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</si>
  <si>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</si>
  <si>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</si>
  <si>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</si>
  <si>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</si>
  <si>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</si>
  <si>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</si>
  <si>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</si>
  <si>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</si>
  <si>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</si>
  <si>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</si>
  <si>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</si>
  <si>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</si>
  <si>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</si>
  <si>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</si>
  <si>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</si>
  <si>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</si>
  <si>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</si>
  <si>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</si>
  <si>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</si>
  <si>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</si>
  <si>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</si>
  <si>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</si>
  <si>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</si>
  <si>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</si>
  <si>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</si>
  <si>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</si>
  <si>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11,5*</t>
  </si>
  <si>
    <t>8,5*</t>
  </si>
  <si>
    <t>513hts</t>
  </si>
  <si>
    <t>Obiwan-Agricola</t>
  </si>
  <si>
    <t>#</t>
  </si>
  <si>
    <t>G. Kerschl</t>
  </si>
  <si>
    <t>G/P</t>
  </si>
  <si>
    <t>Xpe/16,5</t>
  </si>
  <si>
    <t>(xpc * lid^2) ^ (2/3) / 27</t>
  </si>
  <si>
    <t>527hts</t>
  </si>
  <si>
    <t>Obiwan-Knickerbockers</t>
  </si>
  <si>
    <t>Gerolf Kerschl</t>
  </si>
  <si>
    <t>Fcompra</t>
  </si>
  <si>
    <t>13,5*</t>
  </si>
  <si>
    <t>10,5*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</si>
</sst>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6"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5">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NumberFormat="1" applyAlignment="1">
      <alignment horizont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 fillId="30" borderId="16" xfId="0" applyFont="1" applyFill="1" applyBorder="1" applyAlignment="1">
      <alignment horizontal="center" vertical="top"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381410056"/>
        <c:axId val="381410448"/>
      </c:barChart>
      <c:catAx>
        <c:axId val="381410056"/>
        <c:scaling>
          <c:orientation val="minMax"/>
        </c:scaling>
        <c:delete val="0"/>
        <c:axPos val="b"/>
        <c:numFmt formatCode="General" sourceLinked="1"/>
        <c:majorTickMark val="out"/>
        <c:minorTickMark val="none"/>
        <c:tickLblPos val="nextTo"/>
        <c:crossAx val="381410448"/>
        <c:crosses val="autoZero"/>
        <c:auto val="1"/>
        <c:lblAlgn val="ctr"/>
        <c:lblOffset val="100"/>
        <c:noMultiLvlLbl val="0"/>
      </c:catAx>
      <c:valAx>
        <c:axId val="381410448"/>
        <c:scaling>
          <c:orientation val="minMax"/>
        </c:scaling>
        <c:delete val="0"/>
        <c:axPos val="l"/>
        <c:majorGridlines/>
        <c:numFmt formatCode="_-* #,##0\ [$€-C0A]_-;\-* #,##0\ [$€-C0A]_-;_-* &quot;-&quot;??\ [$€-C0A]_-;_-@_-" sourceLinked="1"/>
        <c:majorTickMark val="out"/>
        <c:minorTickMark val="none"/>
        <c:tickLblPos val="nextTo"/>
        <c:crossAx val="3814100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81597808"/>
        <c:axId val="481605648"/>
      </c:barChart>
      <c:catAx>
        <c:axId val="481597808"/>
        <c:scaling>
          <c:orientation val="minMax"/>
        </c:scaling>
        <c:delete val="0"/>
        <c:axPos val="b"/>
        <c:numFmt formatCode="General" sourceLinked="1"/>
        <c:majorTickMark val="out"/>
        <c:minorTickMark val="none"/>
        <c:tickLblPos val="nextTo"/>
        <c:crossAx val="481605648"/>
        <c:crosses val="autoZero"/>
        <c:auto val="1"/>
        <c:lblAlgn val="ctr"/>
        <c:lblOffset val="100"/>
        <c:noMultiLvlLbl val="0"/>
      </c:catAx>
      <c:valAx>
        <c:axId val="481605648"/>
        <c:scaling>
          <c:orientation val="minMax"/>
        </c:scaling>
        <c:delete val="0"/>
        <c:axPos val="l"/>
        <c:majorGridlines/>
        <c:numFmt formatCode="_-* #,##0\ [$€-C0A]_-;\-* #,##0\ [$€-C0A]_-;_-* &quot;-&quot;??\ [$€-C0A]_-;_-@_-" sourceLinked="1"/>
        <c:majorTickMark val="out"/>
        <c:minorTickMark val="none"/>
        <c:tickLblPos val="nextTo"/>
        <c:crossAx val="4815978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481599376"/>
        <c:axId val="481606432"/>
      </c:barChart>
      <c:catAx>
        <c:axId val="481599376"/>
        <c:scaling>
          <c:orientation val="minMax"/>
        </c:scaling>
        <c:delete val="0"/>
        <c:axPos val="b"/>
        <c:numFmt formatCode="General" sourceLinked="1"/>
        <c:majorTickMark val="out"/>
        <c:minorTickMark val="none"/>
        <c:tickLblPos val="nextTo"/>
        <c:crossAx val="481606432"/>
        <c:crosses val="autoZero"/>
        <c:auto val="1"/>
        <c:lblAlgn val="ctr"/>
        <c:lblOffset val="100"/>
        <c:noMultiLvlLbl val="0"/>
      </c:catAx>
      <c:valAx>
        <c:axId val="481606432"/>
        <c:scaling>
          <c:orientation val="minMax"/>
        </c:scaling>
        <c:delete val="0"/>
        <c:axPos val="l"/>
        <c:majorGridlines/>
        <c:numFmt formatCode="_-* #,##0\ [$€-C0A]_-;\-* #,##0\ [$€-C0A]_-;_-* &quot;-&quot;??\ [$€-C0A]_-;_-@_-" sourceLinked="1"/>
        <c:majorTickMark val="out"/>
        <c:minorTickMark val="none"/>
        <c:tickLblPos val="nextTo"/>
        <c:crossAx val="4815993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81597024"/>
        <c:axId val="481600160"/>
      </c:barChart>
      <c:catAx>
        <c:axId val="481597024"/>
        <c:scaling>
          <c:orientation val="minMax"/>
        </c:scaling>
        <c:delete val="0"/>
        <c:axPos val="b"/>
        <c:numFmt formatCode="General" sourceLinked="1"/>
        <c:majorTickMark val="out"/>
        <c:minorTickMark val="none"/>
        <c:tickLblPos val="nextTo"/>
        <c:crossAx val="481600160"/>
        <c:crosses val="autoZero"/>
        <c:auto val="1"/>
        <c:lblAlgn val="ctr"/>
        <c:lblOffset val="100"/>
        <c:noMultiLvlLbl val="0"/>
      </c:catAx>
      <c:valAx>
        <c:axId val="481600160"/>
        <c:scaling>
          <c:orientation val="minMax"/>
        </c:scaling>
        <c:delete val="0"/>
        <c:axPos val="l"/>
        <c:majorGridlines/>
        <c:numFmt formatCode="_-* #,##0\ [$€-C0A]_-;\-* #,##0\ [$€-C0A]_-;_-* &quot;-&quot;??\ [$€-C0A]_-;_-@_-" sourceLinked="1"/>
        <c:majorTickMark val="out"/>
        <c:minorTickMark val="none"/>
        <c:tickLblPos val="nextTo"/>
        <c:crossAx val="4815970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481607608"/>
        <c:axId val="481596632"/>
      </c:barChart>
      <c:catAx>
        <c:axId val="481607608"/>
        <c:scaling>
          <c:orientation val="minMax"/>
        </c:scaling>
        <c:delete val="0"/>
        <c:axPos val="b"/>
        <c:numFmt formatCode="General" sourceLinked="1"/>
        <c:majorTickMark val="out"/>
        <c:minorTickMark val="none"/>
        <c:tickLblPos val="nextTo"/>
        <c:crossAx val="481596632"/>
        <c:crosses val="autoZero"/>
        <c:auto val="1"/>
        <c:lblAlgn val="ctr"/>
        <c:lblOffset val="100"/>
        <c:noMultiLvlLbl val="0"/>
      </c:catAx>
      <c:valAx>
        <c:axId val="481596632"/>
        <c:scaling>
          <c:orientation val="minMax"/>
        </c:scaling>
        <c:delete val="0"/>
        <c:axPos val="l"/>
        <c:majorGridlines/>
        <c:numFmt formatCode="_-* #,##0\ [$€-C0A]_-;\-* #,##0\ [$€-C0A]_-;_-* &quot;-&quot;??\ [$€-C0A]_-;_-@_-" sourceLinked="1"/>
        <c:majorTickMark val="out"/>
        <c:minorTickMark val="none"/>
        <c:tickLblPos val="nextTo"/>
        <c:crossAx val="4816076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481595456"/>
        <c:axId val="481595848"/>
      </c:barChart>
      <c:catAx>
        <c:axId val="481595456"/>
        <c:scaling>
          <c:orientation val="minMax"/>
        </c:scaling>
        <c:delete val="0"/>
        <c:axPos val="b"/>
        <c:numFmt formatCode="General" sourceLinked="1"/>
        <c:majorTickMark val="out"/>
        <c:minorTickMark val="none"/>
        <c:tickLblPos val="nextTo"/>
        <c:crossAx val="481595848"/>
        <c:crosses val="autoZero"/>
        <c:auto val="1"/>
        <c:lblAlgn val="ctr"/>
        <c:lblOffset val="100"/>
        <c:noMultiLvlLbl val="0"/>
      </c:catAx>
      <c:valAx>
        <c:axId val="481595848"/>
        <c:scaling>
          <c:orientation val="minMax"/>
        </c:scaling>
        <c:delete val="0"/>
        <c:axPos val="l"/>
        <c:majorGridlines/>
        <c:numFmt formatCode="_-* #,##0\ [$€-C0A]_-;\-* #,##0\ [$€-C0A]_-;_-* &quot;-&quot;??\ [$€-C0A]_-;_-@_-" sourceLinked="1"/>
        <c:majorTickMark val="out"/>
        <c:minorTickMark val="none"/>
        <c:tickLblPos val="nextTo"/>
        <c:crossAx val="4815954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481601336"/>
        <c:axId val="481611136"/>
      </c:barChart>
      <c:catAx>
        <c:axId val="481601336"/>
        <c:scaling>
          <c:orientation val="minMax"/>
        </c:scaling>
        <c:delete val="0"/>
        <c:axPos val="b"/>
        <c:numFmt formatCode="General" sourceLinked="1"/>
        <c:majorTickMark val="out"/>
        <c:minorTickMark val="none"/>
        <c:tickLblPos val="nextTo"/>
        <c:crossAx val="481611136"/>
        <c:crosses val="autoZero"/>
        <c:auto val="1"/>
        <c:lblAlgn val="ctr"/>
        <c:lblOffset val="100"/>
        <c:noMultiLvlLbl val="0"/>
      </c:catAx>
      <c:valAx>
        <c:axId val="481611136"/>
        <c:scaling>
          <c:orientation val="minMax"/>
        </c:scaling>
        <c:delete val="0"/>
        <c:axPos val="l"/>
        <c:majorGridlines/>
        <c:numFmt formatCode="_-* #,##0\ [$€-C0A]_-;\-* #,##0\ [$€-C0A]_-;_-* &quot;-&quot;??\ [$€-C0A]_-;_-@_-" sourceLinked="1"/>
        <c:majorTickMark val="out"/>
        <c:minorTickMark val="none"/>
        <c:tickLblPos val="nextTo"/>
        <c:crossAx val="4816013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81610744"/>
        <c:axId val="481608784"/>
      </c:barChart>
      <c:catAx>
        <c:axId val="481610744"/>
        <c:scaling>
          <c:orientation val="minMax"/>
        </c:scaling>
        <c:delete val="0"/>
        <c:axPos val="b"/>
        <c:numFmt formatCode="General" sourceLinked="1"/>
        <c:majorTickMark val="out"/>
        <c:minorTickMark val="none"/>
        <c:tickLblPos val="nextTo"/>
        <c:crossAx val="481608784"/>
        <c:crosses val="autoZero"/>
        <c:auto val="1"/>
        <c:lblAlgn val="ctr"/>
        <c:lblOffset val="100"/>
        <c:noMultiLvlLbl val="0"/>
      </c:catAx>
      <c:valAx>
        <c:axId val="481608784"/>
        <c:scaling>
          <c:orientation val="minMax"/>
        </c:scaling>
        <c:delete val="0"/>
        <c:axPos val="l"/>
        <c:majorGridlines/>
        <c:numFmt formatCode="_-* #,##0\ [$€-C0A]_-;\-* #,##0\ [$€-C0A]_-;_-* &quot;-&quot;??\ [$€-C0A]_-;_-@_-" sourceLinked="1"/>
        <c:majorTickMark val="out"/>
        <c:minorTickMark val="none"/>
        <c:tickLblPos val="nextTo"/>
        <c:crossAx val="4816107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81609568"/>
        <c:axId val="481610352"/>
      </c:barChart>
      <c:catAx>
        <c:axId val="481609568"/>
        <c:scaling>
          <c:orientation val="minMax"/>
        </c:scaling>
        <c:delete val="0"/>
        <c:axPos val="b"/>
        <c:numFmt formatCode="General" sourceLinked="1"/>
        <c:majorTickMark val="out"/>
        <c:minorTickMark val="none"/>
        <c:tickLblPos val="nextTo"/>
        <c:crossAx val="481610352"/>
        <c:crosses val="autoZero"/>
        <c:auto val="1"/>
        <c:lblAlgn val="ctr"/>
        <c:lblOffset val="100"/>
        <c:noMultiLvlLbl val="0"/>
      </c:catAx>
      <c:valAx>
        <c:axId val="481610352"/>
        <c:scaling>
          <c:orientation val="minMax"/>
        </c:scaling>
        <c:delete val="0"/>
        <c:axPos val="l"/>
        <c:majorGridlines/>
        <c:numFmt formatCode="_-* #,##0\ [$€-C0A]_-;\-* #,##0\ [$€-C0A]_-;_-* &quot;-&quot;??\ [$€-C0A]_-;_-@_-" sourceLinked="1"/>
        <c:majorTickMark val="out"/>
        <c:minorTickMark val="none"/>
        <c:tickLblPos val="nextTo"/>
        <c:crossAx val="4816095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81609960"/>
        <c:axId val="484112064"/>
      </c:barChart>
      <c:catAx>
        <c:axId val="481609960"/>
        <c:scaling>
          <c:orientation val="minMax"/>
        </c:scaling>
        <c:delete val="0"/>
        <c:axPos val="b"/>
        <c:numFmt formatCode="General" sourceLinked="1"/>
        <c:majorTickMark val="out"/>
        <c:minorTickMark val="none"/>
        <c:tickLblPos val="nextTo"/>
        <c:crossAx val="484112064"/>
        <c:crosses val="autoZero"/>
        <c:auto val="1"/>
        <c:lblAlgn val="ctr"/>
        <c:lblOffset val="100"/>
        <c:noMultiLvlLbl val="0"/>
      </c:catAx>
      <c:valAx>
        <c:axId val="484112064"/>
        <c:scaling>
          <c:orientation val="minMax"/>
        </c:scaling>
        <c:delete val="0"/>
        <c:axPos val="l"/>
        <c:majorGridlines/>
        <c:numFmt formatCode="_-* #,##0\ [$€-C0A]_-;\-* #,##0\ [$€-C0A]_-;_-* &quot;-&quot;??\ [$€-C0A]_-;_-@_-" sourceLinked="1"/>
        <c:majorTickMark val="out"/>
        <c:minorTickMark val="none"/>
        <c:tickLblPos val="nextTo"/>
        <c:crossAx val="4816099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484114024"/>
        <c:axId val="484106576"/>
      </c:barChart>
      <c:catAx>
        <c:axId val="484114024"/>
        <c:scaling>
          <c:orientation val="minMax"/>
        </c:scaling>
        <c:delete val="0"/>
        <c:axPos val="b"/>
        <c:numFmt formatCode="General" sourceLinked="1"/>
        <c:majorTickMark val="out"/>
        <c:minorTickMark val="none"/>
        <c:tickLblPos val="nextTo"/>
        <c:crossAx val="484106576"/>
        <c:crosses val="autoZero"/>
        <c:auto val="1"/>
        <c:lblAlgn val="ctr"/>
        <c:lblOffset val="100"/>
        <c:noMultiLvlLbl val="0"/>
      </c:catAx>
      <c:valAx>
        <c:axId val="484106576"/>
        <c:scaling>
          <c:orientation val="minMax"/>
        </c:scaling>
        <c:delete val="0"/>
        <c:axPos val="l"/>
        <c:majorGridlines/>
        <c:numFmt formatCode="_-* #,##0\ [$€-C0A]_-;\-* #,##0\ [$€-C0A]_-;_-* &quot;-&quot;??\ [$€-C0A]_-;_-@_-" sourceLinked="1"/>
        <c:majorTickMark val="out"/>
        <c:minorTickMark val="none"/>
        <c:tickLblPos val="nextTo"/>
        <c:crossAx val="4841140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81422992"/>
        <c:axId val="381419856"/>
      </c:barChart>
      <c:catAx>
        <c:axId val="381422992"/>
        <c:scaling>
          <c:orientation val="minMax"/>
        </c:scaling>
        <c:delete val="0"/>
        <c:axPos val="b"/>
        <c:numFmt formatCode="General" sourceLinked="1"/>
        <c:majorTickMark val="out"/>
        <c:minorTickMark val="none"/>
        <c:tickLblPos val="nextTo"/>
        <c:crossAx val="381419856"/>
        <c:crosses val="autoZero"/>
        <c:auto val="1"/>
        <c:lblAlgn val="ctr"/>
        <c:lblOffset val="100"/>
        <c:noMultiLvlLbl val="0"/>
      </c:catAx>
      <c:valAx>
        <c:axId val="381419856"/>
        <c:scaling>
          <c:orientation val="minMax"/>
        </c:scaling>
        <c:delete val="0"/>
        <c:axPos val="l"/>
        <c:majorGridlines/>
        <c:numFmt formatCode="_-* #,##0\ [$€-C0A]_-;\-* #,##0\ [$€-C0A]_-;_-* &quot;-&quot;??\ [$€-C0A]_-;_-@_-" sourceLinked="1"/>
        <c:majorTickMark val="out"/>
        <c:minorTickMark val="none"/>
        <c:tickLblPos val="nextTo"/>
        <c:crossAx val="3814229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84106968"/>
        <c:axId val="484111672"/>
      </c:barChart>
      <c:catAx>
        <c:axId val="484106968"/>
        <c:scaling>
          <c:orientation val="minMax"/>
        </c:scaling>
        <c:delete val="0"/>
        <c:axPos val="b"/>
        <c:numFmt formatCode="General" sourceLinked="1"/>
        <c:majorTickMark val="out"/>
        <c:minorTickMark val="none"/>
        <c:tickLblPos val="nextTo"/>
        <c:crossAx val="484111672"/>
        <c:crosses val="autoZero"/>
        <c:auto val="1"/>
        <c:lblAlgn val="ctr"/>
        <c:lblOffset val="100"/>
        <c:noMultiLvlLbl val="0"/>
      </c:catAx>
      <c:valAx>
        <c:axId val="484111672"/>
        <c:scaling>
          <c:orientation val="minMax"/>
        </c:scaling>
        <c:delete val="0"/>
        <c:axPos val="l"/>
        <c:majorGridlines/>
        <c:numFmt formatCode="_-* #,##0\ [$€-C0A]_-;\-* #,##0\ [$€-C0A]_-;_-* &quot;-&quot;??\ [$€-C0A]_-;_-@_-" sourceLinked="1"/>
        <c:majorTickMark val="out"/>
        <c:minorTickMark val="none"/>
        <c:tickLblPos val="nextTo"/>
        <c:crossAx val="4841069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484108144"/>
        <c:axId val="484103832"/>
      </c:barChart>
      <c:catAx>
        <c:axId val="484108144"/>
        <c:scaling>
          <c:orientation val="minMax"/>
        </c:scaling>
        <c:delete val="0"/>
        <c:axPos val="b"/>
        <c:numFmt formatCode="General" sourceLinked="1"/>
        <c:majorTickMark val="out"/>
        <c:minorTickMark val="none"/>
        <c:tickLblPos val="nextTo"/>
        <c:crossAx val="484103832"/>
        <c:crosses val="autoZero"/>
        <c:auto val="1"/>
        <c:lblAlgn val="ctr"/>
        <c:lblOffset val="100"/>
        <c:noMultiLvlLbl val="0"/>
      </c:catAx>
      <c:valAx>
        <c:axId val="484103832"/>
        <c:scaling>
          <c:orientation val="minMax"/>
        </c:scaling>
        <c:delete val="0"/>
        <c:axPos val="l"/>
        <c:majorGridlines/>
        <c:numFmt formatCode="_-* #,##0\ [$€-C0A]_-;\-* #,##0\ [$€-C0A]_-;_-* &quot;-&quot;??\ [$€-C0A]_-;_-@_-" sourceLinked="1"/>
        <c:majorTickMark val="out"/>
        <c:minorTickMark val="none"/>
        <c:tickLblPos val="nextTo"/>
        <c:crossAx val="4841081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84106184"/>
        <c:axId val="484112456"/>
      </c:barChart>
      <c:catAx>
        <c:axId val="484106184"/>
        <c:scaling>
          <c:orientation val="minMax"/>
        </c:scaling>
        <c:delete val="0"/>
        <c:axPos val="b"/>
        <c:numFmt formatCode="General" sourceLinked="1"/>
        <c:majorTickMark val="out"/>
        <c:minorTickMark val="none"/>
        <c:tickLblPos val="nextTo"/>
        <c:crossAx val="484112456"/>
        <c:crosses val="autoZero"/>
        <c:auto val="1"/>
        <c:lblAlgn val="ctr"/>
        <c:lblOffset val="100"/>
        <c:noMultiLvlLbl val="0"/>
      </c:catAx>
      <c:valAx>
        <c:axId val="484112456"/>
        <c:scaling>
          <c:orientation val="minMax"/>
        </c:scaling>
        <c:delete val="0"/>
        <c:axPos val="l"/>
        <c:majorGridlines/>
        <c:numFmt formatCode="_-* #,##0\ [$€-C0A]_-;\-* #,##0\ [$€-C0A]_-;_-* &quot;-&quot;??\ [$€-C0A]_-;_-@_-" sourceLinked="1"/>
        <c:majorTickMark val="out"/>
        <c:minorTickMark val="none"/>
        <c:tickLblPos val="nextTo"/>
        <c:crossAx val="4841061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484111280"/>
        <c:axId val="484102264"/>
      </c:lineChart>
      <c:catAx>
        <c:axId val="484111280"/>
        <c:scaling>
          <c:orientation val="minMax"/>
        </c:scaling>
        <c:delete val="0"/>
        <c:axPos val="b"/>
        <c:numFmt formatCode="General" sourceLinked="0"/>
        <c:majorTickMark val="out"/>
        <c:minorTickMark val="none"/>
        <c:tickLblPos val="nextTo"/>
        <c:crossAx val="484102264"/>
        <c:crosses val="autoZero"/>
        <c:auto val="1"/>
        <c:lblAlgn val="ctr"/>
        <c:lblOffset val="100"/>
        <c:noMultiLvlLbl val="0"/>
      </c:catAx>
      <c:valAx>
        <c:axId val="484102264"/>
        <c:scaling>
          <c:orientation val="minMax"/>
          <c:min val="0"/>
        </c:scaling>
        <c:delete val="0"/>
        <c:axPos val="l"/>
        <c:majorGridlines/>
        <c:numFmt formatCode="General" sourceLinked="1"/>
        <c:majorTickMark val="out"/>
        <c:minorTickMark val="none"/>
        <c:tickLblPos val="nextTo"/>
        <c:crossAx val="484111280"/>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81420248"/>
        <c:axId val="381422208"/>
      </c:barChart>
      <c:catAx>
        <c:axId val="381420248"/>
        <c:scaling>
          <c:orientation val="minMax"/>
        </c:scaling>
        <c:delete val="0"/>
        <c:axPos val="b"/>
        <c:numFmt formatCode="General" sourceLinked="1"/>
        <c:majorTickMark val="out"/>
        <c:minorTickMark val="none"/>
        <c:tickLblPos val="nextTo"/>
        <c:crossAx val="381422208"/>
        <c:crosses val="autoZero"/>
        <c:auto val="1"/>
        <c:lblAlgn val="ctr"/>
        <c:lblOffset val="100"/>
        <c:noMultiLvlLbl val="0"/>
      </c:catAx>
      <c:valAx>
        <c:axId val="381422208"/>
        <c:scaling>
          <c:orientation val="minMax"/>
        </c:scaling>
        <c:delete val="0"/>
        <c:axPos val="l"/>
        <c:majorGridlines/>
        <c:numFmt formatCode="_-* #,##0\ [$€-C0A]_-;\-* #,##0\ [$€-C0A]_-;_-* &quot;-&quot;??\ [$€-C0A]_-;_-@_-" sourceLinked="1"/>
        <c:majorTickMark val="out"/>
        <c:minorTickMark val="none"/>
        <c:tickLblPos val="nextTo"/>
        <c:crossAx val="3814202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81421032"/>
        <c:axId val="381421424"/>
      </c:barChart>
      <c:catAx>
        <c:axId val="381421032"/>
        <c:scaling>
          <c:orientation val="minMax"/>
        </c:scaling>
        <c:delete val="0"/>
        <c:axPos val="b"/>
        <c:numFmt formatCode="General" sourceLinked="1"/>
        <c:majorTickMark val="out"/>
        <c:minorTickMark val="none"/>
        <c:tickLblPos val="nextTo"/>
        <c:crossAx val="381421424"/>
        <c:crosses val="autoZero"/>
        <c:auto val="1"/>
        <c:lblAlgn val="ctr"/>
        <c:lblOffset val="100"/>
        <c:noMultiLvlLbl val="0"/>
      </c:catAx>
      <c:valAx>
        <c:axId val="381421424"/>
        <c:scaling>
          <c:orientation val="minMax"/>
        </c:scaling>
        <c:delete val="0"/>
        <c:axPos val="l"/>
        <c:majorGridlines/>
        <c:numFmt formatCode="_-* #,##0\ [$€-C0A]_-;\-* #,##0\ [$€-C0A]_-;_-* &quot;-&quot;??\ [$€-C0A]_-;_-@_-" sourceLinked="1"/>
        <c:majorTickMark val="out"/>
        <c:minorTickMark val="none"/>
        <c:tickLblPos val="nextTo"/>
        <c:crossAx val="3814210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481602512"/>
        <c:axId val="481603688"/>
      </c:barChart>
      <c:catAx>
        <c:axId val="481602512"/>
        <c:scaling>
          <c:orientation val="minMax"/>
        </c:scaling>
        <c:delete val="0"/>
        <c:axPos val="b"/>
        <c:numFmt formatCode="General" sourceLinked="1"/>
        <c:majorTickMark val="out"/>
        <c:minorTickMark val="none"/>
        <c:tickLblPos val="nextTo"/>
        <c:crossAx val="481603688"/>
        <c:crosses val="autoZero"/>
        <c:auto val="1"/>
        <c:lblAlgn val="ctr"/>
        <c:lblOffset val="100"/>
        <c:noMultiLvlLbl val="0"/>
      </c:catAx>
      <c:valAx>
        <c:axId val="481603688"/>
        <c:scaling>
          <c:orientation val="minMax"/>
        </c:scaling>
        <c:delete val="0"/>
        <c:axPos val="l"/>
        <c:majorGridlines/>
        <c:numFmt formatCode="_-* #,##0\ [$€-C0A]_-;\-* #,##0\ [$€-C0A]_-;_-* &quot;-&quot;??\ [$€-C0A]_-;_-@_-" sourceLinked="1"/>
        <c:majorTickMark val="out"/>
        <c:minorTickMark val="none"/>
        <c:tickLblPos val="nextTo"/>
        <c:crossAx val="4816025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81596240"/>
        <c:axId val="481598984"/>
      </c:barChart>
      <c:catAx>
        <c:axId val="481596240"/>
        <c:scaling>
          <c:orientation val="minMax"/>
        </c:scaling>
        <c:delete val="0"/>
        <c:axPos val="b"/>
        <c:numFmt formatCode="General" sourceLinked="1"/>
        <c:majorTickMark val="out"/>
        <c:minorTickMark val="none"/>
        <c:tickLblPos val="nextTo"/>
        <c:crossAx val="481598984"/>
        <c:crosses val="autoZero"/>
        <c:auto val="1"/>
        <c:lblAlgn val="ctr"/>
        <c:lblOffset val="100"/>
        <c:noMultiLvlLbl val="0"/>
      </c:catAx>
      <c:valAx>
        <c:axId val="481598984"/>
        <c:scaling>
          <c:orientation val="minMax"/>
        </c:scaling>
        <c:delete val="0"/>
        <c:axPos val="l"/>
        <c:majorGridlines/>
        <c:numFmt formatCode="_-* #,##0\ [$€-C0A]_-;\-* #,##0\ [$€-C0A]_-;_-* &quot;-&quot;??\ [$€-C0A]_-;_-@_-" sourceLinked="1"/>
        <c:majorTickMark val="out"/>
        <c:minorTickMark val="none"/>
        <c:tickLblPos val="nextTo"/>
        <c:crossAx val="4815962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81601728"/>
        <c:axId val="481606040"/>
      </c:barChart>
      <c:catAx>
        <c:axId val="481601728"/>
        <c:scaling>
          <c:orientation val="minMax"/>
        </c:scaling>
        <c:delete val="0"/>
        <c:axPos val="b"/>
        <c:numFmt formatCode="General" sourceLinked="1"/>
        <c:majorTickMark val="out"/>
        <c:minorTickMark val="none"/>
        <c:tickLblPos val="nextTo"/>
        <c:crossAx val="481606040"/>
        <c:crosses val="autoZero"/>
        <c:auto val="1"/>
        <c:lblAlgn val="ctr"/>
        <c:lblOffset val="100"/>
        <c:noMultiLvlLbl val="0"/>
      </c:catAx>
      <c:valAx>
        <c:axId val="481606040"/>
        <c:scaling>
          <c:orientation val="minMax"/>
        </c:scaling>
        <c:delete val="0"/>
        <c:axPos val="l"/>
        <c:majorGridlines/>
        <c:numFmt formatCode="_-* #,##0\ [$€-C0A]_-;\-* #,##0\ [$€-C0A]_-;_-* &quot;-&quot;??\ [$€-C0A]_-;_-@_-" sourceLinked="1"/>
        <c:majorTickMark val="out"/>
        <c:minorTickMark val="none"/>
        <c:tickLblPos val="nextTo"/>
        <c:crossAx val="4816017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481602120"/>
        <c:axId val="481600944"/>
      </c:barChart>
      <c:catAx>
        <c:axId val="481602120"/>
        <c:scaling>
          <c:orientation val="minMax"/>
        </c:scaling>
        <c:delete val="0"/>
        <c:axPos val="b"/>
        <c:numFmt formatCode="General" sourceLinked="1"/>
        <c:majorTickMark val="out"/>
        <c:minorTickMark val="none"/>
        <c:tickLblPos val="nextTo"/>
        <c:crossAx val="481600944"/>
        <c:crosses val="autoZero"/>
        <c:auto val="1"/>
        <c:lblAlgn val="ctr"/>
        <c:lblOffset val="100"/>
        <c:noMultiLvlLbl val="0"/>
      </c:catAx>
      <c:valAx>
        <c:axId val="481600944"/>
        <c:scaling>
          <c:orientation val="minMax"/>
        </c:scaling>
        <c:delete val="0"/>
        <c:axPos val="l"/>
        <c:majorGridlines/>
        <c:numFmt formatCode="_-* #,##0\ [$€-C0A]_-;\-* #,##0\ [$€-C0A]_-;_-* &quot;-&quot;??\ [$€-C0A]_-;_-@_-" sourceLinked="1"/>
        <c:majorTickMark val="out"/>
        <c:minorTickMark val="none"/>
        <c:tickLblPos val="nextTo"/>
        <c:crossAx val="4816021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481602904"/>
        <c:axId val="481604472"/>
      </c:barChart>
      <c:catAx>
        <c:axId val="481602904"/>
        <c:scaling>
          <c:orientation val="minMax"/>
        </c:scaling>
        <c:delete val="0"/>
        <c:axPos val="b"/>
        <c:numFmt formatCode="General" sourceLinked="1"/>
        <c:majorTickMark val="out"/>
        <c:minorTickMark val="none"/>
        <c:tickLblPos val="nextTo"/>
        <c:crossAx val="481604472"/>
        <c:crosses val="autoZero"/>
        <c:auto val="1"/>
        <c:lblAlgn val="ctr"/>
        <c:lblOffset val="100"/>
        <c:noMultiLvlLbl val="0"/>
      </c:catAx>
      <c:valAx>
        <c:axId val="481604472"/>
        <c:scaling>
          <c:orientation val="minMax"/>
        </c:scaling>
        <c:delete val="0"/>
        <c:axPos val="l"/>
        <c:majorGridlines/>
        <c:numFmt formatCode="_-* #,##0\ [$€-C0A]_-;\-* #,##0\ [$€-C0A]_-;_-* &quot;-&quot;??\ [$€-C0A]_-;_-@_-" sourceLinked="1"/>
        <c:majorTickMark val="out"/>
        <c:minorTickMark val="none"/>
        <c:tickLblPos val="nextTo"/>
        <c:crossAx val="4816029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8" bestFit="1" customWidth="1"/>
    <col min="7" max="7" width="4.5703125" bestFit="1" customWidth="1"/>
    <col min="8" max="8" width="5.5703125" style="508" bestFit="1" customWidth="1"/>
    <col min="9" max="9" width="5" bestFit="1" customWidth="1"/>
    <col min="10" max="10" width="4.5703125" bestFit="1" customWidth="1"/>
    <col min="11" max="11" width="10.7109375" bestFit="1" customWidth="1"/>
    <col min="12" max="12" width="8.42578125" style="508"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7">
        <f ca="1">TODAY()</f>
        <v>43138</v>
      </c>
      <c r="D1" s="683">
        <v>41471</v>
      </c>
      <c r="E1" s="683"/>
      <c r="F1" s="683"/>
      <c r="H1" s="285"/>
    </row>
    <row r="2" spans="1:17" s="3" customFormat="1" x14ac:dyDescent="0.25">
      <c r="A2" s="3">
        <v>16</v>
      </c>
      <c r="B2" s="285"/>
      <c r="C2" s="314"/>
      <c r="D2" s="297"/>
      <c r="E2" s="297"/>
    </row>
    <row r="3" spans="1:17" s="253" customFormat="1" x14ac:dyDescent="0.25">
      <c r="A3" s="298"/>
      <c r="B3" s="298" t="s">
        <v>435</v>
      </c>
      <c r="C3" s="294" t="s">
        <v>542</v>
      </c>
      <c r="D3" s="262" t="s">
        <v>502</v>
      </c>
      <c r="F3" s="509"/>
      <c r="J3" s="521" t="s">
        <v>502</v>
      </c>
    </row>
    <row r="4" spans="1:17" x14ac:dyDescent="0.25">
      <c r="A4" s="299" t="s">
        <v>413</v>
      </c>
      <c r="B4" s="299" t="s">
        <v>276</v>
      </c>
      <c r="C4" s="301" t="s">
        <v>179</v>
      </c>
      <c r="D4" s="299" t="s">
        <v>182</v>
      </c>
      <c r="E4" s="419" t="s">
        <v>716</v>
      </c>
      <c r="F4" s="419" t="s">
        <v>715</v>
      </c>
      <c r="G4" s="419" t="s">
        <v>717</v>
      </c>
      <c r="H4" s="419" t="s">
        <v>689</v>
      </c>
      <c r="I4" s="419" t="s">
        <v>62</v>
      </c>
      <c r="J4" s="299" t="s">
        <v>182</v>
      </c>
      <c r="K4" s="522" t="s">
        <v>1</v>
      </c>
      <c r="L4" s="522" t="s">
        <v>2</v>
      </c>
      <c r="M4" s="522" t="s">
        <v>697</v>
      </c>
      <c r="N4" s="522" t="s">
        <v>569</v>
      </c>
      <c r="O4" s="522" t="s">
        <v>698</v>
      </c>
      <c r="P4" s="522" t="s">
        <v>578</v>
      </c>
      <c r="Q4" s="522" t="s">
        <v>0</v>
      </c>
    </row>
    <row r="5" spans="1:17" s="248" customFormat="1" x14ac:dyDescent="0.25">
      <c r="A5" s="384" t="s">
        <v>484</v>
      </c>
      <c r="B5" s="384" t="s">
        <v>1</v>
      </c>
      <c r="C5" s="448" t="s">
        <v>266</v>
      </c>
      <c r="D5" s="388" t="s">
        <v>174</v>
      </c>
      <c r="E5" s="513">
        <v>41400</v>
      </c>
      <c r="F5" s="592">
        <f ca="1">TODAY()-E5</f>
        <v>1738</v>
      </c>
      <c r="G5" s="593">
        <f ca="1">F5/112</f>
        <v>15.517857142857142</v>
      </c>
      <c r="H5" s="510">
        <v>19</v>
      </c>
      <c r="I5" s="510">
        <v>11</v>
      </c>
      <c r="J5" s="388" t="s">
        <v>174</v>
      </c>
      <c r="K5" s="523" t="s">
        <v>718</v>
      </c>
      <c r="L5" s="562" t="s">
        <v>419</v>
      </c>
      <c r="M5" s="523"/>
      <c r="N5" s="523"/>
      <c r="O5" s="523"/>
      <c r="P5" s="523"/>
      <c r="Q5" s="523"/>
    </row>
    <row r="6" spans="1:17" s="263" customFormat="1" x14ac:dyDescent="0.25">
      <c r="A6" s="384" t="s">
        <v>403</v>
      </c>
      <c r="B6" s="384" t="s">
        <v>1</v>
      </c>
      <c r="C6" s="448" t="s">
        <v>267</v>
      </c>
      <c r="D6" s="388" t="s">
        <v>502</v>
      </c>
      <c r="E6" s="513">
        <v>41400</v>
      </c>
      <c r="F6" s="592">
        <f t="shared" ref="F6:F20" ca="1" si="0">TODAY()-E6</f>
        <v>1738</v>
      </c>
      <c r="G6" s="593">
        <f t="shared" ref="G6:G20" ca="1" si="1">F6/112</f>
        <v>15.517857142857142</v>
      </c>
      <c r="H6" s="321">
        <v>20</v>
      </c>
      <c r="I6" s="321">
        <v>2</v>
      </c>
      <c r="J6" s="388" t="s">
        <v>502</v>
      </c>
      <c r="K6" s="523" t="s">
        <v>718</v>
      </c>
      <c r="L6" s="358" t="s">
        <v>419</v>
      </c>
      <c r="M6" s="524"/>
      <c r="N6" s="524"/>
      <c r="O6" s="524"/>
      <c r="P6" s="524"/>
      <c r="Q6" s="524"/>
    </row>
    <row r="7" spans="1:17" s="254" customFormat="1" x14ac:dyDescent="0.25">
      <c r="A7" s="305" t="s">
        <v>412</v>
      </c>
      <c r="B7" s="260" t="s">
        <v>2</v>
      </c>
      <c r="C7" s="449" t="s">
        <v>275</v>
      </c>
      <c r="D7" s="262" t="s">
        <v>502</v>
      </c>
      <c r="E7" s="514">
        <v>41519</v>
      </c>
      <c r="F7" s="592">
        <f t="shared" ca="1" si="0"/>
        <v>1619</v>
      </c>
      <c r="G7" s="593">
        <f t="shared" ca="1" si="1"/>
        <v>14.455357142857142</v>
      </c>
      <c r="H7" s="511">
        <f>24-7</f>
        <v>17</v>
      </c>
      <c r="I7" s="511">
        <f>102-(5*7+1)</f>
        <v>66</v>
      </c>
      <c r="J7" s="262" t="s">
        <v>502</v>
      </c>
      <c r="K7" s="523"/>
      <c r="L7" s="523" t="s">
        <v>418</v>
      </c>
      <c r="M7" s="523" t="s">
        <v>417</v>
      </c>
      <c r="N7" s="523"/>
      <c r="O7" s="523" t="s">
        <v>418</v>
      </c>
      <c r="P7" s="523" t="s">
        <v>417</v>
      </c>
      <c r="Q7" s="523"/>
    </row>
    <row r="8" spans="1:17" s="246" customFormat="1" x14ac:dyDescent="0.25">
      <c r="A8" s="384" t="s">
        <v>405</v>
      </c>
      <c r="B8" s="260" t="s">
        <v>2</v>
      </c>
      <c r="C8" s="449" t="s">
        <v>273</v>
      </c>
      <c r="D8" s="262"/>
      <c r="E8" s="514">
        <v>41527</v>
      </c>
      <c r="F8" s="592">
        <f t="shared" ca="1" si="0"/>
        <v>1611</v>
      </c>
      <c r="G8" s="593">
        <f t="shared" ca="1" si="1"/>
        <v>14.383928571428571</v>
      </c>
      <c r="H8" s="511">
        <f>24-7</f>
        <v>17</v>
      </c>
      <c r="I8" s="511">
        <f>41-(4*7)</f>
        <v>13</v>
      </c>
      <c r="J8" s="262"/>
      <c r="K8" s="523"/>
      <c r="L8" s="523" t="s">
        <v>416</v>
      </c>
      <c r="M8" s="523"/>
      <c r="N8" s="523" t="s">
        <v>718</v>
      </c>
      <c r="O8" s="523" t="s">
        <v>416</v>
      </c>
      <c r="P8" s="523" t="s">
        <v>482</v>
      </c>
      <c r="Q8" s="523"/>
    </row>
    <row r="9" spans="1:17" s="247" customFormat="1" x14ac:dyDescent="0.25">
      <c r="A9" s="384" t="s">
        <v>504</v>
      </c>
      <c r="B9" s="384" t="s">
        <v>2</v>
      </c>
      <c r="C9" s="448" t="s">
        <v>269</v>
      </c>
      <c r="D9" s="388"/>
      <c r="E9" s="515">
        <v>41539</v>
      </c>
      <c r="F9" s="592">
        <f t="shared" ca="1" si="0"/>
        <v>1599</v>
      </c>
      <c r="G9" s="593">
        <f t="shared" ca="1" si="1"/>
        <v>14.276785714285714</v>
      </c>
      <c r="H9" s="444">
        <f>24-7</f>
        <v>17</v>
      </c>
      <c r="I9" s="444">
        <v>40</v>
      </c>
      <c r="J9" s="388"/>
      <c r="K9" s="523"/>
      <c r="L9" s="565" t="s">
        <v>231</v>
      </c>
      <c r="M9" s="523" t="s">
        <v>416</v>
      </c>
      <c r="N9" s="523" t="s">
        <v>418</v>
      </c>
      <c r="O9" s="523" t="s">
        <v>418</v>
      </c>
      <c r="P9" s="523" t="s">
        <v>417</v>
      </c>
      <c r="Q9" s="523"/>
    </row>
    <row r="10" spans="1:17" s="264" customFormat="1" x14ac:dyDescent="0.25">
      <c r="A10" s="384" t="s">
        <v>404</v>
      </c>
      <c r="B10" s="384" t="s">
        <v>64</v>
      </c>
      <c r="C10" s="448" t="s">
        <v>272</v>
      </c>
      <c r="D10" s="388"/>
      <c r="E10" s="517">
        <v>41552</v>
      </c>
      <c r="F10" s="592">
        <f t="shared" ca="1" si="0"/>
        <v>1586</v>
      </c>
      <c r="G10" s="593">
        <f t="shared" ca="1" si="1"/>
        <v>14.160714285714286</v>
      </c>
      <c r="H10" s="321">
        <f>24-7</f>
        <v>17</v>
      </c>
      <c r="I10" s="321">
        <v>2</v>
      </c>
      <c r="J10" s="388"/>
      <c r="K10" s="523"/>
      <c r="L10" s="523" t="s">
        <v>482</v>
      </c>
      <c r="M10" s="563" t="s">
        <v>419</v>
      </c>
      <c r="N10" s="523" t="s">
        <v>417</v>
      </c>
      <c r="O10" s="523" t="s">
        <v>417</v>
      </c>
      <c r="P10" s="523" t="s">
        <v>417</v>
      </c>
      <c r="Q10" s="523"/>
    </row>
    <row r="11" spans="1:17" s="264" customFormat="1" ht="15.75" x14ac:dyDescent="0.25">
      <c r="A11" s="384" t="s">
        <v>408</v>
      </c>
      <c r="B11" s="384" t="s">
        <v>65</v>
      </c>
      <c r="C11" s="448" t="s">
        <v>270</v>
      </c>
      <c r="D11" s="388" t="s">
        <v>271</v>
      </c>
      <c r="E11" s="516">
        <v>41583</v>
      </c>
      <c r="F11" s="592">
        <f t="shared" ca="1" si="0"/>
        <v>1555</v>
      </c>
      <c r="G11" s="593">
        <f t="shared" ca="1" si="1"/>
        <v>13.883928571428571</v>
      </c>
      <c r="H11" s="512">
        <f>23-6</f>
        <v>17</v>
      </c>
      <c r="I11" s="512">
        <v>46</v>
      </c>
      <c r="J11" s="388" t="s">
        <v>271</v>
      </c>
      <c r="K11" s="526"/>
      <c r="L11" s="564" t="s">
        <v>419</v>
      </c>
      <c r="M11" s="526" t="s">
        <v>417</v>
      </c>
      <c r="N11" s="526" t="s">
        <v>416</v>
      </c>
      <c r="O11" s="564" t="s">
        <v>419</v>
      </c>
      <c r="P11" s="564" t="s">
        <v>419</v>
      </c>
      <c r="Q11" s="526" t="s">
        <v>417</v>
      </c>
    </row>
    <row r="12" spans="1:17" s="254" customFormat="1" ht="15.75" x14ac:dyDescent="0.25">
      <c r="A12" s="305" t="s">
        <v>407</v>
      </c>
      <c r="B12" s="384" t="s">
        <v>64</v>
      </c>
      <c r="C12" s="448" t="s">
        <v>285</v>
      </c>
      <c r="D12" s="388" t="s">
        <v>268</v>
      </c>
      <c r="E12" s="517">
        <v>41653</v>
      </c>
      <c r="F12" s="592">
        <f t="shared" ca="1" si="0"/>
        <v>1485</v>
      </c>
      <c r="G12" s="593">
        <f t="shared" ca="1" si="1"/>
        <v>13.258928571428571</v>
      </c>
      <c r="H12" s="321">
        <v>18</v>
      </c>
      <c r="I12" s="321">
        <v>109</v>
      </c>
      <c r="J12" s="388" t="s">
        <v>268</v>
      </c>
      <c r="K12" s="526"/>
      <c r="L12" s="526" t="s">
        <v>417</v>
      </c>
      <c r="M12" s="567" t="s">
        <v>232</v>
      </c>
      <c r="N12" s="526" t="s">
        <v>416</v>
      </c>
      <c r="O12" s="526"/>
      <c r="P12" s="526" t="s">
        <v>418</v>
      </c>
      <c r="Q12" s="526" t="s">
        <v>416</v>
      </c>
    </row>
    <row r="13" spans="1:17" s="263" customFormat="1" ht="15.75" x14ac:dyDescent="0.25">
      <c r="A13" s="384" t="s">
        <v>506</v>
      </c>
      <c r="B13" s="384" t="s">
        <v>66</v>
      </c>
      <c r="C13" s="448" t="s">
        <v>287</v>
      </c>
      <c r="D13" s="388" t="s">
        <v>296</v>
      </c>
      <c r="E13" s="514">
        <v>41664</v>
      </c>
      <c r="F13" s="592">
        <f t="shared" ca="1" si="0"/>
        <v>1474</v>
      </c>
      <c r="G13" s="593">
        <f t="shared" ca="1" si="1"/>
        <v>13.160714285714286</v>
      </c>
      <c r="H13" s="511">
        <f>23-6</f>
        <v>17</v>
      </c>
      <c r="I13" s="511">
        <v>14</v>
      </c>
      <c r="J13" s="388" t="s">
        <v>296</v>
      </c>
      <c r="K13" s="526"/>
      <c r="L13" s="564" t="s">
        <v>419</v>
      </c>
      <c r="M13" s="526" t="s">
        <v>417</v>
      </c>
      <c r="N13" s="526" t="s">
        <v>417</v>
      </c>
      <c r="O13" s="566" t="s">
        <v>231</v>
      </c>
      <c r="P13" s="526" t="s">
        <v>417</v>
      </c>
      <c r="Q13" s="526" t="s">
        <v>232</v>
      </c>
    </row>
    <row r="14" spans="1:17" s="264" customFormat="1" ht="15.75" x14ac:dyDescent="0.25">
      <c r="A14" s="305" t="s">
        <v>411</v>
      </c>
      <c r="B14" s="260" t="s">
        <v>64</v>
      </c>
      <c r="C14" s="449" t="s">
        <v>400</v>
      </c>
      <c r="D14" s="262"/>
      <c r="E14" s="517">
        <v>41686</v>
      </c>
      <c r="F14" s="592">
        <f t="shared" ca="1" si="0"/>
        <v>1452</v>
      </c>
      <c r="G14" s="593">
        <f t="shared" ca="1" si="1"/>
        <v>12.964285714285714</v>
      </c>
      <c r="H14" s="321">
        <v>17</v>
      </c>
      <c r="I14" s="321">
        <v>111</v>
      </c>
      <c r="J14" s="262"/>
      <c r="K14" s="526"/>
      <c r="L14" s="526" t="s">
        <v>482</v>
      </c>
      <c r="M14" s="566" t="s">
        <v>231</v>
      </c>
      <c r="N14" s="527" t="s">
        <v>417</v>
      </c>
      <c r="O14" s="566" t="s">
        <v>231</v>
      </c>
      <c r="P14" s="526" t="s">
        <v>482</v>
      </c>
      <c r="Q14" s="527" t="s">
        <v>417</v>
      </c>
    </row>
    <row r="15" spans="1:17" ht="15.75" x14ac:dyDescent="0.25">
      <c r="A15" s="384" t="s">
        <v>410</v>
      </c>
      <c r="B15" s="384" t="s">
        <v>65</v>
      </c>
      <c r="C15" s="448" t="s">
        <v>298</v>
      </c>
      <c r="D15" s="388" t="s">
        <v>268</v>
      </c>
      <c r="E15" s="514">
        <v>41722</v>
      </c>
      <c r="F15" s="592">
        <f t="shared" ca="1" si="0"/>
        <v>1416</v>
      </c>
      <c r="G15" s="593">
        <f t="shared" ca="1" si="1"/>
        <v>12.642857142857142</v>
      </c>
      <c r="H15" s="511">
        <f>23-5</f>
        <v>18</v>
      </c>
      <c r="I15" s="511">
        <v>20</v>
      </c>
      <c r="J15" s="388" t="s">
        <v>268</v>
      </c>
      <c r="K15" s="526"/>
      <c r="L15" s="526" t="s">
        <v>418</v>
      </c>
      <c r="M15" s="526" t="s">
        <v>418</v>
      </c>
      <c r="N15" s="564" t="s">
        <v>419</v>
      </c>
      <c r="O15" s="526" t="s">
        <v>417</v>
      </c>
      <c r="P15" s="526" t="s">
        <v>416</v>
      </c>
      <c r="Q15" s="526" t="s">
        <v>416</v>
      </c>
    </row>
    <row r="16" spans="1:17" s="4" customFormat="1" ht="15.75" x14ac:dyDescent="0.25">
      <c r="A16" s="305" t="s">
        <v>505</v>
      </c>
      <c r="B16" s="260" t="s">
        <v>64</v>
      </c>
      <c r="C16" s="449" t="s">
        <v>414</v>
      </c>
      <c r="D16" s="262"/>
      <c r="E16" s="516">
        <v>41737</v>
      </c>
      <c r="F16" s="592">
        <f t="shared" ca="1" si="0"/>
        <v>1401</v>
      </c>
      <c r="G16" s="593">
        <f t="shared" ca="1" si="1"/>
        <v>12.508928571428571</v>
      </c>
      <c r="H16" s="512">
        <f>22-5</f>
        <v>17</v>
      </c>
      <c r="I16" s="512">
        <f>42-(7*6)</f>
        <v>0</v>
      </c>
      <c r="J16" s="262"/>
      <c r="K16" s="527"/>
      <c r="L16" s="526" t="s">
        <v>416</v>
      </c>
      <c r="M16" s="564" t="s">
        <v>419</v>
      </c>
      <c r="N16" s="526" t="s">
        <v>416</v>
      </c>
      <c r="O16" s="527"/>
      <c r="P16" s="526" t="s">
        <v>417</v>
      </c>
      <c r="Q16" s="526" t="s">
        <v>482</v>
      </c>
    </row>
    <row r="17" spans="1:17" s="263" customFormat="1" ht="15.75" x14ac:dyDescent="0.25">
      <c r="A17" s="384" t="s">
        <v>406</v>
      </c>
      <c r="B17" s="260" t="s">
        <v>64</v>
      </c>
      <c r="C17" s="449" t="s">
        <v>618</v>
      </c>
      <c r="D17" s="388" t="s">
        <v>268</v>
      </c>
      <c r="E17" s="516">
        <v>41747</v>
      </c>
      <c r="F17" s="592">
        <f t="shared" ca="1" si="0"/>
        <v>1391</v>
      </c>
      <c r="G17" s="593">
        <f t="shared" ca="1" si="1"/>
        <v>12.419642857142858</v>
      </c>
      <c r="H17" s="512">
        <f>22-5</f>
        <v>17</v>
      </c>
      <c r="I17" s="512">
        <v>57</v>
      </c>
      <c r="J17" s="388" t="s">
        <v>268</v>
      </c>
      <c r="K17" s="526"/>
      <c r="L17" s="526" t="s">
        <v>416</v>
      </c>
      <c r="M17" s="564" t="s">
        <v>419</v>
      </c>
      <c r="N17" s="526" t="s">
        <v>416</v>
      </c>
      <c r="O17" s="526"/>
      <c r="P17" s="526" t="s">
        <v>417</v>
      </c>
      <c r="Q17" s="526" t="s">
        <v>418</v>
      </c>
    </row>
    <row r="18" spans="1:17" s="264" customFormat="1" ht="14.25" customHeight="1" x14ac:dyDescent="0.25">
      <c r="A18" s="384" t="s">
        <v>409</v>
      </c>
      <c r="B18" s="384" t="s">
        <v>65</v>
      </c>
      <c r="C18" s="448" t="s">
        <v>507</v>
      </c>
      <c r="D18" s="388" t="s">
        <v>502</v>
      </c>
      <c r="E18" s="517">
        <v>41911</v>
      </c>
      <c r="F18" s="592">
        <f t="shared" ca="1" si="0"/>
        <v>1227</v>
      </c>
      <c r="G18" s="593">
        <f t="shared" ca="1" si="1"/>
        <v>10.955357142857142</v>
      </c>
      <c r="H18" s="321">
        <f>20-3</f>
        <v>17</v>
      </c>
      <c r="I18" s="321">
        <v>0</v>
      </c>
      <c r="J18" s="388" t="s">
        <v>502</v>
      </c>
      <c r="K18" s="527"/>
      <c r="L18" s="526" t="s">
        <v>417</v>
      </c>
      <c r="M18" s="566" t="s">
        <v>231</v>
      </c>
      <c r="N18" s="526" t="s">
        <v>416</v>
      </c>
      <c r="O18" s="526" t="s">
        <v>416</v>
      </c>
      <c r="P18" s="564" t="s">
        <v>419</v>
      </c>
      <c r="Q18" s="527"/>
    </row>
    <row r="19" spans="1:17" s="254" customFormat="1" ht="15.75" x14ac:dyDescent="0.25">
      <c r="A19" s="384" t="s">
        <v>540</v>
      </c>
      <c r="B19" s="384" t="s">
        <v>66</v>
      </c>
      <c r="C19" s="449" t="s">
        <v>541</v>
      </c>
      <c r="D19" s="262"/>
      <c r="E19" s="516">
        <v>41973</v>
      </c>
      <c r="F19" s="592">
        <f t="shared" ca="1" si="0"/>
        <v>1165</v>
      </c>
      <c r="G19" s="593">
        <f t="shared" ca="1" si="1"/>
        <v>10.401785714285714</v>
      </c>
      <c r="H19" s="512">
        <f>20-3</f>
        <v>17</v>
      </c>
      <c r="I19" s="512">
        <v>0</v>
      </c>
      <c r="J19" s="262"/>
      <c r="K19" s="526"/>
      <c r="L19" s="526" t="s">
        <v>417</v>
      </c>
      <c r="M19" s="526" t="s">
        <v>418</v>
      </c>
      <c r="N19" s="526" t="s">
        <v>418</v>
      </c>
      <c r="O19" s="566" t="s">
        <v>231</v>
      </c>
      <c r="P19" s="526" t="s">
        <v>231</v>
      </c>
      <c r="Q19" s="525"/>
    </row>
    <row r="20" spans="1:17" s="264" customFormat="1" ht="15.75" x14ac:dyDescent="0.25">
      <c r="A20" s="304" t="s">
        <v>495</v>
      </c>
      <c r="B20" s="260" t="s">
        <v>2</v>
      </c>
      <c r="C20" s="449" t="s">
        <v>567</v>
      </c>
      <c r="D20" s="262"/>
      <c r="E20" s="516">
        <v>42106</v>
      </c>
      <c r="F20" s="592">
        <f t="shared" ca="1" si="0"/>
        <v>1032</v>
      </c>
      <c r="G20" s="593">
        <f t="shared" ca="1" si="1"/>
        <v>9.2142857142857135</v>
      </c>
      <c r="H20" s="512">
        <v>18</v>
      </c>
      <c r="I20" s="512">
        <v>55</v>
      </c>
      <c r="J20" s="262"/>
      <c r="K20" s="525"/>
      <c r="L20" s="566" t="s">
        <v>231</v>
      </c>
      <c r="M20" s="567" t="s">
        <v>232</v>
      </c>
      <c r="N20" s="564" t="s">
        <v>419</v>
      </c>
      <c r="O20" s="526" t="s">
        <v>417</v>
      </c>
      <c r="P20" s="526" t="s">
        <v>418</v>
      </c>
      <c r="Q20" s="525" t="s">
        <v>417</v>
      </c>
    </row>
    <row r="21" spans="1:17" x14ac:dyDescent="0.25">
      <c r="D21" s="4"/>
      <c r="H21"/>
      <c r="J21" s="4"/>
      <c r="L21"/>
    </row>
    <row r="22" spans="1:17" x14ac:dyDescent="0.25">
      <c r="D22" s="508"/>
      <c r="H22"/>
      <c r="J22" s="508"/>
      <c r="L22"/>
    </row>
    <row r="23" spans="1:17" x14ac:dyDescent="0.25">
      <c r="D23" s="508"/>
      <c r="H23"/>
      <c r="J23" s="508"/>
      <c r="L23"/>
    </row>
    <row r="24" spans="1:17" s="259" customFormat="1" ht="15.75" x14ac:dyDescent="0.25">
      <c r="A24" s="384" t="s">
        <v>777</v>
      </c>
      <c r="B24" s="384" t="s">
        <v>66</v>
      </c>
      <c r="C24" s="386" t="s">
        <v>778</v>
      </c>
      <c r="D24" s="388" t="s">
        <v>502</v>
      </c>
      <c r="H24" s="512">
        <v>19</v>
      </c>
      <c r="I24" s="512">
        <v>0</v>
      </c>
      <c r="J24" s="388" t="s">
        <v>502</v>
      </c>
      <c r="K24" s="525"/>
      <c r="L24" s="526" t="s">
        <v>416</v>
      </c>
      <c r="M24" s="526" t="s">
        <v>418</v>
      </c>
      <c r="N24" s="566" t="s">
        <v>231</v>
      </c>
      <c r="O24" s="526" t="s">
        <v>416</v>
      </c>
      <c r="P24" s="566" t="s">
        <v>780</v>
      </c>
      <c r="Q24" s="525" t="s">
        <v>482</v>
      </c>
    </row>
    <row r="25" spans="1:17" s="254" customFormat="1" x14ac:dyDescent="0.25">
      <c r="A25" s="384" t="s">
        <v>633</v>
      </c>
      <c r="B25" s="260" t="s">
        <v>2</v>
      </c>
      <c r="C25" s="294" t="s">
        <v>274</v>
      </c>
      <c r="D25" s="262"/>
      <c r="E25" s="514"/>
      <c r="F25" s="511"/>
      <c r="G25" s="510"/>
      <c r="H25" s="511"/>
      <c r="I25" s="511"/>
      <c r="J25" s="262"/>
      <c r="K25" s="519"/>
      <c r="L25" s="519"/>
      <c r="M25" s="519"/>
      <c r="N25" s="519"/>
      <c r="O25" s="519"/>
      <c r="P25" s="519"/>
      <c r="Q25" s="519"/>
    </row>
    <row r="26" spans="1:17" s="247" customFormat="1" x14ac:dyDescent="0.25">
      <c r="A26" s="384" t="s">
        <v>583</v>
      </c>
      <c r="B26" s="384" t="s">
        <v>2</v>
      </c>
      <c r="C26" s="294" t="s">
        <v>576</v>
      </c>
      <c r="D26" s="262"/>
      <c r="E26" s="511"/>
      <c r="F26" s="511"/>
      <c r="G26" s="511"/>
      <c r="H26" s="511"/>
      <c r="I26" s="511"/>
      <c r="J26" s="262"/>
      <c r="K26" s="520"/>
      <c r="L26" s="520"/>
      <c r="M26" s="520"/>
      <c r="N26" s="520"/>
      <c r="O26" s="520"/>
      <c r="P26" s="520"/>
      <c r="Q26" s="520"/>
    </row>
    <row r="27" spans="1:17" s="259" customFormat="1" x14ac:dyDescent="0.25">
      <c r="A27" s="305" t="s">
        <v>632</v>
      </c>
      <c r="B27" s="260" t="s">
        <v>64</v>
      </c>
      <c r="C27" s="294" t="s">
        <v>624</v>
      </c>
      <c r="D27" s="388" t="s">
        <v>502</v>
      </c>
      <c r="E27" s="512"/>
      <c r="F27" s="512"/>
      <c r="G27" s="512"/>
      <c r="H27" s="512"/>
      <c r="I27" s="512"/>
      <c r="J27" s="388" t="s">
        <v>502</v>
      </c>
      <c r="K27" s="519"/>
      <c r="L27" s="519"/>
      <c r="M27" s="519"/>
      <c r="N27" s="519"/>
      <c r="O27" s="519"/>
      <c r="P27" s="519"/>
      <c r="Q27" s="519"/>
    </row>
    <row r="28" spans="1:17" s="263" customFormat="1" x14ac:dyDescent="0.25">
      <c r="A28" s="304" t="s">
        <v>584</v>
      </c>
      <c r="B28" s="260" t="s">
        <v>64</v>
      </c>
      <c r="C28" s="294" t="s">
        <v>401</v>
      </c>
      <c r="D28" s="262" t="s">
        <v>271</v>
      </c>
      <c r="E28" s="321"/>
      <c r="F28" s="321"/>
      <c r="G28" s="321"/>
      <c r="H28" s="321"/>
      <c r="I28" s="321"/>
      <c r="J28" s="262" t="s">
        <v>271</v>
      </c>
      <c r="K28" s="518"/>
      <c r="L28" s="518"/>
      <c r="M28" s="518"/>
      <c r="N28" s="518"/>
      <c r="O28" s="518"/>
      <c r="P28" s="518"/>
      <c r="Q28" s="518"/>
    </row>
    <row r="29" spans="1:17" s="259" customFormat="1" x14ac:dyDescent="0.25">
      <c r="A29" s="384" t="s">
        <v>711</v>
      </c>
      <c r="B29" s="384" t="s">
        <v>66</v>
      </c>
      <c r="C29" s="386" t="s">
        <v>710</v>
      </c>
      <c r="D29" s="388" t="s">
        <v>296</v>
      </c>
      <c r="E29" s="512"/>
      <c r="F29" s="512"/>
      <c r="G29" s="512"/>
      <c r="H29" s="512"/>
      <c r="I29" s="512"/>
      <c r="J29" s="388" t="s">
        <v>296</v>
      </c>
      <c r="K29" s="519"/>
      <c r="L29" s="519"/>
      <c r="M29" s="519"/>
      <c r="N29" s="519"/>
      <c r="O29" s="519"/>
      <c r="P29" s="519"/>
      <c r="Q29" s="519"/>
    </row>
    <row r="30" spans="1:17" x14ac:dyDescent="0.25">
      <c r="D30" s="508"/>
      <c r="H30"/>
      <c r="J30" s="508"/>
      <c r="L30"/>
    </row>
    <row r="31" spans="1:17" x14ac:dyDescent="0.25">
      <c r="C31" s="177"/>
      <c r="D31" s="508"/>
      <c r="H31"/>
      <c r="J31" s="508"/>
      <c r="L31"/>
    </row>
    <row r="32" spans="1:17" x14ac:dyDescent="0.25">
      <c r="C32" s="177"/>
      <c r="D32" s="508"/>
      <c r="H32"/>
      <c r="J32" s="508"/>
      <c r="L32"/>
    </row>
    <row r="33" spans="3:17" x14ac:dyDescent="0.25">
      <c r="C33" s="504"/>
      <c r="D33" s="508"/>
      <c r="H33"/>
      <c r="J33" s="508"/>
      <c r="K33" s="486">
        <v>0</v>
      </c>
      <c r="L33" s="487">
        <v>4</v>
      </c>
      <c r="M33" s="486">
        <v>3</v>
      </c>
      <c r="N33" s="487">
        <v>6</v>
      </c>
      <c r="O33" s="486">
        <v>4</v>
      </c>
      <c r="P33" s="487">
        <v>6.8</v>
      </c>
      <c r="Q33" s="486">
        <v>1</v>
      </c>
    </row>
    <row r="34" spans="3:17" x14ac:dyDescent="0.25">
      <c r="C34" s="505"/>
      <c r="F34" s="407"/>
      <c r="L34" s="407"/>
    </row>
    <row r="36" spans="3:17" x14ac:dyDescent="0.25">
      <c r="F36" s="407"/>
      <c r="L36" s="407"/>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2"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2" customWidth="1"/>
    <col min="18" max="18" width="5" style="452" customWidth="1"/>
    <col min="19" max="24" width="6.7109375" style="422" customWidth="1"/>
    <col min="25" max="25" width="6.7109375" style="528" customWidth="1"/>
    <col min="26" max="26" width="6.7109375" style="422" customWidth="1"/>
    <col min="27" max="27" width="4.42578125" style="422" bestFit="1" customWidth="1"/>
    <col min="28" max="31" width="6.140625" style="422" bestFit="1" customWidth="1"/>
    <col min="32" max="32" width="5.5703125" style="422" bestFit="1" customWidth="1"/>
    <col min="33" max="33" width="5" style="422" bestFit="1" customWidth="1"/>
    <col min="34" max="34" width="6.140625" style="422"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3"/>
      <c r="T1" s="693"/>
      <c r="U1" s="693"/>
      <c r="V1" s="178"/>
      <c r="W1" s="693" t="s">
        <v>530</v>
      </c>
      <c r="X1" s="693"/>
      <c r="Z1" s="414">
        <f>S2+T2+U2+V2+W2+X2+Z2</f>
        <v>1</v>
      </c>
      <c r="AQ1" s="693" t="s">
        <v>603</v>
      </c>
      <c r="AR1" s="693"/>
      <c r="AS1" s="693"/>
      <c r="AT1" s="693"/>
      <c r="AU1" s="693"/>
      <c r="AV1" s="693"/>
      <c r="AW1" s="693"/>
      <c r="AX1" s="693"/>
      <c r="AY1" s="693"/>
      <c r="AZ1" s="693"/>
      <c r="BA1" s="693"/>
      <c r="BB1" s="693"/>
      <c r="BC1" s="693"/>
      <c r="BS1" s="439" t="s">
        <v>605</v>
      </c>
      <c r="BT1" s="439" t="s">
        <v>176</v>
      </c>
      <c r="BU1" s="439" t="s">
        <v>606</v>
      </c>
      <c r="BV1" s="440" t="s">
        <v>607</v>
      </c>
      <c r="BW1" s="438" t="s">
        <v>608</v>
      </c>
      <c r="BX1" s="438" t="s">
        <v>609</v>
      </c>
    </row>
    <row r="2" spans="1:76" s="249" customFormat="1" ht="18.75" x14ac:dyDescent="0.3">
      <c r="C2" s="250"/>
      <c r="D2" s="421">
        <f ca="1">TODAY()</f>
        <v>43138</v>
      </c>
      <c r="E2" s="683">
        <v>41471</v>
      </c>
      <c r="F2" s="683"/>
      <c r="G2" s="683"/>
      <c r="H2" s="251"/>
      <c r="I2" s="251"/>
      <c r="J2" s="310"/>
      <c r="K2" s="251"/>
      <c r="L2" s="251"/>
      <c r="M2" s="251"/>
      <c r="N2" s="251"/>
      <c r="O2" s="251"/>
      <c r="P2" s="251"/>
      <c r="Q2" s="408"/>
      <c r="R2" s="285"/>
      <c r="S2" s="415">
        <v>0</v>
      </c>
      <c r="T2" s="454">
        <v>0</v>
      </c>
      <c r="U2" s="454">
        <v>0</v>
      </c>
      <c r="V2" s="415">
        <v>0</v>
      </c>
      <c r="W2" s="413">
        <v>0</v>
      </c>
      <c r="X2" s="413">
        <v>0</v>
      </c>
      <c r="Y2" s="413">
        <v>0</v>
      </c>
      <c r="Z2" s="413">
        <v>1</v>
      </c>
      <c r="AA2" s="285">
        <v>0</v>
      </c>
      <c r="AB2" s="285"/>
      <c r="AC2" s="285"/>
      <c r="AD2" s="285"/>
      <c r="AE2" s="285"/>
      <c r="AF2" s="285"/>
      <c r="AG2" s="285"/>
      <c r="AH2" s="285"/>
      <c r="AS2" s="436">
        <f>SUM(AS4:AS14)*$BV$3</f>
        <v>0</v>
      </c>
      <c r="AT2" s="436">
        <f>SUM(AT4:AT14)*$BV$3</f>
        <v>0</v>
      </c>
      <c r="AU2" s="436">
        <f>SUM(AU4:AU14)*$BV$2</f>
        <v>0</v>
      </c>
      <c r="AV2" s="436">
        <f>SUM(AV4:AV14)*$BV$4</f>
        <v>0</v>
      </c>
      <c r="AW2" s="436">
        <f>SUM(AW4:AW14)*$BV$5</f>
        <v>0</v>
      </c>
      <c r="AX2" s="436">
        <f>SUM(AX4:AX14)*$BV$5</f>
        <v>0</v>
      </c>
      <c r="AY2" s="436">
        <f>SUM(AY4:AY14)*$BV$6</f>
        <v>0</v>
      </c>
      <c r="AZ2" s="437">
        <f>SUM(AZ4:AZ14)</f>
        <v>0.2099999999999998</v>
      </c>
      <c r="BA2" s="437">
        <f>SUM(BA4:BA14)</f>
        <v>0.2149999999999998</v>
      </c>
      <c r="BB2" s="437">
        <f t="shared" ref="BB2:BC2" si="0">SUM(BB4:BB14)</f>
        <v>12.821249999999999</v>
      </c>
      <c r="BC2" s="437">
        <f t="shared" si="0"/>
        <v>0</v>
      </c>
      <c r="BG2" s="436">
        <f>SUM(BG4:BG14)*$BV$3</f>
        <v>0</v>
      </c>
      <c r="BH2" s="436">
        <f>SUM(BH4:BH14)*$BV$3</f>
        <v>0</v>
      </c>
      <c r="BI2" s="436">
        <f>SUM(BI4:BI14)*$BV$2</f>
        <v>0</v>
      </c>
      <c r="BJ2" s="436">
        <f>SUM(BJ4:BJ14)*$BV$4</f>
        <v>0</v>
      </c>
      <c r="BK2" s="436">
        <f>SUM(BK4:BK14)*$BV$5</f>
        <v>0</v>
      </c>
      <c r="BL2" s="436">
        <f>SUM(BL4:BL14)*$BV$5</f>
        <v>0</v>
      </c>
      <c r="BM2" s="436">
        <f>SUM(BM4:BM14)*$BV$6</f>
        <v>0</v>
      </c>
      <c r="BN2" s="437">
        <f>SUM(BN4:BN14)</f>
        <v>0.21799999999999986</v>
      </c>
      <c r="BO2" s="437">
        <f>SUM(BO4:BO14)</f>
        <v>0.22299999999999989</v>
      </c>
      <c r="BP2" s="437">
        <f t="shared" ref="BP2:BQ2" si="1">SUM(BP4:BP14)</f>
        <v>17.118000000000002</v>
      </c>
      <c r="BQ2" s="437">
        <f t="shared" si="1"/>
        <v>0</v>
      </c>
      <c r="BS2" s="256" t="s">
        <v>610</v>
      </c>
      <c r="BT2" s="441">
        <v>1</v>
      </c>
      <c r="BU2" s="442">
        <v>0.624</v>
      </c>
      <c r="BV2" s="443">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10" t="s">
        <v>180</v>
      </c>
      <c r="R3" s="410" t="s">
        <v>62</v>
      </c>
      <c r="S3" s="409" t="s">
        <v>297</v>
      </c>
      <c r="T3" s="409" t="s">
        <v>185</v>
      </c>
      <c r="U3" s="409" t="s">
        <v>186</v>
      </c>
      <c r="V3" s="409" t="s">
        <v>187</v>
      </c>
      <c r="W3" s="409" t="s">
        <v>188</v>
      </c>
      <c r="X3" s="409" t="s">
        <v>189</v>
      </c>
      <c r="Y3" s="409" t="s">
        <v>723</v>
      </c>
      <c r="Z3" s="409" t="s">
        <v>182</v>
      </c>
      <c r="AA3" s="409" t="s">
        <v>175</v>
      </c>
      <c r="AB3" s="409" t="s">
        <v>297</v>
      </c>
      <c r="AC3" s="409" t="s">
        <v>185</v>
      </c>
      <c r="AD3" s="409" t="s">
        <v>186</v>
      </c>
      <c r="AE3" s="409" t="s">
        <v>187</v>
      </c>
      <c r="AF3" s="409" t="s">
        <v>188</v>
      </c>
      <c r="AG3" s="409" t="s">
        <v>189</v>
      </c>
      <c r="AH3" s="409" t="s">
        <v>182</v>
      </c>
      <c r="AI3" s="409" t="s">
        <v>297</v>
      </c>
      <c r="AJ3" s="409" t="s">
        <v>185</v>
      </c>
      <c r="AK3" s="409" t="s">
        <v>186</v>
      </c>
      <c r="AL3" s="409" t="s">
        <v>187</v>
      </c>
      <c r="AM3" s="409" t="s">
        <v>188</v>
      </c>
      <c r="AN3" s="409" t="s">
        <v>189</v>
      </c>
      <c r="AO3" s="409" t="s">
        <v>182</v>
      </c>
      <c r="AQ3" s="694" t="s">
        <v>719</v>
      </c>
      <c r="AR3" s="695"/>
      <c r="AS3" s="331" t="s">
        <v>467</v>
      </c>
      <c r="AT3" s="331" t="s">
        <v>468</v>
      </c>
      <c r="AU3" s="331" t="s">
        <v>489</v>
      </c>
      <c r="AV3" s="331" t="s">
        <v>469</v>
      </c>
      <c r="AW3" s="331" t="s">
        <v>470</v>
      </c>
      <c r="AX3" s="331" t="s">
        <v>471</v>
      </c>
      <c r="AY3" s="331" t="s">
        <v>472</v>
      </c>
      <c r="AZ3" s="331" t="s">
        <v>734</v>
      </c>
      <c r="BA3" s="331" t="s">
        <v>735</v>
      </c>
      <c r="BB3" s="331" t="s">
        <v>565</v>
      </c>
      <c r="BC3" s="331" t="s">
        <v>604</v>
      </c>
      <c r="BE3" s="694" t="s">
        <v>721</v>
      </c>
      <c r="BF3" s="695"/>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1">
        <v>1</v>
      </c>
      <c r="BU3" s="442">
        <v>1.002</v>
      </c>
      <c r="BV3" s="443">
        <v>0.34</v>
      </c>
      <c r="BW3" s="333">
        <f t="shared" ref="BW3:BW6" si="2">BV3*10</f>
        <v>3.4000000000000004</v>
      </c>
      <c r="BX3" s="333">
        <f t="shared" ref="BX3:BX6" si="3">BV3*15</f>
        <v>5.1000000000000005</v>
      </c>
    </row>
    <row r="4" spans="1:76" s="259" customFormat="1" ht="18.75" x14ac:dyDescent="0.3">
      <c r="A4" s="384" t="s">
        <v>403</v>
      </c>
      <c r="B4" s="384" t="s">
        <v>1</v>
      </c>
      <c r="C4" s="261">
        <f ca="1">((33*112)-(E4*112)-(F4))/112</f>
        <v>2.4642857142857144</v>
      </c>
      <c r="D4" s="294" t="str">
        <f>PLANTILLA!D5</f>
        <v>D. Gehmacher</v>
      </c>
      <c r="E4" s="387">
        <f>PLANTILLA!E5</f>
        <v>30</v>
      </c>
      <c r="F4" s="395">
        <f ca="1">PLANTILLA!F5</f>
        <v>60</v>
      </c>
      <c r="G4" s="388"/>
      <c r="H4" s="403">
        <v>7</v>
      </c>
      <c r="I4" s="308">
        <f>PLANTILLA!I5</f>
        <v>18.5</v>
      </c>
      <c r="J4" s="486">
        <f>PLANTILLA!X5</f>
        <v>16.666666666666668</v>
      </c>
      <c r="K4" s="486">
        <f>PLANTILLA!Y5</f>
        <v>12.080559440559444</v>
      </c>
      <c r="L4" s="486">
        <f>PLANTILLA!Z5</f>
        <v>2.0699999999999985</v>
      </c>
      <c r="M4" s="486">
        <f>PLANTILLA!AA5</f>
        <v>2.149999999999999</v>
      </c>
      <c r="N4" s="486">
        <f>PLANTILLA!AB5</f>
        <v>1.0400000000000003</v>
      </c>
      <c r="O4" s="486">
        <f>PLANTILLA!AC5</f>
        <v>0.14055555555555557</v>
      </c>
      <c r="P4" s="486">
        <f>PLANTILLA!AD5</f>
        <v>17.949999999999996</v>
      </c>
      <c r="Q4" s="411">
        <f t="shared" ref="Q4:Q23" si="4">E4</f>
        <v>30</v>
      </c>
      <c r="R4" s="412">
        <f t="shared" ref="R4:R23" ca="1" si="5">F4+7</f>
        <v>67</v>
      </c>
      <c r="S4" s="180"/>
      <c r="T4" s="180"/>
      <c r="U4" s="180"/>
      <c r="V4" s="180"/>
      <c r="W4" s="180"/>
      <c r="X4" s="180"/>
      <c r="Y4" s="180"/>
      <c r="Z4" s="180"/>
      <c r="AA4" s="296">
        <f t="shared" ref="AA4:AA23" si="6">I4+$AA$2</f>
        <v>18.5</v>
      </c>
      <c r="AB4" s="506">
        <f>J4+(S4*S$2/15)</f>
        <v>16.666666666666668</v>
      </c>
      <c r="AC4" s="506">
        <f>K4+(T$2/11)</f>
        <v>12.080559440559444</v>
      </c>
      <c r="AD4" s="506">
        <f>L4+(U$2/18)</f>
        <v>2.0699999999999985</v>
      </c>
      <c r="AE4" s="506">
        <f>M4+(V$2/12)</f>
        <v>2.149999999999999</v>
      </c>
      <c r="AF4" s="506">
        <f>N4+(W$2/11)</f>
        <v>1.0400000000000003</v>
      </c>
      <c r="AG4" s="506">
        <f>O4+(X$2/12)+(Y$2/5)</f>
        <v>0.14055555555555557</v>
      </c>
      <c r="AH4" s="506">
        <f>P4+(Z$2/2)+(Y$2/10)</f>
        <v>18.449999999999996</v>
      </c>
      <c r="AI4" s="424">
        <f t="shared" ref="AI4:AO4" si="7">AB4-J4</f>
        <v>0</v>
      </c>
      <c r="AJ4" s="424">
        <f t="shared" si="7"/>
        <v>0</v>
      </c>
      <c r="AK4" s="424">
        <f t="shared" si="7"/>
        <v>0</v>
      </c>
      <c r="AL4" s="424">
        <f t="shared" si="7"/>
        <v>0</v>
      </c>
      <c r="AM4" s="424">
        <f t="shared" si="7"/>
        <v>0</v>
      </c>
      <c r="AN4" s="424">
        <f t="shared" si="7"/>
        <v>0</v>
      </c>
      <c r="AO4" s="424">
        <f t="shared" si="7"/>
        <v>0.5</v>
      </c>
      <c r="AQ4" s="425" t="s">
        <v>1</v>
      </c>
      <c r="AR4" s="304" t="str">
        <f>D4</f>
        <v>D. Gehmacher</v>
      </c>
      <c r="AS4" s="430">
        <f>(AI4*0.597)+(AJ4*0.276)</f>
        <v>0</v>
      </c>
      <c r="AT4" s="430">
        <f>AS4</f>
        <v>0</v>
      </c>
      <c r="AU4" s="430">
        <f>(AI4*0.866)+(AJ4*0.425)</f>
        <v>0</v>
      </c>
      <c r="AV4" s="430">
        <v>0</v>
      </c>
      <c r="AW4" s="430">
        <v>0</v>
      </c>
      <c r="AX4" s="430">
        <v>0</v>
      </c>
      <c r="AY4" s="430">
        <v>0</v>
      </c>
      <c r="AZ4" s="554">
        <v>0</v>
      </c>
      <c r="BA4" s="554">
        <f>0.08*AI4+0.1*AO4</f>
        <v>0.05</v>
      </c>
      <c r="BB4" s="433">
        <v>0</v>
      </c>
      <c r="BC4" s="433">
        <v>0</v>
      </c>
      <c r="BE4" s="425" t="s">
        <v>1</v>
      </c>
      <c r="BF4" s="304" t="str">
        <f>D4</f>
        <v>D. Gehmacher</v>
      </c>
      <c r="BG4" s="430">
        <f t="shared" ref="BG4:BM4" si="8">AS4</f>
        <v>0</v>
      </c>
      <c r="BH4" s="430">
        <f t="shared" si="8"/>
        <v>0</v>
      </c>
      <c r="BI4" s="430">
        <f t="shared" si="8"/>
        <v>0</v>
      </c>
      <c r="BJ4" s="430">
        <f t="shared" si="8"/>
        <v>0</v>
      </c>
      <c r="BK4" s="430">
        <f t="shared" si="8"/>
        <v>0</v>
      </c>
      <c r="BL4" s="430">
        <f t="shared" si="8"/>
        <v>0</v>
      </c>
      <c r="BM4" s="430">
        <f t="shared" si="8"/>
        <v>0</v>
      </c>
      <c r="BN4" s="554">
        <f t="shared" ref="BN4" si="9">AZ4</f>
        <v>0</v>
      </c>
      <c r="BO4" s="554">
        <f t="shared" ref="BO4:BQ4" si="10">BA4</f>
        <v>0.05</v>
      </c>
      <c r="BP4" s="433">
        <f t="shared" si="10"/>
        <v>0</v>
      </c>
      <c r="BQ4" s="433">
        <f t="shared" si="10"/>
        <v>0</v>
      </c>
      <c r="BS4" s="256" t="s">
        <v>612</v>
      </c>
      <c r="BT4" s="441">
        <v>1</v>
      </c>
      <c r="BU4" s="442">
        <v>0.46800000000000003</v>
      </c>
      <c r="BV4" s="443">
        <v>0.125</v>
      </c>
      <c r="BW4" s="333">
        <f t="shared" si="2"/>
        <v>1.25</v>
      </c>
      <c r="BX4" s="333">
        <f t="shared" si="3"/>
        <v>1.875</v>
      </c>
    </row>
    <row r="5" spans="1:76" s="254" customFormat="1" ht="18.75" x14ac:dyDescent="0.3">
      <c r="A5" s="384" t="s">
        <v>484</v>
      </c>
      <c r="B5" s="384" t="s">
        <v>1</v>
      </c>
      <c r="C5" s="385">
        <f t="shared" ref="C5:C23" ca="1" si="11">((33*112)-(E5*112)-(F5))/112</f>
        <v>-1.6160714285714286</v>
      </c>
      <c r="D5" s="386" t="s">
        <v>267</v>
      </c>
      <c r="E5" s="387">
        <f>PLANTILLA!E6</f>
        <v>34</v>
      </c>
      <c r="F5" s="387">
        <f ca="1">PLANTILLA!F6</f>
        <v>69</v>
      </c>
      <c r="G5" s="388" t="s">
        <v>502</v>
      </c>
      <c r="H5" s="371">
        <v>4</v>
      </c>
      <c r="I5" s="308">
        <f>PLANTILLA!I6</f>
        <v>7.9</v>
      </c>
      <c r="J5" s="486">
        <f>PLANTILLA!X6</f>
        <v>10.3</v>
      </c>
      <c r="K5" s="486">
        <f>PLANTILLA!Y6</f>
        <v>10.814999999999998</v>
      </c>
      <c r="L5" s="486">
        <f>PLANTILLA!Z6</f>
        <v>3.99</v>
      </c>
      <c r="M5" s="486">
        <f>PLANTILLA!AA6</f>
        <v>4.95</v>
      </c>
      <c r="N5" s="486">
        <f>PLANTILLA!AB6</f>
        <v>5.99</v>
      </c>
      <c r="O5" s="486">
        <f>PLANTILLA!AC6</f>
        <v>3.99</v>
      </c>
      <c r="P5" s="486">
        <f>PLANTILLA!AD6</f>
        <v>15.778888888888888</v>
      </c>
      <c r="Q5" s="411">
        <f t="shared" si="4"/>
        <v>34</v>
      </c>
      <c r="R5" s="412">
        <f t="shared" ca="1" si="5"/>
        <v>76</v>
      </c>
      <c r="S5" s="180"/>
      <c r="T5" s="180"/>
      <c r="U5" s="180"/>
      <c r="V5" s="180"/>
      <c r="W5" s="180"/>
      <c r="X5" s="180"/>
      <c r="Y5" s="180"/>
      <c r="Z5" s="180"/>
      <c r="AA5" s="296">
        <f t="shared" si="6"/>
        <v>7.9</v>
      </c>
      <c r="AB5" s="506">
        <f>J5+(S5*S$2/6)</f>
        <v>10.3</v>
      </c>
      <c r="AC5" s="506">
        <f>K5+(T$2/45)</f>
        <v>10.814999999999998</v>
      </c>
      <c r="AD5" s="506">
        <f>L5+(U$2/34)</f>
        <v>3.99</v>
      </c>
      <c r="AE5" s="506">
        <f>M5+(V$2/22)</f>
        <v>4.95</v>
      </c>
      <c r="AF5" s="506">
        <f>N5+(W$2/28)</f>
        <v>5.99</v>
      </c>
      <c r="AG5" s="506">
        <f>O5+(X$2/24)+(Y$2/7)</f>
        <v>3.99</v>
      </c>
      <c r="AH5" s="506">
        <f>P5+(Z$2/2.5)+(Y$2/10)</f>
        <v>16.178888888888888</v>
      </c>
      <c r="AI5" s="424">
        <f t="shared" ref="AI5:AI23" si="12">AB5-J5</f>
        <v>0</v>
      </c>
      <c r="AJ5" s="424">
        <f t="shared" ref="AJ5:AJ23" si="13">AC5-K5</f>
        <v>0</v>
      </c>
      <c r="AK5" s="424">
        <f t="shared" ref="AK5:AK23" si="14">AD5-L5</f>
        <v>0</v>
      </c>
      <c r="AL5" s="424">
        <f t="shared" ref="AL5:AL23" si="15">AE5-M5</f>
        <v>0</v>
      </c>
      <c r="AM5" s="424">
        <f t="shared" ref="AM5:AM23" si="16">AF5-N5</f>
        <v>0</v>
      </c>
      <c r="AN5" s="424">
        <f t="shared" ref="AN5:AN23" si="17">AG5-O5</f>
        <v>0</v>
      </c>
      <c r="AO5" s="424">
        <f t="shared" ref="AO5:AO23" si="18">AH5-P5</f>
        <v>0.40000000000000036</v>
      </c>
      <c r="AQ5" s="426" t="s">
        <v>569</v>
      </c>
      <c r="AR5" s="305" t="str">
        <f>D20</f>
        <v>B. Pinczehelyi</v>
      </c>
      <c r="AS5" s="431">
        <f>(AJ20*0.919)</f>
        <v>0</v>
      </c>
      <c r="AT5" s="431">
        <v>0</v>
      </c>
      <c r="AU5" s="431">
        <f>AJ20*0.414</f>
        <v>0</v>
      </c>
      <c r="AV5" s="431">
        <f>AK20*0.167</f>
        <v>0</v>
      </c>
      <c r="AW5" s="431">
        <f>AL20*0.588</f>
        <v>0</v>
      </c>
      <c r="AX5" s="431">
        <v>0</v>
      </c>
      <c r="AY5" s="431">
        <v>0</v>
      </c>
      <c r="AZ5" s="434">
        <f>(0.5*AN20+0.3*AO20)/10</f>
        <v>0.03</v>
      </c>
      <c r="BA5" s="434">
        <f>(0.4*AJ20+0.3*AO20)/10</f>
        <v>0.03</v>
      </c>
      <c r="BB5" s="434">
        <f>((AC20+1)+(AF20+1)*2)/8</f>
        <v>4.5175000000000001</v>
      </c>
      <c r="BC5" s="434">
        <f>((AJ20)+(AM20)*2)/8</f>
        <v>0</v>
      </c>
      <c r="BE5" s="426" t="s">
        <v>569</v>
      </c>
      <c r="BF5" s="305" t="str">
        <f>AR19</f>
        <v>B. Pinczehelyi</v>
      </c>
      <c r="BG5" s="432">
        <f>AS19</f>
        <v>0</v>
      </c>
      <c r="BH5" s="432">
        <f t="shared" ref="BH5:BQ5" si="19">AT19</f>
        <v>0</v>
      </c>
      <c r="BI5" s="432">
        <f t="shared" si="19"/>
        <v>0</v>
      </c>
      <c r="BJ5" s="432">
        <f t="shared" si="19"/>
        <v>0</v>
      </c>
      <c r="BK5" s="432">
        <f t="shared" si="19"/>
        <v>0</v>
      </c>
      <c r="BL5" s="432">
        <f t="shared" si="19"/>
        <v>0</v>
      </c>
      <c r="BM5" s="432">
        <f t="shared" si="19"/>
        <v>0</v>
      </c>
      <c r="BN5" s="435">
        <f t="shared" si="19"/>
        <v>0.03</v>
      </c>
      <c r="BO5" s="435">
        <f t="shared" si="19"/>
        <v>0.03</v>
      </c>
      <c r="BP5" s="435">
        <f t="shared" si="19"/>
        <v>4.5175000000000001</v>
      </c>
      <c r="BQ5" s="435">
        <f t="shared" si="19"/>
        <v>0</v>
      </c>
      <c r="BS5" s="256" t="s">
        <v>613</v>
      </c>
      <c r="BT5" s="441">
        <v>1</v>
      </c>
      <c r="BU5" s="442">
        <v>0.877</v>
      </c>
      <c r="BV5" s="443">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4">
        <v>5</v>
      </c>
      <c r="I6" s="308" t="e">
        <f>PLANTILLA!#REF!</f>
        <v>#REF!</v>
      </c>
      <c r="J6" s="486" t="e">
        <f>PLANTILLA!#REF!</f>
        <v>#REF!</v>
      </c>
      <c r="K6" s="486" t="e">
        <f>PLANTILLA!#REF!</f>
        <v>#REF!</v>
      </c>
      <c r="L6" s="486" t="e">
        <f>PLANTILLA!#REF!</f>
        <v>#REF!</v>
      </c>
      <c r="M6" s="486" t="e">
        <f>PLANTILLA!#REF!</f>
        <v>#REF!</v>
      </c>
      <c r="N6" s="486" t="e">
        <f>PLANTILLA!#REF!</f>
        <v>#REF!</v>
      </c>
      <c r="O6" s="486" t="e">
        <f>PLANTILLA!#REF!</f>
        <v>#REF!</v>
      </c>
      <c r="P6" s="486" t="e">
        <f>PLANTILLA!#REF!</f>
        <v>#REF!</v>
      </c>
      <c r="Q6" s="411" t="e">
        <f t="shared" si="4"/>
        <v>#REF!</v>
      </c>
      <c r="R6" s="412" t="e">
        <f t="shared" si="5"/>
        <v>#REF!</v>
      </c>
      <c r="S6" s="180"/>
      <c r="T6" s="180"/>
      <c r="U6" s="180"/>
      <c r="V6" s="180"/>
      <c r="W6" s="180"/>
      <c r="X6" s="180"/>
      <c r="Y6" s="180"/>
      <c r="Z6" s="180"/>
      <c r="AA6" s="296" t="e">
        <f t="shared" si="6"/>
        <v>#REF!</v>
      </c>
      <c r="AB6" s="506" t="e">
        <f t="shared" ref="AB6:AB23" si="20">J6+(S6*S$2/5)</f>
        <v>#REF!</v>
      </c>
      <c r="AC6" s="506" t="e">
        <f>K6+(T$2/53)</f>
        <v>#REF!</v>
      </c>
      <c r="AD6" s="506" t="e">
        <f>L6+(U$2/32)</f>
        <v>#REF!</v>
      </c>
      <c r="AE6" s="506" t="e">
        <f>M6+(V$2/17)</f>
        <v>#REF!</v>
      </c>
      <c r="AF6" s="506" t="e">
        <f>N6+(W$2/23)</f>
        <v>#REF!</v>
      </c>
      <c r="AG6" s="506" t="e">
        <f>O6+(X$2/17)+(Y$2/5)</f>
        <v>#REF!</v>
      </c>
      <c r="AH6" s="506" t="e">
        <f>P6+(Z$2/2)+(Y$2/10)</f>
        <v>#REF!</v>
      </c>
      <c r="AI6" s="424" t="e">
        <f t="shared" si="12"/>
        <v>#REF!</v>
      </c>
      <c r="AJ6" s="424" t="e">
        <f t="shared" si="13"/>
        <v>#REF!</v>
      </c>
      <c r="AK6" s="424" t="e">
        <f t="shared" si="14"/>
        <v>#REF!</v>
      </c>
      <c r="AL6" s="424" t="e">
        <f t="shared" si="15"/>
        <v>#REF!</v>
      </c>
      <c r="AM6" s="424" t="e">
        <f t="shared" si="16"/>
        <v>#REF!</v>
      </c>
      <c r="AN6" s="424" t="e">
        <f t="shared" si="17"/>
        <v>#REF!</v>
      </c>
      <c r="AO6" s="424" t="e">
        <f t="shared" si="18"/>
        <v>#REF!</v>
      </c>
      <c r="AQ6" s="427" t="s">
        <v>601</v>
      </c>
      <c r="AR6" s="305" t="str">
        <f>D16</f>
        <v>E. Gross</v>
      </c>
      <c r="AS6" s="432">
        <f>AJ16*0.378</f>
        <v>0</v>
      </c>
      <c r="AT6" s="432">
        <f>AS6</f>
        <v>0</v>
      </c>
      <c r="AU6" s="432">
        <f>AJ16*1</f>
        <v>0</v>
      </c>
      <c r="AV6" s="432">
        <f>AK16*0.236</f>
        <v>0</v>
      </c>
      <c r="AW6" s="432">
        <v>0</v>
      </c>
      <c r="AX6" s="432">
        <v>0</v>
      </c>
      <c r="AY6" s="432">
        <v>0</v>
      </c>
      <c r="AZ6" s="435">
        <f>(0.5*AN16+0.3*AO16)/10</f>
        <v>1.1999999999999957E-2</v>
      </c>
      <c r="BA6" s="435">
        <f>(0.4*AJ16+0.3*AO16)/10</f>
        <v>1.1999999999999957E-2</v>
      </c>
      <c r="BB6" s="434">
        <f>((AC16+1)+(AF16+1)*2)/8</f>
        <v>4.0037499999999993</v>
      </c>
      <c r="BC6" s="434">
        <f>((AJ16)+(AM16)*2)/8</f>
        <v>0</v>
      </c>
      <c r="BE6" s="427" t="s">
        <v>648</v>
      </c>
      <c r="BF6" s="260" t="str">
        <f>BF20</f>
        <v>D. Toh</v>
      </c>
      <c r="BG6" s="432">
        <f>BG20</f>
        <v>0</v>
      </c>
      <c r="BH6" s="432">
        <f t="shared" ref="BH6:BM6" si="21">BH20</f>
        <v>0</v>
      </c>
      <c r="BI6" s="432">
        <f t="shared" si="21"/>
        <v>0</v>
      </c>
      <c r="BJ6" s="432">
        <f t="shared" si="21"/>
        <v>0</v>
      </c>
      <c r="BK6" s="432">
        <f t="shared" si="21"/>
        <v>0</v>
      </c>
      <c r="BL6" s="432">
        <f t="shared" si="21"/>
        <v>0</v>
      </c>
      <c r="BM6" s="432">
        <f t="shared" si="21"/>
        <v>0</v>
      </c>
      <c r="BN6" s="435">
        <f>(0.5*AN7+0.3*AO7)/10</f>
        <v>1.2000000000000011E-2</v>
      </c>
      <c r="BO6" s="435">
        <f>(0.4*AJ7+0.3*AO7)/10</f>
        <v>1.2000000000000011E-2</v>
      </c>
      <c r="BP6" s="434">
        <f>((AC7+1)+(AF7+1)*2)/8</f>
        <v>3.6903611111111116</v>
      </c>
      <c r="BQ6" s="434">
        <f>((AJ7)+(AM7)*2)/8</f>
        <v>0</v>
      </c>
      <c r="BS6" s="256" t="s">
        <v>614</v>
      </c>
      <c r="BT6" s="441">
        <v>1</v>
      </c>
      <c r="BU6" s="442">
        <v>0.59299999999999997</v>
      </c>
      <c r="BV6" s="443">
        <v>0.19</v>
      </c>
      <c r="BW6" s="333">
        <f t="shared" si="2"/>
        <v>1.9</v>
      </c>
      <c r="BX6" s="333">
        <f t="shared" si="3"/>
        <v>2.85</v>
      </c>
    </row>
    <row r="7" spans="1:76" s="263" customFormat="1" x14ac:dyDescent="0.25">
      <c r="A7" s="305" t="s">
        <v>582</v>
      </c>
      <c r="B7" s="260" t="s">
        <v>2</v>
      </c>
      <c r="C7" s="261">
        <f t="shared" ca="1" si="11"/>
        <v>0.9553571428571429</v>
      </c>
      <c r="D7" s="294" t="s">
        <v>275</v>
      </c>
      <c r="E7" s="387">
        <f>PLANTILLA!E8</f>
        <v>32</v>
      </c>
      <c r="F7" s="387">
        <f ca="1">PLANTILLA!F8</f>
        <v>5</v>
      </c>
      <c r="G7" s="388" t="s">
        <v>502</v>
      </c>
      <c r="H7" s="394">
        <v>5</v>
      </c>
      <c r="I7" s="308">
        <f>PLANTILLA!I8</f>
        <v>7.6</v>
      </c>
      <c r="J7" s="486">
        <f>PLANTILLA!X8</f>
        <v>0</v>
      </c>
      <c r="K7" s="486">
        <f>PLANTILLA!Y8</f>
        <v>11.077333333333334</v>
      </c>
      <c r="L7" s="486">
        <f>PLANTILLA!Z8</f>
        <v>6.2194444444444406</v>
      </c>
      <c r="M7" s="486">
        <f>PLANTILLA!AA8</f>
        <v>6.1</v>
      </c>
      <c r="N7" s="486">
        <f>PLANTILLA!AB8</f>
        <v>7.7227777777777789</v>
      </c>
      <c r="O7" s="486">
        <f>PLANTILLA!AC8</f>
        <v>3.9933333333333318</v>
      </c>
      <c r="P7" s="486">
        <f>PLANTILLA!AD8</f>
        <v>15.387777777777776</v>
      </c>
      <c r="Q7" s="411">
        <f t="shared" si="4"/>
        <v>32</v>
      </c>
      <c r="R7" s="412">
        <f t="shared" ca="1" si="5"/>
        <v>12</v>
      </c>
      <c r="S7" s="180"/>
      <c r="T7" s="180"/>
      <c r="U7" s="180"/>
      <c r="V7" s="180"/>
      <c r="W7" s="180"/>
      <c r="X7" s="180"/>
      <c r="Y7" s="180"/>
      <c r="Z7" s="180"/>
      <c r="AA7" s="296">
        <f t="shared" si="6"/>
        <v>7.6</v>
      </c>
      <c r="AB7" s="506">
        <f t="shared" si="20"/>
        <v>0</v>
      </c>
      <c r="AC7" s="506">
        <f>K7+(T$2/11)</f>
        <v>11.077333333333334</v>
      </c>
      <c r="AD7" s="506">
        <f>L7+(U$2/6.5)</f>
        <v>6.2194444444444406</v>
      </c>
      <c r="AE7" s="506">
        <f>M7+(V$2/62)</f>
        <v>6.1</v>
      </c>
      <c r="AF7" s="506">
        <f>N7+(W$2/7)</f>
        <v>7.7227777777777789</v>
      </c>
      <c r="AG7" s="506">
        <f>O7+(X$2/21)+(Y$2/7)</f>
        <v>3.9933333333333318</v>
      </c>
      <c r="AH7" s="506">
        <f>P7+(Z$2/2.5)+(Y$2/10)</f>
        <v>15.787777777777777</v>
      </c>
      <c r="AI7" s="424">
        <f t="shared" si="12"/>
        <v>0</v>
      </c>
      <c r="AJ7" s="424">
        <f t="shared" si="13"/>
        <v>0</v>
      </c>
      <c r="AK7" s="424">
        <f t="shared" si="14"/>
        <v>0</v>
      </c>
      <c r="AL7" s="424">
        <f t="shared" si="15"/>
        <v>0</v>
      </c>
      <c r="AM7" s="424">
        <f t="shared" si="16"/>
        <v>0</v>
      </c>
      <c r="AN7" s="424">
        <f t="shared" si="17"/>
        <v>0</v>
      </c>
      <c r="AO7" s="424">
        <f t="shared" si="18"/>
        <v>0.40000000000000036</v>
      </c>
      <c r="AQ7" s="427" t="s">
        <v>569</v>
      </c>
      <c r="AR7" s="305" t="str">
        <f>D8</f>
        <v>E. Toney</v>
      </c>
      <c r="AS7" s="432">
        <v>0</v>
      </c>
      <c r="AT7" s="432">
        <f>AJ8*0.919</f>
        <v>0</v>
      </c>
      <c r="AU7" s="432">
        <f>AJ8*0.414</f>
        <v>0</v>
      </c>
      <c r="AV7" s="432">
        <f>AK8*0.167</f>
        <v>0</v>
      </c>
      <c r="AW7" s="432">
        <v>0</v>
      </c>
      <c r="AX7" s="432">
        <f>AL8*0.588</f>
        <v>0</v>
      </c>
      <c r="AY7" s="432">
        <v>0</v>
      </c>
      <c r="AZ7" s="435">
        <f>(0.5*AN8+0.3*AO8)/10</f>
        <v>1.1999999999999957E-2</v>
      </c>
      <c r="BA7" s="435">
        <f>(0.4*AJ8+0.3*AO8)/10</f>
        <v>1.1999999999999957E-2</v>
      </c>
      <c r="BB7" s="434">
        <f>((AC8+1)+(AF8+1)*2)/8</f>
        <v>4.3000000000000007</v>
      </c>
      <c r="BC7" s="434">
        <f>((AJ8)+(AM8)*2)/8</f>
        <v>0</v>
      </c>
      <c r="BE7" s="427" t="s">
        <v>569</v>
      </c>
      <c r="BF7" s="260" t="str">
        <f>BF23</f>
        <v>E.Romweber</v>
      </c>
      <c r="BG7" s="432">
        <f>BG23</f>
        <v>0</v>
      </c>
      <c r="BH7" s="432">
        <f t="shared" ref="BH7:BM7" si="22">BH23</f>
        <v>0</v>
      </c>
      <c r="BI7" s="432">
        <f t="shared" si="22"/>
        <v>0</v>
      </c>
      <c r="BJ7" s="432">
        <f t="shared" si="22"/>
        <v>0</v>
      </c>
      <c r="BK7" s="432">
        <f t="shared" si="22"/>
        <v>0</v>
      </c>
      <c r="BL7" s="432">
        <f t="shared" si="22"/>
        <v>0</v>
      </c>
      <c r="BM7" s="432">
        <f t="shared" si="22"/>
        <v>0</v>
      </c>
      <c r="BN7" s="435">
        <f>BN23</f>
        <v>1.1999999999999957E-2</v>
      </c>
      <c r="BO7" s="435">
        <f t="shared" ref="BO7:BQ7" si="23">BO23</f>
        <v>1.1999999999999957E-2</v>
      </c>
      <c r="BP7" s="435">
        <f t="shared" si="23"/>
        <v>4.6101388888888888</v>
      </c>
      <c r="BQ7" s="435">
        <f t="shared" si="23"/>
        <v>0</v>
      </c>
    </row>
    <row r="8" spans="1:76" s="264" customFormat="1" x14ac:dyDescent="0.25">
      <c r="A8" s="384" t="s">
        <v>407</v>
      </c>
      <c r="B8" s="384" t="s">
        <v>2</v>
      </c>
      <c r="C8" s="385">
        <f t="shared" ca="1" si="11"/>
        <v>1.3660714285714286</v>
      </c>
      <c r="D8" s="386" t="s">
        <v>269</v>
      </c>
      <c r="E8" s="387">
        <f>PLANTILLA!E9</f>
        <v>31</v>
      </c>
      <c r="F8" s="387">
        <f ca="1">PLANTILLA!F9</f>
        <v>71</v>
      </c>
      <c r="G8" s="388"/>
      <c r="H8" s="394">
        <v>5</v>
      </c>
      <c r="I8" s="308">
        <f>PLANTILLA!I9</f>
        <v>12.4</v>
      </c>
      <c r="J8" s="486">
        <f>PLANTILLA!X9</f>
        <v>0</v>
      </c>
      <c r="K8" s="486">
        <f>PLANTILLA!Y9</f>
        <v>12.200000000000005</v>
      </c>
      <c r="L8" s="486">
        <f>PLANTILLA!Z9</f>
        <v>13.261555555555553</v>
      </c>
      <c r="M8" s="486">
        <f>PLANTILLA!AA9</f>
        <v>9.8750000000000053</v>
      </c>
      <c r="N8" s="486">
        <f>PLANTILLA!AB9</f>
        <v>9.6</v>
      </c>
      <c r="O8" s="486">
        <f>PLANTILLA!AC9</f>
        <v>3.6816666666666658</v>
      </c>
      <c r="P8" s="486">
        <f>PLANTILLA!AD9</f>
        <v>16.827777777777772</v>
      </c>
      <c r="Q8" s="411">
        <f t="shared" si="4"/>
        <v>31</v>
      </c>
      <c r="R8" s="412">
        <f t="shared" ca="1" si="5"/>
        <v>78</v>
      </c>
      <c r="S8" s="180"/>
      <c r="T8" s="180"/>
      <c r="U8" s="180"/>
      <c r="V8" s="180"/>
      <c r="W8" s="180"/>
      <c r="X8" s="180"/>
      <c r="Y8" s="180"/>
      <c r="Z8" s="180"/>
      <c r="AA8" s="296">
        <f t="shared" si="6"/>
        <v>12.4</v>
      </c>
      <c r="AB8" s="506">
        <f t="shared" si="20"/>
        <v>0</v>
      </c>
      <c r="AC8" s="506">
        <f>K8+(T$2/11)</f>
        <v>12.200000000000005</v>
      </c>
      <c r="AD8" s="506">
        <f>L8+(U$2/29)</f>
        <v>13.261555555555553</v>
      </c>
      <c r="AE8" s="506">
        <f>M8+(V$2/13)</f>
        <v>9.8750000000000053</v>
      </c>
      <c r="AF8" s="506">
        <f>N8+(W$2/8)</f>
        <v>9.6</v>
      </c>
      <c r="AG8" s="506">
        <f>O8+(X$2/19)+(Y$2/6)</f>
        <v>3.6816666666666658</v>
      </c>
      <c r="AH8" s="506">
        <f>P8+(Z$2/2.5)+(Y$2/10)</f>
        <v>17.227777777777771</v>
      </c>
      <c r="AI8" s="424">
        <f t="shared" si="12"/>
        <v>0</v>
      </c>
      <c r="AJ8" s="424">
        <f t="shared" si="13"/>
        <v>0</v>
      </c>
      <c r="AK8" s="424">
        <f t="shared" si="14"/>
        <v>0</v>
      </c>
      <c r="AL8" s="424">
        <f t="shared" si="15"/>
        <v>0</v>
      </c>
      <c r="AM8" s="424">
        <f t="shared" si="16"/>
        <v>0</v>
      </c>
      <c r="AN8" s="424">
        <f t="shared" si="17"/>
        <v>0</v>
      </c>
      <c r="AO8" s="424">
        <f t="shared" si="18"/>
        <v>0.39999999999999858</v>
      </c>
      <c r="AQ8" s="529" t="s">
        <v>649</v>
      </c>
      <c r="AR8" s="304" t="str">
        <f>D11</f>
        <v>E.Romweber</v>
      </c>
      <c r="AS8" s="430">
        <f>AJ11*0.349</f>
        <v>0</v>
      </c>
      <c r="AT8" s="430">
        <v>0</v>
      </c>
      <c r="AU8" s="430">
        <f>AJ11*0.201</f>
        <v>0</v>
      </c>
      <c r="AV8" s="430">
        <f>AK11*0.455</f>
        <v>0</v>
      </c>
      <c r="AW8" s="430">
        <f>(AL11*0.864)+(AM11*0.244)</f>
        <v>0</v>
      </c>
      <c r="AX8" s="430">
        <v>0</v>
      </c>
      <c r="AY8" s="430">
        <f>(AM11*0.121)</f>
        <v>0</v>
      </c>
      <c r="AZ8" s="435">
        <f>(0.5*AN11+0.3*AO11)/10</f>
        <v>1.1999999999999957E-2</v>
      </c>
      <c r="BA8" s="435">
        <f>(0.4*AJ11+0.3*AO11)/10</f>
        <v>1.1999999999999957E-2</v>
      </c>
      <c r="BB8" s="433">
        <v>0</v>
      </c>
      <c r="BC8" s="433">
        <v>0</v>
      </c>
      <c r="BE8" s="529" t="s">
        <v>650</v>
      </c>
      <c r="BF8" s="304" t="str">
        <f>D12</f>
        <v>K. Helms</v>
      </c>
      <c r="BG8" s="432">
        <f>BG24</f>
        <v>0</v>
      </c>
      <c r="BH8" s="432">
        <f t="shared" ref="BH8:BQ8" si="24">BH24</f>
        <v>0</v>
      </c>
      <c r="BI8" s="432">
        <f t="shared" si="24"/>
        <v>0</v>
      </c>
      <c r="BJ8" s="432">
        <f t="shared" si="24"/>
        <v>0</v>
      </c>
      <c r="BK8" s="432">
        <f t="shared" si="24"/>
        <v>0</v>
      </c>
      <c r="BL8" s="432">
        <f t="shared" si="24"/>
        <v>0</v>
      </c>
      <c r="BM8" s="432">
        <f t="shared" si="24"/>
        <v>0</v>
      </c>
      <c r="BN8" s="435">
        <f t="shared" si="24"/>
        <v>1.1999999999999957E-2</v>
      </c>
      <c r="BO8" s="435">
        <f t="shared" si="24"/>
        <v>1.1999999999999957E-2</v>
      </c>
      <c r="BP8" s="435">
        <f t="shared" si="24"/>
        <v>0</v>
      </c>
      <c r="BQ8" s="435">
        <f t="shared" si="24"/>
        <v>0</v>
      </c>
    </row>
    <row r="9" spans="1:76" s="263" customFormat="1" x14ac:dyDescent="0.25">
      <c r="A9" s="384" t="s">
        <v>411</v>
      </c>
      <c r="B9" s="260" t="s">
        <v>2</v>
      </c>
      <c r="C9" s="261">
        <f t="shared" ca="1" si="11"/>
        <v>1.5</v>
      </c>
      <c r="D9" s="294" t="s">
        <v>273</v>
      </c>
      <c r="E9" s="387">
        <f>PLANTILLA!E10</f>
        <v>31</v>
      </c>
      <c r="F9" s="387">
        <f ca="1">PLANTILLA!F10</f>
        <v>56</v>
      </c>
      <c r="G9" s="388"/>
      <c r="H9" s="371">
        <v>4</v>
      </c>
      <c r="I9" s="308">
        <f>PLANTILLA!I10</f>
        <v>9.5</v>
      </c>
      <c r="J9" s="486">
        <f>PLANTILLA!X10</f>
        <v>0</v>
      </c>
      <c r="K9" s="486">
        <f>PLANTILLA!Y10</f>
        <v>11.999999999999996</v>
      </c>
      <c r="L9" s="486">
        <f>PLANTILLA!Z10</f>
        <v>7.0225000000000017</v>
      </c>
      <c r="M9" s="486">
        <f>PLANTILLA!AA10</f>
        <v>7.5000000000000018</v>
      </c>
      <c r="N9" s="486">
        <f>PLANTILLA!AB10</f>
        <v>9.0199999999999978</v>
      </c>
      <c r="O9" s="486">
        <f>PLANTILLA!AC10</f>
        <v>4.6199999999999966</v>
      </c>
      <c r="P9" s="486">
        <f>PLANTILLA!AD10</f>
        <v>15.799999999999999</v>
      </c>
      <c r="Q9" s="411">
        <f t="shared" si="4"/>
        <v>31</v>
      </c>
      <c r="R9" s="412">
        <f t="shared" ca="1" si="5"/>
        <v>63</v>
      </c>
      <c r="S9" s="180"/>
      <c r="T9" s="180"/>
      <c r="U9" s="180"/>
      <c r="V9" s="180"/>
      <c r="W9" s="180"/>
      <c r="X9" s="180"/>
      <c r="Y9" s="180"/>
      <c r="Z9" s="180"/>
      <c r="AA9" s="296">
        <f t="shared" si="6"/>
        <v>9.5</v>
      </c>
      <c r="AB9" s="506">
        <f t="shared" si="20"/>
        <v>0</v>
      </c>
      <c r="AC9" s="506">
        <f>K9+(T$2/10)</f>
        <v>11.999999999999996</v>
      </c>
      <c r="AD9" s="506">
        <f>L9+(U$2/31)</f>
        <v>7.0225000000000017</v>
      </c>
      <c r="AE9" s="506">
        <f>M9+(V$2/6)</f>
        <v>7.5000000000000018</v>
      </c>
      <c r="AF9" s="506">
        <f>N9+(W$2/7)</f>
        <v>9.0199999999999978</v>
      </c>
      <c r="AG9" s="506">
        <f>O9+(X$2/21)+(Y$2/7)</f>
        <v>4.6199999999999966</v>
      </c>
      <c r="AH9" s="506">
        <f>P9+(Z$2/2)+(Y$2/10)</f>
        <v>16.299999999999997</v>
      </c>
      <c r="AI9" s="424">
        <f t="shared" si="12"/>
        <v>0</v>
      </c>
      <c r="AJ9" s="424">
        <f t="shared" si="13"/>
        <v>0</v>
      </c>
      <c r="AK9" s="424">
        <f t="shared" si="14"/>
        <v>0</v>
      </c>
      <c r="AL9" s="424">
        <f t="shared" si="15"/>
        <v>0</v>
      </c>
      <c r="AM9" s="424">
        <f t="shared" si="16"/>
        <v>0</v>
      </c>
      <c r="AN9" s="424">
        <f t="shared" si="17"/>
        <v>0</v>
      </c>
      <c r="AO9" s="424">
        <f t="shared" si="18"/>
        <v>0.49999999999999822</v>
      </c>
      <c r="AQ9" s="427" t="s">
        <v>503</v>
      </c>
      <c r="AR9" s="260" t="str">
        <f>D14</f>
        <v>S. Buscleman</v>
      </c>
      <c r="AS9" s="432">
        <f>AJ14*0.291</f>
        <v>0</v>
      </c>
      <c r="AT9" s="432">
        <v>0</v>
      </c>
      <c r="AU9" s="432">
        <f>AJ14*0.348</f>
        <v>0</v>
      </c>
      <c r="AV9" s="432">
        <f>AK14*0.881</f>
        <v>0</v>
      </c>
      <c r="AW9" s="432">
        <f>(AL14*0.574)+(AM14*0.315)</f>
        <v>0</v>
      </c>
      <c r="AX9" s="432">
        <v>0</v>
      </c>
      <c r="AY9" s="432">
        <f>AM14*0.241</f>
        <v>0</v>
      </c>
      <c r="AZ9" s="435">
        <f>(0.5*AN14+0.3*AO14)/10</f>
        <v>0.03</v>
      </c>
      <c r="BA9" s="435">
        <f>(0.4*AJ14+0.3*AO14)/10</f>
        <v>0.03</v>
      </c>
      <c r="BB9" s="435">
        <v>0</v>
      </c>
      <c r="BC9" s="435">
        <v>0</v>
      </c>
      <c r="BE9" s="427" t="s">
        <v>503</v>
      </c>
      <c r="BF9" s="260" t="str">
        <f>D14</f>
        <v>S. Buscleman</v>
      </c>
      <c r="BG9" s="432">
        <f t="shared" ref="BG9:BM9" si="25">AS9</f>
        <v>0</v>
      </c>
      <c r="BH9" s="432">
        <f t="shared" si="25"/>
        <v>0</v>
      </c>
      <c r="BI9" s="432">
        <f t="shared" si="25"/>
        <v>0</v>
      </c>
      <c r="BJ9" s="432">
        <f t="shared" si="25"/>
        <v>0</v>
      </c>
      <c r="BK9" s="432">
        <f t="shared" si="25"/>
        <v>0</v>
      </c>
      <c r="BL9" s="432">
        <f t="shared" si="25"/>
        <v>0</v>
      </c>
      <c r="BM9" s="432">
        <f t="shared" si="25"/>
        <v>0</v>
      </c>
      <c r="BN9" s="435">
        <f t="shared" ref="BN9" si="26">AZ9</f>
        <v>0.03</v>
      </c>
      <c r="BO9" s="435">
        <f>BA9</f>
        <v>0.03</v>
      </c>
      <c r="BP9" s="435">
        <f>BB9</f>
        <v>0</v>
      </c>
      <c r="BQ9" s="435">
        <f>BC9</f>
        <v>0</v>
      </c>
    </row>
    <row r="10" spans="1:76" s="4" customFormat="1" x14ac:dyDescent="0.25">
      <c r="A10" s="304" t="s">
        <v>568</v>
      </c>
      <c r="B10" s="260" t="s">
        <v>2</v>
      </c>
      <c r="C10" s="261">
        <f t="shared" ca="1" si="11"/>
        <v>5.2946428571428568</v>
      </c>
      <c r="D10" s="294" t="s">
        <v>567</v>
      </c>
      <c r="E10" s="387">
        <f>PLANTILLA!E11</f>
        <v>27</v>
      </c>
      <c r="F10" s="387">
        <f ca="1">PLANTILLA!F11</f>
        <v>79</v>
      </c>
      <c r="G10" s="388"/>
      <c r="H10" s="394">
        <v>5</v>
      </c>
      <c r="I10" s="308">
        <f>PLANTILLA!I11</f>
        <v>4.9000000000000004</v>
      </c>
      <c r="J10" s="486">
        <f>PLANTILLA!X11</f>
        <v>0</v>
      </c>
      <c r="K10" s="486">
        <f>PLANTILLA!Y11</f>
        <v>9.6046666666666667</v>
      </c>
      <c r="L10" s="486">
        <f>PLANTILLA!Z11</f>
        <v>7.7607222222222223</v>
      </c>
      <c r="M10" s="486">
        <f>PLANTILLA!AA11</f>
        <v>6.1599999999999984</v>
      </c>
      <c r="N10" s="486">
        <f>PLANTILLA!AB11</f>
        <v>8.8633333333333315</v>
      </c>
      <c r="O10" s="486">
        <f>PLANTILLA!AC11</f>
        <v>3.2566666666666673</v>
      </c>
      <c r="P10" s="486">
        <f>PLANTILLA!AD11</f>
        <v>13.238888888888889</v>
      </c>
      <c r="Q10" s="411">
        <f t="shared" si="4"/>
        <v>27</v>
      </c>
      <c r="R10" s="412">
        <f t="shared" ca="1" si="5"/>
        <v>86</v>
      </c>
      <c r="S10" s="180"/>
      <c r="T10" s="180"/>
      <c r="U10" s="180"/>
      <c r="V10" s="180"/>
      <c r="W10" s="180"/>
      <c r="X10" s="180"/>
      <c r="Y10" s="180"/>
      <c r="Z10" s="180"/>
      <c r="AA10" s="296">
        <f t="shared" si="6"/>
        <v>4.9000000000000004</v>
      </c>
      <c r="AB10" s="506">
        <f t="shared" si="20"/>
        <v>0</v>
      </c>
      <c r="AC10" s="506">
        <f>K10+(T$2/25)</f>
        <v>9.6046666666666667</v>
      </c>
      <c r="AD10" s="506">
        <f>L10+(U$2/37)</f>
        <v>7.7607222222222223</v>
      </c>
      <c r="AE10" s="506">
        <f>M10+(V$2/20)</f>
        <v>6.1599999999999984</v>
      </c>
      <c r="AF10" s="506">
        <f>N10+(W$2/8)</f>
        <v>8.8633333333333315</v>
      </c>
      <c r="AG10" s="506">
        <f>O10+(X$2/18)+(Y$2/5)</f>
        <v>3.2566666666666673</v>
      </c>
      <c r="AH10" s="506">
        <f>P10+(Z$2/1.2)+(Y$2/10)</f>
        <v>14.072222222222223</v>
      </c>
      <c r="AI10" s="424">
        <f t="shared" si="12"/>
        <v>0</v>
      </c>
      <c r="AJ10" s="424">
        <f t="shared" si="13"/>
        <v>0</v>
      </c>
      <c r="AK10" s="424">
        <f t="shared" si="14"/>
        <v>0</v>
      </c>
      <c r="AL10" s="424">
        <f t="shared" si="15"/>
        <v>0</v>
      </c>
      <c r="AM10" s="424">
        <f t="shared" si="16"/>
        <v>0</v>
      </c>
      <c r="AN10" s="424">
        <f t="shared" si="17"/>
        <v>0</v>
      </c>
      <c r="AO10" s="424">
        <f t="shared" si="18"/>
        <v>0.83333333333333393</v>
      </c>
      <c r="AQ10" s="427" t="s">
        <v>651</v>
      </c>
      <c r="AR10" s="260" t="str">
        <f>D17</f>
        <v>L. Bauman</v>
      </c>
      <c r="AS10" s="432">
        <f>AJ17*0.057</f>
        <v>0</v>
      </c>
      <c r="AT10" s="432">
        <f>AS10</f>
        <v>0</v>
      </c>
      <c r="AU10" s="432">
        <f>AJ17*0.162</f>
        <v>0</v>
      </c>
      <c r="AV10" s="432">
        <f>AK17*0.944</f>
        <v>0</v>
      </c>
      <c r="AW10" s="432">
        <f>AM17*0.188</f>
        <v>0</v>
      </c>
      <c r="AX10" s="432">
        <f>AW10</f>
        <v>0</v>
      </c>
      <c r="AY10" s="432">
        <f>AM17*0.507+AN17*0.31</f>
        <v>0</v>
      </c>
      <c r="AZ10" s="435">
        <f>(0.5*AN17+0.3*AO17)/10</f>
        <v>1.1999999999999957E-2</v>
      </c>
      <c r="BA10" s="435">
        <f>(0.4*AJ17+0.3*AO17)/10</f>
        <v>1.1999999999999957E-2</v>
      </c>
      <c r="BB10" s="435">
        <v>0</v>
      </c>
      <c r="BC10" s="435">
        <v>0</v>
      </c>
      <c r="BE10" s="427" t="s">
        <v>648</v>
      </c>
      <c r="BF10" s="260" t="str">
        <f>BF22</f>
        <v>B. Bartolache</v>
      </c>
      <c r="BG10" s="432">
        <f>BG22</f>
        <v>0</v>
      </c>
      <c r="BH10" s="432">
        <f t="shared" ref="BH10:BM10" si="27">BH22</f>
        <v>0</v>
      </c>
      <c r="BI10" s="432">
        <f t="shared" si="27"/>
        <v>0</v>
      </c>
      <c r="BJ10" s="432">
        <f t="shared" si="27"/>
        <v>0</v>
      </c>
      <c r="BK10" s="432">
        <f t="shared" si="27"/>
        <v>0</v>
      </c>
      <c r="BL10" s="432">
        <f t="shared" si="27"/>
        <v>0</v>
      </c>
      <c r="BM10" s="432">
        <f t="shared" si="27"/>
        <v>0</v>
      </c>
      <c r="BN10" s="435">
        <f>AZ7</f>
        <v>1.1999999999999957E-2</v>
      </c>
      <c r="BO10" s="435">
        <f>BA7</f>
        <v>1.1999999999999957E-2</v>
      </c>
      <c r="BP10" s="435">
        <f t="shared" ref="BP10:BQ10" si="28">BP22</f>
        <v>4.3000000000000007</v>
      </c>
      <c r="BQ10" s="435">
        <f t="shared" si="28"/>
        <v>0</v>
      </c>
    </row>
    <row r="11" spans="1:76" x14ac:dyDescent="0.25">
      <c r="A11" s="384" t="s">
        <v>405</v>
      </c>
      <c r="B11" s="384" t="s">
        <v>65</v>
      </c>
      <c r="C11" s="385">
        <f t="shared" ca="1" si="11"/>
        <v>1.7053571428571428</v>
      </c>
      <c r="D11" s="386" t="s">
        <v>270</v>
      </c>
      <c r="E11" s="387">
        <f>PLANTILLA!E12</f>
        <v>31</v>
      </c>
      <c r="F11" s="387">
        <f ca="1">PLANTILLA!F12</f>
        <v>33</v>
      </c>
      <c r="G11" s="388" t="s">
        <v>271</v>
      </c>
      <c r="H11" s="371">
        <v>1</v>
      </c>
      <c r="I11" s="308">
        <f>PLANTILLA!I12</f>
        <v>12.6</v>
      </c>
      <c r="J11" s="486">
        <f>PLANTILLA!X12</f>
        <v>0</v>
      </c>
      <c r="K11" s="486">
        <f>PLANTILLA!Y12</f>
        <v>12.06111111111111</v>
      </c>
      <c r="L11" s="486">
        <f>PLANTILLA!Z12</f>
        <v>12.614111111111114</v>
      </c>
      <c r="M11" s="486">
        <f>PLANTILLA!AA12</f>
        <v>13.216666666666669</v>
      </c>
      <c r="N11" s="486">
        <f>PLANTILLA!AB12</f>
        <v>10.91</v>
      </c>
      <c r="O11" s="486">
        <f>PLANTILLA!AC12</f>
        <v>7.7700000000000005</v>
      </c>
      <c r="P11" s="486">
        <f>PLANTILLA!AD12</f>
        <v>17.329999999999998</v>
      </c>
      <c r="Q11" s="411">
        <f t="shared" si="4"/>
        <v>31</v>
      </c>
      <c r="R11" s="412">
        <f t="shared" ca="1" si="5"/>
        <v>40</v>
      </c>
      <c r="S11" s="180"/>
      <c r="T11" s="180"/>
      <c r="U11" s="180"/>
      <c r="V11" s="180"/>
      <c r="W11" s="180"/>
      <c r="X11" s="180"/>
      <c r="Y11" s="180"/>
      <c r="Z11" s="180"/>
      <c r="AA11" s="296">
        <f t="shared" si="6"/>
        <v>12.6</v>
      </c>
      <c r="AB11" s="506">
        <f t="shared" si="20"/>
        <v>0</v>
      </c>
      <c r="AC11" s="506">
        <f>K11+(T$2/10)</f>
        <v>12.06111111111111</v>
      </c>
      <c r="AD11" s="506">
        <f>L11+(U$2/18)</f>
        <v>12.614111111111114</v>
      </c>
      <c r="AE11" s="506">
        <f>M11+(V$2/15)</f>
        <v>13.216666666666669</v>
      </c>
      <c r="AF11" s="506">
        <f>N11+(W$2/8)</f>
        <v>10.91</v>
      </c>
      <c r="AG11" s="506">
        <f>O11+(X$2/5)+(Y$2/4)/2</f>
        <v>7.7700000000000005</v>
      </c>
      <c r="AH11" s="506">
        <f>P11+(Z$2/2.5)+(Y$2/10)</f>
        <v>17.729999999999997</v>
      </c>
      <c r="AI11" s="424">
        <f t="shared" si="12"/>
        <v>0</v>
      </c>
      <c r="AJ11" s="424">
        <f t="shared" si="13"/>
        <v>0</v>
      </c>
      <c r="AK11" s="424">
        <f t="shared" si="14"/>
        <v>0</v>
      </c>
      <c r="AL11" s="424">
        <f t="shared" si="15"/>
        <v>0</v>
      </c>
      <c r="AM11" s="424">
        <f t="shared" si="16"/>
        <v>0</v>
      </c>
      <c r="AN11" s="424">
        <f t="shared" si="17"/>
        <v>0</v>
      </c>
      <c r="AO11" s="424">
        <f t="shared" si="18"/>
        <v>0.39999999999999858</v>
      </c>
      <c r="AQ11" s="427" t="s">
        <v>503</v>
      </c>
      <c r="AR11" s="260" t="str">
        <f>D15</f>
        <v>C. Rojas</v>
      </c>
      <c r="AS11" s="432">
        <v>0</v>
      </c>
      <c r="AT11" s="432">
        <f>AJ15*0.291</f>
        <v>0</v>
      </c>
      <c r="AU11" s="432">
        <f>AJ15*0.348</f>
        <v>0</v>
      </c>
      <c r="AV11" s="432">
        <f>AK15*0.881</f>
        <v>0</v>
      </c>
      <c r="AW11" s="432">
        <v>0</v>
      </c>
      <c r="AX11" s="432">
        <f>(AL15*0.574)+(AM15*0.314)</f>
        <v>0</v>
      </c>
      <c r="AY11" s="432">
        <f>AM15*0.241</f>
        <v>0</v>
      </c>
      <c r="AZ11" s="435">
        <f>(0.5*AN15+0.3*AO15)/10</f>
        <v>1.4999999999999999E-2</v>
      </c>
      <c r="BA11" s="435">
        <f>(0.4*AJ15+0.3*AO15)/10</f>
        <v>1.4999999999999999E-2</v>
      </c>
      <c r="BB11" s="435">
        <v>0</v>
      </c>
      <c r="BC11" s="435">
        <v>0</v>
      </c>
      <c r="BE11" s="427" t="s">
        <v>503</v>
      </c>
      <c r="BF11" s="260" t="str">
        <f>D15</f>
        <v>C. Rojas</v>
      </c>
      <c r="BG11" s="432">
        <f>BG26</f>
        <v>0</v>
      </c>
      <c r="BH11" s="432">
        <f t="shared" ref="BH11:BM11" si="29">BH26</f>
        <v>0</v>
      </c>
      <c r="BI11" s="432">
        <f t="shared" si="29"/>
        <v>0</v>
      </c>
      <c r="BJ11" s="432">
        <f t="shared" si="29"/>
        <v>0</v>
      </c>
      <c r="BK11" s="432">
        <f t="shared" si="29"/>
        <v>0</v>
      </c>
      <c r="BL11" s="432">
        <f t="shared" si="29"/>
        <v>0</v>
      </c>
      <c r="BM11" s="432">
        <f t="shared" si="29"/>
        <v>0</v>
      </c>
      <c r="BN11" s="435">
        <f>BN26</f>
        <v>1.4999999999999999E-2</v>
      </c>
      <c r="BO11" s="435">
        <f t="shared" ref="BO11:BQ11" si="30">BO26</f>
        <v>1.4999999999999999E-2</v>
      </c>
      <c r="BP11" s="435">
        <f t="shared" si="30"/>
        <v>0</v>
      </c>
      <c r="BQ11" s="435">
        <f t="shared" si="30"/>
        <v>0</v>
      </c>
    </row>
    <row r="12" spans="1:76" s="263" customFormat="1" x14ac:dyDescent="0.25">
      <c r="A12" s="384" t="s">
        <v>412</v>
      </c>
      <c r="B12" s="384" t="s">
        <v>65</v>
      </c>
      <c r="C12" s="385">
        <f t="shared" ca="1" si="11"/>
        <v>2.1785714285714284</v>
      </c>
      <c r="D12" s="386" t="s">
        <v>298</v>
      </c>
      <c r="E12" s="387">
        <f>PLANTILLA!E13</f>
        <v>30</v>
      </c>
      <c r="F12" s="387">
        <f ca="1">PLANTILLA!F13</f>
        <v>92</v>
      </c>
      <c r="G12" s="388" t="s">
        <v>268</v>
      </c>
      <c r="H12" s="371">
        <v>3</v>
      </c>
      <c r="I12" s="308">
        <f>PLANTILLA!I13</f>
        <v>10.4</v>
      </c>
      <c r="J12" s="486">
        <f>PLANTILLA!X13</f>
        <v>0</v>
      </c>
      <c r="K12" s="486">
        <f>PLANTILLA!Y13</f>
        <v>7.2503030303030309</v>
      </c>
      <c r="L12" s="486">
        <f>PLANTILLA!Z13</f>
        <v>10.600000000000005</v>
      </c>
      <c r="M12" s="486">
        <f>PLANTILLA!AA13</f>
        <v>13.471666666666668</v>
      </c>
      <c r="N12" s="486">
        <f>PLANTILLA!AB13</f>
        <v>10.359999999999998</v>
      </c>
      <c r="O12" s="486">
        <f>PLANTILLA!AC13</f>
        <v>5.4050000000000002</v>
      </c>
      <c r="P12" s="486">
        <f>PLANTILLA!AD13</f>
        <v>17.500000000000004</v>
      </c>
      <c r="Q12" s="411">
        <f t="shared" si="4"/>
        <v>30</v>
      </c>
      <c r="R12" s="412">
        <f t="shared" ca="1" si="5"/>
        <v>99</v>
      </c>
      <c r="S12" s="180"/>
      <c r="T12" s="180"/>
      <c r="U12" s="180"/>
      <c r="V12" s="180"/>
      <c r="W12" s="180"/>
      <c r="X12" s="180"/>
      <c r="Y12" s="180"/>
      <c r="Z12" s="180"/>
      <c r="AA12" s="296">
        <f t="shared" si="6"/>
        <v>10.4</v>
      </c>
      <c r="AB12" s="506">
        <f t="shared" si="20"/>
        <v>0</v>
      </c>
      <c r="AC12" s="506">
        <f>K12+(T$2/7)</f>
        <v>7.2503030303030309</v>
      </c>
      <c r="AD12" s="506">
        <f>L12+(U$2/7)</f>
        <v>10.600000000000005</v>
      </c>
      <c r="AE12" s="506">
        <f>M12+(V$2/8)</f>
        <v>13.471666666666668</v>
      </c>
      <c r="AF12" s="506">
        <f>N12+(W$2/8)</f>
        <v>10.359999999999998</v>
      </c>
      <c r="AG12" s="506">
        <f>O12+(X$2/4)+(Y$2/6)</f>
        <v>5.4050000000000002</v>
      </c>
      <c r="AH12" s="506">
        <f>P12+(Z$2/2.5)+(Y$2/10)</f>
        <v>17.900000000000002</v>
      </c>
      <c r="AI12" s="424">
        <f t="shared" si="12"/>
        <v>0</v>
      </c>
      <c r="AJ12" s="424">
        <f t="shared" si="13"/>
        <v>0</v>
      </c>
      <c r="AK12" s="424">
        <f t="shared" si="14"/>
        <v>0</v>
      </c>
      <c r="AL12" s="424">
        <f t="shared" si="15"/>
        <v>0</v>
      </c>
      <c r="AM12" s="424">
        <f t="shared" si="16"/>
        <v>0</v>
      </c>
      <c r="AN12" s="424">
        <f t="shared" si="17"/>
        <v>0</v>
      </c>
      <c r="AO12" s="424">
        <f t="shared" si="18"/>
        <v>0.39999999999999858</v>
      </c>
      <c r="AQ12" s="530" t="s">
        <v>650</v>
      </c>
      <c r="AR12" s="260" t="str">
        <f>D12</f>
        <v>K. Helms</v>
      </c>
      <c r="AS12" s="432">
        <v>0</v>
      </c>
      <c r="AT12" s="432">
        <f>AJ12*0.18</f>
        <v>0</v>
      </c>
      <c r="AU12" s="432">
        <f>AJ12*0.068</f>
        <v>0</v>
      </c>
      <c r="AV12" s="432">
        <f>AK12*0.305</f>
        <v>0</v>
      </c>
      <c r="AW12" s="432">
        <v>0</v>
      </c>
      <c r="AX12" s="432">
        <f>(AL12*1)+(AM12*0.286)</f>
        <v>0</v>
      </c>
      <c r="AY12" s="432">
        <f>AM12*0.135</f>
        <v>0</v>
      </c>
      <c r="AZ12" s="435">
        <f>(0.5*AN12+0.3*AO12)/10</f>
        <v>1.1999999999999957E-2</v>
      </c>
      <c r="BA12" s="435">
        <f>(0.4*AJ12+0.3*AO12)/10</f>
        <v>1.1999999999999957E-2</v>
      </c>
      <c r="BB12" s="435">
        <v>0</v>
      </c>
      <c r="BC12" s="435">
        <v>0</v>
      </c>
      <c r="BE12" s="530" t="s">
        <v>650</v>
      </c>
      <c r="BF12" s="260" t="str">
        <f>BF27</f>
        <v>S. Zobbe</v>
      </c>
      <c r="BG12" s="432">
        <f>BG27</f>
        <v>0</v>
      </c>
      <c r="BH12" s="432">
        <f t="shared" ref="BH12:BM12" si="31">BH27</f>
        <v>0</v>
      </c>
      <c r="BI12" s="432">
        <f t="shared" si="31"/>
        <v>0</v>
      </c>
      <c r="BJ12" s="432">
        <f t="shared" si="31"/>
        <v>0</v>
      </c>
      <c r="BK12" s="432">
        <f t="shared" si="31"/>
        <v>0</v>
      </c>
      <c r="BL12" s="432">
        <f t="shared" si="31"/>
        <v>0</v>
      </c>
      <c r="BM12" s="432">
        <f t="shared" si="31"/>
        <v>0</v>
      </c>
      <c r="BN12" s="435">
        <f>BN27</f>
        <v>1.4999999999999999E-2</v>
      </c>
      <c r="BO12" s="435">
        <f t="shared" ref="BO12:BQ12" si="32">BO27</f>
        <v>1.4999999999999999E-2</v>
      </c>
      <c r="BP12" s="435">
        <f t="shared" si="32"/>
        <v>0</v>
      </c>
      <c r="BQ12" s="435">
        <f t="shared" si="32"/>
        <v>0</v>
      </c>
    </row>
    <row r="13" spans="1:76" s="264" customFormat="1" x14ac:dyDescent="0.25">
      <c r="A13" s="384" t="s">
        <v>506</v>
      </c>
      <c r="B13" s="384" t="s">
        <v>65</v>
      </c>
      <c r="C13" s="385">
        <f t="shared" ca="1" si="11"/>
        <v>5.0446428571428568</v>
      </c>
      <c r="D13" s="386" t="s">
        <v>507</v>
      </c>
      <c r="E13" s="387">
        <f>PLANTILLA!E14</f>
        <v>27</v>
      </c>
      <c r="F13" s="387">
        <f ca="1">PLANTILLA!F14</f>
        <v>107</v>
      </c>
      <c r="G13" s="388" t="s">
        <v>502</v>
      </c>
      <c r="H13" s="371">
        <v>3</v>
      </c>
      <c r="I13" s="308">
        <f>PLANTILLA!I14</f>
        <v>9</v>
      </c>
      <c r="J13" s="486">
        <f>PLANTILLA!X14</f>
        <v>0</v>
      </c>
      <c r="K13" s="486">
        <f>PLANTILLA!Y14</f>
        <v>8.3599999999999977</v>
      </c>
      <c r="L13" s="486">
        <f>PLANTILLA!Z14</f>
        <v>12.253412698412699</v>
      </c>
      <c r="M13" s="486">
        <f>PLANTILLA!AA14</f>
        <v>12.36</v>
      </c>
      <c r="N13" s="486">
        <f>PLANTILLA!AB14</f>
        <v>10.24</v>
      </c>
      <c r="O13" s="486">
        <f>PLANTILLA!AC14</f>
        <v>7.4766666666666666</v>
      </c>
      <c r="P13" s="486">
        <f>PLANTILLA!AD14</f>
        <v>15.47</v>
      </c>
      <c r="Q13" s="411">
        <f t="shared" si="4"/>
        <v>27</v>
      </c>
      <c r="R13" s="412">
        <f t="shared" ca="1" si="5"/>
        <v>114</v>
      </c>
      <c r="S13" s="180"/>
      <c r="T13" s="180"/>
      <c r="U13" s="180"/>
      <c r="V13" s="180"/>
      <c r="W13" s="180"/>
      <c r="X13" s="180"/>
      <c r="Y13" s="180"/>
      <c r="Z13" s="180"/>
      <c r="AA13" s="296">
        <f t="shared" si="6"/>
        <v>9</v>
      </c>
      <c r="AB13" s="506">
        <f t="shared" si="20"/>
        <v>0</v>
      </c>
      <c r="AC13" s="506">
        <f>K13+(T$2/6.5)</f>
        <v>8.3599999999999977</v>
      </c>
      <c r="AD13" s="506">
        <f>L13+(U$2/8)</f>
        <v>12.253412698412699</v>
      </c>
      <c r="AE13" s="506">
        <f>M13+(V$2/6)</f>
        <v>12.36</v>
      </c>
      <c r="AF13" s="506">
        <f>N13+(W$2/8)</f>
        <v>10.24</v>
      </c>
      <c r="AG13" s="506">
        <f>O13+(X$2/4.5)+(Y$2/3.5)/2</f>
        <v>7.4766666666666666</v>
      </c>
      <c r="AH13" s="506">
        <f>P13+(Z$2/2)+(Y$2/10)</f>
        <v>15.97</v>
      </c>
      <c r="AI13" s="424">
        <f t="shared" si="12"/>
        <v>0</v>
      </c>
      <c r="AJ13" s="424">
        <f t="shared" si="13"/>
        <v>0</v>
      </c>
      <c r="AK13" s="424">
        <f t="shared" si="14"/>
        <v>0</v>
      </c>
      <c r="AL13" s="424">
        <f t="shared" si="15"/>
        <v>0</v>
      </c>
      <c r="AM13" s="424">
        <f t="shared" si="16"/>
        <v>0</v>
      </c>
      <c r="AN13" s="424">
        <f t="shared" si="17"/>
        <v>0</v>
      </c>
      <c r="AO13" s="424">
        <f t="shared" si="18"/>
        <v>0.5</v>
      </c>
      <c r="AQ13" s="529" t="s">
        <v>66</v>
      </c>
      <c r="AR13" s="304" t="str">
        <f>D21</f>
        <v>J. Limon</v>
      </c>
      <c r="AS13" s="430">
        <v>0</v>
      </c>
      <c r="AT13" s="430">
        <v>0</v>
      </c>
      <c r="AU13" s="430">
        <v>0</v>
      </c>
      <c r="AV13" s="430">
        <f>AK21*0.25</f>
        <v>0</v>
      </c>
      <c r="AW13" s="430">
        <f>(AM21*0.142)+(AL21*0.221)+(AN21*0.26)</f>
        <v>0</v>
      </c>
      <c r="AX13" s="430">
        <f>AW13</f>
        <v>0</v>
      </c>
      <c r="AY13" s="430">
        <f>(AM21*0.369)+(AN21*1)</f>
        <v>0</v>
      </c>
      <c r="AZ13" s="553">
        <f>((0.5*AN21+0.3*AO21)/10)+0.09*AO21</f>
        <v>0.06</v>
      </c>
      <c r="BA13" s="553">
        <f>(0.4*AJ21+0.3*AO21)/10</f>
        <v>1.4999999999999999E-2</v>
      </c>
      <c r="BB13" s="433">
        <v>0</v>
      </c>
      <c r="BC13" s="433">
        <v>0</v>
      </c>
      <c r="BE13" s="529" t="s">
        <v>647</v>
      </c>
      <c r="BF13" s="304" t="str">
        <f>D21</f>
        <v>J. Limon</v>
      </c>
      <c r="BG13" s="430">
        <v>0</v>
      </c>
      <c r="BH13" s="430">
        <v>0</v>
      </c>
      <c r="BI13" s="430">
        <v>0</v>
      </c>
      <c r="BJ13" s="430">
        <f>AK21*0.25</f>
        <v>0</v>
      </c>
      <c r="BK13" s="430">
        <f>(AM21*0.209)+(AL21*0.607)+(AN21*0.524)</f>
        <v>0</v>
      </c>
      <c r="BL13" s="430">
        <v>0</v>
      </c>
      <c r="BM13" s="430">
        <f>(AM21*0.261)+(AN21*0.607)</f>
        <v>0</v>
      </c>
      <c r="BN13" s="554">
        <f>AZ13</f>
        <v>0.06</v>
      </c>
      <c r="BO13" s="554">
        <f>BA13</f>
        <v>1.4999999999999999E-2</v>
      </c>
      <c r="BP13" s="433">
        <v>0</v>
      </c>
      <c r="BQ13" s="433">
        <v>0</v>
      </c>
    </row>
    <row r="14" spans="1:76" s="263" customFormat="1" x14ac:dyDescent="0.25">
      <c r="A14" s="384" t="s">
        <v>408</v>
      </c>
      <c r="B14" s="260" t="s">
        <v>64</v>
      </c>
      <c r="C14" s="261">
        <f t="shared" ca="1" si="11"/>
        <v>3.0714285714285716</v>
      </c>
      <c r="D14" s="294" t="s">
        <v>415</v>
      </c>
      <c r="E14" s="387">
        <f>PLANTILLA!E15</f>
        <v>29</v>
      </c>
      <c r="F14" s="387">
        <f ca="1">PLANTILLA!F15</f>
        <v>104</v>
      </c>
      <c r="G14" s="388" t="s">
        <v>268</v>
      </c>
      <c r="H14" s="371">
        <v>4</v>
      </c>
      <c r="I14" s="308">
        <f>PLANTILLA!I15</f>
        <v>10.8</v>
      </c>
      <c r="J14" s="486">
        <f>PLANTILLA!X15</f>
        <v>0</v>
      </c>
      <c r="K14" s="486">
        <f>PLANTILLA!Y15</f>
        <v>9.3036666666666648</v>
      </c>
      <c r="L14" s="486">
        <f>PLANTILLA!Z15</f>
        <v>13.909999999999998</v>
      </c>
      <c r="M14" s="486">
        <f>PLANTILLA!AA15</f>
        <v>12.945</v>
      </c>
      <c r="N14" s="486">
        <f>PLANTILLA!AB15</f>
        <v>9.6733333333333356</v>
      </c>
      <c r="O14" s="486">
        <f>PLANTILLA!AC15</f>
        <v>5.0296666666666656</v>
      </c>
      <c r="P14" s="486">
        <f>PLANTILLA!AD15</f>
        <v>15.399999999999999</v>
      </c>
      <c r="Q14" s="411">
        <f t="shared" si="4"/>
        <v>29</v>
      </c>
      <c r="R14" s="412">
        <f t="shared" ca="1" si="5"/>
        <v>111</v>
      </c>
      <c r="S14" s="180"/>
      <c r="T14" s="180"/>
      <c r="U14" s="180"/>
      <c r="V14" s="180"/>
      <c r="W14" s="180"/>
      <c r="X14" s="180"/>
      <c r="Y14" s="180"/>
      <c r="Z14" s="180"/>
      <c r="AA14" s="296">
        <f t="shared" si="6"/>
        <v>10.8</v>
      </c>
      <c r="AB14" s="506">
        <f t="shared" si="20"/>
        <v>0</v>
      </c>
      <c r="AC14" s="506">
        <f>K14+(T$2/50)</f>
        <v>9.3036666666666648</v>
      </c>
      <c r="AD14" s="506">
        <f>L14+(U$2/10)</f>
        <v>13.909999999999998</v>
      </c>
      <c r="AE14" s="506">
        <f>M14+(V$2/15)</f>
        <v>12.945</v>
      </c>
      <c r="AF14" s="506">
        <f>N14+(W$2/7.5)</f>
        <v>9.6733333333333356</v>
      </c>
      <c r="AG14" s="506">
        <f>O14+(X$2/3.5)+(Y$2/6)</f>
        <v>5.0296666666666656</v>
      </c>
      <c r="AH14" s="506">
        <f>P14+(Z$2/1)+(Y$2/10)</f>
        <v>16.399999999999999</v>
      </c>
      <c r="AI14" s="424">
        <f t="shared" si="12"/>
        <v>0</v>
      </c>
      <c r="AJ14" s="424">
        <f t="shared" si="13"/>
        <v>0</v>
      </c>
      <c r="AK14" s="424">
        <f t="shared" si="14"/>
        <v>0</v>
      </c>
      <c r="AL14" s="424">
        <f t="shared" si="15"/>
        <v>0</v>
      </c>
      <c r="AM14" s="424">
        <f t="shared" si="16"/>
        <v>0</v>
      </c>
      <c r="AN14" s="424">
        <f t="shared" si="17"/>
        <v>0</v>
      </c>
      <c r="AO14" s="424">
        <f t="shared" si="18"/>
        <v>1</v>
      </c>
      <c r="AQ14" s="530" t="s">
        <v>66</v>
      </c>
      <c r="AR14" s="260" t="str">
        <f>D13</f>
        <v>S. Zobbe</v>
      </c>
      <c r="AS14" s="432">
        <v>0</v>
      </c>
      <c r="AT14" s="432">
        <v>0</v>
      </c>
      <c r="AU14" s="432">
        <v>0</v>
      </c>
      <c r="AV14" s="430">
        <f>AK13*0.25</f>
        <v>0</v>
      </c>
      <c r="AW14" s="430">
        <f>(AM13*0.142)+(AL13*0.221)+(AN13*0.26)</f>
        <v>0</v>
      </c>
      <c r="AX14" s="430">
        <f>AW14</f>
        <v>0</v>
      </c>
      <c r="AY14" s="430">
        <f>(AM13*0.369)+(AN13*1)</f>
        <v>0</v>
      </c>
      <c r="AZ14" s="435">
        <f>(0.5*AN13+0.3*AO13)/10</f>
        <v>1.4999999999999999E-2</v>
      </c>
      <c r="BA14" s="435">
        <f>(0.4*AJ13+0.3*AO13)/10</f>
        <v>1.4999999999999999E-2</v>
      </c>
      <c r="BB14" s="433">
        <v>0</v>
      </c>
      <c r="BC14" s="433">
        <v>0</v>
      </c>
      <c r="BE14" s="530" t="s">
        <v>647</v>
      </c>
      <c r="BF14" s="260" t="s">
        <v>722</v>
      </c>
      <c r="BG14" s="432">
        <v>0</v>
      </c>
      <c r="BH14" s="432">
        <v>0</v>
      </c>
      <c r="BI14" s="432">
        <v>0</v>
      </c>
      <c r="BJ14" s="430">
        <f>AK23*0.25</f>
        <v>0</v>
      </c>
      <c r="BK14" s="430">
        <v>0</v>
      </c>
      <c r="BL14" s="430">
        <f>(AM23*0.209)+(AL23*0.607)+(AN23*0.524)</f>
        <v>0</v>
      </c>
      <c r="BM14" s="430">
        <f>(AM23*0.261)+(AN23*0.607)</f>
        <v>0</v>
      </c>
      <c r="BN14" s="433">
        <f>AZ20</f>
        <v>1.9999999999999983E-2</v>
      </c>
      <c r="BO14" s="433">
        <f>BA20</f>
        <v>1.9999999999999983E-2</v>
      </c>
      <c r="BP14" s="433">
        <v>0</v>
      </c>
      <c r="BQ14" s="433">
        <v>0</v>
      </c>
    </row>
    <row r="15" spans="1:76" s="254" customFormat="1" x14ac:dyDescent="0.25">
      <c r="A15" s="305" t="s">
        <v>409</v>
      </c>
      <c r="B15" s="384" t="s">
        <v>64</v>
      </c>
      <c r="C15" s="385">
        <f t="shared" ca="1" si="11"/>
        <v>0.7678571428571429</v>
      </c>
      <c r="D15" s="386" t="s">
        <v>285</v>
      </c>
      <c r="E15" s="387">
        <f>PLANTILLA!E16</f>
        <v>32</v>
      </c>
      <c r="F15" s="387">
        <f ca="1">PLANTILLA!F16</f>
        <v>26</v>
      </c>
      <c r="G15" s="388" t="s">
        <v>268</v>
      </c>
      <c r="H15" s="394">
        <v>5</v>
      </c>
      <c r="I15" s="308">
        <f>PLANTILLA!I16</f>
        <v>11.3</v>
      </c>
      <c r="J15" s="486">
        <f>PLANTILLA!X16</f>
        <v>0</v>
      </c>
      <c r="K15" s="486">
        <f>PLANTILLA!Y16</f>
        <v>8.6275555555555581</v>
      </c>
      <c r="L15" s="486">
        <f>PLANTILLA!Z16</f>
        <v>14.333255555555548</v>
      </c>
      <c r="M15" s="486">
        <f>PLANTILLA!AA16</f>
        <v>9.99</v>
      </c>
      <c r="N15" s="486">
        <f>PLANTILLA!AB16</f>
        <v>10.09</v>
      </c>
      <c r="O15" s="486">
        <f>PLANTILLA!AC16</f>
        <v>4.3999999999999995</v>
      </c>
      <c r="P15" s="486">
        <f>PLANTILLA!AD16</f>
        <v>16.74444444444444</v>
      </c>
      <c r="Q15" s="411">
        <f t="shared" si="4"/>
        <v>32</v>
      </c>
      <c r="R15" s="412">
        <f t="shared" ca="1" si="5"/>
        <v>33</v>
      </c>
      <c r="S15" s="180"/>
      <c r="T15" s="180"/>
      <c r="U15" s="180"/>
      <c r="V15" s="180"/>
      <c r="W15" s="180"/>
      <c r="X15" s="180"/>
      <c r="Y15" s="180"/>
      <c r="Z15" s="180"/>
      <c r="AA15" s="296">
        <f t="shared" si="6"/>
        <v>11.3</v>
      </c>
      <c r="AB15" s="506">
        <f t="shared" si="20"/>
        <v>0</v>
      </c>
      <c r="AC15" s="506">
        <f>K15+(T$2/50)</f>
        <v>8.6275555555555581</v>
      </c>
      <c r="AD15" s="506">
        <f>L15+(U$2/11)</f>
        <v>14.333255555555548</v>
      </c>
      <c r="AE15" s="506">
        <f>M15+(V$2/15)</f>
        <v>9.99</v>
      </c>
      <c r="AF15" s="506">
        <f>N15+(W$2/8)</f>
        <v>10.09</v>
      </c>
      <c r="AG15" s="506">
        <f>O15+(X$2/22)+(Y$2/7)</f>
        <v>4.3999999999999995</v>
      </c>
      <c r="AH15" s="506">
        <f>P15+(Z$2/2)+(Y$2/10)</f>
        <v>17.24444444444444</v>
      </c>
      <c r="AI15" s="424">
        <f t="shared" si="12"/>
        <v>0</v>
      </c>
      <c r="AJ15" s="424">
        <f t="shared" si="13"/>
        <v>0</v>
      </c>
      <c r="AK15" s="424">
        <f t="shared" si="14"/>
        <v>0</v>
      </c>
      <c r="AL15" s="424">
        <f t="shared" si="15"/>
        <v>0</v>
      </c>
      <c r="AM15" s="424">
        <f t="shared" si="16"/>
        <v>0</v>
      </c>
      <c r="AN15" s="424">
        <f t="shared" si="17"/>
        <v>0</v>
      </c>
      <c r="AO15" s="424">
        <f t="shared" si="18"/>
        <v>0.5</v>
      </c>
      <c r="AQ15" s="428"/>
      <c r="AR15" s="429"/>
      <c r="AS15" s="429"/>
      <c r="AT15" s="429"/>
      <c r="AU15" s="429"/>
      <c r="AV15" s="429"/>
      <c r="AW15" s="429"/>
      <c r="AX15" s="429"/>
      <c r="AY15" s="429"/>
      <c r="AZ15" s="429"/>
      <c r="BA15" s="429"/>
      <c r="BB15" s="429"/>
      <c r="BC15" s="429"/>
      <c r="BE15"/>
      <c r="BF15"/>
      <c r="BG15"/>
      <c r="BH15"/>
      <c r="BI15"/>
      <c r="BJ15"/>
      <c r="BK15"/>
      <c r="BL15"/>
      <c r="BM15"/>
      <c r="BN15"/>
      <c r="BO15"/>
      <c r="BP15"/>
      <c r="BQ15"/>
    </row>
    <row r="16" spans="1:76" s="264" customFormat="1" x14ac:dyDescent="0.25">
      <c r="A16" s="384" t="s">
        <v>406</v>
      </c>
      <c r="B16" s="384" t="s">
        <v>64</v>
      </c>
      <c r="C16" s="385">
        <f t="shared" ca="1" si="11"/>
        <v>1.8214285714285714</v>
      </c>
      <c r="D16" s="386" t="s">
        <v>272</v>
      </c>
      <c r="E16" s="387">
        <f>PLANTILLA!E17</f>
        <v>31</v>
      </c>
      <c r="F16" s="387">
        <f ca="1">PLANTILLA!F17</f>
        <v>20</v>
      </c>
      <c r="G16" s="388"/>
      <c r="H16" s="371">
        <v>4</v>
      </c>
      <c r="I16" s="308">
        <f>PLANTILLA!I17</f>
        <v>9.3000000000000007</v>
      </c>
      <c r="J16" s="486">
        <f>PLANTILLA!X17</f>
        <v>0</v>
      </c>
      <c r="K16" s="486">
        <f>PLANTILLA!Y17</f>
        <v>10.549999999999995</v>
      </c>
      <c r="L16" s="486">
        <f>PLANTILLA!Z17</f>
        <v>12.939777777777776</v>
      </c>
      <c r="M16" s="486">
        <f>PLANTILLA!AA17</f>
        <v>5.1399999999999979</v>
      </c>
      <c r="N16" s="486">
        <f>PLANTILLA!AB17</f>
        <v>9.24</v>
      </c>
      <c r="O16" s="486">
        <f>PLANTILLA!AC17</f>
        <v>2.98</v>
      </c>
      <c r="P16" s="486">
        <f>PLANTILLA!AD17</f>
        <v>17.059999999999999</v>
      </c>
      <c r="Q16" s="411">
        <f t="shared" si="4"/>
        <v>31</v>
      </c>
      <c r="R16" s="412">
        <f t="shared" ca="1" si="5"/>
        <v>27</v>
      </c>
      <c r="S16" s="180"/>
      <c r="T16" s="180"/>
      <c r="U16" s="180"/>
      <c r="V16" s="180"/>
      <c r="W16" s="180"/>
      <c r="X16" s="180"/>
      <c r="Y16" s="180"/>
      <c r="Z16" s="180"/>
      <c r="AA16" s="296">
        <f t="shared" si="6"/>
        <v>9.3000000000000007</v>
      </c>
      <c r="AB16" s="506">
        <f t="shared" si="20"/>
        <v>0</v>
      </c>
      <c r="AC16" s="506">
        <f>K16+(T$2/7)</f>
        <v>10.549999999999995</v>
      </c>
      <c r="AD16" s="506">
        <f>L16+(U$2/11)</f>
        <v>12.939777777777776</v>
      </c>
      <c r="AE16" s="506">
        <f>M16+(V$2/19)</f>
        <v>5.1399999999999979</v>
      </c>
      <c r="AF16" s="506">
        <f>N16+(W$2/7)</f>
        <v>9.24</v>
      </c>
      <c r="AG16" s="506">
        <f>O16+(X$2/16)+(Y$2/5)</f>
        <v>2.98</v>
      </c>
      <c r="AH16" s="506">
        <f>P16+(Z$2/2.5)+(Y$2/10)</f>
        <v>17.459999999999997</v>
      </c>
      <c r="AI16" s="424">
        <f t="shared" si="12"/>
        <v>0</v>
      </c>
      <c r="AJ16" s="424">
        <f t="shared" si="13"/>
        <v>0</v>
      </c>
      <c r="AK16" s="424">
        <f t="shared" si="14"/>
        <v>0</v>
      </c>
      <c r="AL16" s="424">
        <f t="shared" si="15"/>
        <v>0</v>
      </c>
      <c r="AM16" s="424">
        <f t="shared" si="16"/>
        <v>0</v>
      </c>
      <c r="AN16" s="424">
        <f t="shared" si="17"/>
        <v>0</v>
      </c>
      <c r="AO16" s="424">
        <f t="shared" si="18"/>
        <v>0.39999999999999858</v>
      </c>
      <c r="AQ16" s="249"/>
      <c r="AR16" s="249"/>
      <c r="AS16" s="436">
        <f>SUM(AS18:AS28)*$BV$3</f>
        <v>0</v>
      </c>
      <c r="AT16" s="436">
        <f>SUM(AT18:AT28)*$BV$3</f>
        <v>0</v>
      </c>
      <c r="AU16" s="436">
        <f>SUM(AU18:AU28)*$BV$2</f>
        <v>0</v>
      </c>
      <c r="AV16" s="436">
        <f>SUM(AV18:AV28)*$BV$4</f>
        <v>0</v>
      </c>
      <c r="AW16" s="436">
        <f>SUM(AW18:AW28)*$BV$5</f>
        <v>0</v>
      </c>
      <c r="AX16" s="436">
        <f>SUM(AX18:AX28)*$BV$5</f>
        <v>0</v>
      </c>
      <c r="AY16" s="436">
        <f>SUM(AY18:AY28)*$BV$6</f>
        <v>0</v>
      </c>
      <c r="AZ16" s="437">
        <f>SUM(AZ18:AZ28)</f>
        <v>0.23599999999999988</v>
      </c>
      <c r="BA16" s="437">
        <f>SUM(BA18:BA28)</f>
        <v>0.24099999999999988</v>
      </c>
      <c r="BB16" s="437">
        <f t="shared" ref="BB16:BC16" si="33">SUM(BB18:BB28)</f>
        <v>12.612499999999999</v>
      </c>
      <c r="BC16" s="437">
        <f t="shared" si="33"/>
        <v>0</v>
      </c>
      <c r="BE16" s="249"/>
      <c r="BF16" s="249"/>
      <c r="BG16" s="436">
        <f>SUM(BG18:BG28)*$BV$3</f>
        <v>0</v>
      </c>
      <c r="BH16" s="436">
        <f>SUM(BH18:BH28)*$BV$3</f>
        <v>0</v>
      </c>
      <c r="BI16" s="436">
        <f>SUM(BI18:BI28)*$BV$2</f>
        <v>0</v>
      </c>
      <c r="BJ16" s="436">
        <f>SUM(BJ18:BJ28)*$BV$4</f>
        <v>0</v>
      </c>
      <c r="BK16" s="436">
        <f>SUM(BK18:BK28)*$BV$5</f>
        <v>0</v>
      </c>
      <c r="BL16" s="436">
        <f>SUM(BL18:BL28)*$BV$5</f>
        <v>0</v>
      </c>
      <c r="BM16" s="436">
        <f>SUM(BM18:BM28)*$BV$6</f>
        <v>0</v>
      </c>
      <c r="BN16" s="437">
        <f>SUM(BN18:BN28)</f>
        <v>0.20999999999999985</v>
      </c>
      <c r="BO16" s="437">
        <f>SUM(BO18:BO28)</f>
        <v>0.21499999999999986</v>
      </c>
      <c r="BP16" s="437">
        <f t="shared" ref="BP16:BQ16" si="34">SUM(BP18:BP28)</f>
        <v>21.121749999999999</v>
      </c>
      <c r="BQ16" s="437">
        <f t="shared" si="34"/>
        <v>0</v>
      </c>
    </row>
    <row r="17" spans="1:69" s="254" customFormat="1" x14ac:dyDescent="0.25">
      <c r="A17" s="305" t="s">
        <v>410</v>
      </c>
      <c r="B17" s="260" t="s">
        <v>64</v>
      </c>
      <c r="C17" s="261">
        <f t="shared" ca="1" si="11"/>
        <v>2.0446428571428572</v>
      </c>
      <c r="D17" s="294" t="s">
        <v>400</v>
      </c>
      <c r="E17" s="387">
        <f>PLANTILLA!E18</f>
        <v>30</v>
      </c>
      <c r="F17" s="387">
        <f ca="1">PLANTILLA!F18</f>
        <v>107</v>
      </c>
      <c r="G17" s="388"/>
      <c r="H17" s="371">
        <v>1</v>
      </c>
      <c r="I17" s="308">
        <f>PLANTILLA!I18</f>
        <v>8.1999999999999993</v>
      </c>
      <c r="J17" s="486">
        <f>PLANTILLA!X18</f>
        <v>0</v>
      </c>
      <c r="K17" s="486">
        <f>PLANTILLA!Y18</f>
        <v>5.4644444444444451</v>
      </c>
      <c r="L17" s="486">
        <f>PLANTILLA!Z18</f>
        <v>14.42664708994708</v>
      </c>
      <c r="M17" s="486">
        <f>PLANTILLA!AA18</f>
        <v>3.5124999999999993</v>
      </c>
      <c r="N17" s="486">
        <f>PLANTILLA!AB18</f>
        <v>9.1400000000000041</v>
      </c>
      <c r="O17" s="486">
        <f>PLANTILLA!AC18</f>
        <v>7.4318888888888894</v>
      </c>
      <c r="P17" s="486">
        <f>PLANTILLA!AD18</f>
        <v>16.27</v>
      </c>
      <c r="Q17" s="411">
        <f t="shared" si="4"/>
        <v>30</v>
      </c>
      <c r="R17" s="412">
        <f t="shared" ca="1" si="5"/>
        <v>114</v>
      </c>
      <c r="S17" s="180"/>
      <c r="T17" s="180"/>
      <c r="U17" s="180"/>
      <c r="V17" s="180"/>
      <c r="W17" s="180"/>
      <c r="X17" s="180"/>
      <c r="Y17" s="180"/>
      <c r="Z17" s="180"/>
      <c r="AA17" s="296">
        <f t="shared" si="6"/>
        <v>8.1999999999999993</v>
      </c>
      <c r="AB17" s="506">
        <f t="shared" si="20"/>
        <v>0</v>
      </c>
      <c r="AC17" s="506">
        <f>K17+(T$2/6.5)</f>
        <v>5.4644444444444451</v>
      </c>
      <c r="AD17" s="506">
        <f>L17+(U$2/11)</f>
        <v>14.42664708994708</v>
      </c>
      <c r="AE17" s="506">
        <f>M17+(V$2/17)</f>
        <v>3.5124999999999993</v>
      </c>
      <c r="AF17" s="506">
        <f>N17+(W$2/7)</f>
        <v>9.1400000000000041</v>
      </c>
      <c r="AG17" s="506">
        <f>O17+(X$2/30)+(Y$2/4.5)/2</f>
        <v>7.4318888888888894</v>
      </c>
      <c r="AH17" s="506">
        <f>P17+(Z$2/2.5)+(Y$2/10)</f>
        <v>16.669999999999998</v>
      </c>
      <c r="AI17" s="424">
        <f t="shared" si="12"/>
        <v>0</v>
      </c>
      <c r="AJ17" s="424">
        <f t="shared" si="13"/>
        <v>0</v>
      </c>
      <c r="AK17" s="424">
        <f t="shared" si="14"/>
        <v>0</v>
      </c>
      <c r="AL17" s="424">
        <f t="shared" si="15"/>
        <v>0</v>
      </c>
      <c r="AM17" s="424">
        <f t="shared" si="16"/>
        <v>0</v>
      </c>
      <c r="AN17" s="424">
        <f t="shared" si="17"/>
        <v>0</v>
      </c>
      <c r="AO17" s="424">
        <f t="shared" si="18"/>
        <v>0.39999999999999858</v>
      </c>
      <c r="AQ17" s="694" t="s">
        <v>720</v>
      </c>
      <c r="AR17" s="695"/>
      <c r="AS17" s="331" t="s">
        <v>467</v>
      </c>
      <c r="AT17" s="331" t="s">
        <v>468</v>
      </c>
      <c r="AU17" s="331" t="s">
        <v>489</v>
      </c>
      <c r="AV17" s="331" t="s">
        <v>469</v>
      </c>
      <c r="AW17" s="331" t="s">
        <v>470</v>
      </c>
      <c r="AX17" s="331" t="s">
        <v>471</v>
      </c>
      <c r="AY17" s="331" t="s">
        <v>472</v>
      </c>
      <c r="AZ17" s="331" t="s">
        <v>734</v>
      </c>
      <c r="BA17" s="331" t="s">
        <v>735</v>
      </c>
      <c r="BB17" s="331" t="s">
        <v>565</v>
      </c>
      <c r="BC17" s="331" t="s">
        <v>604</v>
      </c>
      <c r="BE17" s="694" t="s">
        <v>646</v>
      </c>
      <c r="BF17" s="695"/>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3.4910714285714284</v>
      </c>
      <c r="D18" s="294" t="s">
        <v>414</v>
      </c>
      <c r="E18" s="387">
        <f>PLANTILLA!E19</f>
        <v>29</v>
      </c>
      <c r="F18" s="387">
        <f ca="1">PLANTILLA!F19</f>
        <v>57</v>
      </c>
      <c r="G18" s="388"/>
      <c r="H18" s="371">
        <v>3</v>
      </c>
      <c r="I18" s="308">
        <f>PLANTILLA!I19</f>
        <v>4</v>
      </c>
      <c r="J18" s="486">
        <f>PLANTILLA!X19</f>
        <v>0</v>
      </c>
      <c r="K18" s="486">
        <f>PLANTILLA!Y19</f>
        <v>5.6515555555555519</v>
      </c>
      <c r="L18" s="486">
        <f>PLANTILLA!Z19</f>
        <v>9.872338888888887</v>
      </c>
      <c r="M18" s="486">
        <f>PLANTILLA!AA19</f>
        <v>7.0726666666666667</v>
      </c>
      <c r="N18" s="486">
        <f>PLANTILLA!AB19</f>
        <v>9.2666666666666639</v>
      </c>
      <c r="O18" s="486">
        <f>PLANTILLA!AC19</f>
        <v>3.5417777777777766</v>
      </c>
      <c r="P18" s="486">
        <f>PLANTILLA!AD19</f>
        <v>12.450000000000001</v>
      </c>
      <c r="Q18" s="411">
        <f t="shared" si="4"/>
        <v>29</v>
      </c>
      <c r="R18" s="412">
        <f t="shared" ca="1" si="5"/>
        <v>64</v>
      </c>
      <c r="S18" s="180"/>
      <c r="T18" s="180"/>
      <c r="U18" s="180"/>
      <c r="V18" s="180"/>
      <c r="W18" s="180"/>
      <c r="X18" s="180"/>
      <c r="Y18" s="180"/>
      <c r="Z18" s="180"/>
      <c r="AA18" s="296">
        <f t="shared" si="6"/>
        <v>4</v>
      </c>
      <c r="AB18" s="506">
        <f t="shared" si="20"/>
        <v>0</v>
      </c>
      <c r="AC18" s="506">
        <f>K18+(T$2/26)</f>
        <v>5.6515555555555519</v>
      </c>
      <c r="AD18" s="506">
        <f>L18+(U$2/55)</f>
        <v>9.872338888888887</v>
      </c>
      <c r="AE18" s="506">
        <f>M18+(V$2/24)</f>
        <v>7.0726666666666667</v>
      </c>
      <c r="AF18" s="506">
        <f>N18+(W$2/7)</f>
        <v>9.2666666666666639</v>
      </c>
      <c r="AG18" s="506">
        <f>O18+(X$2/18)+(Y$2/6)</f>
        <v>3.5417777777777766</v>
      </c>
      <c r="AH18" s="506">
        <f>P18+(Z$2/2)+(Y$2/10)</f>
        <v>12.950000000000001</v>
      </c>
      <c r="AI18" s="424">
        <f t="shared" si="12"/>
        <v>0</v>
      </c>
      <c r="AJ18" s="424">
        <f t="shared" si="13"/>
        <v>0</v>
      </c>
      <c r="AK18" s="424">
        <f t="shared" si="14"/>
        <v>0</v>
      </c>
      <c r="AL18" s="424">
        <f t="shared" si="15"/>
        <v>0</v>
      </c>
      <c r="AM18" s="424">
        <f t="shared" si="16"/>
        <v>0</v>
      </c>
      <c r="AN18" s="424">
        <f t="shared" si="17"/>
        <v>0</v>
      </c>
      <c r="AO18" s="424">
        <f t="shared" si="18"/>
        <v>0.5</v>
      </c>
      <c r="AQ18" s="425" t="s">
        <v>1</v>
      </c>
      <c r="AR18" s="304" t="str">
        <f>D4</f>
        <v>D. Gehmacher</v>
      </c>
      <c r="AS18" s="430">
        <f>AS4</f>
        <v>0</v>
      </c>
      <c r="AT18" s="430">
        <f t="shared" ref="AT18:BC18" si="35">AT4</f>
        <v>0</v>
      </c>
      <c r="AU18" s="430">
        <f t="shared" si="35"/>
        <v>0</v>
      </c>
      <c r="AV18" s="430">
        <f t="shared" si="35"/>
        <v>0</v>
      </c>
      <c r="AW18" s="430">
        <f t="shared" si="35"/>
        <v>0</v>
      </c>
      <c r="AX18" s="430">
        <f t="shared" si="35"/>
        <v>0</v>
      </c>
      <c r="AY18" s="430">
        <f t="shared" si="35"/>
        <v>0</v>
      </c>
      <c r="AZ18" s="554">
        <f t="shared" si="35"/>
        <v>0</v>
      </c>
      <c r="BA18" s="554">
        <f t="shared" si="35"/>
        <v>0.05</v>
      </c>
      <c r="BB18" s="433">
        <f t="shared" si="35"/>
        <v>0</v>
      </c>
      <c r="BC18" s="433">
        <f t="shared" si="35"/>
        <v>0</v>
      </c>
      <c r="BE18" s="425" t="s">
        <v>1</v>
      </c>
      <c r="BF18" s="304" t="str">
        <f>D4</f>
        <v>D. Gehmacher</v>
      </c>
      <c r="BG18" s="430">
        <f>BG4</f>
        <v>0</v>
      </c>
      <c r="BH18" s="430">
        <f t="shared" ref="BH18:BQ18" si="36">BH4</f>
        <v>0</v>
      </c>
      <c r="BI18" s="430">
        <f t="shared" si="36"/>
        <v>0</v>
      </c>
      <c r="BJ18" s="430">
        <f t="shared" si="36"/>
        <v>0</v>
      </c>
      <c r="BK18" s="430">
        <f t="shared" si="36"/>
        <v>0</v>
      </c>
      <c r="BL18" s="430">
        <f t="shared" si="36"/>
        <v>0</v>
      </c>
      <c r="BM18" s="430">
        <f t="shared" si="36"/>
        <v>0</v>
      </c>
      <c r="BN18" s="554">
        <f t="shared" si="36"/>
        <v>0</v>
      </c>
      <c r="BO18" s="554">
        <f t="shared" si="36"/>
        <v>0.05</v>
      </c>
      <c r="BP18" s="433">
        <f t="shared" si="36"/>
        <v>0</v>
      </c>
      <c r="BQ18" s="433">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6" t="e">
        <f>PLANTILLA!#REF!</f>
        <v>#REF!</v>
      </c>
      <c r="K19" s="486" t="e">
        <f>PLANTILLA!#REF!</f>
        <v>#REF!</v>
      </c>
      <c r="L19" s="486" t="e">
        <f>PLANTILLA!#REF!</f>
        <v>#REF!</v>
      </c>
      <c r="M19" s="486" t="e">
        <f>PLANTILLA!#REF!</f>
        <v>#REF!</v>
      </c>
      <c r="N19" s="486" t="e">
        <f>PLANTILLA!#REF!</f>
        <v>#REF!</v>
      </c>
      <c r="O19" s="486" t="e">
        <f>PLANTILLA!#REF!</f>
        <v>#REF!</v>
      </c>
      <c r="P19" s="486" t="e">
        <f>PLANTILLA!#REF!</f>
        <v>#REF!</v>
      </c>
      <c r="Q19" s="411" t="e">
        <f t="shared" si="4"/>
        <v>#REF!</v>
      </c>
      <c r="R19" s="412" t="e">
        <f t="shared" si="5"/>
        <v>#REF!</v>
      </c>
      <c r="S19" s="180"/>
      <c r="T19" s="180"/>
      <c r="U19" s="180"/>
      <c r="V19" s="180"/>
      <c r="W19" s="180"/>
      <c r="X19" s="180"/>
      <c r="Y19" s="180"/>
      <c r="Z19" s="180"/>
      <c r="AA19" s="296" t="e">
        <f t="shared" si="6"/>
        <v>#REF!</v>
      </c>
      <c r="AB19" s="506" t="e">
        <f>J19</f>
        <v>#REF!</v>
      </c>
      <c r="AC19" s="506" t="e">
        <f>K19+(T2/25)</f>
        <v>#REF!</v>
      </c>
      <c r="AD19" s="506" t="e">
        <f>L19+(U2/38)</f>
        <v>#REF!</v>
      </c>
      <c r="AE19" s="506" t="e">
        <f>M19+(V2/12)</f>
        <v>#REF!</v>
      </c>
      <c r="AF19" s="506" t="e">
        <f>N19+(W2/4)</f>
        <v>#REF!</v>
      </c>
      <c r="AG19" s="506" t="e">
        <f>O19+(X2/14)+(Y2/5)</f>
        <v>#REF!</v>
      </c>
      <c r="AH19" s="506" t="e">
        <f>P19+(Z2/1)+(Y$2/10)</f>
        <v>#REF!</v>
      </c>
      <c r="AI19" s="424" t="e">
        <f t="shared" si="12"/>
        <v>#REF!</v>
      </c>
      <c r="AJ19" s="424" t="e">
        <f t="shared" si="13"/>
        <v>#REF!</v>
      </c>
      <c r="AK19" s="424" t="e">
        <f t="shared" si="14"/>
        <v>#REF!</v>
      </c>
      <c r="AL19" s="424" t="e">
        <f t="shared" si="15"/>
        <v>#REF!</v>
      </c>
      <c r="AM19" s="424" t="e">
        <f t="shared" si="16"/>
        <v>#REF!</v>
      </c>
      <c r="AN19" s="424" t="e">
        <f t="shared" si="17"/>
        <v>#REF!</v>
      </c>
      <c r="AO19" s="424" t="e">
        <f t="shared" si="18"/>
        <v>#REF!</v>
      </c>
      <c r="AQ19" s="426" t="s">
        <v>569</v>
      </c>
      <c r="AR19" s="305" t="str">
        <f>D20</f>
        <v>B. Pinczehelyi</v>
      </c>
      <c r="AS19" s="431">
        <f>(AJ20*0.919)</f>
        <v>0</v>
      </c>
      <c r="AT19" s="431">
        <v>0</v>
      </c>
      <c r="AU19" s="431">
        <f>AJ20*0.414</f>
        <v>0</v>
      </c>
      <c r="AV19" s="431">
        <f>AK20*0.167</f>
        <v>0</v>
      </c>
      <c r="AW19" s="431">
        <f>AL20*0.588</f>
        <v>0</v>
      </c>
      <c r="AX19" s="431">
        <v>0</v>
      </c>
      <c r="AY19" s="431">
        <v>0</v>
      </c>
      <c r="AZ19" s="434">
        <f>AZ5</f>
        <v>0.03</v>
      </c>
      <c r="BA19" s="434">
        <f>BA5</f>
        <v>0.03</v>
      </c>
      <c r="BB19" s="434">
        <f>((AC20+1)+(AF20+1)*2)/8</f>
        <v>4.5175000000000001</v>
      </c>
      <c r="BC19" s="434">
        <f>((AJ20)+(AM20)*2)/8</f>
        <v>0</v>
      </c>
      <c r="BE19" s="426" t="s">
        <v>569</v>
      </c>
      <c r="BF19" s="305" t="str">
        <f>D8</f>
        <v>E. Toney</v>
      </c>
      <c r="BG19" s="431">
        <f t="shared" ref="BG19:BM19" si="37">AS5</f>
        <v>0</v>
      </c>
      <c r="BH19" s="431">
        <f t="shared" si="37"/>
        <v>0</v>
      </c>
      <c r="BI19" s="431">
        <f t="shared" si="37"/>
        <v>0</v>
      </c>
      <c r="BJ19" s="431">
        <f t="shared" si="37"/>
        <v>0</v>
      </c>
      <c r="BK19" s="431">
        <f t="shared" si="37"/>
        <v>0</v>
      </c>
      <c r="BL19" s="431">
        <f t="shared" si="37"/>
        <v>0</v>
      </c>
      <c r="BM19" s="431">
        <f t="shared" si="37"/>
        <v>0</v>
      </c>
      <c r="BN19" s="434">
        <f t="shared" ref="BN19" si="38">AZ5</f>
        <v>0.03</v>
      </c>
      <c r="BO19" s="434">
        <f>BA5</f>
        <v>0.03</v>
      </c>
      <c r="BP19" s="434">
        <f>BB5</f>
        <v>4.5175000000000001</v>
      </c>
      <c r="BQ19" s="434">
        <f>BC5</f>
        <v>0</v>
      </c>
    </row>
    <row r="20" spans="1:69" s="246" customFormat="1" x14ac:dyDescent="0.25">
      <c r="A20" s="304" t="s">
        <v>582</v>
      </c>
      <c r="B20" s="260" t="s">
        <v>2</v>
      </c>
      <c r="C20" s="261">
        <f t="shared" ca="1" si="11"/>
        <v>2.3571428571428572</v>
      </c>
      <c r="D20" s="294" t="str">
        <f>PLANTILLA!D7</f>
        <v>B. Pinczehelyi</v>
      </c>
      <c r="E20" s="387">
        <f>PLANTILLA!E7</f>
        <v>30</v>
      </c>
      <c r="F20" s="395">
        <f ca="1">PLANTILLA!F7</f>
        <v>72</v>
      </c>
      <c r="G20" s="388" t="s">
        <v>502</v>
      </c>
      <c r="H20" s="371">
        <v>2</v>
      </c>
      <c r="I20" s="308">
        <f>PLANTILLA!I7</f>
        <v>14.4</v>
      </c>
      <c r="J20" s="486">
        <f>PLANTILLA!X7</f>
        <v>0</v>
      </c>
      <c r="K20" s="486">
        <f>PLANTILLA!Y7</f>
        <v>14.300000000000004</v>
      </c>
      <c r="L20" s="486">
        <f>PLANTILLA!Z7</f>
        <v>9.3793333333333351</v>
      </c>
      <c r="M20" s="486">
        <f>PLANTILLA!AA7</f>
        <v>14.333333333333329</v>
      </c>
      <c r="N20" s="486">
        <f>PLANTILLA!AB7</f>
        <v>9.4199999999999982</v>
      </c>
      <c r="O20" s="486">
        <f>PLANTILLA!AC7</f>
        <v>1.1428571428571428</v>
      </c>
      <c r="P20" s="486">
        <f>PLANTILLA!AD7</f>
        <v>9.8000000000000007</v>
      </c>
      <c r="Q20" s="411">
        <f t="shared" si="4"/>
        <v>30</v>
      </c>
      <c r="R20" s="412">
        <f t="shared" ca="1" si="5"/>
        <v>79</v>
      </c>
      <c r="S20" s="180"/>
      <c r="T20" s="180"/>
      <c r="U20" s="180"/>
      <c r="V20" s="180"/>
      <c r="W20" s="180"/>
      <c r="X20" s="180"/>
      <c r="Y20" s="180"/>
      <c r="Z20" s="180"/>
      <c r="AA20" s="296">
        <f t="shared" si="6"/>
        <v>14.4</v>
      </c>
      <c r="AB20" s="506">
        <f t="shared" si="20"/>
        <v>0</v>
      </c>
      <c r="AC20" s="506">
        <f>K20+(T$2/20)</f>
        <v>14.300000000000004</v>
      </c>
      <c r="AD20" s="506">
        <f>L20+(U$2/50)</f>
        <v>9.3793333333333351</v>
      </c>
      <c r="AE20" s="506">
        <f>M20+(V$2/35)</f>
        <v>14.333333333333329</v>
      </c>
      <c r="AF20" s="506">
        <f>N20+(W$2/7)</f>
        <v>9.4199999999999982</v>
      </c>
      <c r="AG20" s="506">
        <f>O20+(X$2/3)+(Y$2/7)</f>
        <v>1.1428571428571428</v>
      </c>
      <c r="AH20" s="506">
        <f>P20+(Z$2/1)+(Y$2/10)</f>
        <v>10.8</v>
      </c>
      <c r="AI20" s="424">
        <f t="shared" si="12"/>
        <v>0</v>
      </c>
      <c r="AJ20" s="424">
        <f t="shared" si="13"/>
        <v>0</v>
      </c>
      <c r="AK20" s="424">
        <f t="shared" si="14"/>
        <v>0</v>
      </c>
      <c r="AL20" s="424">
        <f t="shared" si="15"/>
        <v>0</v>
      </c>
      <c r="AM20" s="424">
        <f t="shared" si="16"/>
        <v>0</v>
      </c>
      <c r="AN20" s="424">
        <f t="shared" si="17"/>
        <v>0</v>
      </c>
      <c r="AO20" s="424">
        <f t="shared" si="18"/>
        <v>1</v>
      </c>
      <c r="AQ20" s="530" t="s">
        <v>66</v>
      </c>
      <c r="AR20" s="260" t="str">
        <f>D23</f>
        <v>P .Trivadi</v>
      </c>
      <c r="AS20" s="430">
        <v>0</v>
      </c>
      <c r="AT20" s="430">
        <v>0</v>
      </c>
      <c r="AU20" s="430">
        <v>0</v>
      </c>
      <c r="AV20" s="432">
        <f>AK23*0.25</f>
        <v>0</v>
      </c>
      <c r="AW20" s="432">
        <f>(AM23*0.142)+(AL23*0.221)+(AN23*0.26)</f>
        <v>0</v>
      </c>
      <c r="AX20" s="430">
        <f>AW20</f>
        <v>0</v>
      </c>
      <c r="AY20" s="432">
        <f>(AM23*0.369)+(AN23*1)</f>
        <v>0</v>
      </c>
      <c r="AZ20" s="435">
        <f>(0.5*AN23+0.3*AO23)/10</f>
        <v>1.9999999999999983E-2</v>
      </c>
      <c r="BA20" s="435">
        <f>(0.4*AJ23+0.3*AO23)/10</f>
        <v>1.9999999999999983E-2</v>
      </c>
      <c r="BB20" s="434">
        <f>((AC23+1)+(AF23+1)*2)/8</f>
        <v>3.5774999999999997</v>
      </c>
      <c r="BC20" s="434">
        <f>((AJ23)+(AM23)*2)/8</f>
        <v>0</v>
      </c>
      <c r="BE20" s="427" t="s">
        <v>648</v>
      </c>
      <c r="BF20" s="260" t="str">
        <f>D7</f>
        <v>D. Toh</v>
      </c>
      <c r="BG20" s="432">
        <f>AJ7*0.754</f>
        <v>0</v>
      </c>
      <c r="BH20" s="432">
        <v>0</v>
      </c>
      <c r="BI20" s="432">
        <f>AJ7*0.708</f>
        <v>0</v>
      </c>
      <c r="BJ20" s="432">
        <f>AK7*0.165</f>
        <v>0</v>
      </c>
      <c r="BK20" s="432">
        <f>AL7*0.286</f>
        <v>0</v>
      </c>
      <c r="BL20" s="432">
        <v>0</v>
      </c>
      <c r="BM20" s="432">
        <v>0</v>
      </c>
      <c r="BN20" s="435">
        <f>BN6</f>
        <v>1.2000000000000011E-2</v>
      </c>
      <c r="BO20" s="435">
        <f>BO6</f>
        <v>1.2000000000000011E-2</v>
      </c>
      <c r="BP20" s="434">
        <f>((AC7+1)+(AF7+1)*2)/8</f>
        <v>3.6903611111111116</v>
      </c>
      <c r="BQ20" s="434">
        <f>((AJ7)+(AM7)*2)/8</f>
        <v>0</v>
      </c>
    </row>
    <row r="21" spans="1:69" s="259" customFormat="1" x14ac:dyDescent="0.25">
      <c r="A21" s="384" t="s">
        <v>484</v>
      </c>
      <c r="B21" s="384" t="s">
        <v>66</v>
      </c>
      <c r="C21" s="385">
        <f t="shared" ca="1" si="11"/>
        <v>2.7142857142857144</v>
      </c>
      <c r="D21" s="386" t="s">
        <v>287</v>
      </c>
      <c r="E21" s="387">
        <f>PLANTILLA!E21</f>
        <v>30</v>
      </c>
      <c r="F21" s="387">
        <f ca="1">PLANTILLA!F21</f>
        <v>32</v>
      </c>
      <c r="G21" s="388" t="s">
        <v>296</v>
      </c>
      <c r="H21" s="371">
        <v>4</v>
      </c>
      <c r="I21" s="308">
        <f>PLANTILLA!I21</f>
        <v>10.3</v>
      </c>
      <c r="J21" s="486">
        <f>PLANTILLA!X21</f>
        <v>0</v>
      </c>
      <c r="K21" s="486">
        <f>PLANTILLA!Y21</f>
        <v>6.8376190476190493</v>
      </c>
      <c r="L21" s="486">
        <f>PLANTILLA!Z21</f>
        <v>8.6449999999999996</v>
      </c>
      <c r="M21" s="486">
        <f>PLANTILLA!AA21</f>
        <v>8.7399999999999967</v>
      </c>
      <c r="N21" s="486">
        <f>PLANTILLA!AB21</f>
        <v>9.6900000000000013</v>
      </c>
      <c r="O21" s="486">
        <f>PLANTILLA!AC21</f>
        <v>8.5625000000000018</v>
      </c>
      <c r="P21" s="486">
        <f>PLANTILLA!AD21</f>
        <v>18.789999999999992</v>
      </c>
      <c r="Q21" s="411">
        <f t="shared" si="4"/>
        <v>30</v>
      </c>
      <c r="R21" s="412">
        <f t="shared" ca="1" si="5"/>
        <v>39</v>
      </c>
      <c r="S21" s="180"/>
      <c r="T21" s="180"/>
      <c r="U21" s="180"/>
      <c r="V21" s="180"/>
      <c r="W21" s="180"/>
      <c r="X21" s="180"/>
      <c r="Y21" s="180"/>
      <c r="Z21" s="180"/>
      <c r="AA21" s="296">
        <f t="shared" si="6"/>
        <v>10.3</v>
      </c>
      <c r="AB21" s="506">
        <f t="shared" si="20"/>
        <v>0</v>
      </c>
      <c r="AC21" s="506">
        <f>K21+(T$2/32)</f>
        <v>6.8376190476190493</v>
      </c>
      <c r="AD21" s="506">
        <f>L21+(U$2/7)</f>
        <v>8.6449999999999996</v>
      </c>
      <c r="AE21" s="506">
        <f>M21+(V$2/25)</f>
        <v>8.7399999999999967</v>
      </c>
      <c r="AF21" s="506">
        <f>N21+(W$2/8)</f>
        <v>9.6900000000000013</v>
      </c>
      <c r="AG21" s="506">
        <f>O21+(X$2/6)+(Y$2/5)/2</f>
        <v>8.5625000000000018</v>
      </c>
      <c r="AH21" s="506">
        <f>P21+(Z$2/2)+(Y$2/10)</f>
        <v>19.289999999999992</v>
      </c>
      <c r="AI21" s="424">
        <f t="shared" si="12"/>
        <v>0</v>
      </c>
      <c r="AJ21" s="424">
        <f t="shared" si="13"/>
        <v>0</v>
      </c>
      <c r="AK21" s="424">
        <f t="shared" si="14"/>
        <v>0</v>
      </c>
      <c r="AL21" s="424">
        <f t="shared" si="15"/>
        <v>0</v>
      </c>
      <c r="AM21" s="424">
        <f t="shared" si="16"/>
        <v>0</v>
      </c>
      <c r="AN21" s="424">
        <f t="shared" si="17"/>
        <v>0</v>
      </c>
      <c r="AO21" s="424">
        <f t="shared" si="18"/>
        <v>0.5</v>
      </c>
      <c r="AQ21" s="427" t="s">
        <v>569</v>
      </c>
      <c r="AR21" s="260" t="str">
        <f>D8</f>
        <v>E. Toney</v>
      </c>
      <c r="AS21" s="432">
        <v>0</v>
      </c>
      <c r="AT21" s="432">
        <f>AJ17*0.919</f>
        <v>0</v>
      </c>
      <c r="AU21" s="432">
        <f>AJ8*0.414</f>
        <v>0</v>
      </c>
      <c r="AV21" s="432">
        <f>AK8*0.167</f>
        <v>0</v>
      </c>
      <c r="AW21" s="432">
        <v>0</v>
      </c>
      <c r="AX21" s="432">
        <f>AL8*0.588</f>
        <v>0</v>
      </c>
      <c r="AY21" s="432">
        <v>0</v>
      </c>
      <c r="AZ21" s="435">
        <f>AZ5</f>
        <v>0.03</v>
      </c>
      <c r="BA21" s="435">
        <f>BA5</f>
        <v>0.03</v>
      </c>
      <c r="BB21" s="435">
        <f>BB5</f>
        <v>4.5175000000000001</v>
      </c>
      <c r="BC21" s="435">
        <f>BC5</f>
        <v>0</v>
      </c>
      <c r="BE21" s="427" t="s">
        <v>601</v>
      </c>
      <c r="BF21" s="260" t="str">
        <f>D16</f>
        <v>E. Gross</v>
      </c>
      <c r="BG21" s="432">
        <f t="shared" ref="BG21:BM21" si="39">AS6</f>
        <v>0</v>
      </c>
      <c r="BH21" s="432">
        <f t="shared" si="39"/>
        <v>0</v>
      </c>
      <c r="BI21" s="432">
        <f t="shared" si="39"/>
        <v>0</v>
      </c>
      <c r="BJ21" s="432">
        <f t="shared" si="39"/>
        <v>0</v>
      </c>
      <c r="BK21" s="432">
        <f t="shared" si="39"/>
        <v>0</v>
      </c>
      <c r="BL21" s="432">
        <f t="shared" si="39"/>
        <v>0</v>
      </c>
      <c r="BM21" s="432">
        <f t="shared" si="39"/>
        <v>0</v>
      </c>
      <c r="BN21" s="435">
        <f t="shared" ref="BN21" si="40">AZ6</f>
        <v>1.1999999999999957E-2</v>
      </c>
      <c r="BO21" s="435">
        <f t="shared" ref="BO21:BQ22" si="41">BA6</f>
        <v>1.1999999999999957E-2</v>
      </c>
      <c r="BP21" s="434">
        <f t="shared" si="41"/>
        <v>4.0037499999999993</v>
      </c>
      <c r="BQ21" s="434">
        <f t="shared" si="41"/>
        <v>0</v>
      </c>
    </row>
    <row r="22" spans="1:69" s="254" customFormat="1" x14ac:dyDescent="0.25">
      <c r="A22" s="384" t="s">
        <v>495</v>
      </c>
      <c r="B22" s="384" t="s">
        <v>66</v>
      </c>
      <c r="C22" s="385">
        <f t="shared" ca="1" si="11"/>
        <v>2.0982142857142856</v>
      </c>
      <c r="D22" s="386" t="str">
        <f>PLANTILLA!D22</f>
        <v>L. Calosso</v>
      </c>
      <c r="E22" s="387">
        <f>PLANTILLA!E22</f>
        <v>30</v>
      </c>
      <c r="F22" s="387">
        <f ca="1">PLANTILLA!F22</f>
        <v>101</v>
      </c>
      <c r="G22" s="388"/>
      <c r="H22" s="371">
        <v>4</v>
      </c>
      <c r="I22" s="308">
        <f>PLANTILLA!I22</f>
        <v>10.5</v>
      </c>
      <c r="J22" s="486">
        <f>PLANTILLA!X22</f>
        <v>0</v>
      </c>
      <c r="K22" s="486">
        <f>PLANTILLA!Y22</f>
        <v>3.02</v>
      </c>
      <c r="L22" s="486">
        <f>PLANTILLA!Z22</f>
        <v>14.277609523809524</v>
      </c>
      <c r="M22" s="486">
        <f>PLANTILLA!AA22</f>
        <v>3.04</v>
      </c>
      <c r="N22" s="486">
        <f>PLANTILLA!AB22</f>
        <v>15.02</v>
      </c>
      <c r="O22" s="486">
        <f>PLANTILLA!AC22</f>
        <v>10</v>
      </c>
      <c r="P22" s="486">
        <f>PLANTILLA!AD22</f>
        <v>9.6000000000000014</v>
      </c>
      <c r="Q22" s="411">
        <f t="shared" si="4"/>
        <v>30</v>
      </c>
      <c r="R22" s="412">
        <f t="shared" ca="1" si="5"/>
        <v>108</v>
      </c>
      <c r="S22" s="180"/>
      <c r="T22" s="180"/>
      <c r="U22" s="180"/>
      <c r="V22" s="180"/>
      <c r="W22" s="180"/>
      <c r="X22" s="180"/>
      <c r="Y22" s="180"/>
      <c r="Z22" s="180"/>
      <c r="AA22" s="296">
        <f t="shared" si="6"/>
        <v>10.5</v>
      </c>
      <c r="AB22" s="506">
        <f t="shared" si="20"/>
        <v>0</v>
      </c>
      <c r="AC22" s="506">
        <f>K22+(T$2/21)</f>
        <v>3.02</v>
      </c>
      <c r="AD22" s="506">
        <f>L22+(U$2/21)</f>
        <v>14.277609523809524</v>
      </c>
      <c r="AE22" s="506">
        <f>M22+(V$2/22)</f>
        <v>3.04</v>
      </c>
      <c r="AF22" s="506">
        <f>N22+(W$2/17)</f>
        <v>15.02</v>
      </c>
      <c r="AG22" s="506">
        <f>O22+(X$2/25)+(Y$2/8)</f>
        <v>10</v>
      </c>
      <c r="AH22" s="506">
        <f>P22+(Z$2/1)+(Y$2/10)</f>
        <v>10.600000000000001</v>
      </c>
      <c r="AI22" s="424">
        <f t="shared" si="12"/>
        <v>0</v>
      </c>
      <c r="AJ22" s="424">
        <f t="shared" si="13"/>
        <v>0</v>
      </c>
      <c r="AK22" s="424">
        <f t="shared" si="14"/>
        <v>0</v>
      </c>
      <c r="AL22" s="424">
        <f t="shared" si="15"/>
        <v>0</v>
      </c>
      <c r="AM22" s="424">
        <f t="shared" si="16"/>
        <v>0</v>
      </c>
      <c r="AN22" s="424">
        <f t="shared" si="17"/>
        <v>0</v>
      </c>
      <c r="AO22" s="424">
        <f t="shared" si="18"/>
        <v>1</v>
      </c>
      <c r="AQ22" s="529" t="s">
        <v>649</v>
      </c>
      <c r="AR22" s="304" t="str">
        <f>AR8</f>
        <v>E.Romweber</v>
      </c>
      <c r="AS22" s="430">
        <f>AS8</f>
        <v>0</v>
      </c>
      <c r="AT22" s="430">
        <f t="shared" ref="AT22:AY22" si="42">AT8</f>
        <v>0</v>
      </c>
      <c r="AU22" s="430">
        <f t="shared" si="42"/>
        <v>0</v>
      </c>
      <c r="AV22" s="430">
        <f t="shared" si="42"/>
        <v>0</v>
      </c>
      <c r="AW22" s="430">
        <f>AW8</f>
        <v>0</v>
      </c>
      <c r="AX22" s="430">
        <f t="shared" si="42"/>
        <v>0</v>
      </c>
      <c r="AY22" s="430">
        <f t="shared" si="42"/>
        <v>0</v>
      </c>
      <c r="AZ22" s="433">
        <f>AZ8</f>
        <v>1.1999999999999957E-2</v>
      </c>
      <c r="BA22" s="433">
        <f t="shared" ref="BA22:BC22" si="43">BA8</f>
        <v>1.1999999999999957E-2</v>
      </c>
      <c r="BB22" s="433">
        <f t="shared" si="43"/>
        <v>0</v>
      </c>
      <c r="BC22" s="433">
        <f t="shared" si="43"/>
        <v>0</v>
      </c>
      <c r="BE22" s="427" t="s">
        <v>648</v>
      </c>
      <c r="BF22" s="304" t="str">
        <f>D9</f>
        <v>B. Bartolache</v>
      </c>
      <c r="BG22" s="430">
        <v>0</v>
      </c>
      <c r="BH22" s="430">
        <f>AJ9*0.754</f>
        <v>0</v>
      </c>
      <c r="BI22" s="430">
        <f>AJ9*0.708</f>
        <v>0</v>
      </c>
      <c r="BJ22" s="430">
        <f>AK9*0.165</f>
        <v>0</v>
      </c>
      <c r="BK22" s="430">
        <v>0</v>
      </c>
      <c r="BL22" s="430">
        <f>AL9*0.286</f>
        <v>0</v>
      </c>
      <c r="BM22" s="430">
        <v>0</v>
      </c>
      <c r="BN22" s="433">
        <f>AZ7</f>
        <v>1.1999999999999957E-2</v>
      </c>
      <c r="BO22" s="433">
        <f t="shared" si="41"/>
        <v>1.1999999999999957E-2</v>
      </c>
      <c r="BP22" s="433">
        <f t="shared" si="41"/>
        <v>4.3000000000000007</v>
      </c>
      <c r="BQ22" s="433">
        <f t="shared" si="41"/>
        <v>0</v>
      </c>
    </row>
    <row r="23" spans="1:69" s="264" customFormat="1" x14ac:dyDescent="0.25">
      <c r="A23" s="384" t="s">
        <v>540</v>
      </c>
      <c r="B23" s="384" t="s">
        <v>66</v>
      </c>
      <c r="C23" s="261">
        <f t="shared" ca="1" si="11"/>
        <v>5.4375</v>
      </c>
      <c r="D23" s="294" t="s">
        <v>541</v>
      </c>
      <c r="E23" s="387">
        <f>PLANTILLA!E23</f>
        <v>27</v>
      </c>
      <c r="F23" s="387">
        <f ca="1">PLANTILLA!F23</f>
        <v>63</v>
      </c>
      <c r="G23" s="388"/>
      <c r="H23" s="396">
        <v>6</v>
      </c>
      <c r="I23" s="308">
        <f>PLANTILLA!I23</f>
        <v>5.5</v>
      </c>
      <c r="J23" s="486">
        <f>PLANTILLA!X23</f>
        <v>0</v>
      </c>
      <c r="K23" s="486">
        <f>PLANTILLA!Y23</f>
        <v>4.0199999999999996</v>
      </c>
      <c r="L23" s="486">
        <f>PLANTILLA!Z23</f>
        <v>5.5738722222222199</v>
      </c>
      <c r="M23" s="486">
        <f>PLANTILLA!AA23</f>
        <v>5.5099999999999989</v>
      </c>
      <c r="N23" s="486">
        <f>PLANTILLA!AB23</f>
        <v>10.799999999999999</v>
      </c>
      <c r="O23" s="486">
        <f>PLANTILLA!AC23</f>
        <v>8.384500000000001</v>
      </c>
      <c r="P23" s="486">
        <f>PLANTILLA!AD23</f>
        <v>13.566666666666668</v>
      </c>
      <c r="Q23" s="411">
        <f t="shared" si="4"/>
        <v>27</v>
      </c>
      <c r="R23" s="412">
        <f t="shared" ca="1" si="5"/>
        <v>70</v>
      </c>
      <c r="S23" s="180"/>
      <c r="T23" s="180"/>
      <c r="U23" s="180"/>
      <c r="V23" s="180"/>
      <c r="W23" s="180"/>
      <c r="X23" s="180"/>
      <c r="Y23" s="180"/>
      <c r="Z23" s="180"/>
      <c r="AA23" s="296">
        <f t="shared" si="6"/>
        <v>5.5</v>
      </c>
      <c r="AB23" s="506">
        <f t="shared" si="20"/>
        <v>0</v>
      </c>
      <c r="AC23" s="506">
        <f>K23+(T$2/20)</f>
        <v>4.0199999999999996</v>
      </c>
      <c r="AD23" s="506">
        <f>L23+(U$2/27)</f>
        <v>5.5738722222222199</v>
      </c>
      <c r="AE23" s="506">
        <f>M23+(V$2/21)</f>
        <v>5.5099999999999989</v>
      </c>
      <c r="AF23" s="506">
        <f>N23+(W$2/8)</f>
        <v>10.799999999999999</v>
      </c>
      <c r="AG23" s="506">
        <f>O23+(X$2/5)+(Y$2/5)/2</f>
        <v>8.384500000000001</v>
      </c>
      <c r="AH23" s="506">
        <f>P23+(Z$2/1.5)+(Y$2/10)</f>
        <v>14.233333333333334</v>
      </c>
      <c r="AI23" s="424">
        <f t="shared" si="12"/>
        <v>0</v>
      </c>
      <c r="AJ23" s="424">
        <f t="shared" si="13"/>
        <v>0</v>
      </c>
      <c r="AK23" s="424">
        <f t="shared" si="14"/>
        <v>0</v>
      </c>
      <c r="AL23" s="424">
        <f t="shared" si="15"/>
        <v>0</v>
      </c>
      <c r="AM23" s="424">
        <f t="shared" si="16"/>
        <v>0</v>
      </c>
      <c r="AN23" s="424">
        <f t="shared" si="17"/>
        <v>0</v>
      </c>
      <c r="AO23" s="424">
        <f t="shared" si="18"/>
        <v>0.66666666666666607</v>
      </c>
      <c r="AQ23" s="427" t="s">
        <v>503</v>
      </c>
      <c r="AR23" s="260" t="str">
        <f>D14</f>
        <v>S. Buscleman</v>
      </c>
      <c r="AS23" s="432">
        <f t="shared" ref="AS23:AS28" si="44">AS9</f>
        <v>0</v>
      </c>
      <c r="AT23" s="432">
        <f t="shared" ref="AT23:BC23" si="45">AT9</f>
        <v>0</v>
      </c>
      <c r="AU23" s="432">
        <f t="shared" si="45"/>
        <v>0</v>
      </c>
      <c r="AV23" s="432">
        <f t="shared" si="45"/>
        <v>0</v>
      </c>
      <c r="AW23" s="432">
        <f t="shared" si="45"/>
        <v>0</v>
      </c>
      <c r="AX23" s="432">
        <f t="shared" si="45"/>
        <v>0</v>
      </c>
      <c r="AY23" s="432">
        <f t="shared" si="45"/>
        <v>0</v>
      </c>
      <c r="AZ23" s="435">
        <f t="shared" si="45"/>
        <v>0.03</v>
      </c>
      <c r="BA23" s="435">
        <f t="shared" si="45"/>
        <v>0.03</v>
      </c>
      <c r="BB23" s="435">
        <f t="shared" si="45"/>
        <v>0</v>
      </c>
      <c r="BC23" s="435">
        <f t="shared" si="45"/>
        <v>0</v>
      </c>
      <c r="BE23" s="427" t="s">
        <v>569</v>
      </c>
      <c r="BF23" s="260" t="str">
        <f>D11</f>
        <v>E.Romweber</v>
      </c>
      <c r="BG23" s="432">
        <v>0</v>
      </c>
      <c r="BH23" s="432">
        <f>AJ11*0.919</f>
        <v>0</v>
      </c>
      <c r="BI23" s="432">
        <f>AJ11*0.414</f>
        <v>0</v>
      </c>
      <c r="BJ23" s="432">
        <f>AK11*0.167</f>
        <v>0</v>
      </c>
      <c r="BK23" s="432">
        <v>0</v>
      </c>
      <c r="BL23" s="432">
        <f>AL11*0.588</f>
        <v>0</v>
      </c>
      <c r="BM23" s="432">
        <v>0</v>
      </c>
      <c r="BN23" s="435">
        <f>AZ8</f>
        <v>1.1999999999999957E-2</v>
      </c>
      <c r="BO23" s="435">
        <f>BA8</f>
        <v>1.1999999999999957E-2</v>
      </c>
      <c r="BP23" s="435">
        <f>((AC11+1)+(AF11+1)*2)/8</f>
        <v>4.6101388888888888</v>
      </c>
      <c r="BQ23" s="435">
        <f>((AJ11)+(AM11)*2)/8</f>
        <v>0</v>
      </c>
    </row>
    <row r="24" spans="1:69" s="248" customFormat="1" x14ac:dyDescent="0.25">
      <c r="A24"/>
      <c r="B24"/>
      <c r="C24" s="218"/>
      <c r="D24" s="179"/>
      <c r="E24"/>
      <c r="F24"/>
      <c r="G24" s="422"/>
      <c r="H24" s="4"/>
      <c r="I24"/>
      <c r="J24" s="156"/>
      <c r="K24"/>
      <c r="L24"/>
      <c r="M24"/>
      <c r="N24"/>
      <c r="O24"/>
      <c r="P24"/>
      <c r="Q24" s="452"/>
      <c r="R24" s="452"/>
      <c r="S24" s="341">
        <f t="shared" ref="S24:Z24" si="46">SUM(S21:S23)</f>
        <v>0</v>
      </c>
      <c r="T24" s="341">
        <f t="shared" si="46"/>
        <v>0</v>
      </c>
      <c r="U24" s="341">
        <f t="shared" si="46"/>
        <v>0</v>
      </c>
      <c r="V24" s="341">
        <f t="shared" si="46"/>
        <v>0</v>
      </c>
      <c r="W24" s="341">
        <f t="shared" si="46"/>
        <v>0</v>
      </c>
      <c r="X24" s="341">
        <f t="shared" si="46"/>
        <v>0</v>
      </c>
      <c r="Y24" s="341"/>
      <c r="Z24" s="341">
        <f t="shared" si="46"/>
        <v>0</v>
      </c>
      <c r="AA24" s="422"/>
      <c r="AB24" s="422"/>
      <c r="AC24" s="422"/>
      <c r="AD24" s="422"/>
      <c r="AE24" s="422"/>
      <c r="AF24" s="422"/>
      <c r="AG24" s="422"/>
      <c r="AH24" s="422"/>
      <c r="AI24"/>
      <c r="AJ24"/>
      <c r="AK24"/>
      <c r="AL24"/>
      <c r="AM24"/>
      <c r="AN24"/>
      <c r="AO24"/>
      <c r="AQ24" s="427" t="s">
        <v>651</v>
      </c>
      <c r="AR24" s="260" t="str">
        <f>AR10</f>
        <v>L. Bauman</v>
      </c>
      <c r="AS24" s="432">
        <f t="shared" si="44"/>
        <v>0</v>
      </c>
      <c r="AT24" s="432">
        <f t="shared" ref="AT24:AY24" si="47">AT10</f>
        <v>0</v>
      </c>
      <c r="AU24" s="432">
        <f t="shared" si="47"/>
        <v>0</v>
      </c>
      <c r="AV24" s="432">
        <f t="shared" si="47"/>
        <v>0</v>
      </c>
      <c r="AW24" s="432">
        <f t="shared" si="47"/>
        <v>0</v>
      </c>
      <c r="AX24" s="432">
        <f t="shared" si="47"/>
        <v>0</v>
      </c>
      <c r="AY24" s="432">
        <f t="shared" si="47"/>
        <v>0</v>
      </c>
      <c r="AZ24" s="435">
        <f>AZ10</f>
        <v>1.1999999999999957E-2</v>
      </c>
      <c r="BA24" s="435">
        <f t="shared" ref="BA24:BC24" si="48">BA10</f>
        <v>1.1999999999999957E-2</v>
      </c>
      <c r="BB24" s="435">
        <f t="shared" si="48"/>
        <v>0</v>
      </c>
      <c r="BC24" s="435">
        <f t="shared" si="48"/>
        <v>0</v>
      </c>
      <c r="BE24" s="530" t="s">
        <v>650</v>
      </c>
      <c r="BF24" s="260" t="str">
        <f>D12</f>
        <v>K. Helms</v>
      </c>
      <c r="BG24" s="430">
        <f>AT12</f>
        <v>0</v>
      </c>
      <c r="BH24" s="430">
        <f>AS12</f>
        <v>0</v>
      </c>
      <c r="BI24" s="430">
        <f>AU12</f>
        <v>0</v>
      </c>
      <c r="BJ24" s="430">
        <f>AV12</f>
        <v>0</v>
      </c>
      <c r="BK24" s="430">
        <f>AX12</f>
        <v>0</v>
      </c>
      <c r="BL24" s="430">
        <v>0</v>
      </c>
      <c r="BM24" s="430">
        <f>AY12</f>
        <v>0</v>
      </c>
      <c r="BN24" s="433">
        <f>AZ12</f>
        <v>1.1999999999999957E-2</v>
      </c>
      <c r="BO24" s="433">
        <f t="shared" ref="BO24:BQ24" si="49">BA12</f>
        <v>1.1999999999999957E-2</v>
      </c>
      <c r="BP24" s="433">
        <f t="shared" si="49"/>
        <v>0</v>
      </c>
      <c r="BQ24" s="433">
        <f t="shared" si="49"/>
        <v>0</v>
      </c>
    </row>
    <row r="25" spans="1:69" s="246" customFormat="1" x14ac:dyDescent="0.25">
      <c r="A25"/>
      <c r="B25"/>
      <c r="C25" s="218"/>
      <c r="D25" s="179"/>
      <c r="E25"/>
      <c r="F25"/>
      <c r="G25" s="422"/>
      <c r="H25" s="4"/>
      <c r="I25"/>
      <c r="J25" s="156"/>
      <c r="K25"/>
      <c r="L25"/>
      <c r="M25"/>
      <c r="N25"/>
      <c r="O25"/>
      <c r="P25"/>
      <c r="Q25" s="452"/>
      <c r="R25" s="452"/>
      <c r="S25" s="422"/>
      <c r="T25" s="422"/>
      <c r="U25" s="422"/>
      <c r="V25" s="422"/>
      <c r="W25" s="422"/>
      <c r="X25" s="422"/>
      <c r="Y25" s="528"/>
      <c r="Z25" s="422"/>
      <c r="AA25" s="422"/>
      <c r="AB25" s="422"/>
      <c r="AC25" s="422"/>
      <c r="AD25" s="422"/>
      <c r="AE25" s="422"/>
      <c r="AF25" s="422"/>
      <c r="AG25" s="422"/>
      <c r="AH25" s="422"/>
      <c r="AI25"/>
      <c r="AJ25"/>
      <c r="AK25"/>
      <c r="AL25"/>
      <c r="AM25"/>
      <c r="AN25"/>
      <c r="AO25"/>
      <c r="AQ25" s="427" t="s">
        <v>503</v>
      </c>
      <c r="AR25" s="260" t="str">
        <f>D15</f>
        <v>C. Rojas</v>
      </c>
      <c r="AS25" s="432">
        <f t="shared" si="44"/>
        <v>0</v>
      </c>
      <c r="AT25" s="432">
        <f t="shared" ref="AT25:BC25" si="50">AT11</f>
        <v>0</v>
      </c>
      <c r="AU25" s="432">
        <f t="shared" si="50"/>
        <v>0</v>
      </c>
      <c r="AV25" s="432">
        <f t="shared" si="50"/>
        <v>0</v>
      </c>
      <c r="AW25" s="432">
        <f t="shared" si="50"/>
        <v>0</v>
      </c>
      <c r="AX25" s="432">
        <f t="shared" si="50"/>
        <v>0</v>
      </c>
      <c r="AY25" s="432">
        <f t="shared" si="50"/>
        <v>0</v>
      </c>
      <c r="AZ25" s="435">
        <f t="shared" si="50"/>
        <v>1.4999999999999999E-2</v>
      </c>
      <c r="BA25" s="435">
        <f t="shared" si="50"/>
        <v>1.4999999999999999E-2</v>
      </c>
      <c r="BB25" s="435">
        <f t="shared" si="50"/>
        <v>0</v>
      </c>
      <c r="BC25" s="435">
        <f t="shared" si="50"/>
        <v>0</v>
      </c>
      <c r="BE25" s="427" t="s">
        <v>503</v>
      </c>
      <c r="BF25" s="260" t="str">
        <f>D14</f>
        <v>S. Buscleman</v>
      </c>
      <c r="BG25" s="432">
        <f t="shared" ref="BG25:BM25" si="51">AS9</f>
        <v>0</v>
      </c>
      <c r="BH25" s="432">
        <f t="shared" si="51"/>
        <v>0</v>
      </c>
      <c r="BI25" s="432">
        <f t="shared" si="51"/>
        <v>0</v>
      </c>
      <c r="BJ25" s="432">
        <f t="shared" si="51"/>
        <v>0</v>
      </c>
      <c r="BK25" s="432">
        <f t="shared" si="51"/>
        <v>0</v>
      </c>
      <c r="BL25" s="432">
        <f t="shared" si="51"/>
        <v>0</v>
      </c>
      <c r="BM25" s="432">
        <f t="shared" si="51"/>
        <v>0</v>
      </c>
      <c r="BN25" s="435">
        <f t="shared" ref="BN25" si="52">AZ9</f>
        <v>0.03</v>
      </c>
      <c r="BO25" s="435">
        <f>BA9</f>
        <v>0.03</v>
      </c>
      <c r="BP25" s="435">
        <f>BB9</f>
        <v>0</v>
      </c>
      <c r="BQ25" s="435">
        <f>BC9</f>
        <v>0</v>
      </c>
    </row>
    <row r="26" spans="1:69" s="264" customFormat="1" ht="14.25" customHeight="1" x14ac:dyDescent="0.25">
      <c r="A26"/>
      <c r="B26"/>
      <c r="C26" s="218"/>
      <c r="D26" s="179"/>
      <c r="E26"/>
      <c r="F26"/>
      <c r="G26" s="422"/>
      <c r="H26" s="4"/>
      <c r="I26"/>
      <c r="J26" s="156"/>
      <c r="K26"/>
      <c r="L26"/>
      <c r="M26"/>
      <c r="N26"/>
      <c r="O26"/>
      <c r="P26"/>
      <c r="Q26" s="452"/>
      <c r="R26" s="452"/>
      <c r="S26" s="422"/>
      <c r="T26" s="422"/>
      <c r="U26" s="422"/>
      <c r="V26" s="422"/>
      <c r="W26" s="422"/>
      <c r="X26" s="422"/>
      <c r="Y26" s="528"/>
      <c r="Z26" s="422"/>
      <c r="AA26" s="422"/>
      <c r="AB26" s="422"/>
      <c r="AC26" s="422"/>
      <c r="AD26" s="422"/>
      <c r="AE26" s="422"/>
      <c r="AF26" s="422"/>
      <c r="AG26" s="422"/>
      <c r="AH26" s="422"/>
      <c r="AI26"/>
      <c r="AJ26"/>
      <c r="AK26"/>
      <c r="AL26"/>
      <c r="AM26"/>
      <c r="AN26"/>
      <c r="AO26"/>
      <c r="AQ26" s="530" t="s">
        <v>650</v>
      </c>
      <c r="AR26" s="260" t="str">
        <f>AR12</f>
        <v>K. Helms</v>
      </c>
      <c r="AS26" s="432">
        <f t="shared" si="44"/>
        <v>0</v>
      </c>
      <c r="AT26" s="432">
        <f t="shared" ref="AT26:AY26" si="53">AT12</f>
        <v>0</v>
      </c>
      <c r="AU26" s="432">
        <f t="shared" si="53"/>
        <v>0</v>
      </c>
      <c r="AV26" s="432">
        <f t="shared" si="53"/>
        <v>0</v>
      </c>
      <c r="AW26" s="432">
        <f t="shared" si="53"/>
        <v>0</v>
      </c>
      <c r="AX26" s="432">
        <f t="shared" si="53"/>
        <v>0</v>
      </c>
      <c r="AY26" s="432">
        <f t="shared" si="53"/>
        <v>0</v>
      </c>
      <c r="AZ26" s="435">
        <f>AZ12</f>
        <v>1.1999999999999957E-2</v>
      </c>
      <c r="BA26" s="435">
        <f t="shared" ref="BA26:BC26" si="54">BA12</f>
        <v>1.1999999999999957E-2</v>
      </c>
      <c r="BB26" s="435">
        <f t="shared" si="54"/>
        <v>0</v>
      </c>
      <c r="BC26" s="435">
        <f t="shared" si="54"/>
        <v>0</v>
      </c>
      <c r="BE26" s="427" t="s">
        <v>503</v>
      </c>
      <c r="BF26" s="260" t="str">
        <f>D15</f>
        <v>C. Rojas</v>
      </c>
      <c r="BG26" s="432">
        <f t="shared" ref="BG26:BM26" si="55">AS11</f>
        <v>0</v>
      </c>
      <c r="BH26" s="432">
        <f t="shared" si="55"/>
        <v>0</v>
      </c>
      <c r="BI26" s="432">
        <f t="shared" si="55"/>
        <v>0</v>
      </c>
      <c r="BJ26" s="432">
        <f t="shared" si="55"/>
        <v>0</v>
      </c>
      <c r="BK26" s="432">
        <f t="shared" si="55"/>
        <v>0</v>
      </c>
      <c r="BL26" s="432">
        <f t="shared" si="55"/>
        <v>0</v>
      </c>
      <c r="BM26" s="432">
        <f t="shared" si="55"/>
        <v>0</v>
      </c>
      <c r="BN26" s="435">
        <f t="shared" ref="BN26" si="56">AZ11</f>
        <v>1.4999999999999999E-2</v>
      </c>
      <c r="BO26" s="435">
        <f>BA11</f>
        <v>1.4999999999999999E-2</v>
      </c>
      <c r="BP26" s="435">
        <f>BB11</f>
        <v>0</v>
      </c>
      <c r="BQ26" s="435">
        <f>BC11</f>
        <v>0</v>
      </c>
    </row>
    <row r="27" spans="1:69" x14ac:dyDescent="0.25">
      <c r="W27" s="422">
        <v>1</v>
      </c>
      <c r="AQ27" s="529" t="s">
        <v>66</v>
      </c>
      <c r="AR27" s="304" t="str">
        <f>D21</f>
        <v>J. Limon</v>
      </c>
      <c r="AS27" s="430">
        <f t="shared" si="44"/>
        <v>0</v>
      </c>
      <c r="AT27" s="430">
        <f t="shared" ref="AT27:BC27" si="57">AT13</f>
        <v>0</v>
      </c>
      <c r="AU27" s="430">
        <f t="shared" si="57"/>
        <v>0</v>
      </c>
      <c r="AV27" s="430">
        <f t="shared" si="57"/>
        <v>0</v>
      </c>
      <c r="AW27" s="430">
        <f t="shared" si="57"/>
        <v>0</v>
      </c>
      <c r="AX27" s="430">
        <f t="shared" si="57"/>
        <v>0</v>
      </c>
      <c r="AY27" s="430">
        <f t="shared" si="57"/>
        <v>0</v>
      </c>
      <c r="AZ27" s="554">
        <f t="shared" si="57"/>
        <v>0.06</v>
      </c>
      <c r="BA27" s="554">
        <f t="shared" si="57"/>
        <v>1.4999999999999999E-2</v>
      </c>
      <c r="BB27" s="433">
        <f t="shared" si="57"/>
        <v>0</v>
      </c>
      <c r="BC27" s="433">
        <f t="shared" si="57"/>
        <v>0</v>
      </c>
      <c r="BE27" s="529" t="s">
        <v>650</v>
      </c>
      <c r="BF27" s="304" t="str">
        <f>D13</f>
        <v>S. Zobbe</v>
      </c>
      <c r="BG27" s="432">
        <v>0</v>
      </c>
      <c r="BH27" s="432">
        <f>AJ13*0.18</f>
        <v>0</v>
      </c>
      <c r="BI27" s="432">
        <f>AJ13*0.068</f>
        <v>0</v>
      </c>
      <c r="BJ27" s="432">
        <f>AK13*0.305</f>
        <v>0</v>
      </c>
      <c r="BK27" s="432">
        <v>0</v>
      </c>
      <c r="BL27" s="432">
        <f>(AL13*1)+(AM13*0.286)</f>
        <v>0</v>
      </c>
      <c r="BM27" s="432">
        <f>AM13*0.135</f>
        <v>0</v>
      </c>
      <c r="BN27" s="435">
        <f>AZ14</f>
        <v>1.4999999999999999E-2</v>
      </c>
      <c r="BO27" s="435">
        <f t="shared" ref="BO27:BQ27" si="58">BA14</f>
        <v>1.4999999999999999E-2</v>
      </c>
      <c r="BP27" s="435">
        <f t="shared" si="58"/>
        <v>0</v>
      </c>
      <c r="BQ27" s="435">
        <f t="shared" si="58"/>
        <v>0</v>
      </c>
    </row>
    <row r="28" spans="1:69" x14ac:dyDescent="0.25">
      <c r="Q28" s="163"/>
      <c r="W28" s="422">
        <v>0.8</v>
      </c>
      <c r="AQ28" s="530" t="s">
        <v>66</v>
      </c>
      <c r="AR28" s="260" t="str">
        <f>AR14</f>
        <v>S. Zobbe</v>
      </c>
      <c r="AS28" s="432">
        <f t="shared" si="44"/>
        <v>0</v>
      </c>
      <c r="AT28" s="432">
        <f t="shared" ref="AT28:AY28" si="59">AT14</f>
        <v>0</v>
      </c>
      <c r="AU28" s="432">
        <f t="shared" si="59"/>
        <v>0</v>
      </c>
      <c r="AV28" s="432">
        <f t="shared" si="59"/>
        <v>0</v>
      </c>
      <c r="AW28" s="432">
        <f t="shared" si="59"/>
        <v>0</v>
      </c>
      <c r="AX28" s="432">
        <f t="shared" si="59"/>
        <v>0</v>
      </c>
      <c r="AY28" s="432">
        <f t="shared" si="59"/>
        <v>0</v>
      </c>
      <c r="AZ28" s="433">
        <f>AZ14</f>
        <v>1.4999999999999999E-2</v>
      </c>
      <c r="BA28" s="433">
        <f t="shared" ref="BA28:BC28" si="60">BA14</f>
        <v>1.4999999999999999E-2</v>
      </c>
      <c r="BB28" s="433">
        <f t="shared" si="60"/>
        <v>0</v>
      </c>
      <c r="BC28" s="433">
        <f t="shared" si="60"/>
        <v>0</v>
      </c>
      <c r="BE28" s="530" t="s">
        <v>66</v>
      </c>
      <c r="BF28" s="260" t="str">
        <f>D21</f>
        <v>J. Limon</v>
      </c>
      <c r="BG28" s="430">
        <f t="shared" ref="BG28:BM28" si="61">AS13</f>
        <v>0</v>
      </c>
      <c r="BH28" s="430">
        <f t="shared" si="61"/>
        <v>0</v>
      </c>
      <c r="BI28" s="430">
        <f t="shared" si="61"/>
        <v>0</v>
      </c>
      <c r="BJ28" s="430">
        <f t="shared" si="61"/>
        <v>0</v>
      </c>
      <c r="BK28" s="430">
        <f t="shared" si="61"/>
        <v>0</v>
      </c>
      <c r="BL28" s="430">
        <f t="shared" si="61"/>
        <v>0</v>
      </c>
      <c r="BM28" s="430">
        <f t="shared" si="61"/>
        <v>0</v>
      </c>
      <c r="BN28" s="554">
        <f t="shared" ref="BN28" si="62">AZ13</f>
        <v>0.06</v>
      </c>
      <c r="BO28" s="554">
        <f>BA13</f>
        <v>1.4999999999999999E-2</v>
      </c>
      <c r="BP28" s="433">
        <f>BB13</f>
        <v>0</v>
      </c>
      <c r="BQ28" s="433">
        <f>BC13</f>
        <v>0</v>
      </c>
    </row>
    <row r="29" spans="1:69" x14ac:dyDescent="0.25">
      <c r="K29">
        <v>0.8</v>
      </c>
      <c r="W29" s="422">
        <f>W27-W28</f>
        <v>0.19999999999999996</v>
      </c>
      <c r="X29" s="422">
        <v>3</v>
      </c>
      <c r="AB29" s="163"/>
      <c r="AC29" s="163"/>
      <c r="AD29" s="163"/>
      <c r="AE29" s="163"/>
      <c r="AF29" s="163"/>
      <c r="AG29" s="163"/>
      <c r="AH29" s="163"/>
      <c r="AQ29" s="428"/>
      <c r="AR29" s="429"/>
      <c r="AS29" s="429"/>
      <c r="AT29" s="429"/>
      <c r="AU29" s="429"/>
      <c r="AV29" s="429"/>
      <c r="AW29" s="429"/>
      <c r="AX29" s="429"/>
      <c r="AY29" s="429"/>
      <c r="AZ29" s="429"/>
      <c r="BA29" s="429"/>
      <c r="BB29" s="429"/>
      <c r="BC29" s="429"/>
    </row>
    <row r="30" spans="1:69" x14ac:dyDescent="0.25">
      <c r="K30">
        <f>1-K29</f>
        <v>0.19999999999999996</v>
      </c>
      <c r="W30" s="422">
        <v>1</v>
      </c>
      <c r="X30" s="422">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28" customWidth="1"/>
    <col min="2" max="2" width="14.28515625" style="528" bestFit="1" customWidth="1"/>
    <col min="3" max="9" width="8.28515625" style="528" bestFit="1" customWidth="1"/>
    <col min="10" max="10" width="8.28515625" style="551" bestFit="1" customWidth="1"/>
    <col min="11" max="11" width="9.28515625" style="551" bestFit="1" customWidth="1"/>
    <col min="12" max="12" width="8.28515625" style="528"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1"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80">
        <f t="shared" ref="C1:L1" si="0">MAX(C3:C27)</f>
        <v>7.6541020779221203E-2</v>
      </c>
      <c r="D1" s="580">
        <f t="shared" si="0"/>
        <v>9.516709370629349E-2</v>
      </c>
      <c r="E1" s="580">
        <f t="shared" si="0"/>
        <v>0.10114897692307692</v>
      </c>
      <c r="F1" s="580">
        <f t="shared" si="0"/>
        <v>5.254696863959811E-2</v>
      </c>
      <c r="G1" s="580">
        <f t="shared" si="0"/>
        <v>5.2239892473118138E-2</v>
      </c>
      <c r="H1" s="580">
        <f t="shared" si="0"/>
        <v>8.0176190476190248E-2</v>
      </c>
      <c r="I1" s="580">
        <f t="shared" si="0"/>
        <v>5.7961761904761842E-2</v>
      </c>
      <c r="J1" s="580">
        <f t="shared" si="0"/>
        <v>0</v>
      </c>
      <c r="K1" s="580">
        <f t="shared" si="0"/>
        <v>3.6222627372627408E-2</v>
      </c>
      <c r="L1" s="580">
        <f t="shared" si="0"/>
        <v>0.16964285714285698</v>
      </c>
      <c r="N1" s="528"/>
      <c r="O1" s="528"/>
      <c r="P1" s="531"/>
      <c r="Q1" s="531"/>
      <c r="R1" s="531"/>
      <c r="S1" s="531"/>
      <c r="T1" s="531"/>
      <c r="U1" s="531"/>
      <c r="V1" s="531"/>
      <c r="W1" s="531"/>
      <c r="X1" s="531"/>
      <c r="Y1" s="642"/>
      <c r="Z1" s="531"/>
      <c r="AA1" s="531"/>
      <c r="AB1" s="531"/>
      <c r="AC1" s="531"/>
      <c r="AD1" s="531"/>
      <c r="AE1" s="531"/>
      <c r="AF1" s="531"/>
      <c r="AG1" s="531"/>
    </row>
    <row r="2" spans="1:33" x14ac:dyDescent="0.25">
      <c r="A2" s="637" t="s">
        <v>725</v>
      </c>
      <c r="B2" s="638" t="s">
        <v>724</v>
      </c>
      <c r="C2" s="331" t="s">
        <v>467</v>
      </c>
      <c r="D2" s="534" t="s">
        <v>468</v>
      </c>
      <c r="E2" s="534" t="s">
        <v>489</v>
      </c>
      <c r="F2" s="534" t="s">
        <v>469</v>
      </c>
      <c r="G2" s="534" t="s">
        <v>470</v>
      </c>
      <c r="H2" s="534" t="s">
        <v>471</v>
      </c>
      <c r="I2" s="534" t="s">
        <v>472</v>
      </c>
      <c r="J2" s="534" t="s">
        <v>734</v>
      </c>
      <c r="K2" s="534" t="s">
        <v>735</v>
      </c>
      <c r="L2" s="534" t="s">
        <v>579</v>
      </c>
      <c r="N2" s="637" t="s">
        <v>725</v>
      </c>
      <c r="O2" s="638" t="s">
        <v>724</v>
      </c>
      <c r="P2" s="331" t="s">
        <v>467</v>
      </c>
      <c r="Q2" s="534" t="s">
        <v>858</v>
      </c>
      <c r="R2" s="534" t="s">
        <v>468</v>
      </c>
      <c r="S2" s="534" t="s">
        <v>858</v>
      </c>
      <c r="T2" s="534" t="s">
        <v>489</v>
      </c>
      <c r="U2" s="534" t="s">
        <v>858</v>
      </c>
      <c r="V2" s="534" t="s">
        <v>469</v>
      </c>
      <c r="W2" s="534" t="s">
        <v>858</v>
      </c>
      <c r="X2" s="534" t="s">
        <v>470</v>
      </c>
      <c r="Y2" s="534" t="s">
        <v>858</v>
      </c>
      <c r="Z2" s="534" t="s">
        <v>471</v>
      </c>
      <c r="AA2" s="534" t="s">
        <v>858</v>
      </c>
      <c r="AB2" s="534" t="s">
        <v>472</v>
      </c>
      <c r="AC2" s="534" t="s">
        <v>858</v>
      </c>
      <c r="AD2" s="577" t="s">
        <v>734</v>
      </c>
      <c r="AE2" s="577" t="s">
        <v>858</v>
      </c>
      <c r="AF2" s="577" t="s">
        <v>735</v>
      </c>
      <c r="AG2" s="577" t="s">
        <v>858</v>
      </c>
    </row>
    <row r="3" spans="1:33" x14ac:dyDescent="0.25">
      <c r="A3" s="533" t="s">
        <v>726</v>
      </c>
      <c r="B3" s="532" t="s">
        <v>178</v>
      </c>
      <c r="C3" s="542"/>
      <c r="D3" s="543"/>
      <c r="E3" s="543"/>
      <c r="F3" s="543"/>
      <c r="G3" s="543"/>
      <c r="H3" s="543"/>
      <c r="I3" s="543"/>
      <c r="J3" s="543"/>
      <c r="K3" s="543"/>
      <c r="L3" s="543"/>
      <c r="M3" s="9"/>
      <c r="N3" s="581" t="s">
        <v>726</v>
      </c>
      <c r="O3" s="582" t="s">
        <v>178</v>
      </c>
      <c r="P3" s="545">
        <f>C3/$C$4</f>
        <v>0</v>
      </c>
      <c r="Q3" s="650" t="e">
        <f>1/C3</f>
        <v>#DIV/0!</v>
      </c>
      <c r="R3" s="545">
        <f>D3/D1</f>
        <v>0</v>
      </c>
      <c r="S3" s="650" t="e">
        <f>1/D3</f>
        <v>#DIV/0!</v>
      </c>
      <c r="T3" s="545">
        <f>E3/E1</f>
        <v>0</v>
      </c>
      <c r="U3" s="650" t="e">
        <f>1/E3</f>
        <v>#DIV/0!</v>
      </c>
      <c r="V3" s="546"/>
      <c r="W3" s="546"/>
      <c r="X3" s="546"/>
      <c r="Y3" s="643"/>
      <c r="Z3" s="546"/>
      <c r="AA3" s="546"/>
      <c r="AB3" s="546"/>
      <c r="AC3" s="546"/>
      <c r="AD3" s="546"/>
      <c r="AE3" s="546"/>
      <c r="AF3" s="546">
        <f>K3/K1</f>
        <v>0</v>
      </c>
      <c r="AG3" s="643"/>
    </row>
    <row r="4" spans="1:33" x14ac:dyDescent="0.25">
      <c r="A4" s="696" t="s">
        <v>727</v>
      </c>
      <c r="B4" s="540" t="s">
        <v>680</v>
      </c>
      <c r="C4" s="583">
        <v>5.9340247552447711E-2</v>
      </c>
      <c r="D4" s="557">
        <v>6.8999559240759498E-2</v>
      </c>
      <c r="E4" s="557">
        <v>7.5579372027972075E-2</v>
      </c>
      <c r="F4" s="557"/>
      <c r="G4" s="557"/>
      <c r="H4" s="557"/>
      <c r="I4" s="557"/>
      <c r="J4" s="557">
        <v>0</v>
      </c>
      <c r="K4" s="557">
        <v>3.6222627372627408E-2</v>
      </c>
      <c r="L4" s="557"/>
      <c r="M4" s="9"/>
      <c r="N4" s="698" t="s">
        <v>727</v>
      </c>
      <c r="O4" s="584" t="s">
        <v>680</v>
      </c>
      <c r="P4" s="547">
        <f>C4/$C$1</f>
        <v>0.77527379369046734</v>
      </c>
      <c r="Q4" s="644">
        <f>1/C4</f>
        <v>16.851968794301925</v>
      </c>
      <c r="R4" s="548">
        <f>D4/$D$1</f>
        <v>0.72503589795131562</v>
      </c>
      <c r="S4" s="644">
        <f>1/D4</f>
        <v>14.492846200809916</v>
      </c>
      <c r="T4" s="548">
        <f>E4/$E$1</f>
        <v>0.74720846742176794</v>
      </c>
      <c r="U4" s="644">
        <f>1/E4</f>
        <v>13.231123429153367</v>
      </c>
      <c r="V4" s="548"/>
      <c r="W4" s="548"/>
      <c r="X4" s="547"/>
      <c r="Y4" s="644"/>
      <c r="Z4" s="548"/>
      <c r="AA4" s="548"/>
      <c r="AB4" s="548"/>
      <c r="AC4" s="548"/>
      <c r="AD4" s="547"/>
      <c r="AE4" s="547"/>
      <c r="AF4" s="547">
        <f>K4/K1</f>
        <v>1</v>
      </c>
      <c r="AG4" s="648"/>
    </row>
    <row r="5" spans="1:33" x14ac:dyDescent="0.25">
      <c r="A5" s="696"/>
      <c r="B5" s="540" t="s">
        <v>679</v>
      </c>
      <c r="C5" s="578"/>
      <c r="D5" s="544"/>
      <c r="E5" s="544"/>
      <c r="F5" s="544">
        <v>5.254696863959811E-2</v>
      </c>
      <c r="G5" s="544"/>
      <c r="H5" s="544"/>
      <c r="I5" s="544"/>
      <c r="J5" s="544"/>
      <c r="K5" s="544"/>
      <c r="L5" s="544"/>
      <c r="M5" s="9"/>
      <c r="N5" s="698"/>
      <c r="O5" s="584" t="s">
        <v>679</v>
      </c>
      <c r="P5" s="549"/>
      <c r="Q5" s="645"/>
      <c r="R5" s="536"/>
      <c r="S5" s="645"/>
      <c r="T5" s="536"/>
      <c r="U5" s="645"/>
      <c r="V5" s="536">
        <f>F5/F1</f>
        <v>1</v>
      </c>
      <c r="W5" s="645">
        <f>1/F5</f>
        <v>19.03059350309362</v>
      </c>
      <c r="X5" s="549"/>
      <c r="Y5" s="645"/>
      <c r="Z5" s="536"/>
      <c r="AA5" s="536"/>
      <c r="AB5" s="536"/>
      <c r="AC5" s="536"/>
      <c r="AD5" s="549"/>
      <c r="AE5" s="549"/>
      <c r="AF5" s="549"/>
      <c r="AG5" s="647"/>
    </row>
    <row r="6" spans="1:33" x14ac:dyDescent="0.25">
      <c r="A6" s="696"/>
      <c r="B6" s="540" t="s">
        <v>731</v>
      </c>
      <c r="C6" s="578"/>
      <c r="D6" s="544"/>
      <c r="E6" s="544"/>
      <c r="F6" s="544"/>
      <c r="G6" s="544">
        <v>3.9584999999999822E-2</v>
      </c>
      <c r="H6" s="544">
        <v>6.3542692307692147E-2</v>
      </c>
      <c r="I6" s="544">
        <v>0</v>
      </c>
      <c r="J6" s="544"/>
      <c r="K6" s="544"/>
      <c r="L6" s="544"/>
      <c r="M6" s="9"/>
      <c r="N6" s="698"/>
      <c r="O6" s="584" t="s">
        <v>731</v>
      </c>
      <c r="P6" s="549"/>
      <c r="Q6" s="645"/>
      <c r="R6" s="536"/>
      <c r="S6" s="645"/>
      <c r="T6" s="536"/>
      <c r="U6" s="645"/>
      <c r="V6" s="536"/>
      <c r="W6" s="645"/>
      <c r="X6" s="549">
        <f>G6/$G$1</f>
        <v>0.75775423964300204</v>
      </c>
      <c r="Y6" s="645">
        <f>1/G6</f>
        <v>25.262094227611584</v>
      </c>
      <c r="Z6" s="536">
        <f>H6/$H$1</f>
        <v>0.79253818284821453</v>
      </c>
      <c r="AA6" s="645">
        <f>1/H6</f>
        <v>15.737450896126811</v>
      </c>
      <c r="AB6" s="536">
        <f>I6/$I$1</f>
        <v>0</v>
      </c>
      <c r="AC6" s="536"/>
      <c r="AD6" s="549"/>
      <c r="AE6" s="549"/>
      <c r="AF6" s="549"/>
      <c r="AG6" s="647"/>
    </row>
    <row r="7" spans="1:33" x14ac:dyDescent="0.25">
      <c r="A7" s="696"/>
      <c r="B7" s="540" t="s">
        <v>732</v>
      </c>
      <c r="C7" s="578"/>
      <c r="D7" s="544"/>
      <c r="E7" s="544"/>
      <c r="F7" s="544"/>
      <c r="G7" s="544">
        <v>3.3714285714285648E-2</v>
      </c>
      <c r="H7" s="544">
        <v>3.433928571428569E-2</v>
      </c>
      <c r="I7" s="544">
        <v>4.9198011904761828E-2</v>
      </c>
      <c r="J7" s="544"/>
      <c r="K7" s="544"/>
      <c r="L7" s="544"/>
      <c r="M7" s="9"/>
      <c r="N7" s="698"/>
      <c r="O7" s="584" t="s">
        <v>732</v>
      </c>
      <c r="P7" s="549"/>
      <c r="Q7" s="645"/>
      <c r="R7" s="536"/>
      <c r="S7" s="645"/>
      <c r="T7" s="536"/>
      <c r="U7" s="645"/>
      <c r="V7" s="536"/>
      <c r="W7" s="645"/>
      <c r="X7" s="549">
        <f t="shared" ref="X7" si="1">G7/$G$1</f>
        <v>0.64537433210902018</v>
      </c>
      <c r="Y7" s="645">
        <f t="shared" ref="Y7" si="2">1/G7</f>
        <v>29.6610169491526</v>
      </c>
      <c r="Z7" s="536">
        <f t="shared" ref="Z7" si="3">H7/$H$1</f>
        <v>0.42829779651957089</v>
      </c>
      <c r="AA7" s="645">
        <f t="shared" ref="AA7" si="4">1/H7</f>
        <v>29.121164846593885</v>
      </c>
      <c r="AB7" s="536">
        <f t="shared" ref="AB7" si="5">I7/$I$1</f>
        <v>0.84880118008835015</v>
      </c>
      <c r="AC7" s="645">
        <f t="shared" ref="AC7" si="6">1/I7</f>
        <v>20.326024594973745</v>
      </c>
      <c r="AD7" s="549"/>
      <c r="AE7" s="549"/>
      <c r="AF7" s="549"/>
      <c r="AG7" s="647"/>
    </row>
    <row r="8" spans="1:33" x14ac:dyDescent="0.25">
      <c r="A8" s="696"/>
      <c r="B8" s="540" t="s">
        <v>698</v>
      </c>
      <c r="C8" s="578"/>
      <c r="D8" s="544"/>
      <c r="E8" s="544"/>
      <c r="F8" s="544"/>
      <c r="G8" s="544"/>
      <c r="H8" s="544"/>
      <c r="I8" s="544"/>
      <c r="J8" s="544"/>
      <c r="K8" s="544"/>
      <c r="L8" s="544"/>
      <c r="M8" s="9"/>
      <c r="N8" s="698"/>
      <c r="O8" s="584" t="s">
        <v>698</v>
      </c>
      <c r="P8" s="549"/>
      <c r="Q8" s="645"/>
      <c r="R8" s="536"/>
      <c r="S8" s="645"/>
      <c r="T8" s="536"/>
      <c r="U8" s="645"/>
      <c r="V8" s="536"/>
      <c r="W8" s="645"/>
      <c r="X8" s="549"/>
      <c r="Y8" s="645"/>
      <c r="Z8" s="536"/>
      <c r="AA8" s="645"/>
      <c r="AB8" s="536"/>
      <c r="AC8" s="645"/>
      <c r="AD8" s="549"/>
      <c r="AE8" s="647"/>
      <c r="AF8" s="549"/>
      <c r="AG8" s="647"/>
    </row>
    <row r="9" spans="1:33" x14ac:dyDescent="0.25">
      <c r="A9" s="696"/>
      <c r="B9" s="552" t="s">
        <v>0</v>
      </c>
      <c r="C9" s="579"/>
      <c r="D9" s="535"/>
      <c r="E9" s="535"/>
      <c r="F9" s="535"/>
      <c r="G9" s="535"/>
      <c r="H9" s="535"/>
      <c r="I9" s="535"/>
      <c r="J9" s="535"/>
      <c r="K9" s="535"/>
      <c r="L9" s="535"/>
      <c r="M9" s="9"/>
      <c r="N9" s="698"/>
      <c r="O9" s="584" t="s">
        <v>0</v>
      </c>
      <c r="P9" s="550"/>
      <c r="Q9" s="646"/>
      <c r="R9" s="537"/>
      <c r="S9" s="646"/>
      <c r="T9" s="537"/>
      <c r="U9" s="646"/>
      <c r="V9" s="537"/>
      <c r="W9" s="646"/>
      <c r="X9" s="550"/>
      <c r="Y9" s="646"/>
      <c r="Z9" s="537"/>
      <c r="AA9" s="537"/>
      <c r="AB9" s="537"/>
      <c r="AC9" s="537"/>
      <c r="AD9" s="550" t="e">
        <f>J9/$J$1</f>
        <v>#DIV/0!</v>
      </c>
      <c r="AE9" s="649" t="e">
        <f>1/J9</f>
        <v>#DIV/0!</v>
      </c>
      <c r="AF9" s="550">
        <f>K9/$K$1</f>
        <v>0</v>
      </c>
      <c r="AG9" s="649" t="e">
        <f>1/K9</f>
        <v>#DIV/0!</v>
      </c>
    </row>
    <row r="10" spans="1:33" x14ac:dyDescent="0.25">
      <c r="A10" s="697" t="s">
        <v>728</v>
      </c>
      <c r="B10" s="541" t="s">
        <v>680</v>
      </c>
      <c r="C10" s="583">
        <v>4.0980247552447779E-2</v>
      </c>
      <c r="D10" s="557">
        <v>7.0304873926074096E-2</v>
      </c>
      <c r="E10" s="557">
        <v>4.0579372027972196E-2</v>
      </c>
      <c r="F10" s="557"/>
      <c r="G10" s="557"/>
      <c r="H10" s="557"/>
      <c r="I10" s="557"/>
      <c r="J10" s="557">
        <v>0</v>
      </c>
      <c r="K10" s="557">
        <v>3.0871978021978067E-2</v>
      </c>
      <c r="L10" s="557"/>
      <c r="M10" s="9"/>
      <c r="N10" s="699" t="s">
        <v>728</v>
      </c>
      <c r="O10" s="585" t="s">
        <v>680</v>
      </c>
      <c r="P10" s="549">
        <f>C10/$C$1</f>
        <v>0.53540241736066307</v>
      </c>
      <c r="Q10" s="644">
        <f>1/C10</f>
        <v>24.40199998109258</v>
      </c>
      <c r="R10" s="548">
        <f>D10/$D$1</f>
        <v>0.73875192766788012</v>
      </c>
      <c r="S10" s="644">
        <f>1/D10</f>
        <v>14.223764927755999</v>
      </c>
      <c r="T10" s="548">
        <f>E10/$E$1</f>
        <v>0.40118420632996138</v>
      </c>
      <c r="U10" s="644">
        <f>1/E10</f>
        <v>24.643062472989463</v>
      </c>
      <c r="V10" s="536"/>
      <c r="W10" s="645"/>
      <c r="X10" s="549"/>
      <c r="Y10" s="645"/>
      <c r="Z10" s="536"/>
      <c r="AA10" s="536"/>
      <c r="AB10" s="536"/>
      <c r="AC10" s="536"/>
      <c r="AD10" s="549"/>
      <c r="AE10" s="536"/>
      <c r="AF10" s="536">
        <f>K10/K1</f>
        <v>0.85228433885796195</v>
      </c>
      <c r="AG10" s="645"/>
    </row>
    <row r="11" spans="1:33" x14ac:dyDescent="0.25">
      <c r="A11" s="696"/>
      <c r="B11" s="540" t="s">
        <v>679</v>
      </c>
      <c r="C11" s="578"/>
      <c r="D11" s="544"/>
      <c r="E11" s="544"/>
      <c r="F11" s="544">
        <v>5.1022557865187314E-2</v>
      </c>
      <c r="G11" s="544"/>
      <c r="H11" s="544"/>
      <c r="I11" s="544"/>
      <c r="J11" s="544"/>
      <c r="K11" s="544"/>
      <c r="L11" s="544"/>
      <c r="M11" s="9"/>
      <c r="N11" s="698"/>
      <c r="O11" s="584" t="s">
        <v>679</v>
      </c>
      <c r="P11" s="549"/>
      <c r="Q11" s="645"/>
      <c r="R11" s="536"/>
      <c r="S11" s="645"/>
      <c r="T11" s="536"/>
      <c r="U11" s="645"/>
      <c r="V11" s="536">
        <f>F11/F1</f>
        <v>0.97098955822045196</v>
      </c>
      <c r="W11" s="645">
        <f>1/F11</f>
        <v>19.599174205303804</v>
      </c>
      <c r="X11" s="549"/>
      <c r="Y11" s="645"/>
      <c r="Z11" s="536"/>
      <c r="AA11" s="536"/>
      <c r="AB11" s="536"/>
      <c r="AC11" s="536"/>
      <c r="AD11" s="549"/>
      <c r="AE11" s="536"/>
      <c r="AF11" s="536"/>
      <c r="AG11" s="645"/>
    </row>
    <row r="12" spans="1:33" x14ac:dyDescent="0.25">
      <c r="A12" s="696"/>
      <c r="B12" s="540" t="s">
        <v>731</v>
      </c>
      <c r="C12" s="578"/>
      <c r="D12" s="544"/>
      <c r="E12" s="544"/>
      <c r="F12" s="544"/>
      <c r="G12" s="544">
        <v>4.2215952380952187E-2</v>
      </c>
      <c r="H12" s="544">
        <v>6.617364468864452E-2</v>
      </c>
      <c r="I12" s="544">
        <v>0</v>
      </c>
      <c r="J12" s="544"/>
      <c r="K12" s="544"/>
      <c r="L12" s="544"/>
      <c r="M12" s="9"/>
      <c r="N12" s="698"/>
      <c r="O12" s="584" t="s">
        <v>731</v>
      </c>
      <c r="P12" s="549"/>
      <c r="Q12" s="645"/>
      <c r="R12" s="536"/>
      <c r="S12" s="645"/>
      <c r="T12" s="536"/>
      <c r="U12" s="645"/>
      <c r="V12" s="536"/>
      <c r="W12" s="645"/>
      <c r="X12" s="549">
        <f t="shared" ref="X12:X13" si="7">G12/$G$1</f>
        <v>0.80811713773484284</v>
      </c>
      <c r="Y12" s="645">
        <f t="shared" ref="Y12:Y13" si="8">1/G12</f>
        <v>23.687728064881924</v>
      </c>
      <c r="Z12" s="536">
        <f t="shared" ref="Z12:Z13" si="9">H12/$H$1</f>
        <v>0.82535281728427801</v>
      </c>
      <c r="AA12" s="645">
        <f t="shared" ref="AA12:AA13" si="10">1/H12</f>
        <v>15.111756420628305</v>
      </c>
      <c r="AB12" s="536">
        <f t="shared" ref="AB12:AB13" si="11">I12/$I$1</f>
        <v>0</v>
      </c>
      <c r="AC12" s="645"/>
      <c r="AD12" s="549"/>
      <c r="AE12" s="536"/>
      <c r="AF12" s="536"/>
      <c r="AG12" s="645"/>
    </row>
    <row r="13" spans="1:33" x14ac:dyDescent="0.25">
      <c r="A13" s="696"/>
      <c r="B13" s="540" t="s">
        <v>732</v>
      </c>
      <c r="C13" s="578"/>
      <c r="D13" s="544"/>
      <c r="E13" s="544"/>
      <c r="F13" s="544"/>
      <c r="G13" s="544">
        <v>3.8151785714285652E-2</v>
      </c>
      <c r="H13" s="544">
        <v>3.8776785714285687E-2</v>
      </c>
      <c r="I13" s="544">
        <v>5.7961761904761842E-2</v>
      </c>
      <c r="J13" s="544"/>
      <c r="K13" s="544"/>
      <c r="L13" s="544"/>
      <c r="M13" s="9"/>
      <c r="N13" s="698"/>
      <c r="O13" s="584" t="s">
        <v>732</v>
      </c>
      <c r="P13" s="549"/>
      <c r="Q13" s="645"/>
      <c r="R13" s="536"/>
      <c r="S13" s="645"/>
      <c r="T13" s="536"/>
      <c r="U13" s="645"/>
      <c r="V13" s="536"/>
      <c r="W13" s="645"/>
      <c r="X13" s="549">
        <f t="shared" si="7"/>
        <v>0.73031899393586974</v>
      </c>
      <c r="Y13" s="645">
        <f t="shared" si="8"/>
        <v>26.211092908963302</v>
      </c>
      <c r="Z13" s="536">
        <f t="shared" si="9"/>
        <v>0.48364465166003551</v>
      </c>
      <c r="AA13" s="645">
        <f t="shared" si="10"/>
        <v>25.788625374165342</v>
      </c>
      <c r="AB13" s="536">
        <f t="shared" si="11"/>
        <v>1</v>
      </c>
      <c r="AC13" s="645">
        <f t="shared" ref="AC13" si="12">1/I13</f>
        <v>17.252753662718543</v>
      </c>
      <c r="AD13" s="549"/>
      <c r="AE13" s="536"/>
      <c r="AF13" s="536"/>
      <c r="AG13" s="645"/>
    </row>
    <row r="14" spans="1:33" x14ac:dyDescent="0.25">
      <c r="A14" s="696"/>
      <c r="B14" s="540" t="s">
        <v>698</v>
      </c>
      <c r="C14" s="578"/>
      <c r="D14" s="544"/>
      <c r="E14" s="544"/>
      <c r="F14" s="544"/>
      <c r="G14" s="544"/>
      <c r="H14" s="544"/>
      <c r="I14" s="544"/>
      <c r="J14" s="544"/>
      <c r="K14" s="544"/>
      <c r="L14" s="544"/>
      <c r="M14" s="9"/>
      <c r="N14" s="698"/>
      <c r="O14" s="584" t="s">
        <v>698</v>
      </c>
      <c r="P14" s="549"/>
      <c r="Q14" s="645"/>
      <c r="R14" s="536"/>
      <c r="S14" s="645"/>
      <c r="T14" s="536"/>
      <c r="U14" s="645"/>
      <c r="V14" s="536"/>
      <c r="W14" s="645"/>
      <c r="X14" s="549"/>
      <c r="Y14" s="645"/>
      <c r="Z14" s="536"/>
      <c r="AA14" s="645"/>
      <c r="AB14" s="536"/>
      <c r="AC14" s="645"/>
      <c r="AD14" s="549"/>
      <c r="AE14" s="647"/>
      <c r="AF14" s="549"/>
      <c r="AG14" s="647"/>
    </row>
    <row r="15" spans="1:33" x14ac:dyDescent="0.25">
      <c r="A15" s="696"/>
      <c r="B15" s="552" t="s">
        <v>0</v>
      </c>
      <c r="C15" s="579"/>
      <c r="D15" s="535"/>
      <c r="E15" s="535"/>
      <c r="F15" s="535"/>
      <c r="G15" s="535"/>
      <c r="H15" s="535"/>
      <c r="I15" s="535"/>
      <c r="J15" s="535"/>
      <c r="K15" s="535"/>
      <c r="L15" s="535"/>
      <c r="M15" s="9"/>
      <c r="N15" s="698"/>
      <c r="O15" s="584" t="s">
        <v>0</v>
      </c>
      <c r="P15" s="550"/>
      <c r="Q15" s="646"/>
      <c r="R15" s="537"/>
      <c r="S15" s="646"/>
      <c r="T15" s="537"/>
      <c r="U15" s="646"/>
      <c r="V15" s="537"/>
      <c r="W15" s="646"/>
      <c r="X15" s="550"/>
      <c r="Y15" s="646"/>
      <c r="Z15" s="537"/>
      <c r="AA15" s="537"/>
      <c r="AB15" s="537"/>
      <c r="AC15" s="537"/>
      <c r="AD15" s="550" t="e">
        <f>J15/$J$1</f>
        <v>#DIV/0!</v>
      </c>
      <c r="AE15" s="649" t="e">
        <f>1/J15</f>
        <v>#DIV/0!</v>
      </c>
      <c r="AF15" s="550">
        <f>K15/$K$1</f>
        <v>0</v>
      </c>
      <c r="AG15" s="649" t="e">
        <f>1/K15</f>
        <v>#DIV/0!</v>
      </c>
    </row>
    <row r="16" spans="1:33" x14ac:dyDescent="0.25">
      <c r="A16" s="697" t="s">
        <v>729</v>
      </c>
      <c r="B16" s="541" t="s">
        <v>680</v>
      </c>
      <c r="C16" s="578">
        <v>5.8181020779221264E-2</v>
      </c>
      <c r="D16" s="544">
        <v>7.6807093706293558E-2</v>
      </c>
      <c r="E16" s="544">
        <v>6.6148976923077044E-2</v>
      </c>
      <c r="F16" s="544"/>
      <c r="G16" s="544"/>
      <c r="H16" s="544"/>
      <c r="I16" s="544"/>
      <c r="J16" s="544">
        <v>0</v>
      </c>
      <c r="K16" s="544">
        <v>2.9990859140859215E-2</v>
      </c>
      <c r="L16" s="544">
        <v>4.1477272727272974E-2</v>
      </c>
      <c r="M16" s="9"/>
      <c r="N16" s="699" t="s">
        <v>729</v>
      </c>
      <c r="O16" s="585" t="s">
        <v>680</v>
      </c>
      <c r="P16" s="549">
        <f>C16/$C$1</f>
        <v>0.76012862367019574</v>
      </c>
      <c r="Q16" s="644">
        <f>1/C16</f>
        <v>17.18773556405424</v>
      </c>
      <c r="R16" s="548">
        <f>D16/$D$1</f>
        <v>0.80707617218339234</v>
      </c>
      <c r="S16" s="644">
        <f>1/D16</f>
        <v>13.019630762543228</v>
      </c>
      <c r="T16" s="548">
        <f>E16/$E$1</f>
        <v>0.65397573890819349</v>
      </c>
      <c r="U16" s="644">
        <f>1/E16</f>
        <v>15.117391780115881</v>
      </c>
      <c r="V16" s="536"/>
      <c r="W16" s="645"/>
      <c r="X16" s="536"/>
      <c r="Y16" s="645"/>
      <c r="Z16" s="536"/>
      <c r="AA16" s="536"/>
      <c r="AB16" s="536"/>
      <c r="AC16" s="536"/>
      <c r="AD16" s="536"/>
      <c r="AE16" s="536"/>
      <c r="AF16" s="536">
        <f>K16/K1</f>
        <v>0.827959243053766</v>
      </c>
      <c r="AG16" s="645"/>
    </row>
    <row r="17" spans="1:33" x14ac:dyDescent="0.25">
      <c r="A17" s="696"/>
      <c r="B17" s="540" t="s">
        <v>679</v>
      </c>
      <c r="C17" s="578"/>
      <c r="D17" s="544"/>
      <c r="E17" s="544"/>
      <c r="F17" s="544">
        <v>4.2273232055429683E-2</v>
      </c>
      <c r="G17" s="544"/>
      <c r="H17" s="544"/>
      <c r="I17" s="544"/>
      <c r="J17" s="544"/>
      <c r="K17" s="544"/>
      <c r="L17" s="544"/>
      <c r="M17" s="9"/>
      <c r="N17" s="698"/>
      <c r="O17" s="584" t="s">
        <v>679</v>
      </c>
      <c r="P17" s="549"/>
      <c r="Q17" s="645"/>
      <c r="R17" s="536"/>
      <c r="S17" s="645"/>
      <c r="T17" s="536"/>
      <c r="U17" s="645"/>
      <c r="V17" s="536">
        <f>F17/F1</f>
        <v>0.80448469530882905</v>
      </c>
      <c r="W17" s="645">
        <f>1/F17</f>
        <v>23.655631504323487</v>
      </c>
      <c r="X17" s="536"/>
      <c r="Y17" s="645"/>
      <c r="Z17" s="536"/>
      <c r="AA17" s="536"/>
      <c r="AB17" s="536"/>
      <c r="AC17" s="536"/>
      <c r="AD17" s="536"/>
      <c r="AE17" s="536"/>
      <c r="AF17" s="536"/>
      <c r="AG17" s="645"/>
    </row>
    <row r="18" spans="1:33" x14ac:dyDescent="0.25">
      <c r="A18" s="696"/>
      <c r="B18" s="540" t="s">
        <v>731</v>
      </c>
      <c r="C18" s="578"/>
      <c r="D18" s="544"/>
      <c r="E18" s="544"/>
      <c r="F18" s="544"/>
      <c r="G18" s="544">
        <v>5.2239892473118138E-2</v>
      </c>
      <c r="H18" s="544">
        <v>8.0176190476190248E-2</v>
      </c>
      <c r="I18" s="544">
        <v>0</v>
      </c>
      <c r="J18" s="544"/>
      <c r="K18" s="544"/>
      <c r="L18" s="544"/>
      <c r="M18" s="9"/>
      <c r="N18" s="698"/>
      <c r="O18" s="584" t="s">
        <v>731</v>
      </c>
      <c r="P18" s="549"/>
      <c r="Q18" s="645"/>
      <c r="R18" s="536"/>
      <c r="S18" s="645"/>
      <c r="T18" s="536"/>
      <c r="U18" s="645"/>
      <c r="V18" s="536"/>
      <c r="W18" s="645"/>
      <c r="X18" s="536">
        <f t="shared" ref="X18:X19" si="13">G18/$G$1</f>
        <v>1</v>
      </c>
      <c r="Y18" s="645">
        <f t="shared" ref="Y18:Y19" si="14">1/G18</f>
        <v>19.142459003233686</v>
      </c>
      <c r="Z18" s="536">
        <f t="shared" ref="Z18:Z19" si="15">H18/$H$1</f>
        <v>1</v>
      </c>
      <c r="AA18" s="645">
        <f t="shared" ref="AA18:AA19" si="16">1/H18</f>
        <v>12.472530735879349</v>
      </c>
      <c r="AB18" s="536">
        <f t="shared" ref="AB18:AB19" si="17">I18/$I$1</f>
        <v>0</v>
      </c>
      <c r="AC18" s="645"/>
      <c r="AD18" s="536"/>
      <c r="AE18" s="536"/>
      <c r="AF18" s="536"/>
      <c r="AG18" s="645"/>
    </row>
    <row r="19" spans="1:33" x14ac:dyDescent="0.25">
      <c r="A19" s="696"/>
      <c r="B19" s="540" t="s">
        <v>732</v>
      </c>
      <c r="C19" s="578"/>
      <c r="D19" s="544"/>
      <c r="E19" s="544"/>
      <c r="F19" s="544"/>
      <c r="G19" s="544">
        <v>2.5968749999999961E-2</v>
      </c>
      <c r="H19" s="544">
        <v>2.5281249999999998E-2</v>
      </c>
      <c r="I19" s="544">
        <v>3.0639083333333313E-2</v>
      </c>
      <c r="J19" s="544"/>
      <c r="K19" s="544"/>
      <c r="L19" s="544">
        <v>0.1339285714285714</v>
      </c>
      <c r="M19" s="655">
        <f>1/L19</f>
        <v>7.4666666666666686</v>
      </c>
      <c r="N19" s="698"/>
      <c r="O19" s="584" t="s">
        <v>732</v>
      </c>
      <c r="P19" s="549"/>
      <c r="Q19" s="645"/>
      <c r="R19" s="536"/>
      <c r="S19" s="645"/>
      <c r="T19" s="536"/>
      <c r="U19" s="645"/>
      <c r="V19" s="536"/>
      <c r="W19" s="645"/>
      <c r="X19" s="536">
        <f t="shared" si="13"/>
        <v>0.49710573224022403</v>
      </c>
      <c r="Y19" s="645">
        <f t="shared" si="14"/>
        <v>38.507821901323766</v>
      </c>
      <c r="Z19" s="536">
        <f t="shared" si="15"/>
        <v>0.31532116766644974</v>
      </c>
      <c r="AA19" s="645">
        <f t="shared" si="16"/>
        <v>39.555006180469718</v>
      </c>
      <c r="AB19" s="536">
        <f t="shared" si="17"/>
        <v>0.52860855720150501</v>
      </c>
      <c r="AC19" s="645">
        <f t="shared" ref="AC19" si="18">1/I19</f>
        <v>32.63805216104705</v>
      </c>
      <c r="AD19" s="536"/>
      <c r="AE19" s="536"/>
      <c r="AF19" s="536"/>
      <c r="AG19" s="645"/>
    </row>
    <row r="20" spans="1:33" x14ac:dyDescent="0.25">
      <c r="A20" s="696"/>
      <c r="B20" s="540" t="s">
        <v>698</v>
      </c>
      <c r="C20" s="578"/>
      <c r="D20" s="544"/>
      <c r="E20" s="544"/>
      <c r="F20" s="544"/>
      <c r="G20" s="544"/>
      <c r="H20" s="544"/>
      <c r="I20" s="544"/>
      <c r="J20" s="544"/>
      <c r="K20" s="544"/>
      <c r="L20" s="544"/>
      <c r="M20" s="9"/>
      <c r="N20" s="698"/>
      <c r="O20" s="584" t="s">
        <v>698</v>
      </c>
      <c r="P20" s="549"/>
      <c r="Q20" s="645"/>
      <c r="R20" s="536"/>
      <c r="S20" s="645"/>
      <c r="T20" s="536"/>
      <c r="U20" s="645"/>
      <c r="V20" s="536"/>
      <c r="W20" s="645"/>
      <c r="X20" s="536"/>
      <c r="Y20" s="645"/>
      <c r="Z20" s="536"/>
      <c r="AA20" s="645"/>
      <c r="AB20" s="536"/>
      <c r="AC20" s="645"/>
      <c r="AD20" s="536"/>
      <c r="AE20" s="647"/>
      <c r="AF20" s="549"/>
      <c r="AG20" s="647"/>
    </row>
    <row r="21" spans="1:33" x14ac:dyDescent="0.25">
      <c r="A21" s="696"/>
      <c r="B21" s="552" t="s">
        <v>0</v>
      </c>
      <c r="C21" s="578"/>
      <c r="D21" s="544"/>
      <c r="E21" s="544"/>
      <c r="F21" s="544"/>
      <c r="G21" s="544"/>
      <c r="H21" s="544"/>
      <c r="I21" s="544"/>
      <c r="J21" s="544"/>
      <c r="K21" s="544"/>
      <c r="L21" s="544"/>
      <c r="M21" s="9"/>
      <c r="N21" s="698"/>
      <c r="O21" s="584" t="s">
        <v>0</v>
      </c>
      <c r="P21" s="550"/>
      <c r="Q21" s="646"/>
      <c r="R21" s="537"/>
      <c r="S21" s="646"/>
      <c r="T21" s="537"/>
      <c r="U21" s="646"/>
      <c r="V21" s="537"/>
      <c r="W21" s="646"/>
      <c r="X21" s="537"/>
      <c r="Y21" s="646"/>
      <c r="Z21" s="537"/>
      <c r="AA21" s="537"/>
      <c r="AB21" s="537"/>
      <c r="AC21" s="536"/>
      <c r="AD21" s="536" t="e">
        <f>J21/$J$1</f>
        <v>#DIV/0!</v>
      </c>
      <c r="AE21" s="649" t="e">
        <f>1/J21</f>
        <v>#DIV/0!</v>
      </c>
      <c r="AF21" s="550">
        <f>K21/$K$1</f>
        <v>0</v>
      </c>
      <c r="AG21" s="649" t="e">
        <f>1/K21</f>
        <v>#DIV/0!</v>
      </c>
    </row>
    <row r="22" spans="1:33" x14ac:dyDescent="0.25">
      <c r="A22" s="697" t="s">
        <v>730</v>
      </c>
      <c r="B22" s="555" t="s">
        <v>680</v>
      </c>
      <c r="C22" s="583">
        <v>7.6541020779221203E-2</v>
      </c>
      <c r="D22" s="557">
        <v>9.516709370629349E-2</v>
      </c>
      <c r="E22" s="557">
        <v>0.10114897692307692</v>
      </c>
      <c r="F22" s="557"/>
      <c r="G22" s="557"/>
      <c r="H22" s="557"/>
      <c r="I22" s="557"/>
      <c r="J22" s="557">
        <v>0</v>
      </c>
      <c r="K22" s="557">
        <v>3.3705144855144913E-2</v>
      </c>
      <c r="L22" s="557">
        <v>5.9334415584415767E-2</v>
      </c>
      <c r="M22" s="9"/>
      <c r="N22" s="699" t="s">
        <v>730</v>
      </c>
      <c r="O22" s="585" t="s">
        <v>680</v>
      </c>
      <c r="P22" s="549">
        <f>C22/$C$1</f>
        <v>1</v>
      </c>
      <c r="Q22" s="644">
        <f>1/C22</f>
        <v>13.064889778311823</v>
      </c>
      <c r="R22" s="548">
        <f>D22/$D$1</f>
        <v>1</v>
      </c>
      <c r="S22" s="644">
        <f>1/D22</f>
        <v>10.507833759074531</v>
      </c>
      <c r="T22" s="548">
        <f>E22/$E$1</f>
        <v>1</v>
      </c>
      <c r="U22" s="651">
        <f>1/E22</f>
        <v>9.8864074597659339</v>
      </c>
      <c r="V22" s="639"/>
      <c r="W22" s="648"/>
      <c r="X22" s="549"/>
      <c r="Y22" s="645"/>
      <c r="Z22" s="536"/>
      <c r="AA22" s="536"/>
      <c r="AB22" s="549"/>
      <c r="AC22" s="547"/>
      <c r="AD22" s="547"/>
      <c r="AE22" s="536"/>
      <c r="AF22" s="536">
        <f>K22/K1</f>
        <v>0.93049972627372424</v>
      </c>
      <c r="AG22" s="645"/>
    </row>
    <row r="23" spans="1:33" x14ac:dyDescent="0.25">
      <c r="A23" s="696"/>
      <c r="B23" s="556" t="s">
        <v>679</v>
      </c>
      <c r="C23" s="578"/>
      <c r="D23" s="544"/>
      <c r="E23" s="544"/>
      <c r="F23" s="544">
        <v>4.3797642829840472E-2</v>
      </c>
      <c r="G23" s="544"/>
      <c r="H23" s="544"/>
      <c r="I23" s="544"/>
      <c r="J23" s="544"/>
      <c r="K23" s="544"/>
      <c r="L23" s="544"/>
      <c r="M23" s="9"/>
      <c r="N23" s="698"/>
      <c r="O23" s="584" t="s">
        <v>679</v>
      </c>
      <c r="P23" s="549"/>
      <c r="Q23" s="645"/>
      <c r="R23" s="536"/>
      <c r="S23" s="645"/>
      <c r="T23" s="536"/>
      <c r="U23" s="652"/>
      <c r="V23" s="640">
        <f>F23/F1</f>
        <v>0.83349513708837697</v>
      </c>
      <c r="W23" s="647">
        <f>1/F23</f>
        <v>22.832278985541066</v>
      </c>
      <c r="X23" s="549"/>
      <c r="Y23" s="645"/>
      <c r="Z23" s="536"/>
      <c r="AA23" s="536"/>
      <c r="AB23" s="549"/>
      <c r="AC23" s="549"/>
      <c r="AD23" s="549"/>
      <c r="AE23" s="536"/>
      <c r="AF23" s="536"/>
      <c r="AG23" s="645"/>
    </row>
    <row r="24" spans="1:33" x14ac:dyDescent="0.25">
      <c r="A24" s="696"/>
      <c r="B24" s="556" t="s">
        <v>731</v>
      </c>
      <c r="C24" s="578"/>
      <c r="D24" s="544"/>
      <c r="E24" s="544"/>
      <c r="F24" s="544"/>
      <c r="G24" s="544">
        <v>4.8379892473118219E-2</v>
      </c>
      <c r="H24" s="544">
        <v>7.5159999999999741E-2</v>
      </c>
      <c r="I24" s="544">
        <v>0</v>
      </c>
      <c r="J24" s="544"/>
      <c r="K24" s="544"/>
      <c r="L24" s="544"/>
      <c r="M24" s="9"/>
      <c r="N24" s="698"/>
      <c r="O24" s="584" t="s">
        <v>731</v>
      </c>
      <c r="P24" s="549"/>
      <c r="Q24" s="645"/>
      <c r="R24" s="536"/>
      <c r="S24" s="645"/>
      <c r="T24" s="536"/>
      <c r="U24" s="652"/>
      <c r="V24" s="640"/>
      <c r="W24" s="647"/>
      <c r="X24" s="549">
        <f t="shared" ref="X24:X25" si="19">G24/$G$1</f>
        <v>0.92611010824751949</v>
      </c>
      <c r="Y24" s="645">
        <f t="shared" ref="Y24:Y25" si="20">1/G24</f>
        <v>20.669744161908575</v>
      </c>
      <c r="Z24" s="536">
        <f t="shared" ref="Z24:Z25" si="21">H24/$H$1</f>
        <v>0.93743541010868858</v>
      </c>
      <c r="AA24" s="645">
        <f t="shared" ref="AA24:AA25" si="22">1/H24</f>
        <v>13.30494944119217</v>
      </c>
      <c r="AB24" s="536">
        <f t="shared" ref="AB24:AB25" si="23">I24/$I$1</f>
        <v>0</v>
      </c>
      <c r="AC24" s="647"/>
      <c r="AD24" s="549"/>
      <c r="AE24" s="536"/>
      <c r="AF24" s="536"/>
      <c r="AG24" s="645"/>
    </row>
    <row r="25" spans="1:33" x14ac:dyDescent="0.25">
      <c r="A25" s="696"/>
      <c r="B25" s="556" t="s">
        <v>732</v>
      </c>
      <c r="C25" s="578"/>
      <c r="D25" s="544"/>
      <c r="E25" s="544"/>
      <c r="F25" s="544"/>
      <c r="G25" s="544">
        <v>2.3874999999999962E-2</v>
      </c>
      <c r="H25" s="544">
        <v>2.31875E-2</v>
      </c>
      <c r="I25" s="544">
        <v>2.7005333333333312E-2</v>
      </c>
      <c r="J25" s="544"/>
      <c r="K25" s="544"/>
      <c r="L25" s="544">
        <v>0.16964285714285698</v>
      </c>
      <c r="M25" s="655">
        <f>1/L25</f>
        <v>5.894736842105269</v>
      </c>
      <c r="N25" s="698"/>
      <c r="O25" s="584" t="s">
        <v>732</v>
      </c>
      <c r="P25" s="549"/>
      <c r="Q25" s="645"/>
      <c r="R25" s="536"/>
      <c r="S25" s="645"/>
      <c r="T25" s="536"/>
      <c r="U25" s="652"/>
      <c r="V25" s="640"/>
      <c r="W25" s="647"/>
      <c r="X25" s="549">
        <f t="shared" si="19"/>
        <v>0.45702620870220356</v>
      </c>
      <c r="Y25" s="645">
        <f t="shared" si="20"/>
        <v>41.884816753926771</v>
      </c>
      <c r="Z25" s="536">
        <f t="shared" si="21"/>
        <v>0.2892068064382024</v>
      </c>
      <c r="AA25" s="645">
        <f t="shared" si="22"/>
        <v>43.126684636118597</v>
      </c>
      <c r="AB25" s="536">
        <f t="shared" si="23"/>
        <v>0.46591636357960148</v>
      </c>
      <c r="AC25" s="647">
        <f t="shared" ref="AC25" si="24">1/I25</f>
        <v>37.029722523945914</v>
      </c>
      <c r="AD25" s="549"/>
      <c r="AE25" s="536"/>
      <c r="AF25" s="536"/>
      <c r="AG25" s="645"/>
    </row>
    <row r="26" spans="1:33" x14ac:dyDescent="0.25">
      <c r="A26" s="696"/>
      <c r="B26" s="556" t="s">
        <v>698</v>
      </c>
      <c r="C26" s="578"/>
      <c r="D26" s="544"/>
      <c r="E26" s="544"/>
      <c r="F26" s="544"/>
      <c r="G26" s="544"/>
      <c r="H26" s="544"/>
      <c r="I26" s="544"/>
      <c r="J26" s="544"/>
      <c r="K26" s="544"/>
      <c r="L26" s="544"/>
      <c r="M26" s="9"/>
      <c r="N26" s="698"/>
      <c r="O26" s="584" t="s">
        <v>698</v>
      </c>
      <c r="P26" s="549"/>
      <c r="Q26" s="645"/>
      <c r="R26" s="536"/>
      <c r="S26" s="645"/>
      <c r="T26" s="536"/>
      <c r="U26" s="652"/>
      <c r="V26" s="640"/>
      <c r="W26" s="549"/>
      <c r="X26" s="549"/>
      <c r="Y26" s="645"/>
      <c r="Z26" s="536"/>
      <c r="AA26" s="645"/>
      <c r="AB26" s="536"/>
      <c r="AC26" s="647"/>
      <c r="AD26" s="549"/>
      <c r="AE26" s="647"/>
      <c r="AF26" s="549"/>
      <c r="AG26" s="647"/>
    </row>
    <row r="27" spans="1:33" x14ac:dyDescent="0.25">
      <c r="A27" s="696"/>
      <c r="B27" s="552" t="s">
        <v>0</v>
      </c>
      <c r="C27" s="579"/>
      <c r="D27" s="535"/>
      <c r="E27" s="535"/>
      <c r="F27" s="535"/>
      <c r="G27" s="535"/>
      <c r="H27" s="535"/>
      <c r="I27" s="535"/>
      <c r="J27" s="535"/>
      <c r="K27" s="535"/>
      <c r="L27" s="535"/>
      <c r="M27" s="9"/>
      <c r="N27" s="698"/>
      <c r="O27" s="584" t="s">
        <v>0</v>
      </c>
      <c r="P27" s="550"/>
      <c r="Q27" s="646"/>
      <c r="R27" s="537"/>
      <c r="S27" s="646"/>
      <c r="T27" s="537"/>
      <c r="U27" s="653"/>
      <c r="V27" s="641"/>
      <c r="W27" s="550"/>
      <c r="X27" s="550"/>
      <c r="Y27" s="646"/>
      <c r="Z27" s="537"/>
      <c r="AA27" s="537"/>
      <c r="AB27" s="550"/>
      <c r="AC27" s="550"/>
      <c r="AD27" s="550" t="e">
        <f>J27/$J$1</f>
        <v>#DIV/0!</v>
      </c>
      <c r="AE27" s="649" t="e">
        <f>1/J27</f>
        <v>#DIV/0!</v>
      </c>
      <c r="AF27" s="550">
        <f>K27/$K$1</f>
        <v>0</v>
      </c>
      <c r="AG27" s="649" t="e">
        <f>1/K27</f>
        <v>#DIV/0!</v>
      </c>
    </row>
    <row r="28" spans="1:33" x14ac:dyDescent="0.25">
      <c r="Q28" s="471"/>
      <c r="S28" s="471"/>
      <c r="U28" s="471"/>
      <c r="AD28" s="9"/>
      <c r="AE28" s="9"/>
      <c r="AF28" s="9"/>
      <c r="AG28" s="9"/>
    </row>
    <row r="29" spans="1:33" x14ac:dyDescent="0.25">
      <c r="Q29" s="471"/>
      <c r="S29" s="471"/>
      <c r="U29" s="471"/>
    </row>
    <row r="30" spans="1:33" x14ac:dyDescent="0.25">
      <c r="B30" s="538" t="s">
        <v>716</v>
      </c>
      <c r="H30" s="634"/>
      <c r="I30" s="634"/>
      <c r="Q30" s="471"/>
      <c r="S30" s="471"/>
      <c r="U30" s="471"/>
    </row>
    <row r="31" spans="1:33" x14ac:dyDescent="0.25">
      <c r="B31" s="539">
        <v>42724</v>
      </c>
      <c r="G31" s="634"/>
      <c r="H31" s="634"/>
      <c r="I31" s="634"/>
      <c r="Q31" s="471"/>
      <c r="S31" s="471"/>
    </row>
    <row r="32" spans="1:33" x14ac:dyDescent="0.25">
      <c r="G32" s="634"/>
      <c r="H32" s="634"/>
      <c r="I32" s="634"/>
      <c r="Q32" s="471"/>
    </row>
    <row r="33" spans="17:17" x14ac:dyDescent="0.25">
      <c r="Q33" s="471"/>
    </row>
    <row r="34" spans="17:17" x14ac:dyDescent="0.25">
      <c r="Q34" s="471"/>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3" t="s">
        <v>276</v>
      </c>
      <c r="C2" s="493" t="s">
        <v>179</v>
      </c>
      <c r="D2" s="493" t="s">
        <v>690</v>
      </c>
      <c r="E2" s="493" t="s">
        <v>1</v>
      </c>
      <c r="F2" s="493" t="s">
        <v>2</v>
      </c>
      <c r="G2" s="493" t="s">
        <v>697</v>
      </c>
      <c r="H2" s="493" t="s">
        <v>65</v>
      </c>
      <c r="I2" s="493" t="s">
        <v>578</v>
      </c>
      <c r="J2" s="493" t="s">
        <v>698</v>
      </c>
      <c r="K2" s="493" t="s">
        <v>0</v>
      </c>
      <c r="M2" s="595">
        <v>352</v>
      </c>
      <c r="N2" s="444" t="s">
        <v>807</v>
      </c>
      <c r="O2" s="48" t="s">
        <v>701</v>
      </c>
      <c r="P2" s="48" t="s">
        <v>808</v>
      </c>
      <c r="Q2" s="48" t="s">
        <v>701</v>
      </c>
      <c r="R2" s="48" t="s">
        <v>64</v>
      </c>
      <c r="S2" s="48" t="s">
        <v>703</v>
      </c>
      <c r="T2" s="48" t="s">
        <v>704</v>
      </c>
      <c r="U2" s="48" t="s">
        <v>703</v>
      </c>
      <c r="V2" s="48" t="s">
        <v>565</v>
      </c>
      <c r="W2" s="48" t="s">
        <v>809</v>
      </c>
      <c r="X2" s="48" t="s">
        <v>810</v>
      </c>
    </row>
    <row r="3" spans="2:25" x14ac:dyDescent="0.25">
      <c r="B3" t="s">
        <v>1</v>
      </c>
      <c r="C3" t="str">
        <f>Evaluacion!A3</f>
        <v>D. Gehmacher</v>
      </c>
      <c r="D3" s="636"/>
      <c r="E3" s="265">
        <f>Evaluacion!K3</f>
        <v>16.666666666666668</v>
      </c>
      <c r="F3" s="265">
        <f>Evaluacion!L3</f>
        <v>12.080559440559444</v>
      </c>
      <c r="G3" s="265">
        <f>Evaluacion!M3</f>
        <v>2.0699999999999985</v>
      </c>
      <c r="H3" s="265">
        <f>Evaluacion!N3</f>
        <v>2.149999999999999</v>
      </c>
      <c r="I3" s="265">
        <f>Evaluacion!O3</f>
        <v>1.0400000000000003</v>
      </c>
      <c r="J3" s="265">
        <f>Evaluacion!P3</f>
        <v>0.14055555555555557</v>
      </c>
      <c r="K3" s="265">
        <f>Evaluacion!Q3</f>
        <v>17.949999999999996</v>
      </c>
      <c r="M3" t="s">
        <v>1</v>
      </c>
      <c r="N3" s="596">
        <v>1</v>
      </c>
      <c r="O3" s="597">
        <f>Evaluacion!X3</f>
        <v>15.632222297455513</v>
      </c>
      <c r="P3" s="597">
        <f>Evaluacion!Y3</f>
        <v>23.039796030728816</v>
      </c>
      <c r="Q3" s="597">
        <f>Evaluacion!Z3</f>
        <v>15.632222297455513</v>
      </c>
      <c r="R3" s="597">
        <v>0</v>
      </c>
      <c r="S3" s="597">
        <v>0</v>
      </c>
      <c r="T3" s="597">
        <v>0</v>
      </c>
      <c r="U3" s="597">
        <v>0</v>
      </c>
      <c r="V3" s="597">
        <v>0</v>
      </c>
      <c r="W3" s="597">
        <f>Evaluacion!T3</f>
        <v>0.54552777777777772</v>
      </c>
      <c r="X3" s="597">
        <f>Evaluacion!U3</f>
        <v>1.0217223776223776</v>
      </c>
      <c r="Y3" s="601"/>
    </row>
    <row r="4" spans="2:25" x14ac:dyDescent="0.25">
      <c r="B4" t="s">
        <v>803</v>
      </c>
      <c r="C4" t="str">
        <f>Evaluacion!A6</f>
        <v>E. Toney</v>
      </c>
      <c r="D4" s="636"/>
      <c r="E4" s="265">
        <f>Evaluacion!K6</f>
        <v>0</v>
      </c>
      <c r="F4" s="265">
        <f>Evaluacion!L6</f>
        <v>12.200000000000005</v>
      </c>
      <c r="G4" s="265">
        <f>Evaluacion!M6</f>
        <v>13.261555555555553</v>
      </c>
      <c r="H4" s="265">
        <f>Evaluacion!N6</f>
        <v>9.8750000000000053</v>
      </c>
      <c r="I4" s="265">
        <f>Evaluacion!O6</f>
        <v>9.6</v>
      </c>
      <c r="J4" s="265">
        <f>Evaluacion!P6</f>
        <v>3.6816666666666658</v>
      </c>
      <c r="K4" s="265">
        <f>Evaluacion!Q6</f>
        <v>16.827777777777772</v>
      </c>
      <c r="M4" t="s">
        <v>803</v>
      </c>
      <c r="N4" s="596">
        <v>1</v>
      </c>
      <c r="O4" s="597">
        <f>Evaluacion!AI6</f>
        <v>13.945263933799012</v>
      </c>
      <c r="P4" s="597">
        <f>Evaluacion!AJ6</f>
        <v>6.2753687702095551</v>
      </c>
      <c r="Q4" s="597">
        <v>0</v>
      </c>
      <c r="R4" s="597">
        <f>Evaluacion!AK6</f>
        <v>2.7086483396739016</v>
      </c>
      <c r="S4" s="597">
        <f>Evaluacion!AL6</f>
        <v>7.5457426011671949</v>
      </c>
      <c r="T4" s="597">
        <v>0</v>
      </c>
      <c r="U4" s="597">
        <v>0</v>
      </c>
      <c r="V4" s="597">
        <f>Evaluacion!R6</f>
        <v>4.3000000000000007</v>
      </c>
      <c r="W4" s="597">
        <f>Evaluacion!T6</f>
        <v>0.6889166666666664</v>
      </c>
      <c r="X4" s="597">
        <f>Evaluacion!U6</f>
        <v>0.99283333333333346</v>
      </c>
    </row>
    <row r="5" spans="2:25" x14ac:dyDescent="0.25">
      <c r="B5" t="s">
        <v>804</v>
      </c>
      <c r="C5" t="str">
        <f>Evaluacion!A15</f>
        <v>E. Gross</v>
      </c>
      <c r="D5" s="636"/>
      <c r="E5" s="265">
        <f>Evaluacion!K15</f>
        <v>0</v>
      </c>
      <c r="F5" s="265">
        <f>Evaluacion!L15</f>
        <v>10.549999999999995</v>
      </c>
      <c r="G5" s="265">
        <f>Evaluacion!M15</f>
        <v>12.939777777777776</v>
      </c>
      <c r="H5" s="265">
        <f>Evaluacion!N15</f>
        <v>5.1399999999999979</v>
      </c>
      <c r="I5" s="265">
        <f>Evaluacion!O15</f>
        <v>9.24</v>
      </c>
      <c r="J5" s="265">
        <f>Evaluacion!P15</f>
        <v>2.98</v>
      </c>
      <c r="K5" s="265">
        <f>Evaluacion!Q15</f>
        <v>17.059999999999999</v>
      </c>
      <c r="M5" t="s">
        <v>804</v>
      </c>
      <c r="N5" s="596">
        <v>1</v>
      </c>
      <c r="O5" s="597">
        <f>(Evaluacion!AA15+Evaluacion!AC15)/2</f>
        <v>5.1630872014538287</v>
      </c>
      <c r="P5" s="597">
        <f>Evaluacion!AB15</f>
        <v>13.341310598071908</v>
      </c>
      <c r="Q5" s="597">
        <f>O5</f>
        <v>5.1630872014538287</v>
      </c>
      <c r="R5" s="597">
        <f>Evaluacion!AD15</f>
        <v>3.743999033452226</v>
      </c>
      <c r="S5" s="597">
        <v>0</v>
      </c>
      <c r="T5" s="597">
        <v>0</v>
      </c>
      <c r="U5" s="597">
        <v>0</v>
      </c>
      <c r="V5" s="597">
        <f>Evaluacion!R15</f>
        <v>4.0037499999999993</v>
      </c>
      <c r="W5" s="597">
        <f>Evaluacion!T15</f>
        <v>0.66079999999999994</v>
      </c>
      <c r="X5" s="597">
        <f>Evaluacion!U15</f>
        <v>0.93379999999999974</v>
      </c>
    </row>
    <row r="6" spans="2:25" x14ac:dyDescent="0.25">
      <c r="B6" t="s">
        <v>803</v>
      </c>
      <c r="C6" t="str">
        <f>Evaluacion!A9</f>
        <v>B. Pinczehelyi</v>
      </c>
      <c r="D6" s="636" t="str">
        <f>Evaluacion!D9</f>
        <v>CAB</v>
      </c>
      <c r="E6" s="265">
        <f>Evaluacion!K9</f>
        <v>0</v>
      </c>
      <c r="F6" s="265">
        <f>Evaluacion!L9</f>
        <v>14.300000000000004</v>
      </c>
      <c r="G6" s="265">
        <f>Evaluacion!M9</f>
        <v>9.3793333333333351</v>
      </c>
      <c r="H6" s="265">
        <f>Evaluacion!N9</f>
        <v>14.333333333333329</v>
      </c>
      <c r="I6" s="265">
        <f>Evaluacion!O9</f>
        <v>9.4199999999999982</v>
      </c>
      <c r="J6" s="265">
        <f>Evaluacion!P9</f>
        <v>1.1428571428571428</v>
      </c>
      <c r="K6" s="265">
        <f>Evaluacion!Q9</f>
        <v>9.8000000000000007</v>
      </c>
      <c r="M6" t="s">
        <v>803</v>
      </c>
      <c r="N6" s="596">
        <v>1</v>
      </c>
      <c r="O6" s="597">
        <v>0</v>
      </c>
      <c r="P6" s="597">
        <f>Evaluacion!AJ9</f>
        <v>6.9736160956365794</v>
      </c>
      <c r="Q6" s="597">
        <f>Evaluacion!AI9</f>
        <v>15.496924656970178</v>
      </c>
      <c r="R6" s="597">
        <f>Evaluacion!AK9</f>
        <v>1.9912773815732094</v>
      </c>
      <c r="S6" s="597">
        <v>0</v>
      </c>
      <c r="T6" s="597">
        <f>0</f>
        <v>0</v>
      </c>
      <c r="U6" s="597">
        <f>Evaluacion!AL9</f>
        <v>9.9241561938026734</v>
      </c>
      <c r="V6" s="597">
        <f>Evaluacion!R9</f>
        <v>4.5175000000000001</v>
      </c>
      <c r="W6" s="597">
        <f>Evaluacion!T9</f>
        <v>0.35114285714285715</v>
      </c>
      <c r="X6" s="597">
        <f>Evaluacion!U9</f>
        <v>0.86600000000000021</v>
      </c>
    </row>
    <row r="7" spans="2:25" x14ac:dyDescent="0.25">
      <c r="B7" t="s">
        <v>503</v>
      </c>
      <c r="C7" t="str">
        <f>Evaluacion!A13</f>
        <v>S. Buschelman</v>
      </c>
      <c r="D7" s="636" t="str">
        <f>Evaluacion!D13</f>
        <v>TEC</v>
      </c>
      <c r="E7" s="265">
        <f>Evaluacion!K13</f>
        <v>0</v>
      </c>
      <c r="F7" s="265">
        <f>Evaluacion!L13</f>
        <v>9.3036666666666648</v>
      </c>
      <c r="G7" s="265">
        <f>Evaluacion!M13</f>
        <v>13.909999999999998</v>
      </c>
      <c r="H7" s="265">
        <f>Evaluacion!N13</f>
        <v>12.945</v>
      </c>
      <c r="I7" s="265">
        <f>Evaluacion!O13</f>
        <v>9.6733333333333356</v>
      </c>
      <c r="J7" s="265">
        <f>Evaluacion!P13</f>
        <v>5.0296666666666656</v>
      </c>
      <c r="K7" s="265">
        <f>Evaluacion!Q13</f>
        <v>15.399999999999999</v>
      </c>
      <c r="M7" t="s">
        <v>503</v>
      </c>
      <c r="N7" s="596">
        <v>0.82499999999999996</v>
      </c>
      <c r="O7" s="597">
        <f>Evaluacion!BE13*N7</f>
        <v>2.9244892191313721</v>
      </c>
      <c r="P7" s="597">
        <f>Evaluacion!BF13*N7</f>
        <v>3.4973273136004042</v>
      </c>
      <c r="Q7" s="597">
        <v>0</v>
      </c>
      <c r="R7" s="597">
        <f>Evaluacion!BG13*N7</f>
        <v>12.2018642114424</v>
      </c>
      <c r="S7" s="597">
        <f>Evaluacion!BH13*N7</f>
        <v>10.754684840490688</v>
      </c>
      <c r="T7" s="597">
        <f>Evaluacion!BI13*N7</f>
        <v>2.4954986375795909</v>
      </c>
      <c r="U7" s="597">
        <v>0</v>
      </c>
      <c r="V7" s="597">
        <v>0</v>
      </c>
      <c r="W7" s="597">
        <f>Evaluacion!T13*N7</f>
        <v>0.58862374999999989</v>
      </c>
      <c r="X7" s="597">
        <f>Evaluacion!U13*N7</f>
        <v>0.68817099999999987</v>
      </c>
    </row>
    <row r="8" spans="2:25" x14ac:dyDescent="0.25">
      <c r="B8" t="s">
        <v>805</v>
      </c>
      <c r="C8" t="str">
        <f>Evaluacion!A16</f>
        <v>L. Bauman</v>
      </c>
      <c r="D8" s="636"/>
      <c r="E8" s="265">
        <f>Evaluacion!K16</f>
        <v>0</v>
      </c>
      <c r="F8" s="265">
        <f>Evaluacion!L16</f>
        <v>5.4644444444444451</v>
      </c>
      <c r="G8" s="265">
        <f>Evaluacion!M16</f>
        <v>14.42664708994708</v>
      </c>
      <c r="H8" s="265">
        <f>Evaluacion!N16</f>
        <v>3.5124999999999993</v>
      </c>
      <c r="I8" s="265">
        <f>Evaluacion!O16</f>
        <v>9.1400000000000041</v>
      </c>
      <c r="J8" s="265">
        <f>Evaluacion!P16</f>
        <v>7.4318888888888894</v>
      </c>
      <c r="K8" s="265">
        <f>Evaluacion!Q16</f>
        <v>16.27</v>
      </c>
      <c r="M8" t="s">
        <v>805</v>
      </c>
      <c r="N8" s="596">
        <v>0.82499999999999996</v>
      </c>
      <c r="O8" s="597">
        <f>((Evaluacion!AX16+Evaluacion!AZ16)/2)*N8</f>
        <v>0.95693467493293105</v>
      </c>
      <c r="P8" s="597">
        <f>Evaluacion!AY16*N8</f>
        <v>2.7003447617155025</v>
      </c>
      <c r="Q8" s="597">
        <f>O8</f>
        <v>0.95693467493293105</v>
      </c>
      <c r="R8" s="597">
        <f>Evaluacion!BA16*N8</f>
        <v>14.144679086828431</v>
      </c>
      <c r="S8" s="597">
        <f>((Evaluacion!BB16+Evaluacion!BD16)/2)*N8</f>
        <v>1.8563612963387921</v>
      </c>
      <c r="T8" s="597">
        <f>Evaluacion!BC16*N8</f>
        <v>5.0946103259297715</v>
      </c>
      <c r="U8" s="597">
        <f>S8</f>
        <v>1.8563612963387921</v>
      </c>
      <c r="V8" s="597">
        <v>0</v>
      </c>
      <c r="W8" s="597">
        <f>Evaluacion!T16*N8</f>
        <v>0.70924791666666664</v>
      </c>
      <c r="X8" s="597">
        <f>Evaluacion!U16*N8</f>
        <v>0.58300916666666658</v>
      </c>
    </row>
    <row r="9" spans="2:25" x14ac:dyDescent="0.25">
      <c r="B9" t="s">
        <v>503</v>
      </c>
      <c r="C9" t="str">
        <f>Evaluacion!A14</f>
        <v>C. Rojas</v>
      </c>
      <c r="D9" s="636" t="str">
        <f>Evaluacion!D14</f>
        <v>TEC</v>
      </c>
      <c r="E9" s="265">
        <f>Evaluacion!K14</f>
        <v>0</v>
      </c>
      <c r="F9" s="265">
        <f>Evaluacion!L14</f>
        <v>8.6275555555555581</v>
      </c>
      <c r="G9" s="265">
        <f>Evaluacion!M14</f>
        <v>14.333255555555548</v>
      </c>
      <c r="H9" s="265">
        <f>Evaluacion!N14</f>
        <v>9.99</v>
      </c>
      <c r="I9" s="265">
        <f>Evaluacion!O14</f>
        <v>10.09</v>
      </c>
      <c r="J9" s="265">
        <f>Evaluacion!P14</f>
        <v>4.3999999999999995</v>
      </c>
      <c r="K9" s="265">
        <f>Evaluacion!Q14</f>
        <v>16.74444444444444</v>
      </c>
      <c r="M9" t="s">
        <v>503</v>
      </c>
      <c r="N9" s="596">
        <v>0.82499999999999996</v>
      </c>
      <c r="O9" s="597">
        <v>0</v>
      </c>
      <c r="P9" s="597">
        <f>Evaluacion!BF14*N9</f>
        <v>3.3107396281654538</v>
      </c>
      <c r="Q9" s="597">
        <f>Evaluacion!BE14*N9</f>
        <v>2.768463309759043</v>
      </c>
      <c r="R9" s="597">
        <f>Evaluacion!BG14*N9</f>
        <v>12.528544288746442</v>
      </c>
      <c r="S9" s="597">
        <v>0</v>
      </c>
      <c r="T9" s="597">
        <f>Evaluacion!BI14*N9</f>
        <v>2.5835528453674543</v>
      </c>
      <c r="U9" s="597">
        <f>Evaluacion!BH14*N9</f>
        <v>9.4828461598824347</v>
      </c>
      <c r="V9" s="597">
        <v>0</v>
      </c>
      <c r="W9" s="597">
        <f>Evaluacion!T14*N9</f>
        <v>0.5959249999999997</v>
      </c>
      <c r="X9" s="597">
        <f>Evaluacion!U14*N9</f>
        <v>0.6991343333333333</v>
      </c>
    </row>
    <row r="10" spans="2:25" x14ac:dyDescent="0.25">
      <c r="B10" t="s">
        <v>806</v>
      </c>
      <c r="C10" t="str">
        <f>Evaluacion!A10</f>
        <v>E. Romweber</v>
      </c>
      <c r="D10" s="636" t="str">
        <f>Evaluacion!D10</f>
        <v>IMP</v>
      </c>
      <c r="E10" s="265">
        <f>Evaluacion!K10</f>
        <v>0</v>
      </c>
      <c r="F10" s="265">
        <f>Evaluacion!L10</f>
        <v>12.06111111111111</v>
      </c>
      <c r="G10" s="265">
        <f>Evaluacion!M10</f>
        <v>12.614111111111114</v>
      </c>
      <c r="H10" s="265">
        <f>Evaluacion!N10</f>
        <v>13.216666666666669</v>
      </c>
      <c r="I10" s="265">
        <f>Evaluacion!O10</f>
        <v>10.91</v>
      </c>
      <c r="J10" s="265">
        <f>Evaluacion!P10</f>
        <v>7.7700000000000005</v>
      </c>
      <c r="K10" s="265">
        <f>Evaluacion!Q10</f>
        <v>17.329999999999998</v>
      </c>
      <c r="M10" t="s">
        <v>806</v>
      </c>
      <c r="N10" s="596">
        <v>1</v>
      </c>
      <c r="O10" s="597">
        <f>Evaluacion!BT10</f>
        <v>4.2680292019734054</v>
      </c>
      <c r="P10" s="597">
        <f>Evaluacion!BU10</f>
        <v>3.6668983284560244</v>
      </c>
      <c r="Q10" s="597">
        <v>0</v>
      </c>
      <c r="R10" s="597">
        <f>Evaluacion!BV10</f>
        <v>7.0894786862602119</v>
      </c>
      <c r="S10" s="597">
        <f>Evaluacion!BW10</f>
        <v>17.368854085320347</v>
      </c>
      <c r="T10" s="597">
        <f>Evaluacion!BX10</f>
        <v>1.6791364479456334</v>
      </c>
      <c r="U10" s="597">
        <v>0</v>
      </c>
      <c r="V10" s="597">
        <v>0</v>
      </c>
      <c r="W10" s="597">
        <f>Evaluacion!T10*N10</f>
        <v>0.90839999999999999</v>
      </c>
      <c r="X10" s="597">
        <f>Evaluacion!U10*N10</f>
        <v>1.0023444444444443</v>
      </c>
    </row>
    <row r="11" spans="2:25" x14ac:dyDescent="0.25">
      <c r="B11" t="s">
        <v>806</v>
      </c>
      <c r="C11" t="str">
        <f>Evaluacion!A11</f>
        <v>K. Helms</v>
      </c>
      <c r="D11" s="636" t="str">
        <f>Evaluacion!D11</f>
        <v>TEC</v>
      </c>
      <c r="E11" s="265">
        <f>Evaluacion!K11</f>
        <v>0</v>
      </c>
      <c r="F11" s="265">
        <f>Evaluacion!L11</f>
        <v>7.2503030303030309</v>
      </c>
      <c r="G11" s="265">
        <f>Evaluacion!M11</f>
        <v>10.600000000000005</v>
      </c>
      <c r="H11" s="265">
        <f>Evaluacion!N11</f>
        <v>13.471666666666668</v>
      </c>
      <c r="I11" s="265">
        <f>Evaluacion!O11</f>
        <v>10.359999999999998</v>
      </c>
      <c r="J11" s="265">
        <f>Evaluacion!P11</f>
        <v>5.4050000000000002</v>
      </c>
      <c r="K11" s="265">
        <f>Evaluacion!Q11</f>
        <v>17.500000000000004</v>
      </c>
      <c r="M11" t="s">
        <v>806</v>
      </c>
      <c r="N11" s="596">
        <v>1</v>
      </c>
      <c r="O11" s="597">
        <v>0</v>
      </c>
      <c r="P11" s="597">
        <f>Evaluacion!BU11</f>
        <v>2.4659487857791427</v>
      </c>
      <c r="Q11" s="597">
        <f>Evaluacion!BT11</f>
        <v>2.8702026850871984</v>
      </c>
      <c r="R11" s="597">
        <f>Evaluacion!BV11</f>
        <v>6.1225002258412626</v>
      </c>
      <c r="S11" s="597">
        <v>0</v>
      </c>
      <c r="T11" s="597">
        <f>Evaluacion!BX11</f>
        <v>1.5991413787402029</v>
      </c>
      <c r="U11" s="597">
        <f>Evaluacion!BW11</f>
        <v>17.3318572532574</v>
      </c>
      <c r="V11" s="597">
        <v>0</v>
      </c>
      <c r="W11" s="597">
        <f>Evaluacion!T11*N11</f>
        <v>0.79525000000000001</v>
      </c>
      <c r="X11" s="597">
        <f>Evaluacion!U11*N11</f>
        <v>0.8150121212121213</v>
      </c>
    </row>
    <row r="12" spans="2:25" x14ac:dyDescent="0.25">
      <c r="B12" t="s">
        <v>66</v>
      </c>
      <c r="C12" t="str">
        <f>Evaluacion!A19</f>
        <v>J. Limon</v>
      </c>
      <c r="D12" s="636" t="str">
        <f>Evaluacion!D19</f>
        <v>RAP</v>
      </c>
      <c r="E12" s="265">
        <f>Evaluacion!K19</f>
        <v>0</v>
      </c>
      <c r="F12" s="265">
        <f>Evaluacion!L19</f>
        <v>6.8376190476190493</v>
      </c>
      <c r="G12" s="265">
        <f>Evaluacion!M19</f>
        <v>8.6449999999999996</v>
      </c>
      <c r="H12" s="265">
        <f>Evaluacion!N19</f>
        <v>8.7399999999999967</v>
      </c>
      <c r="I12" s="265">
        <f>Evaluacion!O19</f>
        <v>9.6900000000000013</v>
      </c>
      <c r="J12" s="265">
        <f>Evaluacion!P19</f>
        <v>8.5625000000000018</v>
      </c>
      <c r="K12" s="265">
        <f>Evaluacion!Q19</f>
        <v>18.789999999999992</v>
      </c>
      <c r="M12" t="s">
        <v>66</v>
      </c>
      <c r="N12" s="596">
        <v>0.94499999999999995</v>
      </c>
      <c r="O12" s="597">
        <v>0</v>
      </c>
      <c r="P12" s="597">
        <v>0</v>
      </c>
      <c r="Q12" s="597">
        <v>0</v>
      </c>
      <c r="R12" s="597">
        <f>N12*Evaluacion!CK19</f>
        <v>2.7157999757821289</v>
      </c>
      <c r="S12" s="597">
        <f>N12*Evaluacion!CH19</f>
        <v>6.7847221146490657</v>
      </c>
      <c r="T12" s="597">
        <f>N12*Evaluacion!CI19</f>
        <v>15.158154892382942</v>
      </c>
      <c r="U12" s="597">
        <f>S12</f>
        <v>6.7847221146490657</v>
      </c>
      <c r="V12" s="597">
        <v>0</v>
      </c>
      <c r="W12" s="597">
        <f>Evaluacion!T19*N12</f>
        <v>0.93727462499999981</v>
      </c>
      <c r="X12" s="597">
        <f>Evaluacion!U19*N12</f>
        <v>0.79115849999999976</v>
      </c>
    </row>
    <row r="13" spans="2:25" x14ac:dyDescent="0.25">
      <c r="B13" t="s">
        <v>602</v>
      </c>
      <c r="C13" t="str">
        <f>Evaluacion!A20</f>
        <v>L. Calosso</v>
      </c>
      <c r="D13" s="636" t="str">
        <f>Evaluacion!D20</f>
        <v>TEC</v>
      </c>
      <c r="E13" s="265">
        <f>Evaluacion!K20</f>
        <v>0</v>
      </c>
      <c r="F13" s="265">
        <f>Evaluacion!L20</f>
        <v>3.02</v>
      </c>
      <c r="G13" s="265">
        <f>Evaluacion!M20</f>
        <v>14.277609523809524</v>
      </c>
      <c r="H13" s="265">
        <f>Evaluacion!N20</f>
        <v>3.04</v>
      </c>
      <c r="I13" s="265">
        <f>Evaluacion!O20</f>
        <v>15.02</v>
      </c>
      <c r="J13" s="265">
        <f>Evaluacion!P20</f>
        <v>10</v>
      </c>
      <c r="K13" s="265">
        <f>Evaluacion!Q20</f>
        <v>9.6000000000000014</v>
      </c>
      <c r="M13" t="s">
        <v>602</v>
      </c>
      <c r="N13" s="596">
        <f>1-0.055</f>
        <v>0.94499999999999995</v>
      </c>
      <c r="O13" s="597">
        <v>0</v>
      </c>
      <c r="P13" s="597">
        <v>0</v>
      </c>
      <c r="Q13" s="597">
        <v>0</v>
      </c>
      <c r="R13" s="597">
        <f>N13*Evaluacion!CD20</f>
        <v>6.5757950438322172</v>
      </c>
      <c r="S13" s="597">
        <f>N13*Evaluacion!CE20</f>
        <v>7.8551169086137014</v>
      </c>
      <c r="T13" s="597">
        <f>N13*Evaluacion!CF20</f>
        <v>16.261565229948463</v>
      </c>
      <c r="U13" s="597">
        <f>S13</f>
        <v>7.8551169086137014</v>
      </c>
      <c r="V13" s="597">
        <v>0</v>
      </c>
      <c r="W13" s="597">
        <f>Evaluacion!T20*N13</f>
        <v>0.74465999999999999</v>
      </c>
      <c r="X13" s="597">
        <f>Evaluacion!U20*N13</f>
        <v>0.3863160000000001</v>
      </c>
    </row>
    <row r="14" spans="2:25" x14ac:dyDescent="0.25">
      <c r="M14" s="263"/>
      <c r="N14" s="444"/>
      <c r="O14" s="598">
        <f>SUM(O3:O13)</f>
        <v>42.890026528746063</v>
      </c>
      <c r="P14" s="598">
        <f t="shared" ref="P14:X14" si="0">SUM(P3:P13)</f>
        <v>65.271350312363367</v>
      </c>
      <c r="Q14" s="598">
        <f t="shared" si="0"/>
        <v>42.887834825658693</v>
      </c>
      <c r="R14" s="598">
        <f t="shared" si="0"/>
        <v>69.822586273432435</v>
      </c>
      <c r="S14" s="598">
        <f t="shared" si="0"/>
        <v>52.165481846579787</v>
      </c>
      <c r="T14" s="598">
        <f t="shared" si="0"/>
        <v>44.871659757894058</v>
      </c>
      <c r="U14" s="598">
        <f t="shared" si="0"/>
        <v>53.235059926544068</v>
      </c>
      <c r="V14" s="654">
        <f t="shared" si="0"/>
        <v>12.821250000000001</v>
      </c>
      <c r="W14" s="654">
        <f t="shared" si="0"/>
        <v>7.5257685932539671</v>
      </c>
      <c r="X14" s="654">
        <f t="shared" si="0"/>
        <v>8.779501276612276</v>
      </c>
    </row>
    <row r="15" spans="2:25" ht="15.75" x14ac:dyDescent="0.25">
      <c r="M15" s="263"/>
      <c r="N15" s="263" t="s">
        <v>811</v>
      </c>
      <c r="O15" s="600">
        <f>O14*0.34</f>
        <v>14.582609019773662</v>
      </c>
      <c r="P15" s="600">
        <f>P14*0.245</f>
        <v>15.991480826529024</v>
      </c>
      <c r="Q15" s="600">
        <f>Q14*0.34</f>
        <v>14.581863840723956</v>
      </c>
      <c r="R15" s="600">
        <f>R14*0.125</f>
        <v>8.7278232841790544</v>
      </c>
      <c r="S15" s="600">
        <f>S14*0.25</f>
        <v>13.041370461644947</v>
      </c>
      <c r="T15" s="600">
        <f>T14*0.19</f>
        <v>8.5256153539998714</v>
      </c>
      <c r="U15" s="600">
        <f>U14*0.25</f>
        <v>13.308764981636017</v>
      </c>
    </row>
    <row r="16" spans="2:25" ht="15.75" x14ac:dyDescent="0.25">
      <c r="M16" s="263"/>
      <c r="N16" s="263" t="s">
        <v>812</v>
      </c>
      <c r="O16" s="610">
        <f>O15*1.2/1.05</f>
        <v>16.665838879741326</v>
      </c>
      <c r="P16" s="610">
        <f t="shared" ref="P16:Q16" si="1">P15*1.2/1.05</f>
        <v>18.275978087461741</v>
      </c>
      <c r="Q16" s="610">
        <f t="shared" si="1"/>
        <v>16.664987246541664</v>
      </c>
      <c r="R16" s="610">
        <f>R15</f>
        <v>8.7278232841790544</v>
      </c>
      <c r="S16" s="610">
        <f>S15*0.925/1.05</f>
        <v>11.488826359068167</v>
      </c>
      <c r="T16" s="610">
        <f t="shared" ref="T16:U16" si="2">T15*0.925/1.05</f>
        <v>7.5106611451903627</v>
      </c>
      <c r="U16" s="610">
        <f t="shared" si="2"/>
        <v>11.724388198107921</v>
      </c>
    </row>
    <row r="17" spans="13:21" ht="15.75" x14ac:dyDescent="0.25">
      <c r="M17" s="263"/>
      <c r="N17" s="263" t="s">
        <v>813</v>
      </c>
      <c r="O17" s="610">
        <f>O15*0.925/1.05</f>
        <v>12.846584136467273</v>
      </c>
      <c r="P17" s="610">
        <f t="shared" ref="P17:Q17" si="3">P15*0.925/1.05</f>
        <v>14.087733109085093</v>
      </c>
      <c r="Q17" s="610">
        <f t="shared" si="3"/>
        <v>12.8459276692092</v>
      </c>
      <c r="R17" s="610">
        <f>R16</f>
        <v>8.7278232841790544</v>
      </c>
      <c r="S17" s="610">
        <f>S15*1.135/1.05</f>
        <v>14.097100451397155</v>
      </c>
      <c r="T17" s="610">
        <f t="shared" ref="T17:U17" si="4">T15*1.135/1.05</f>
        <v>9.2157842159903378</v>
      </c>
      <c r="U17" s="610">
        <f t="shared" si="4"/>
        <v>14.386141194435123</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3" t="s">
        <v>276</v>
      </c>
      <c r="B1" s="493" t="s">
        <v>179</v>
      </c>
      <c r="C1" s="493" t="s">
        <v>690</v>
      </c>
      <c r="D1" s="493" t="s">
        <v>1</v>
      </c>
      <c r="E1" s="493" t="s">
        <v>2</v>
      </c>
      <c r="F1" s="493" t="s">
        <v>697</v>
      </c>
      <c r="G1" s="493" t="s">
        <v>65</v>
      </c>
      <c r="H1" s="493" t="s">
        <v>578</v>
      </c>
      <c r="I1" s="493" t="s">
        <v>698</v>
      </c>
      <c r="J1" s="493" t="s">
        <v>0</v>
      </c>
      <c r="L1" s="595">
        <v>541</v>
      </c>
      <c r="M1" s="444" t="s">
        <v>807</v>
      </c>
      <c r="N1" s="48" t="s">
        <v>701</v>
      </c>
      <c r="O1" s="48" t="s">
        <v>808</v>
      </c>
      <c r="P1" s="48" t="s">
        <v>701</v>
      </c>
      <c r="Q1" s="48" t="s">
        <v>64</v>
      </c>
      <c r="R1" s="48" t="s">
        <v>703</v>
      </c>
      <c r="S1" s="48" t="s">
        <v>704</v>
      </c>
      <c r="T1" s="48" t="s">
        <v>703</v>
      </c>
      <c r="U1" s="48" t="s">
        <v>565</v>
      </c>
      <c r="V1" s="48" t="s">
        <v>809</v>
      </c>
      <c r="W1" s="48" t="s">
        <v>810</v>
      </c>
    </row>
    <row r="2" spans="1:27" x14ac:dyDescent="0.25">
      <c r="A2" t="s">
        <v>1</v>
      </c>
      <c r="B2" t="str">
        <f>Evaluacion!A3</f>
        <v>D. Gehmacher</v>
      </c>
      <c r="C2">
        <f>Evaluacion!D3</f>
        <v>0</v>
      </c>
      <c r="D2" s="265">
        <f>Evaluacion!K3</f>
        <v>16.666666666666668</v>
      </c>
      <c r="E2" s="265">
        <f>Evaluacion!L3</f>
        <v>12.080559440559444</v>
      </c>
      <c r="F2" s="265">
        <f>Evaluacion!M3</f>
        <v>2.0699999999999985</v>
      </c>
      <c r="G2" s="265">
        <f>Evaluacion!N3</f>
        <v>2.149999999999999</v>
      </c>
      <c r="H2" s="265">
        <f>Evaluacion!O3</f>
        <v>1.0400000000000003</v>
      </c>
      <c r="I2" s="265">
        <f>Evaluacion!P3</f>
        <v>0.14055555555555557</v>
      </c>
      <c r="J2" s="265">
        <f>Evaluacion!Q3</f>
        <v>17.949999999999996</v>
      </c>
      <c r="L2" t="str">
        <f>A2</f>
        <v>POR</v>
      </c>
      <c r="M2" s="596">
        <v>1</v>
      </c>
      <c r="N2" s="597">
        <f>Evaluacion!X3</f>
        <v>15.632222297455513</v>
      </c>
      <c r="O2" s="597">
        <f>Evaluacion!Y3</f>
        <v>23.039796030728816</v>
      </c>
      <c r="P2" s="597">
        <f>Evaluacion!Z3</f>
        <v>15.632222297455513</v>
      </c>
      <c r="Q2" s="597">
        <v>0</v>
      </c>
      <c r="R2" s="597">
        <v>0</v>
      </c>
      <c r="S2" s="597">
        <v>0</v>
      </c>
      <c r="T2" s="597">
        <v>0</v>
      </c>
      <c r="U2" s="597">
        <v>0</v>
      </c>
      <c r="V2" s="597">
        <f>Evaluacion!T3</f>
        <v>0.54552777777777772</v>
      </c>
      <c r="W2" s="597">
        <f>Evaluacion!U3</f>
        <v>1.0217223776223776</v>
      </c>
      <c r="AA2" s="602"/>
    </row>
    <row r="3" spans="1:27" x14ac:dyDescent="0.25">
      <c r="A3" t="s">
        <v>803</v>
      </c>
      <c r="B3" t="str">
        <f>Evaluacion!A9</f>
        <v>B. Pinczehelyi</v>
      </c>
      <c r="C3" t="str">
        <f>Evaluacion!D9</f>
        <v>CAB</v>
      </c>
      <c r="D3" s="265">
        <f>Evaluacion!K9</f>
        <v>0</v>
      </c>
      <c r="E3" s="265">
        <f>Evaluacion!L9</f>
        <v>14.300000000000004</v>
      </c>
      <c r="F3" s="265">
        <f>Evaluacion!M9</f>
        <v>9.3793333333333351</v>
      </c>
      <c r="G3" s="265">
        <f>Evaluacion!N9</f>
        <v>14.333333333333329</v>
      </c>
      <c r="H3" s="265">
        <f>Evaluacion!O9</f>
        <v>9.4199999999999982</v>
      </c>
      <c r="I3" s="265">
        <f>Evaluacion!P9</f>
        <v>1.1428571428571428</v>
      </c>
      <c r="J3" s="265">
        <f>Evaluacion!Q9</f>
        <v>9.8000000000000007</v>
      </c>
      <c r="L3" t="str">
        <f t="shared" ref="L3:L12" si="0">A3</f>
        <v>LATN</v>
      </c>
      <c r="M3" s="596">
        <v>1</v>
      </c>
      <c r="N3" s="597">
        <f>Evaluacion!AI9</f>
        <v>15.496924656970178</v>
      </c>
      <c r="O3" s="597">
        <f>Evaluacion!AJ9</f>
        <v>6.9736160956365794</v>
      </c>
      <c r="P3" s="597">
        <v>0</v>
      </c>
      <c r="Q3" s="597">
        <f>Evaluacion!AK9</f>
        <v>1.9912773815732094</v>
      </c>
      <c r="R3" s="597">
        <f>Evaluacion!AL9</f>
        <v>9.9241561938026734</v>
      </c>
      <c r="S3" s="597">
        <v>0</v>
      </c>
      <c r="T3" s="597">
        <v>0</v>
      </c>
      <c r="U3" s="597">
        <f>Evaluacion!R9</f>
        <v>4.5175000000000001</v>
      </c>
      <c r="V3" s="597">
        <f>Evaluacion!T9</f>
        <v>0.35114285714285715</v>
      </c>
      <c r="W3" s="597">
        <f>Evaluacion!U9</f>
        <v>0.86600000000000021</v>
      </c>
      <c r="AA3" s="603"/>
    </row>
    <row r="4" spans="1:27" x14ac:dyDescent="0.25">
      <c r="A4" t="s">
        <v>815</v>
      </c>
      <c r="B4" t="str">
        <f>Evaluacion!A7</f>
        <v>B. Bartolache</v>
      </c>
      <c r="C4">
        <f>Evaluacion!D7</f>
        <v>0</v>
      </c>
      <c r="D4" s="265">
        <f>Evaluacion!K7</f>
        <v>0</v>
      </c>
      <c r="E4" s="265">
        <f>Evaluacion!L7</f>
        <v>11.999999999999996</v>
      </c>
      <c r="F4" s="265">
        <f>Evaluacion!M7</f>
        <v>7.0225000000000017</v>
      </c>
      <c r="G4" s="265">
        <f>Evaluacion!N7</f>
        <v>7.5000000000000018</v>
      </c>
      <c r="H4" s="265">
        <f>Evaluacion!O7</f>
        <v>9.0199999999999978</v>
      </c>
      <c r="I4" s="265">
        <f>Evaluacion!P7</f>
        <v>4.6199999999999966</v>
      </c>
      <c r="J4" s="265">
        <f>Evaluacion!Q7</f>
        <v>15.799999999999999</v>
      </c>
      <c r="L4" t="str">
        <f t="shared" si="0"/>
        <v>DCHL</v>
      </c>
      <c r="M4" s="596">
        <v>0.9</v>
      </c>
      <c r="N4" s="597">
        <f>M4*Evaluacion!AM7</f>
        <v>10.045744318065347</v>
      </c>
      <c r="O4" s="597">
        <f>M4*Evaluacion!AN7</f>
        <v>9.4328739750534023</v>
      </c>
      <c r="P4" s="597">
        <v>0</v>
      </c>
      <c r="Q4" s="597">
        <f>M4*Evaluacion!AO7</f>
        <v>2.796125810499885</v>
      </c>
      <c r="R4" s="597">
        <f>M4*Evaluacion!AP7</f>
        <v>1.7971972779878254</v>
      </c>
      <c r="S4" s="597">
        <v>0</v>
      </c>
      <c r="T4" s="597">
        <v>0</v>
      </c>
      <c r="U4" s="597">
        <f>Evaluacion!R7</f>
        <v>4.129999999999999</v>
      </c>
      <c r="V4" s="597">
        <f>Evaluacion!T7*M4</f>
        <v>0.63449999999999973</v>
      </c>
      <c r="W4" s="597">
        <f>Evaluacion!U7*M4</f>
        <v>0.85860000000000003</v>
      </c>
      <c r="AA4" s="603"/>
    </row>
    <row r="5" spans="1:27" x14ac:dyDescent="0.25">
      <c r="A5" t="s">
        <v>814</v>
      </c>
      <c r="B5" t="str">
        <f>Evaluacion!A6</f>
        <v>E. Toney</v>
      </c>
      <c r="C5">
        <f>Evaluacion!D6</f>
        <v>0</v>
      </c>
      <c r="D5" s="265">
        <f>Evaluacion!K6</f>
        <v>0</v>
      </c>
      <c r="E5" s="265">
        <f>Evaluacion!L6</f>
        <v>12.200000000000005</v>
      </c>
      <c r="F5" s="265">
        <f>Evaluacion!M6</f>
        <v>13.261555555555553</v>
      </c>
      <c r="G5" s="265">
        <f>Evaluacion!N6</f>
        <v>9.8750000000000053</v>
      </c>
      <c r="H5" s="265">
        <f>Evaluacion!O6</f>
        <v>9.6</v>
      </c>
      <c r="I5" s="265">
        <f>Evaluacion!P6</f>
        <v>3.6816666666666658</v>
      </c>
      <c r="J5" s="265">
        <f>Evaluacion!Q6</f>
        <v>16.827777777777772</v>
      </c>
      <c r="L5" t="str">
        <f t="shared" si="0"/>
        <v>DCN</v>
      </c>
      <c r="M5" s="596">
        <v>0.9</v>
      </c>
      <c r="N5" s="597">
        <f>M5*(Evaluacion!AA6+Evaluacion!AC6)/2</f>
        <v>5.2794950305893442</v>
      </c>
      <c r="O5" s="597">
        <f>M5*Evaluacion!AB6</f>
        <v>13.642106022194685</v>
      </c>
      <c r="P5" s="597">
        <f>N5</f>
        <v>5.2794950305893442</v>
      </c>
      <c r="Q5" s="597">
        <f>M5*Evaluacion!AD6</f>
        <v>3.4742064332823337</v>
      </c>
      <c r="R5" s="597">
        <v>0</v>
      </c>
      <c r="S5" s="597">
        <f>0</f>
        <v>0</v>
      </c>
      <c r="T5" s="597">
        <v>0</v>
      </c>
      <c r="U5" s="597">
        <f>Evaluacion!R6</f>
        <v>4.3000000000000007</v>
      </c>
      <c r="V5" s="597">
        <f>Evaluacion!T6*M5</f>
        <v>0.62002499999999983</v>
      </c>
      <c r="W5" s="597">
        <f>Evaluacion!U6*M5</f>
        <v>0.89355000000000018</v>
      </c>
      <c r="AA5" s="603"/>
    </row>
    <row r="6" spans="1:27" x14ac:dyDescent="0.25">
      <c r="A6" t="s">
        <v>815</v>
      </c>
      <c r="B6" t="str">
        <f>Evaluacion!A5</f>
        <v>D. Toh</v>
      </c>
      <c r="C6" t="str">
        <f>Evaluacion!D5</f>
        <v>CAB</v>
      </c>
      <c r="D6" s="265">
        <f>Evaluacion!K5</f>
        <v>0</v>
      </c>
      <c r="E6" s="265">
        <f>Evaluacion!L5</f>
        <v>11.077333333333334</v>
      </c>
      <c r="F6" s="265">
        <f>Evaluacion!M5</f>
        <v>6.2194444444444406</v>
      </c>
      <c r="G6" s="265">
        <f>Evaluacion!N5</f>
        <v>6.1</v>
      </c>
      <c r="H6" s="265">
        <f>Evaluacion!O5</f>
        <v>7.7227777777777789</v>
      </c>
      <c r="I6" s="265">
        <f>Evaluacion!P5</f>
        <v>3.9933333333333318</v>
      </c>
      <c r="J6" s="265">
        <f>Evaluacion!Q5</f>
        <v>15.387777777777776</v>
      </c>
      <c r="L6" t="str">
        <f t="shared" si="0"/>
        <v>DCHL</v>
      </c>
      <c r="M6" s="596">
        <v>0.9</v>
      </c>
      <c r="N6" s="597">
        <v>0</v>
      </c>
      <c r="O6" s="597">
        <f>M6*Evaluacion!AN5</f>
        <v>8.7626160280017604</v>
      </c>
      <c r="P6" s="597">
        <f>M6*Evaluacion!AM5</f>
        <v>9.3319385382956614</v>
      </c>
      <c r="Q6" s="597">
        <f>M6*Evaluacion!AO5</f>
        <v>2.7147480438930707</v>
      </c>
      <c r="R6" s="597">
        <v>0</v>
      </c>
      <c r="S6" s="597">
        <v>0</v>
      </c>
      <c r="T6" s="597">
        <f>M6*Evaluacion!AP5</f>
        <v>1.6497507774922415</v>
      </c>
      <c r="U6" s="597">
        <f>Evaluacion!R5</f>
        <v>3.6903611111111116</v>
      </c>
      <c r="V6" s="597">
        <f>Evaluacion!T5*M6</f>
        <v>0.59516999999999987</v>
      </c>
      <c r="W6" s="597">
        <f>Evaluacion!U5*M6</f>
        <v>0.81425399999999992</v>
      </c>
      <c r="AA6" s="603"/>
    </row>
    <row r="7" spans="1:27" x14ac:dyDescent="0.25">
      <c r="A7" t="s">
        <v>803</v>
      </c>
      <c r="B7" t="str">
        <f>Evaluacion!A10</f>
        <v>E. Romweber</v>
      </c>
      <c r="C7" t="str">
        <f>Evaluacion!D10</f>
        <v>IMP</v>
      </c>
      <c r="D7" s="265">
        <f>Evaluacion!K10</f>
        <v>0</v>
      </c>
      <c r="E7" s="265">
        <f>Evaluacion!L10</f>
        <v>12.06111111111111</v>
      </c>
      <c r="F7" s="265">
        <f>Evaluacion!M10</f>
        <v>12.614111111111114</v>
      </c>
      <c r="G7" s="265">
        <f>Evaluacion!N10</f>
        <v>13.216666666666669</v>
      </c>
      <c r="H7" s="265">
        <f>Evaluacion!O10</f>
        <v>10.91</v>
      </c>
      <c r="I7" s="265">
        <f>Evaluacion!P10</f>
        <v>7.7700000000000005</v>
      </c>
      <c r="J7" s="265">
        <f>Evaluacion!Q10</f>
        <v>17.329999999999998</v>
      </c>
      <c r="L7" t="str">
        <f t="shared" si="0"/>
        <v>LATN</v>
      </c>
      <c r="M7" s="596">
        <v>1</v>
      </c>
      <c r="N7" s="597">
        <v>0</v>
      </c>
      <c r="O7" s="597">
        <f>Evaluacion!AJ10</f>
        <v>6.2217045409048941</v>
      </c>
      <c r="P7" s="597">
        <f>Evaluacion!AI10</f>
        <v>13.826010090899766</v>
      </c>
      <c r="Q7" s="597">
        <f>Evaluacion!AK10</f>
        <v>2.6020723969350668</v>
      </c>
      <c r="R7" s="597">
        <v>0</v>
      </c>
      <c r="S7" s="597">
        <v>0</v>
      </c>
      <c r="T7" s="597">
        <f>Evaluacion!AL10</f>
        <v>9.5160905073721693</v>
      </c>
      <c r="U7" s="597">
        <f>Evaluacion!R10</f>
        <v>4.6101388888888888</v>
      </c>
      <c r="V7" s="597">
        <f>Evaluacion!T10</f>
        <v>0.90839999999999999</v>
      </c>
      <c r="W7" s="597">
        <f>Evaluacion!U10</f>
        <v>1.0023444444444443</v>
      </c>
      <c r="AA7" s="603"/>
    </row>
    <row r="8" spans="1:27" x14ac:dyDescent="0.25">
      <c r="A8" t="s">
        <v>503</v>
      </c>
      <c r="B8" t="str">
        <f>Evaluacion!A14</f>
        <v>C. Rojas</v>
      </c>
      <c r="C8" t="str">
        <f>Evaluacion!D14</f>
        <v>TEC</v>
      </c>
      <c r="D8" s="265">
        <f>Evaluacion!K14</f>
        <v>0</v>
      </c>
      <c r="E8" s="265">
        <f>Evaluacion!L14</f>
        <v>8.6275555555555581</v>
      </c>
      <c r="F8" s="265">
        <f>Evaluacion!M14</f>
        <v>14.333255555555548</v>
      </c>
      <c r="G8" s="265">
        <f>Evaluacion!N14</f>
        <v>9.99</v>
      </c>
      <c r="H8" s="265">
        <f>Evaluacion!O14</f>
        <v>10.09</v>
      </c>
      <c r="I8" s="265">
        <f>Evaluacion!P14</f>
        <v>4.3999999999999995</v>
      </c>
      <c r="J8" s="265">
        <f>Evaluacion!Q14</f>
        <v>16.74444444444444</v>
      </c>
      <c r="L8" t="str">
        <f t="shared" si="0"/>
        <v>IHL</v>
      </c>
      <c r="M8" s="596">
        <f>1-0.065</f>
        <v>0.93500000000000005</v>
      </c>
      <c r="N8" s="597">
        <f>M8*Evaluacion!BE14</f>
        <v>3.1375917510602491</v>
      </c>
      <c r="O8" s="597">
        <f>M8*Evaluacion!BF14</f>
        <v>3.7521715785875145</v>
      </c>
      <c r="P8" s="597">
        <v>0</v>
      </c>
      <c r="Q8" s="597">
        <f>Evaluacion!BG14*M8</f>
        <v>14.199016860579302</v>
      </c>
      <c r="R8" s="597">
        <f>Evaluacion!BH14*M8</f>
        <v>10.747225647866761</v>
      </c>
      <c r="S8" s="597">
        <f>Evaluacion!BI14*M8</f>
        <v>2.9280265580831153</v>
      </c>
      <c r="T8" s="597">
        <v>0</v>
      </c>
      <c r="U8" s="597">
        <v>0</v>
      </c>
      <c r="V8" s="597">
        <f>Evaluacion!T14*M8</f>
        <v>0.67538166666666644</v>
      </c>
      <c r="W8" s="597">
        <f>Evaluacion!U14*M8</f>
        <v>0.79235224444444441</v>
      </c>
      <c r="AA8" s="603"/>
    </row>
    <row r="9" spans="1:27" x14ac:dyDescent="0.25">
      <c r="A9" t="s">
        <v>503</v>
      </c>
      <c r="B9" t="str">
        <f>Evaluacion!A13</f>
        <v>S. Buschelman</v>
      </c>
      <c r="C9" t="str">
        <f>Evaluacion!D13</f>
        <v>TEC</v>
      </c>
      <c r="D9" s="265">
        <f>Evaluacion!K13</f>
        <v>0</v>
      </c>
      <c r="E9" s="265">
        <f>Evaluacion!L13</f>
        <v>9.3036666666666648</v>
      </c>
      <c r="F9" s="265">
        <f>Evaluacion!M13</f>
        <v>13.909999999999998</v>
      </c>
      <c r="G9" s="265">
        <f>Evaluacion!N13</f>
        <v>12.945</v>
      </c>
      <c r="H9" s="265">
        <f>Evaluacion!O13</f>
        <v>9.6733333333333356</v>
      </c>
      <c r="I9" s="265">
        <f>Evaluacion!P13</f>
        <v>5.0296666666666656</v>
      </c>
      <c r="J9" s="265">
        <f>Evaluacion!Q13</f>
        <v>15.399999999999999</v>
      </c>
      <c r="L9" t="str">
        <f t="shared" si="0"/>
        <v>IHL</v>
      </c>
      <c r="M9" s="596">
        <f>1-0.065</f>
        <v>0.93500000000000005</v>
      </c>
      <c r="N9" s="597">
        <v>0</v>
      </c>
      <c r="O9" s="597">
        <f>M9*Evaluacion!BF13</f>
        <v>3.9636376220804581</v>
      </c>
      <c r="P9" s="597">
        <f>M9*Evaluacion!BE13</f>
        <v>3.3144211150155551</v>
      </c>
      <c r="Q9" s="597">
        <f>Evaluacion!BG13*M9</f>
        <v>13.828779439634721</v>
      </c>
      <c r="R9" s="597">
        <v>0</v>
      </c>
      <c r="S9" s="597">
        <f>Evaluacion!BI13*M9</f>
        <v>2.8282317892568698</v>
      </c>
      <c r="T9" s="597">
        <f>Evaluacion!BH13*M9</f>
        <v>12.188642819222782</v>
      </c>
      <c r="U9" s="597">
        <v>0</v>
      </c>
      <c r="V9" s="597">
        <f>Evaluacion!T13*M9</f>
        <v>0.66710691666666666</v>
      </c>
      <c r="W9" s="597">
        <f>Evaluacion!U13*M9</f>
        <v>0.7799271333333333</v>
      </c>
      <c r="AA9" s="603"/>
    </row>
    <row r="10" spans="1:27" x14ac:dyDescent="0.25">
      <c r="A10" t="s">
        <v>806</v>
      </c>
      <c r="B10" t="str">
        <f>Evaluacion!A11</f>
        <v>K. Helms</v>
      </c>
      <c r="C10" t="str">
        <f>Evaluacion!D11</f>
        <v>TEC</v>
      </c>
      <c r="D10" s="265">
        <f>Evaluacion!K11</f>
        <v>0</v>
      </c>
      <c r="E10" s="265">
        <f>Evaluacion!L11</f>
        <v>7.2503030303030309</v>
      </c>
      <c r="F10" s="265">
        <f>Evaluacion!M11</f>
        <v>10.600000000000005</v>
      </c>
      <c r="G10" s="265">
        <f>Evaluacion!N11</f>
        <v>13.471666666666668</v>
      </c>
      <c r="H10" s="265">
        <f>Evaluacion!O11</f>
        <v>10.359999999999998</v>
      </c>
      <c r="I10" s="265">
        <f>Evaluacion!P11</f>
        <v>5.4050000000000002</v>
      </c>
      <c r="J10" s="265">
        <f>Evaluacion!Q11</f>
        <v>17.500000000000004</v>
      </c>
      <c r="L10" t="str">
        <f t="shared" si="0"/>
        <v>EXTN</v>
      </c>
      <c r="M10" s="596">
        <v>1</v>
      </c>
      <c r="N10" s="597">
        <f>Evaluacion!BT11</f>
        <v>2.8702026850871984</v>
      </c>
      <c r="O10" s="597">
        <f>Evaluacion!BU11</f>
        <v>2.4659487857791427</v>
      </c>
      <c r="P10" s="597">
        <v>0</v>
      </c>
      <c r="Q10" s="597">
        <f>Evaluacion!BV11</f>
        <v>6.1225002258412626</v>
      </c>
      <c r="R10" s="597">
        <f>Evaluacion!BW11</f>
        <v>17.3318572532574</v>
      </c>
      <c r="S10" s="597">
        <f>Evaluacion!BX11</f>
        <v>1.5991413787402029</v>
      </c>
      <c r="T10" s="597">
        <v>0</v>
      </c>
      <c r="U10" s="597">
        <v>0</v>
      </c>
      <c r="V10" s="597">
        <f>Evaluacion!T11</f>
        <v>0.79525000000000001</v>
      </c>
      <c r="W10" s="597">
        <f>Evaluacion!U11</f>
        <v>0.8150121212121213</v>
      </c>
      <c r="AA10" s="603"/>
    </row>
    <row r="11" spans="1:27" x14ac:dyDescent="0.25">
      <c r="A11" t="s">
        <v>806</v>
      </c>
      <c r="B11" t="str">
        <f>Evaluacion!A12</f>
        <v>S. Zobbe</v>
      </c>
      <c r="C11" t="str">
        <f>Evaluacion!D12</f>
        <v>CAB</v>
      </c>
      <c r="D11" s="265">
        <f>Evaluacion!K12</f>
        <v>0</v>
      </c>
      <c r="E11" s="265">
        <f>Evaluacion!L12</f>
        <v>8.3599999999999977</v>
      </c>
      <c r="F11" s="265">
        <f>Evaluacion!M12</f>
        <v>12.253412698412699</v>
      </c>
      <c r="G11" s="265">
        <f>Evaluacion!N12</f>
        <v>12.36</v>
      </c>
      <c r="H11" s="265">
        <f>Evaluacion!O12</f>
        <v>10.24</v>
      </c>
      <c r="I11" s="265">
        <f>Evaluacion!P12</f>
        <v>7.4766666666666666</v>
      </c>
      <c r="J11" s="265">
        <f>Evaluacion!Q12</f>
        <v>15.47</v>
      </c>
      <c r="L11" t="str">
        <f t="shared" si="0"/>
        <v>EXTN</v>
      </c>
      <c r="M11" s="596">
        <v>1</v>
      </c>
      <c r="N11" s="597">
        <v>0</v>
      </c>
      <c r="O11" s="597">
        <f>Evaluacion!BU12</f>
        <v>2.7162868964042599</v>
      </c>
      <c r="P11" s="597">
        <f>Evaluacion!BT12</f>
        <v>3.1615798302410232</v>
      </c>
      <c r="Q11" s="597">
        <f>Evaluacion!BV12</f>
        <v>6.8367099001709688</v>
      </c>
      <c r="R11" s="597">
        <v>0</v>
      </c>
      <c r="S11" s="597">
        <f>Evaluacion!BX12</f>
        <v>1.574491124856211</v>
      </c>
      <c r="T11" s="597">
        <f>Evaluacion!BW12</f>
        <v>16.24933426727836</v>
      </c>
      <c r="U11" s="597">
        <v>0</v>
      </c>
      <c r="V11" s="597">
        <f>Evaluacion!T12</f>
        <v>0.83793333333333331</v>
      </c>
      <c r="W11" s="597">
        <f>Evaluacion!U12</f>
        <v>0.79849999999999999</v>
      </c>
      <c r="AA11" s="603"/>
    </row>
    <row r="12" spans="1:27" x14ac:dyDescent="0.25">
      <c r="A12" t="s">
        <v>602</v>
      </c>
      <c r="B12" t="str">
        <f>Evaluacion!A20</f>
        <v>L. Calosso</v>
      </c>
      <c r="C12" t="str">
        <f>Evaluacion!D20</f>
        <v>TEC</v>
      </c>
      <c r="D12" s="265">
        <f>Evaluacion!K20</f>
        <v>0</v>
      </c>
      <c r="E12" s="265">
        <f>Evaluacion!L20</f>
        <v>3.02</v>
      </c>
      <c r="F12" s="265">
        <f>Evaluacion!M20</f>
        <v>14.277609523809524</v>
      </c>
      <c r="G12" s="265">
        <f>Evaluacion!N20</f>
        <v>3.04</v>
      </c>
      <c r="H12" s="265">
        <f>Evaluacion!O20</f>
        <v>15.02</v>
      </c>
      <c r="I12" s="265">
        <f>Evaluacion!P20</f>
        <v>10</v>
      </c>
      <c r="J12" s="265">
        <f>Evaluacion!Q20</f>
        <v>9.6000000000000014</v>
      </c>
      <c r="L12" t="str">
        <f t="shared" si="0"/>
        <v>DD</v>
      </c>
      <c r="M12" s="596">
        <v>1</v>
      </c>
      <c r="N12" s="597">
        <v>0</v>
      </c>
      <c r="O12" s="597">
        <v>0</v>
      </c>
      <c r="P12" s="597">
        <v>0</v>
      </c>
      <c r="Q12" s="597">
        <f>M12*Evaluacion!CD20</f>
        <v>6.9585132738965267</v>
      </c>
      <c r="R12" s="597">
        <f>M12*Evaluacion!CE20</f>
        <v>8.312293024988044</v>
      </c>
      <c r="S12" s="597">
        <f>M12*Evaluacion!CF20</f>
        <v>17.208005534336998</v>
      </c>
      <c r="T12" s="597">
        <f>R12</f>
        <v>8.312293024988044</v>
      </c>
      <c r="U12" s="597">
        <v>0</v>
      </c>
      <c r="V12" s="597">
        <f>Evaluacion!T20*M12</f>
        <v>0.78800000000000003</v>
      </c>
      <c r="W12" s="597">
        <f>Evaluacion!U20*M12</f>
        <v>0.40880000000000011</v>
      </c>
      <c r="AA12" s="603"/>
    </row>
    <row r="13" spans="1:27" x14ac:dyDescent="0.25">
      <c r="L13" s="263"/>
      <c r="M13" s="444"/>
      <c r="N13" s="598">
        <f>SUM(N2:N12)</f>
        <v>52.462180739227833</v>
      </c>
      <c r="O13" s="598">
        <f t="shared" ref="O13:W13" si="1">SUM(O2:O12)</f>
        <v>80.970757575371522</v>
      </c>
      <c r="P13" s="598">
        <f t="shared" si="1"/>
        <v>50.545666902496862</v>
      </c>
      <c r="Q13" s="598">
        <f t="shared" si="1"/>
        <v>61.523949766306345</v>
      </c>
      <c r="R13" s="598">
        <f t="shared" si="1"/>
        <v>48.112729397902704</v>
      </c>
      <c r="S13" s="598">
        <f t="shared" si="1"/>
        <v>26.137896385273397</v>
      </c>
      <c r="T13" s="598">
        <f t="shared" si="1"/>
        <v>47.916111396353593</v>
      </c>
      <c r="U13" s="599">
        <f t="shared" si="1"/>
        <v>21.247999999999998</v>
      </c>
      <c r="V13" s="599">
        <f t="shared" si="1"/>
        <v>7.4184375515873011</v>
      </c>
      <c r="W13" s="599">
        <f t="shared" si="1"/>
        <v>9.0510623210567225</v>
      </c>
    </row>
    <row r="14" spans="1:27" ht="15.75" x14ac:dyDescent="0.25">
      <c r="L14" s="263"/>
      <c r="M14" s="263" t="s">
        <v>811</v>
      </c>
      <c r="N14" s="600">
        <f>N13*0.34</f>
        <v>17.837141451337466</v>
      </c>
      <c r="O14" s="600">
        <f>O13*0.245</f>
        <v>19.837835605966024</v>
      </c>
      <c r="P14" s="600">
        <f>P13*0.34</f>
        <v>17.185526746848936</v>
      </c>
      <c r="Q14" s="600">
        <f>Q13*0.125</f>
        <v>7.6904937207882931</v>
      </c>
      <c r="R14" s="600">
        <f>R13*0.25</f>
        <v>12.028182349475676</v>
      </c>
      <c r="S14" s="600">
        <f>S13*0.19</f>
        <v>4.9662003132019459</v>
      </c>
      <c r="T14" s="600">
        <f>T13*0.25</f>
        <v>11.979027849088398</v>
      </c>
    </row>
    <row r="15" spans="1:27" ht="15.75" x14ac:dyDescent="0.25">
      <c r="L15" s="263"/>
      <c r="M15" s="263" t="s">
        <v>812</v>
      </c>
      <c r="N15" s="610">
        <f>N14*1.2/1.05</f>
        <v>20.385304515814244</v>
      </c>
      <c r="O15" s="610">
        <f t="shared" ref="O15:P15" si="2">O14*1.2/1.05</f>
        <v>22.671812121104026</v>
      </c>
      <c r="P15" s="610">
        <f t="shared" si="2"/>
        <v>19.640601996398782</v>
      </c>
      <c r="Q15" s="610">
        <f>Q14</f>
        <v>7.6904937207882931</v>
      </c>
      <c r="R15" s="610">
        <f>R14*0.925/1.05</f>
        <v>10.596255879300001</v>
      </c>
      <c r="S15" s="610">
        <f t="shared" ref="S15:T15" si="3">S14*0.925/1.05</f>
        <v>4.3749859902017141</v>
      </c>
      <c r="T15" s="610">
        <f t="shared" si="3"/>
        <v>10.552953105149303</v>
      </c>
    </row>
    <row r="16" spans="1:27" ht="15.75" x14ac:dyDescent="0.25">
      <c r="L16" s="263"/>
      <c r="M16" s="263" t="s">
        <v>813</v>
      </c>
      <c r="N16" s="610">
        <f>N14*0.925/1.05</f>
        <v>15.713672230940148</v>
      </c>
      <c r="O16" s="610">
        <f t="shared" ref="O16:P16" si="4">O14*0.925/1.05</f>
        <v>17.476188510017689</v>
      </c>
      <c r="P16" s="610">
        <f t="shared" si="4"/>
        <v>15.139630705557396</v>
      </c>
      <c r="Q16" s="610">
        <f>Q15</f>
        <v>7.6904937207882931</v>
      </c>
      <c r="R16" s="610">
        <f>R14*1.135/1.05</f>
        <v>13.001892349195135</v>
      </c>
      <c r="S16" s="610">
        <f t="shared" ref="S16:T16" si="5">S14*1.135/1.05</f>
        <v>5.3682260528421031</v>
      </c>
      <c r="T16" s="610">
        <f t="shared" si="5"/>
        <v>12.948758674966982</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1" bestFit="1" customWidth="1"/>
    <col min="13" max="13" width="6.5703125" style="617" customWidth="1"/>
    <col min="14" max="14" width="8.28515625" style="611"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9">
        <f>SUM(Y4:Y12)</f>
        <v>0.23658764552873529</v>
      </c>
      <c r="Z2" s="619">
        <f>SUM(Z4:Z12)</f>
        <v>0.33824859010884656</v>
      </c>
      <c r="AA2" s="619"/>
      <c r="AD2" s="493" t="s">
        <v>276</v>
      </c>
      <c r="AE2" s="493" t="s">
        <v>179</v>
      </c>
      <c r="AG2" s="493" t="s">
        <v>276</v>
      </c>
      <c r="AH2" s="493"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841</v>
      </c>
      <c r="O3" s="616" t="s">
        <v>1</v>
      </c>
      <c r="P3" s="614" t="s">
        <v>804</v>
      </c>
      <c r="Q3" s="613" t="s">
        <v>834</v>
      </c>
      <c r="R3" s="613" t="s">
        <v>840</v>
      </c>
      <c r="S3" s="613" t="s">
        <v>835</v>
      </c>
      <c r="T3" s="613" t="s">
        <v>805</v>
      </c>
      <c r="U3" s="613" t="s">
        <v>503</v>
      </c>
      <c r="V3" s="613" t="s">
        <v>839</v>
      </c>
      <c r="W3" s="614" t="s">
        <v>602</v>
      </c>
      <c r="X3" s="614" t="s">
        <v>66</v>
      </c>
      <c r="Y3" s="613" t="s">
        <v>837</v>
      </c>
      <c r="Z3" s="616" t="s">
        <v>838</v>
      </c>
      <c r="AA3" s="616" t="s">
        <v>843</v>
      </c>
      <c r="AD3" t="s">
        <v>1</v>
      </c>
      <c r="AE3" t="s">
        <v>782</v>
      </c>
      <c r="AG3" t="s">
        <v>1</v>
      </c>
      <c r="AH3" t="s">
        <v>782</v>
      </c>
    </row>
    <row r="4" spans="1:34" x14ac:dyDescent="0.25">
      <c r="A4" s="287" t="str">
        <f>PLANTILLA!A17</f>
        <v>#12</v>
      </c>
      <c r="B4" s="169" t="str">
        <f>PLANTILLA!D17</f>
        <v>E. Gross</v>
      </c>
      <c r="C4" s="5">
        <f>PLANTILLA!E17</f>
        <v>31</v>
      </c>
      <c r="D4" s="5">
        <f ca="1">PLANTILLA!F17</f>
        <v>20</v>
      </c>
      <c r="E4" s="163">
        <f>PLANTILLA!X17</f>
        <v>0</v>
      </c>
      <c r="F4" s="163">
        <f>PLANTILLA!Y17</f>
        <v>10.549999999999995</v>
      </c>
      <c r="G4" s="163">
        <f>PLANTILLA!Z17</f>
        <v>12.939777777777776</v>
      </c>
      <c r="H4" s="163">
        <f>PLANTILLA!AA17</f>
        <v>5.1399999999999979</v>
      </c>
      <c r="I4" s="163">
        <f>PLANTILLA!AB17</f>
        <v>9.24</v>
      </c>
      <c r="J4" s="163">
        <f>PLANTILLA!AC17</f>
        <v>2.98</v>
      </c>
      <c r="K4" s="163">
        <f>PLANTILLA!AD17</f>
        <v>17.059999999999999</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6">
        <f>P4</f>
        <v>6.6819197896120994E-2</v>
      </c>
      <c r="Z4" s="406">
        <f>P4</f>
        <v>6.6819197896120994E-2</v>
      </c>
      <c r="AA4" s="406">
        <f t="shared" ref="AA4:AA23" si="9">MAX(Z4,Y4)</f>
        <v>6.6819197896120994E-2</v>
      </c>
      <c r="AD4" t="s">
        <v>803</v>
      </c>
      <c r="AE4" s="635" t="s">
        <v>856</v>
      </c>
      <c r="AG4" t="s">
        <v>803</v>
      </c>
      <c r="AH4" s="635" t="str">
        <f>AE4</f>
        <v>B. Pinczehelyi</v>
      </c>
    </row>
    <row r="5" spans="1:34" x14ac:dyDescent="0.25">
      <c r="A5" s="287" t="str">
        <f>PLANTILLA!A10</f>
        <v>#3</v>
      </c>
      <c r="B5" s="169" t="str">
        <f>PLANTILLA!D10</f>
        <v>B. Bartolache</v>
      </c>
      <c r="C5" s="5">
        <f>PLANTILLA!E10</f>
        <v>31</v>
      </c>
      <c r="D5" s="5">
        <f ca="1">PLANTILLA!F10</f>
        <v>56</v>
      </c>
      <c r="E5" s="163">
        <f>PLANTILLA!X10</f>
        <v>0</v>
      </c>
      <c r="F5" s="163">
        <f>PLANTILLA!Y10</f>
        <v>11.999999999999996</v>
      </c>
      <c r="G5" s="163">
        <f>PLANTILLA!Z10</f>
        <v>7.0225000000000017</v>
      </c>
      <c r="H5" s="163">
        <f>PLANTILLA!AA10</f>
        <v>7.5000000000000018</v>
      </c>
      <c r="I5" s="163">
        <f>PLANTILLA!AB10</f>
        <v>9.0199999999999978</v>
      </c>
      <c r="J5" s="163">
        <f>PLANTILLA!AC10</f>
        <v>4.6199999999999966</v>
      </c>
      <c r="K5" s="163">
        <f>PLANTILLA!AD10</f>
        <v>15.799999999999999</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6"/>
      <c r="Z5" s="406">
        <f>R5</f>
        <v>4.8982336182336182E-2</v>
      </c>
      <c r="AA5" s="406">
        <f t="shared" si="9"/>
        <v>4.8982336182336182E-2</v>
      </c>
      <c r="AD5" t="s">
        <v>804</v>
      </c>
      <c r="AE5" t="s">
        <v>272</v>
      </c>
      <c r="AG5" t="s">
        <v>815</v>
      </c>
      <c r="AH5" t="s">
        <v>273</v>
      </c>
    </row>
    <row r="6" spans="1:34" x14ac:dyDescent="0.25">
      <c r="A6" s="287" t="str">
        <f>PLANTILLA!A8</f>
        <v>#8</v>
      </c>
      <c r="B6" s="169" t="str">
        <f>PLANTILLA!D8</f>
        <v>D. Toh</v>
      </c>
      <c r="C6" s="5">
        <f>PLANTILLA!E8</f>
        <v>32</v>
      </c>
      <c r="D6" s="5">
        <f ca="1">PLANTILLA!F8</f>
        <v>5</v>
      </c>
      <c r="E6" s="163">
        <f>PLANTILLA!X8</f>
        <v>0</v>
      </c>
      <c r="F6" s="163">
        <f>PLANTILLA!Y8</f>
        <v>11.077333333333334</v>
      </c>
      <c r="G6" s="163">
        <f>PLANTILLA!Z8</f>
        <v>6.2194444444444406</v>
      </c>
      <c r="H6" s="163">
        <f>PLANTILLA!AA8</f>
        <v>6.1</v>
      </c>
      <c r="I6" s="163">
        <f>PLANTILLA!AB8</f>
        <v>7.7227777777777789</v>
      </c>
      <c r="J6" s="163">
        <f>PLANTILLA!AC8</f>
        <v>3.9933333333333318</v>
      </c>
      <c r="K6" s="163">
        <f>PLANTILLA!AD8</f>
        <v>15.387777777777776</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6"/>
      <c r="Z6" s="406">
        <f>R6</f>
        <v>4.8982336182336182E-2</v>
      </c>
      <c r="AA6" s="406">
        <f t="shared" si="9"/>
        <v>4.8982336182336182E-2</v>
      </c>
      <c r="AD6" t="s">
        <v>803</v>
      </c>
      <c r="AE6" t="s">
        <v>269</v>
      </c>
      <c r="AG6" t="s">
        <v>814</v>
      </c>
      <c r="AH6" t="s">
        <v>269</v>
      </c>
    </row>
    <row r="7" spans="1:34" x14ac:dyDescent="0.25">
      <c r="A7" s="287" t="str">
        <f>PLANTILLA!A9</f>
        <v>#2</v>
      </c>
      <c r="B7" s="169" t="str">
        <f>PLANTILLA!D9</f>
        <v>E. Toney</v>
      </c>
      <c r="C7" s="5">
        <f>PLANTILLA!E9</f>
        <v>31</v>
      </c>
      <c r="D7" s="5">
        <f ca="1">PLANTILLA!F9</f>
        <v>71</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16.827777777777772</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6">
        <f>S7</f>
        <v>3.930579297245964E-2</v>
      </c>
      <c r="Z7" s="406">
        <f>R7</f>
        <v>4.0818613485280153E-2</v>
      </c>
      <c r="AA7" s="406">
        <f t="shared" si="9"/>
        <v>4.0818613485280153E-2</v>
      </c>
      <c r="AD7" t="s">
        <v>503</v>
      </c>
      <c r="AE7" t="s">
        <v>618</v>
      </c>
      <c r="AG7" t="s">
        <v>815</v>
      </c>
      <c r="AH7" t="s">
        <v>275</v>
      </c>
    </row>
    <row r="8" spans="1:34" x14ac:dyDescent="0.25">
      <c r="A8" s="287" t="str">
        <f>PLANTILLA!A12</f>
        <v>#7</v>
      </c>
      <c r="B8" s="169" t="str">
        <f>PLANTILLA!D12</f>
        <v>E. Romweber</v>
      </c>
      <c r="C8" s="5">
        <f>PLANTILLA!E12</f>
        <v>31</v>
      </c>
      <c r="D8" s="5">
        <f ca="1">PLANTILLA!F12</f>
        <v>33</v>
      </c>
      <c r="E8" s="163">
        <f>PLANTILLA!X12</f>
        <v>0</v>
      </c>
      <c r="F8" s="163">
        <f>PLANTILLA!Y12</f>
        <v>12.06111111111111</v>
      </c>
      <c r="G8" s="163">
        <f>PLANTILLA!Z12</f>
        <v>12.614111111111114</v>
      </c>
      <c r="H8" s="163">
        <f>PLANTILLA!AA12</f>
        <v>13.216666666666669</v>
      </c>
      <c r="I8" s="163">
        <f>PLANTILLA!AB12</f>
        <v>10.91</v>
      </c>
      <c r="J8" s="163">
        <f>PLANTILLA!AC12</f>
        <v>7.7700000000000005</v>
      </c>
      <c r="K8" s="163">
        <f>PLANTILLA!AD12</f>
        <v>17.329999999999998</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6">
        <f>V8</f>
        <v>9.3280555555555547E-3</v>
      </c>
      <c r="Z8" s="406">
        <f>S8</f>
        <v>3.930579297245964E-2</v>
      </c>
      <c r="AA8" s="406">
        <f t="shared" si="9"/>
        <v>3.930579297245964E-2</v>
      </c>
      <c r="AD8" t="s">
        <v>805</v>
      </c>
      <c r="AE8" t="s">
        <v>400</v>
      </c>
      <c r="AG8" t="s">
        <v>803</v>
      </c>
      <c r="AH8" t="s">
        <v>816</v>
      </c>
    </row>
    <row r="9" spans="1:34" x14ac:dyDescent="0.25">
      <c r="A9" s="287" t="str">
        <f>PLANTILLA!A20</f>
        <v>#19</v>
      </c>
      <c r="B9" s="169" t="str">
        <f>PLANTILLA!D20</f>
        <v>G. Kerschl</v>
      </c>
      <c r="C9" s="5">
        <f>PLANTILLA!E20</f>
        <v>29</v>
      </c>
      <c r="D9" s="5">
        <f ca="1">PLANTILLA!F20</f>
        <v>22</v>
      </c>
      <c r="E9" s="163">
        <f>PLANTILLA!X20</f>
        <v>0</v>
      </c>
      <c r="F9" s="163">
        <f>PLANTILLA!Y20</f>
        <v>3</v>
      </c>
      <c r="G9" s="163">
        <f>PLANTILLA!Z20</f>
        <v>15.07</v>
      </c>
      <c r="H9" s="163">
        <f>PLANTILLA!AA20</f>
        <v>12.02</v>
      </c>
      <c r="I9" s="163">
        <f>PLANTILLA!AB20</f>
        <v>12</v>
      </c>
      <c r="J9" s="163">
        <f>PLANTILLA!AC20</f>
        <v>8</v>
      </c>
      <c r="K9" s="163">
        <f>PLANTILLA!AD20</f>
        <v>3</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6">
        <f>U9</f>
        <v>3.6839999999999998E-2</v>
      </c>
      <c r="Z9" s="406">
        <f>U9</f>
        <v>3.6839999999999998E-2</v>
      </c>
      <c r="AA9" s="406">
        <f t="shared" si="9"/>
        <v>3.6839999999999998E-2</v>
      </c>
      <c r="AD9" t="s">
        <v>503</v>
      </c>
      <c r="AE9" t="s">
        <v>285</v>
      </c>
      <c r="AG9" t="s">
        <v>503</v>
      </c>
      <c r="AH9" t="s">
        <v>285</v>
      </c>
    </row>
    <row r="10" spans="1:34" x14ac:dyDescent="0.25">
      <c r="A10" s="287" t="str">
        <f>PLANTILLA!A7</f>
        <v>#17</v>
      </c>
      <c r="B10" s="169" t="str">
        <f>PLANTILLA!D7</f>
        <v>B. Pinczehelyi</v>
      </c>
      <c r="C10" s="5">
        <f>PLANTILLA!E7</f>
        <v>30</v>
      </c>
      <c r="D10" s="5">
        <f ca="1">PLANTILLA!F7</f>
        <v>72</v>
      </c>
      <c r="E10" s="163">
        <f>PLANTILLA!X7</f>
        <v>0</v>
      </c>
      <c r="F10" s="163">
        <f>PLANTILLA!Y7</f>
        <v>14.300000000000004</v>
      </c>
      <c r="G10" s="163">
        <f>PLANTILLA!Z7</f>
        <v>9.3793333333333351</v>
      </c>
      <c r="H10" s="163">
        <f>PLANTILLA!AA7</f>
        <v>14.333333333333329</v>
      </c>
      <c r="I10" s="163">
        <f>PLANTILLA!AB7</f>
        <v>9.4199999999999982</v>
      </c>
      <c r="J10" s="163">
        <f>PLANTILLA!AC7</f>
        <v>1.1428571428571428</v>
      </c>
      <c r="K10" s="163">
        <f>PLANTILLA!AD7</f>
        <v>9.8000000000000007</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6">
        <f>S10</f>
        <v>2.8300170940170941E-2</v>
      </c>
      <c r="Z10" s="406">
        <f>S10</f>
        <v>2.8300170940170941E-2</v>
      </c>
      <c r="AA10" s="406">
        <f t="shared" si="9"/>
        <v>2.8300170940170941E-2</v>
      </c>
      <c r="AD10" t="s">
        <v>806</v>
      </c>
      <c r="AE10" t="s">
        <v>816</v>
      </c>
      <c r="AG10" t="s">
        <v>503</v>
      </c>
      <c r="AH10" t="s">
        <v>618</v>
      </c>
    </row>
    <row r="11" spans="1:34" x14ac:dyDescent="0.25">
      <c r="A11" s="287" t="str">
        <f>PLANTILLA!A5</f>
        <v>#1</v>
      </c>
      <c r="B11" s="169" t="str">
        <f>PLANTILLA!D5</f>
        <v>D. Gehmacher</v>
      </c>
      <c r="C11" s="5">
        <f>PLANTILLA!E5</f>
        <v>30</v>
      </c>
      <c r="D11" s="5">
        <f ca="1">PLANTILLA!F5</f>
        <v>60</v>
      </c>
      <c r="E11" s="163">
        <f>PLANTILLA!X5</f>
        <v>16.666666666666668</v>
      </c>
      <c r="F11" s="163">
        <f>PLANTILLA!Y5</f>
        <v>12.080559440559444</v>
      </c>
      <c r="G11" s="163">
        <f>PLANTILLA!Z5</f>
        <v>2.0699999999999985</v>
      </c>
      <c r="H11" s="163">
        <f>PLANTILLA!AA5</f>
        <v>2.149999999999999</v>
      </c>
      <c r="I11" s="163">
        <f>PLANTILLA!AB5</f>
        <v>1.0400000000000003</v>
      </c>
      <c r="J11" s="163">
        <f>PLANTILLA!AC5</f>
        <v>0.14055555555555557</v>
      </c>
      <c r="K11" s="163">
        <f>PLANTILLA!AD5</f>
        <v>17.949999999999996</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6">
        <f>O11</f>
        <v>2.8200142450142449E-2</v>
      </c>
      <c r="Z11" s="406">
        <f>O11</f>
        <v>2.8200142450142449E-2</v>
      </c>
      <c r="AA11" s="406">
        <f t="shared" si="9"/>
        <v>2.8200142450142449E-2</v>
      </c>
      <c r="AD11" t="s">
        <v>806</v>
      </c>
      <c r="AE11" t="s">
        <v>298</v>
      </c>
      <c r="AG11" t="s">
        <v>806</v>
      </c>
      <c r="AH11" t="s">
        <v>298</v>
      </c>
    </row>
    <row r="12" spans="1:34" x14ac:dyDescent="0.25">
      <c r="A12" s="287" t="str">
        <f>PLANTILLA!A18</f>
        <v>#5</v>
      </c>
      <c r="B12" s="169" t="str">
        <f>PLANTILLA!D18</f>
        <v>L. Bauman</v>
      </c>
      <c r="C12" s="5">
        <f>PLANTILLA!E18</f>
        <v>30</v>
      </c>
      <c r="D12" s="5">
        <f ca="1">PLANTILLA!F18</f>
        <v>107</v>
      </c>
      <c r="E12" s="163">
        <f>PLANTILLA!X18</f>
        <v>0</v>
      </c>
      <c r="F12" s="163">
        <f>PLANTILLA!Y18</f>
        <v>5.4644444444444451</v>
      </c>
      <c r="G12" s="163">
        <f>PLANTILLA!Z18</f>
        <v>14.42664708994708</v>
      </c>
      <c r="H12" s="163">
        <f>PLANTILLA!AA18</f>
        <v>3.5124999999999993</v>
      </c>
      <c r="I12" s="163">
        <f>PLANTILLA!AB18</f>
        <v>9.1400000000000041</v>
      </c>
      <c r="J12" s="163">
        <f>PLANTILLA!AC18</f>
        <v>7.4318888888888894</v>
      </c>
      <c r="K12" s="163">
        <f>PLANTILLA!AD18</f>
        <v>16.27</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6">
        <f>T12</f>
        <v>2.7794285714285716E-2</v>
      </c>
      <c r="Z12" s="406">
        <f>W12</f>
        <v>0</v>
      </c>
      <c r="AA12" s="406">
        <f t="shared" si="9"/>
        <v>2.7794285714285716E-2</v>
      </c>
      <c r="AD12" t="s">
        <v>66</v>
      </c>
      <c r="AE12" t="s">
        <v>287</v>
      </c>
      <c r="AG12" t="s">
        <v>806</v>
      </c>
      <c r="AH12" t="s">
        <v>507</v>
      </c>
    </row>
    <row r="13" spans="1:34" x14ac:dyDescent="0.25">
      <c r="A13" s="287" t="str">
        <f>PLANTILLA!A13</f>
        <v>#11</v>
      </c>
      <c r="B13" s="169" t="str">
        <f>PLANTILLA!D13</f>
        <v>K. Helms</v>
      </c>
      <c r="C13" s="5">
        <f>PLANTILLA!E13</f>
        <v>30</v>
      </c>
      <c r="D13" s="5">
        <f ca="1">PLANTILLA!F13</f>
        <v>92</v>
      </c>
      <c r="E13" s="163">
        <f>PLANTILLA!X13</f>
        <v>0</v>
      </c>
      <c r="F13" s="163">
        <f>PLANTILLA!Y13</f>
        <v>7.2503030303030309</v>
      </c>
      <c r="G13" s="163">
        <f>PLANTILLA!Z13</f>
        <v>10.600000000000005</v>
      </c>
      <c r="H13" s="163">
        <f>PLANTILLA!AA13</f>
        <v>13.471666666666668</v>
      </c>
      <c r="I13" s="163">
        <f>PLANTILLA!AB13</f>
        <v>10.359999999999998</v>
      </c>
      <c r="J13" s="163">
        <f>PLANTILLA!AC13</f>
        <v>5.4050000000000002</v>
      </c>
      <c r="K13" s="163">
        <f>PLANTILLA!AD13</f>
        <v>17.500000000000004</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6">
        <f>V13</f>
        <v>2.0988125E-2</v>
      </c>
      <c r="Z13" s="406">
        <f>V13</f>
        <v>2.0988125E-2</v>
      </c>
      <c r="AA13" s="406">
        <f t="shared" si="9"/>
        <v>2.0988125E-2</v>
      </c>
      <c r="AD13" t="s">
        <v>66</v>
      </c>
      <c r="AE13" t="s">
        <v>507</v>
      </c>
      <c r="AG13" t="s">
        <v>66</v>
      </c>
      <c r="AH13" t="s">
        <v>287</v>
      </c>
    </row>
    <row r="14" spans="1:34" x14ac:dyDescent="0.25">
      <c r="A14" s="287" t="str">
        <f>PLANTILLA!A14</f>
        <v>#10</v>
      </c>
      <c r="B14" s="219" t="str">
        <f>PLANTILLA!D14</f>
        <v>S. Zobbe</v>
      </c>
      <c r="C14" s="5">
        <f>PLANTILLA!E14</f>
        <v>27</v>
      </c>
      <c r="D14" s="5">
        <f ca="1">PLANTILLA!F14</f>
        <v>107</v>
      </c>
      <c r="E14" s="163">
        <f>PLANTILLA!X14</f>
        <v>0</v>
      </c>
      <c r="F14" s="163">
        <f>PLANTILLA!Y14</f>
        <v>8.3599999999999977</v>
      </c>
      <c r="G14" s="163">
        <f>PLANTILLA!Z14</f>
        <v>12.253412698412699</v>
      </c>
      <c r="H14" s="163">
        <f>PLANTILLA!AA14</f>
        <v>12.36</v>
      </c>
      <c r="I14" s="163">
        <f>PLANTILLA!AB14</f>
        <v>10.24</v>
      </c>
      <c r="J14" s="163">
        <f>PLANTILLA!AC14</f>
        <v>7.4766666666666666</v>
      </c>
      <c r="K14" s="163">
        <f>PLANTILLA!AD14</f>
        <v>15.47</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6">
        <f>V14</f>
        <v>1.8656111111111109E-2</v>
      </c>
      <c r="Z14" s="406">
        <f>V14</f>
        <v>1.8656111111111109E-2</v>
      </c>
      <c r="AA14" s="406">
        <f t="shared" si="9"/>
        <v>1.8656111111111109E-2</v>
      </c>
    </row>
    <row r="15" spans="1:34" x14ac:dyDescent="0.25">
      <c r="A15" s="287" t="str">
        <f>PLANTILLA!A15</f>
        <v>#6</v>
      </c>
      <c r="B15" s="219" t="str">
        <f>PLANTILLA!D15</f>
        <v>S. Buschelman</v>
      </c>
      <c r="C15" s="5">
        <f>PLANTILLA!E15</f>
        <v>29</v>
      </c>
      <c r="D15" s="5">
        <f ca="1">PLANTILLA!F15</f>
        <v>104</v>
      </c>
      <c r="E15" s="163">
        <f>PLANTILLA!X15</f>
        <v>0</v>
      </c>
      <c r="F15" s="163">
        <f>PLANTILLA!Y15</f>
        <v>9.3036666666666648</v>
      </c>
      <c r="G15" s="163">
        <f>PLANTILLA!Z15</f>
        <v>13.909999999999998</v>
      </c>
      <c r="H15" s="163">
        <f>PLANTILLA!AA15</f>
        <v>12.945</v>
      </c>
      <c r="I15" s="163">
        <f>PLANTILLA!AB15</f>
        <v>9.6733333333333356</v>
      </c>
      <c r="J15" s="163">
        <f>PLANTILLA!AC15</f>
        <v>5.0296666666666656</v>
      </c>
      <c r="K15" s="163">
        <f>PLANTILLA!AD15</f>
        <v>15.399999999999999</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6">
        <f>U15</f>
        <v>1.8419999999999999E-2</v>
      </c>
      <c r="Z15" s="406">
        <f>U15</f>
        <v>1.8419999999999999E-2</v>
      </c>
      <c r="AA15" s="406">
        <f t="shared" si="9"/>
        <v>1.8419999999999999E-2</v>
      </c>
    </row>
    <row r="16" spans="1:34" x14ac:dyDescent="0.25">
      <c r="A16" s="287" t="str">
        <f>PLANTILLA!A16</f>
        <v>#4</v>
      </c>
      <c r="B16" s="219" t="str">
        <f>PLANTILLA!D16</f>
        <v>C. Rojas</v>
      </c>
      <c r="C16" s="5">
        <f>PLANTILLA!E16</f>
        <v>32</v>
      </c>
      <c r="D16" s="5">
        <f ca="1">PLANTILLA!F16</f>
        <v>26</v>
      </c>
      <c r="E16" s="163">
        <f>PLANTILLA!X16</f>
        <v>0</v>
      </c>
      <c r="F16" s="163">
        <f>PLANTILLA!Y16</f>
        <v>8.6275555555555581</v>
      </c>
      <c r="G16" s="163">
        <f>PLANTILLA!Z16</f>
        <v>14.333255555555548</v>
      </c>
      <c r="H16" s="163">
        <f>PLANTILLA!AA16</f>
        <v>9.99</v>
      </c>
      <c r="I16" s="163">
        <f>PLANTILLA!AB16</f>
        <v>10.09</v>
      </c>
      <c r="J16" s="163">
        <f>PLANTILLA!AC16</f>
        <v>4.3999999999999995</v>
      </c>
      <c r="K16" s="163">
        <f>PLANTILLA!AD16</f>
        <v>16.74444444444444</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6">
        <f>U16</f>
        <v>1.6745454545454543E-2</v>
      </c>
      <c r="Z16" s="406">
        <f>U16</f>
        <v>1.6745454545454543E-2</v>
      </c>
      <c r="AA16" s="406">
        <f t="shared" si="9"/>
        <v>1.6745454545454543E-2</v>
      </c>
    </row>
    <row r="17" spans="1:27" x14ac:dyDescent="0.25">
      <c r="A17" s="287" t="str">
        <f>PLANTILLA!A21</f>
        <v>#9</v>
      </c>
      <c r="B17" s="287" t="str">
        <f>PLANTILLA!D21</f>
        <v>J. Limon</v>
      </c>
      <c r="C17" s="5">
        <f>PLANTILLA!E21</f>
        <v>30</v>
      </c>
      <c r="D17" s="5">
        <f ca="1">PLANTILLA!F21</f>
        <v>32</v>
      </c>
      <c r="E17" s="163">
        <f>PLANTILLA!X21</f>
        <v>0</v>
      </c>
      <c r="F17" s="163">
        <f>PLANTILLA!Y21</f>
        <v>6.8376190476190493</v>
      </c>
      <c r="G17" s="163">
        <f>PLANTILLA!Z21</f>
        <v>8.6449999999999996</v>
      </c>
      <c r="H17" s="163">
        <f>PLANTILLA!AA21</f>
        <v>8.7399999999999967</v>
      </c>
      <c r="I17" s="163">
        <f>PLANTILLA!AB21</f>
        <v>9.6900000000000013</v>
      </c>
      <c r="J17" s="163">
        <f>PLANTILLA!AC21</f>
        <v>8.5625000000000018</v>
      </c>
      <c r="K17" s="163">
        <f>PLANTILLA!AD21</f>
        <v>18.789999999999992</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6">
        <v>0</v>
      </c>
      <c r="Z17" s="406">
        <v>0</v>
      </c>
      <c r="AA17" s="406">
        <f t="shared" si="9"/>
        <v>0</v>
      </c>
    </row>
    <row r="18" spans="1:27" x14ac:dyDescent="0.25">
      <c r="A18" s="287" t="str">
        <f>PLANTILLA!A23</f>
        <v>#15</v>
      </c>
      <c r="B18" s="287" t="str">
        <f>PLANTILLA!D23</f>
        <v>P .Trivadi</v>
      </c>
      <c r="C18" s="5">
        <f>PLANTILLA!E23</f>
        <v>27</v>
      </c>
      <c r="D18" s="5">
        <f ca="1">PLANTILLA!F23</f>
        <v>63</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6">
        <v>0</v>
      </c>
      <c r="Z18" s="406">
        <v>0</v>
      </c>
      <c r="AA18" s="406">
        <f t="shared" si="9"/>
        <v>0</v>
      </c>
    </row>
    <row r="19" spans="1:27" x14ac:dyDescent="0.25">
      <c r="A19" s="287" t="str">
        <f>PLANTILLA!A22</f>
        <v>#18</v>
      </c>
      <c r="B19" s="287" t="str">
        <f>PLANTILLA!D22</f>
        <v>L. Calosso</v>
      </c>
      <c r="C19" s="5">
        <f>PLANTILLA!E22</f>
        <v>30</v>
      </c>
      <c r="D19" s="5">
        <f ca="1">PLANTILLA!F22</f>
        <v>101</v>
      </c>
      <c r="E19" s="163">
        <f>PLANTILLA!X22</f>
        <v>0</v>
      </c>
      <c r="F19" s="163">
        <f>PLANTILLA!Y22</f>
        <v>3.02</v>
      </c>
      <c r="G19" s="163">
        <f>PLANTILLA!Z22</f>
        <v>14.277609523809524</v>
      </c>
      <c r="H19" s="163">
        <f>PLANTILLA!AA22</f>
        <v>3.04</v>
      </c>
      <c r="I19" s="163">
        <f>PLANTILLA!AB22</f>
        <v>15.02</v>
      </c>
      <c r="J19" s="163">
        <f>PLANTILLA!AC22</f>
        <v>10</v>
      </c>
      <c r="K19" s="163">
        <f>PLANTILLA!AD22</f>
        <v>9.6000000000000014</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6">
        <v>0</v>
      </c>
      <c r="Z19" s="406">
        <v>0</v>
      </c>
      <c r="AA19" s="406">
        <f t="shared" si="9"/>
        <v>0</v>
      </c>
    </row>
    <row r="20" spans="1:27" x14ac:dyDescent="0.25">
      <c r="A20" s="287" t="str">
        <f>PLANTILLA!A11</f>
        <v>#13</v>
      </c>
      <c r="B20" s="287" t="str">
        <f>PLANTILLA!D11</f>
        <v>F. Lasprilla</v>
      </c>
      <c r="C20" s="5">
        <f>PLANTILLA!E11</f>
        <v>27</v>
      </c>
      <c r="D20" s="5">
        <f ca="1">PLANTILLA!F11</f>
        <v>79</v>
      </c>
      <c r="E20" s="163">
        <f>PLANTILLA!X11</f>
        <v>0</v>
      </c>
      <c r="F20" s="163">
        <f>PLANTILLA!Y11</f>
        <v>9.6046666666666667</v>
      </c>
      <c r="G20" s="163">
        <f>PLANTILLA!Z11</f>
        <v>7.7607222222222223</v>
      </c>
      <c r="H20" s="163">
        <f>PLANTILLA!AA11</f>
        <v>6.1599999999999984</v>
      </c>
      <c r="I20" s="163">
        <f>PLANTILLA!AB11</f>
        <v>8.8633333333333315</v>
      </c>
      <c r="J20" s="163">
        <f>PLANTILLA!AC11</f>
        <v>3.2566666666666673</v>
      </c>
      <c r="K20" s="163">
        <f>PLANTILLA!AD11</f>
        <v>13.238888888888889</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6"/>
      <c r="Z20" s="406"/>
      <c r="AA20" s="406">
        <f t="shared" si="9"/>
        <v>0</v>
      </c>
    </row>
    <row r="21" spans="1:27" x14ac:dyDescent="0.25">
      <c r="A21" s="287" t="str">
        <f>PLANTILLA!A19</f>
        <v>#14</v>
      </c>
      <c r="B21" s="287" t="str">
        <f>PLANTILLA!D19</f>
        <v>W. Gelifini</v>
      </c>
      <c r="C21" s="5">
        <f>PLANTILLA!E19</f>
        <v>29</v>
      </c>
      <c r="D21" s="5">
        <f ca="1">PLANTILLA!F19</f>
        <v>57</v>
      </c>
      <c r="E21" s="163">
        <f>PLANTILLA!X19</f>
        <v>0</v>
      </c>
      <c r="F21" s="163">
        <f>PLANTILLA!Y19</f>
        <v>5.6515555555555519</v>
      </c>
      <c r="G21" s="163">
        <f>PLANTILLA!Z19</f>
        <v>9.872338888888887</v>
      </c>
      <c r="H21" s="163">
        <f>PLANTILLA!AA19</f>
        <v>7.0726666666666667</v>
      </c>
      <c r="I21" s="163">
        <f>PLANTILLA!AB19</f>
        <v>9.2666666666666639</v>
      </c>
      <c r="J21" s="163">
        <f>PLANTILLA!AC19</f>
        <v>3.5417777777777766</v>
      </c>
      <c r="K21" s="163">
        <f>PLANTILLA!AD19</f>
        <v>12.450000000000001</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6"/>
      <c r="Z21" s="406"/>
      <c r="AA21" s="406">
        <f t="shared" si="9"/>
        <v>0</v>
      </c>
    </row>
    <row r="22" spans="1:27" x14ac:dyDescent="0.25">
      <c r="A22" s="287" t="str">
        <f>PLANTILLA!A6</f>
        <v>#16</v>
      </c>
      <c r="B22" s="287" t="str">
        <f>PLANTILLA!D6</f>
        <v>T. Hammond</v>
      </c>
      <c r="C22" s="5">
        <f>PLANTILLA!E6</f>
        <v>34</v>
      </c>
      <c r="D22" s="5">
        <f ca="1">PLANTILLA!F6</f>
        <v>69</v>
      </c>
      <c r="E22" s="163">
        <f>PLANTILLA!X6</f>
        <v>10.3</v>
      </c>
      <c r="F22" s="163">
        <f>PLANTILLA!Y6</f>
        <v>10.814999999999998</v>
      </c>
      <c r="G22" s="163">
        <f>PLANTILLA!Z6</f>
        <v>3.99</v>
      </c>
      <c r="H22" s="163">
        <f>PLANTILLA!AA6</f>
        <v>4.95</v>
      </c>
      <c r="I22" s="163">
        <f>PLANTILLA!AB6</f>
        <v>5.99</v>
      </c>
      <c r="J22" s="163">
        <f>PLANTILLA!AC6</f>
        <v>3.99</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6"/>
      <c r="Z22" s="406"/>
      <c r="AA22" s="406">
        <f t="shared" si="9"/>
        <v>0</v>
      </c>
    </row>
    <row r="23" spans="1:27" x14ac:dyDescent="0.25">
      <c r="A23" s="287" t="e">
        <f>PLANTILLA!#REF!</f>
        <v>#REF!</v>
      </c>
      <c r="B23" s="287" t="e">
        <f>PLANTILLA!#REF!</f>
        <v>#REF!</v>
      </c>
      <c r="C23" s="5" t="e">
        <f>PLANTILLA!#REF!</f>
        <v>#REF!</v>
      </c>
      <c r="D23" s="5"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6"/>
      <c r="Z23" s="406"/>
      <c r="AA23" s="406">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1" bestFit="1" customWidth="1"/>
    <col min="14" max="14" width="8.28515625" style="611"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42584</v>
      </c>
      <c r="Y2" s="619">
        <f>SUM(Y4:Y22)</f>
        <v>0.38669362836502424</v>
      </c>
      <c r="Z2" s="619">
        <f>SUM(Z4:Z22)</f>
        <v>0.36442744206594319</v>
      </c>
      <c r="AA2" s="619"/>
      <c r="AD2" s="493" t="s">
        <v>276</v>
      </c>
      <c r="AE2" s="493" t="s">
        <v>179</v>
      </c>
      <c r="AG2" s="493" t="s">
        <v>276</v>
      </c>
      <c r="AH2" s="493"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833</v>
      </c>
      <c r="O3" s="614" t="s">
        <v>1</v>
      </c>
      <c r="P3" s="614" t="s">
        <v>804</v>
      </c>
      <c r="Q3" s="613" t="s">
        <v>834</v>
      </c>
      <c r="R3" s="613" t="s">
        <v>840</v>
      </c>
      <c r="S3" s="613" t="s">
        <v>835</v>
      </c>
      <c r="T3" s="613" t="s">
        <v>805</v>
      </c>
      <c r="U3" s="613" t="s">
        <v>503</v>
      </c>
      <c r="V3" s="613" t="s">
        <v>839</v>
      </c>
      <c r="W3" s="614" t="s">
        <v>602</v>
      </c>
      <c r="X3" s="618" t="s">
        <v>66</v>
      </c>
      <c r="Y3" s="616" t="s">
        <v>837</v>
      </c>
      <c r="Z3" s="616" t="s">
        <v>838</v>
      </c>
      <c r="AA3" s="616" t="s">
        <v>843</v>
      </c>
      <c r="AD3" t="s">
        <v>1</v>
      </c>
      <c r="AE3" t="s">
        <v>782</v>
      </c>
      <c r="AG3" t="s">
        <v>1</v>
      </c>
      <c r="AH3" t="s">
        <v>782</v>
      </c>
    </row>
    <row r="4" spans="1:34" x14ac:dyDescent="0.25">
      <c r="A4" s="287" t="str">
        <f>PLANTILLA!A15</f>
        <v>#6</v>
      </c>
      <c r="B4" s="169" t="str">
        <f>PLANTILLA!D15</f>
        <v>S. Buschelman</v>
      </c>
      <c r="C4" s="287">
        <f>PLANTILLA!E15</f>
        <v>29</v>
      </c>
      <c r="D4" s="287">
        <f ca="1">PLANTILLA!F15</f>
        <v>104</v>
      </c>
      <c r="E4" s="163">
        <f>PLANTILLA!X15</f>
        <v>0</v>
      </c>
      <c r="F4" s="163">
        <f>PLANTILLA!Y15</f>
        <v>9.3036666666666648</v>
      </c>
      <c r="G4" s="163">
        <f>PLANTILLA!Z15</f>
        <v>13.909999999999998</v>
      </c>
      <c r="H4" s="163">
        <f>PLANTILLA!AA15</f>
        <v>12.945</v>
      </c>
      <c r="I4" s="163">
        <f>PLANTILLA!AB15</f>
        <v>9.6733333333333356</v>
      </c>
      <c r="J4" s="163">
        <f>PLANTILLA!AC15</f>
        <v>5.0296666666666656</v>
      </c>
      <c r="K4" s="163">
        <f>PLANTILLA!AD15</f>
        <v>15.399999999999999</v>
      </c>
      <c r="L4" s="615">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6">
        <f>U4</f>
        <v>5.50625E-2</v>
      </c>
      <c r="Z4" s="406">
        <f>U4</f>
        <v>5.50625E-2</v>
      </c>
      <c r="AA4" s="406">
        <f t="shared" ref="AA4:AA23" si="11">MAX(Z4,Y4)</f>
        <v>5.50625E-2</v>
      </c>
      <c r="AD4" t="s">
        <v>803</v>
      </c>
      <c r="AE4" s="635" t="s">
        <v>856</v>
      </c>
      <c r="AG4" t="s">
        <v>803</v>
      </c>
      <c r="AH4" s="635" t="str">
        <f>AE4</f>
        <v>B. Pinczehelyi</v>
      </c>
    </row>
    <row r="5" spans="1:34" x14ac:dyDescent="0.25">
      <c r="A5" s="287" t="str">
        <f>PLANTILLA!A18</f>
        <v>#5</v>
      </c>
      <c r="B5" s="169" t="str">
        <f>PLANTILLA!D18</f>
        <v>L. Bauman</v>
      </c>
      <c r="C5" s="287">
        <f>PLANTILLA!E18</f>
        <v>30</v>
      </c>
      <c r="D5" s="287">
        <f ca="1">PLANTILLA!F18</f>
        <v>107</v>
      </c>
      <c r="E5" s="163">
        <f>PLANTILLA!X18</f>
        <v>0</v>
      </c>
      <c r="F5" s="163">
        <f>PLANTILLA!Y18</f>
        <v>5.4644444444444451</v>
      </c>
      <c r="G5" s="163">
        <f>PLANTILLA!Z18</f>
        <v>14.42664708994708</v>
      </c>
      <c r="H5" s="163">
        <f>PLANTILLA!AA18</f>
        <v>3.5124999999999993</v>
      </c>
      <c r="I5" s="163">
        <f>PLANTILLA!AB18</f>
        <v>9.1400000000000041</v>
      </c>
      <c r="J5" s="163">
        <f>PLANTILLA!AC18</f>
        <v>7.4318888888888894</v>
      </c>
      <c r="K5" s="163">
        <f>PLANTILLA!AD18</f>
        <v>16.27</v>
      </c>
      <c r="L5" s="615">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6">
        <f>T5</f>
        <v>4.7619047619047616E-2</v>
      </c>
      <c r="Z5" s="406">
        <f>W5</f>
        <v>1.9333333333333334E-2</v>
      </c>
      <c r="AA5" s="406">
        <f t="shared" si="11"/>
        <v>4.7619047619047616E-2</v>
      </c>
      <c r="AD5" t="s">
        <v>804</v>
      </c>
      <c r="AE5" t="s">
        <v>272</v>
      </c>
      <c r="AG5" t="s">
        <v>815</v>
      </c>
      <c r="AH5" t="s">
        <v>273</v>
      </c>
    </row>
    <row r="6" spans="1:34" x14ac:dyDescent="0.25">
      <c r="A6" s="287" t="str">
        <f>PLANTILLA!A21</f>
        <v>#9</v>
      </c>
      <c r="B6" s="169" t="str">
        <f>PLANTILLA!D21</f>
        <v>J. Limon</v>
      </c>
      <c r="C6" s="287">
        <f>PLANTILLA!E21</f>
        <v>30</v>
      </c>
      <c r="D6" s="287">
        <f ca="1">PLANTILLA!F21</f>
        <v>32</v>
      </c>
      <c r="E6" s="163">
        <f>PLANTILLA!X21</f>
        <v>0</v>
      </c>
      <c r="F6" s="163">
        <f>PLANTILLA!Y21</f>
        <v>6.8376190476190493</v>
      </c>
      <c r="G6" s="163">
        <f>PLANTILLA!Z21</f>
        <v>8.6449999999999996</v>
      </c>
      <c r="H6" s="163">
        <f>PLANTILLA!AA21</f>
        <v>8.7399999999999967</v>
      </c>
      <c r="I6" s="163">
        <f>PLANTILLA!AB21</f>
        <v>9.6900000000000013</v>
      </c>
      <c r="J6" s="163">
        <f>PLANTILLA!AC21</f>
        <v>8.5625000000000018</v>
      </c>
      <c r="K6" s="163">
        <f>PLANTILLA!AD21</f>
        <v>18.789999999999992</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6">
        <f>W6</f>
        <v>4.5111111111111109E-2</v>
      </c>
      <c r="Z6" s="406"/>
      <c r="AA6" s="406">
        <f t="shared" si="11"/>
        <v>4.5111111111111109E-2</v>
      </c>
      <c r="AD6" t="s">
        <v>803</v>
      </c>
      <c r="AE6" t="s">
        <v>269</v>
      </c>
      <c r="AG6" t="s">
        <v>814</v>
      </c>
      <c r="AH6" t="s">
        <v>269</v>
      </c>
    </row>
    <row r="7" spans="1:34" x14ac:dyDescent="0.25">
      <c r="A7" s="287" t="str">
        <f>PLANTILLA!A20</f>
        <v>#19</v>
      </c>
      <c r="B7" s="169" t="str">
        <f>PLANTILLA!D20</f>
        <v>G. Kerschl</v>
      </c>
      <c r="C7" s="287">
        <f>PLANTILLA!E20</f>
        <v>29</v>
      </c>
      <c r="D7" s="287">
        <f ca="1">PLANTILLA!F20</f>
        <v>22</v>
      </c>
      <c r="E7" s="163">
        <f>PLANTILLA!X20</f>
        <v>0</v>
      </c>
      <c r="F7" s="163">
        <f>PLANTILLA!Y20</f>
        <v>3</v>
      </c>
      <c r="G7" s="163">
        <f>PLANTILLA!Z20</f>
        <v>15.07</v>
      </c>
      <c r="H7" s="163">
        <f>PLANTILLA!AA20</f>
        <v>12.02</v>
      </c>
      <c r="I7" s="163">
        <f>PLANTILLA!AB20</f>
        <v>12</v>
      </c>
      <c r="J7" s="163">
        <f>PLANTILLA!AC20</f>
        <v>8</v>
      </c>
      <c r="K7" s="163">
        <f>PLANTILLA!AD20</f>
        <v>3</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6">
        <f>U7</f>
        <v>4.4050000000000006E-2</v>
      </c>
      <c r="Z7" s="406">
        <f>U7</f>
        <v>4.4050000000000006E-2</v>
      </c>
      <c r="AA7" s="406">
        <f t="shared" si="11"/>
        <v>4.4050000000000006E-2</v>
      </c>
      <c r="AD7" t="s">
        <v>503</v>
      </c>
      <c r="AE7" t="s">
        <v>618</v>
      </c>
      <c r="AG7" t="s">
        <v>815</v>
      </c>
      <c r="AH7" t="s">
        <v>275</v>
      </c>
    </row>
    <row r="8" spans="1:34" x14ac:dyDescent="0.25">
      <c r="A8" s="287" t="str">
        <f>PLANTILLA!A13</f>
        <v>#11</v>
      </c>
      <c r="B8" s="169" t="str">
        <f>PLANTILLA!D13</f>
        <v>K. Helms</v>
      </c>
      <c r="C8" s="287">
        <f>PLANTILLA!E13</f>
        <v>30</v>
      </c>
      <c r="D8" s="287">
        <f ca="1">PLANTILLA!F13</f>
        <v>92</v>
      </c>
      <c r="E8" s="163">
        <f>PLANTILLA!X13</f>
        <v>0</v>
      </c>
      <c r="F8" s="163">
        <f>PLANTILLA!Y13</f>
        <v>7.2503030303030309</v>
      </c>
      <c r="G8" s="163">
        <f>PLANTILLA!Z13</f>
        <v>10.600000000000005</v>
      </c>
      <c r="H8" s="163">
        <f>PLANTILLA!AA13</f>
        <v>13.471666666666668</v>
      </c>
      <c r="I8" s="163">
        <f>PLANTILLA!AB13</f>
        <v>10.359999999999998</v>
      </c>
      <c r="J8" s="163">
        <f>PLANTILLA!AC13</f>
        <v>5.4050000000000002</v>
      </c>
      <c r="K8" s="163">
        <f>PLANTILLA!AD13</f>
        <v>17.500000000000004</v>
      </c>
      <c r="L8" s="615">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6">
        <f>V8</f>
        <v>3.7916666666666668E-2</v>
      </c>
      <c r="Z8" s="406">
        <f>V8</f>
        <v>3.7916666666666668E-2</v>
      </c>
      <c r="AA8" s="406">
        <f t="shared" si="11"/>
        <v>3.7916666666666668E-2</v>
      </c>
      <c r="AD8" t="s">
        <v>805</v>
      </c>
      <c r="AE8" t="s">
        <v>400</v>
      </c>
      <c r="AG8" t="s">
        <v>803</v>
      </c>
      <c r="AH8" t="s">
        <v>816</v>
      </c>
    </row>
    <row r="9" spans="1:34" x14ac:dyDescent="0.25">
      <c r="A9" s="287" t="str">
        <f>PLANTILLA!A16</f>
        <v>#4</v>
      </c>
      <c r="B9" s="169" t="str">
        <f>PLANTILLA!D16</f>
        <v>C. Rojas</v>
      </c>
      <c r="C9" s="287">
        <f>PLANTILLA!E16</f>
        <v>32</v>
      </c>
      <c r="D9" s="287">
        <f ca="1">PLANTILLA!F16</f>
        <v>26</v>
      </c>
      <c r="E9" s="163">
        <f>PLANTILLA!X16</f>
        <v>0</v>
      </c>
      <c r="F9" s="163">
        <f>PLANTILLA!Y16</f>
        <v>8.6275555555555581</v>
      </c>
      <c r="G9" s="163">
        <f>PLANTILLA!Z16</f>
        <v>14.333255555555548</v>
      </c>
      <c r="H9" s="163">
        <f>PLANTILLA!AA16</f>
        <v>9.99</v>
      </c>
      <c r="I9" s="163">
        <f>PLANTILLA!AB16</f>
        <v>10.09</v>
      </c>
      <c r="J9" s="163">
        <f>PLANTILLA!AC16</f>
        <v>4.3999999999999995</v>
      </c>
      <c r="K9" s="163">
        <f>PLANTILLA!AD16</f>
        <v>16.74444444444444</v>
      </c>
      <c r="L9" s="615">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6">
        <f>U9</f>
        <v>3.3884615384615388E-2</v>
      </c>
      <c r="Z9" s="406">
        <f>U9</f>
        <v>3.3884615384615388E-2</v>
      </c>
      <c r="AA9" s="406">
        <f t="shared" si="11"/>
        <v>3.3884615384615388E-2</v>
      </c>
      <c r="AD9" t="s">
        <v>503</v>
      </c>
      <c r="AE9" t="s">
        <v>285</v>
      </c>
      <c r="AG9" t="s">
        <v>503</v>
      </c>
      <c r="AH9" t="s">
        <v>285</v>
      </c>
    </row>
    <row r="10" spans="1:34" x14ac:dyDescent="0.25">
      <c r="A10" s="287" t="str">
        <f>PLANTILLA!A14</f>
        <v>#10</v>
      </c>
      <c r="B10" s="671" t="str">
        <f>PLANTILLA!D14</f>
        <v>S. Zobbe</v>
      </c>
      <c r="C10" s="287">
        <f>PLANTILLA!E14</f>
        <v>27</v>
      </c>
      <c r="D10" s="287">
        <f ca="1">PLANTILLA!F14</f>
        <v>107</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15.47</v>
      </c>
      <c r="L10" s="615">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6">
        <f>V10</f>
        <v>3.2500000000000001E-2</v>
      </c>
      <c r="Z10" s="406">
        <f>V10</f>
        <v>3.2500000000000001E-2</v>
      </c>
      <c r="AA10" s="406">
        <f t="shared" si="11"/>
        <v>3.2500000000000001E-2</v>
      </c>
      <c r="AD10" t="s">
        <v>806</v>
      </c>
      <c r="AE10" t="s">
        <v>816</v>
      </c>
      <c r="AG10" t="s">
        <v>503</v>
      </c>
      <c r="AH10" t="s">
        <v>618</v>
      </c>
    </row>
    <row r="11" spans="1:34" x14ac:dyDescent="0.25">
      <c r="A11" s="287" t="str">
        <f>PLANTILLA!A12</f>
        <v>#7</v>
      </c>
      <c r="B11" s="671" t="str">
        <f>PLANTILLA!D12</f>
        <v>E. Romweber</v>
      </c>
      <c r="C11" s="287">
        <f>PLANTILLA!E12</f>
        <v>31</v>
      </c>
      <c r="D11" s="287">
        <f ca="1">PLANTILLA!F12</f>
        <v>33</v>
      </c>
      <c r="E11" s="163">
        <f>PLANTILLA!X12</f>
        <v>0</v>
      </c>
      <c r="F11" s="163">
        <f>PLANTILLA!Y12</f>
        <v>12.06111111111111</v>
      </c>
      <c r="G11" s="163">
        <f>PLANTILLA!Z12</f>
        <v>12.614111111111114</v>
      </c>
      <c r="H11" s="163">
        <f>PLANTILLA!AA12</f>
        <v>13.216666666666669</v>
      </c>
      <c r="I11" s="163">
        <f>PLANTILLA!AB12</f>
        <v>10.91</v>
      </c>
      <c r="J11" s="163">
        <f>PLANTILLA!AC12</f>
        <v>7.7700000000000005</v>
      </c>
      <c r="K11" s="163">
        <f>PLANTILLA!AD12</f>
        <v>17.329999999999998</v>
      </c>
      <c r="L11" s="615">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6">
        <f>V11</f>
        <v>2.8437500000000001E-2</v>
      </c>
      <c r="Z11" s="406">
        <f>V11</f>
        <v>2.8437500000000001E-2</v>
      </c>
      <c r="AA11" s="406">
        <f t="shared" si="11"/>
        <v>2.8437500000000001E-2</v>
      </c>
      <c r="AD11" t="s">
        <v>806</v>
      </c>
      <c r="AE11" t="s">
        <v>298</v>
      </c>
      <c r="AG11" t="s">
        <v>806</v>
      </c>
      <c r="AH11" t="s">
        <v>298</v>
      </c>
    </row>
    <row r="12" spans="1:34" x14ac:dyDescent="0.25">
      <c r="A12" s="287" t="str">
        <f>PLANTILLA!A8</f>
        <v>#8</v>
      </c>
      <c r="B12" s="219" t="str">
        <f>PLANTILLA!D8</f>
        <v>D. Toh</v>
      </c>
      <c r="C12" s="287">
        <f>PLANTILLA!E8</f>
        <v>32</v>
      </c>
      <c r="D12" s="287">
        <f ca="1">PLANTILLA!F8</f>
        <v>5</v>
      </c>
      <c r="E12" s="163">
        <f>PLANTILLA!X8</f>
        <v>0</v>
      </c>
      <c r="F12" s="163">
        <f>PLANTILLA!Y8</f>
        <v>11.077333333333334</v>
      </c>
      <c r="G12" s="163">
        <f>PLANTILLA!Z8</f>
        <v>6.2194444444444406</v>
      </c>
      <c r="H12" s="163">
        <f>PLANTILLA!AA8</f>
        <v>6.1</v>
      </c>
      <c r="I12" s="163">
        <f>PLANTILLA!AB8</f>
        <v>7.7227777777777789</v>
      </c>
      <c r="J12" s="163">
        <f>PLANTILLA!AC8</f>
        <v>3.9933333333333318</v>
      </c>
      <c r="K12" s="163">
        <f>PLANTILLA!AD8</f>
        <v>15.387777777777776</v>
      </c>
      <c r="L12" s="615">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6"/>
      <c r="Z12" s="406">
        <f>R12</f>
        <v>2.357142857142857E-2</v>
      </c>
      <c r="AA12" s="406">
        <f t="shared" si="11"/>
        <v>2.357142857142857E-2</v>
      </c>
      <c r="AD12" t="s">
        <v>66</v>
      </c>
      <c r="AE12" t="s">
        <v>287</v>
      </c>
      <c r="AG12" t="s">
        <v>806</v>
      </c>
      <c r="AH12" t="s">
        <v>507</v>
      </c>
    </row>
    <row r="13" spans="1:34" x14ac:dyDescent="0.25">
      <c r="A13" s="287" t="str">
        <f>PLANTILLA!A10</f>
        <v>#3</v>
      </c>
      <c r="B13" s="219" t="str">
        <f>PLANTILLA!D10</f>
        <v>B. Bartolache</v>
      </c>
      <c r="C13" s="287">
        <f>PLANTILLA!E10</f>
        <v>31</v>
      </c>
      <c r="D13" s="287">
        <f ca="1">PLANTILLA!F10</f>
        <v>56</v>
      </c>
      <c r="E13" s="163">
        <f>PLANTILLA!X10</f>
        <v>0</v>
      </c>
      <c r="F13" s="163">
        <f>PLANTILLA!Y10</f>
        <v>11.999999999999996</v>
      </c>
      <c r="G13" s="163">
        <f>PLANTILLA!Z10</f>
        <v>7.0225000000000017</v>
      </c>
      <c r="H13" s="163">
        <f>PLANTILLA!AA10</f>
        <v>7.5000000000000018</v>
      </c>
      <c r="I13" s="163">
        <f>PLANTILLA!AB10</f>
        <v>9.0199999999999978</v>
      </c>
      <c r="J13" s="163">
        <f>PLANTILLA!AC10</f>
        <v>4.6199999999999966</v>
      </c>
      <c r="K13" s="163">
        <f>PLANTILLA!AD10</f>
        <v>15.799999999999999</v>
      </c>
      <c r="L13" s="615">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6"/>
      <c r="Z13" s="406">
        <f>S13</f>
        <v>2.0875000000000001E-2</v>
      </c>
      <c r="AA13" s="406">
        <f t="shared" si="11"/>
        <v>2.0875000000000001E-2</v>
      </c>
      <c r="AD13" t="s">
        <v>66</v>
      </c>
      <c r="AE13" t="s">
        <v>507</v>
      </c>
      <c r="AG13" t="s">
        <v>66</v>
      </c>
      <c r="AH13" t="s">
        <v>287</v>
      </c>
    </row>
    <row r="14" spans="1:34" x14ac:dyDescent="0.25">
      <c r="A14" s="287" t="str">
        <f>PLANTILLA!A9</f>
        <v>#2</v>
      </c>
      <c r="B14" s="671" t="str">
        <f>PLANTILLA!D9</f>
        <v>E. Toney</v>
      </c>
      <c r="C14" s="287">
        <f>PLANTILLA!E9</f>
        <v>31</v>
      </c>
      <c r="D14" s="287">
        <f ca="1">PLANTILLA!F9</f>
        <v>71</v>
      </c>
      <c r="E14" s="163">
        <f>PLANTILLA!X9</f>
        <v>0</v>
      </c>
      <c r="F14" s="163">
        <f>PLANTILLA!Y9</f>
        <v>12.200000000000005</v>
      </c>
      <c r="G14" s="163">
        <f>PLANTILLA!Z9</f>
        <v>13.261555555555553</v>
      </c>
      <c r="H14" s="163">
        <f>PLANTILLA!AA9</f>
        <v>9.8750000000000053</v>
      </c>
      <c r="I14" s="163">
        <f>PLANTILLA!AB9</f>
        <v>9.6</v>
      </c>
      <c r="J14" s="163">
        <f>PLANTILLA!AC9</f>
        <v>3.6816666666666658</v>
      </c>
      <c r="K14" s="163">
        <f>PLANTILLA!AD9</f>
        <v>16.827777777777772</v>
      </c>
      <c r="L14" s="615">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6">
        <f>P14</f>
        <v>1.2421052631578946E-2</v>
      </c>
      <c r="Z14" s="406">
        <f>Q14</f>
        <v>1.9105263157894736E-2</v>
      </c>
      <c r="AA14" s="406">
        <f t="shared" si="11"/>
        <v>1.9105263157894736E-2</v>
      </c>
    </row>
    <row r="15" spans="1:34" x14ac:dyDescent="0.25">
      <c r="A15" s="287" t="str">
        <f>PLANTILLA!A22</f>
        <v>#18</v>
      </c>
      <c r="B15" s="671" t="str">
        <f>PLANTILLA!D22</f>
        <v>L. Calosso</v>
      </c>
      <c r="C15" s="287">
        <f>PLANTILLA!E22</f>
        <v>30</v>
      </c>
      <c r="D15" s="287">
        <f ca="1">PLANTILLA!F22</f>
        <v>101</v>
      </c>
      <c r="E15" s="163">
        <f>PLANTILLA!X22</f>
        <v>0</v>
      </c>
      <c r="F15" s="163">
        <f>PLANTILLA!Y22</f>
        <v>3.02</v>
      </c>
      <c r="G15" s="163">
        <f>PLANTILLA!Z22</f>
        <v>14.277609523809524</v>
      </c>
      <c r="H15" s="163">
        <f>PLANTILLA!AA22</f>
        <v>3.04</v>
      </c>
      <c r="I15" s="163">
        <f>PLANTILLA!AB22</f>
        <v>15.02</v>
      </c>
      <c r="J15" s="163">
        <f>PLANTILLA!AC22</f>
        <v>10</v>
      </c>
      <c r="K15" s="163">
        <f>PLANTILLA!AD22</f>
        <v>9.6000000000000014</v>
      </c>
      <c r="L15" s="615">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6">
        <f>W15</f>
        <v>1.7652173913043478E-2</v>
      </c>
      <c r="Z15" s="406">
        <f>W15</f>
        <v>1.7652173913043478E-2</v>
      </c>
      <c r="AA15" s="406">
        <f t="shared" si="11"/>
        <v>1.7652173913043478E-2</v>
      </c>
    </row>
    <row r="16" spans="1:34" x14ac:dyDescent="0.25">
      <c r="A16" s="287" t="str">
        <f>PLANTILLA!A17</f>
        <v>#12</v>
      </c>
      <c r="B16" s="219" t="str">
        <f>PLANTILLA!D17</f>
        <v>E. Gross</v>
      </c>
      <c r="C16" s="287">
        <f>PLANTILLA!E17</f>
        <v>31</v>
      </c>
      <c r="D16" s="287">
        <f ca="1">PLANTILLA!F17</f>
        <v>20</v>
      </c>
      <c r="E16" s="163">
        <f>PLANTILLA!X17</f>
        <v>0</v>
      </c>
      <c r="F16" s="163">
        <f>PLANTILLA!Y17</f>
        <v>10.549999999999995</v>
      </c>
      <c r="G16" s="163">
        <f>PLANTILLA!Z17</f>
        <v>12.939777777777776</v>
      </c>
      <c r="H16" s="163">
        <f>PLANTILLA!AA17</f>
        <v>5.1399999999999979</v>
      </c>
      <c r="I16" s="163">
        <f>PLANTILLA!AB17</f>
        <v>9.24</v>
      </c>
      <c r="J16" s="163">
        <f>PLANTILLA!AC17</f>
        <v>2.98</v>
      </c>
      <c r="K16" s="163">
        <f>PLANTILLA!AD17</f>
        <v>17.059999999999999</v>
      </c>
      <c r="L16" s="615">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6">
        <f>P16</f>
        <v>1.6857142857142855E-2</v>
      </c>
      <c r="Z16" s="406">
        <f>P16</f>
        <v>1.6857142857142855E-2</v>
      </c>
      <c r="AA16" s="406">
        <f t="shared" si="11"/>
        <v>1.6857142857142855E-2</v>
      </c>
    </row>
    <row r="17" spans="1:27" x14ac:dyDescent="0.25">
      <c r="A17" s="287" t="str">
        <f>PLANTILLA!A7</f>
        <v>#17</v>
      </c>
      <c r="B17" s="219" t="str">
        <f>PLANTILLA!D7</f>
        <v>B. Pinczehelyi</v>
      </c>
      <c r="C17" s="287">
        <f>PLANTILLA!E7</f>
        <v>30</v>
      </c>
      <c r="D17" s="287">
        <f ca="1">PLANTILLA!F7</f>
        <v>72</v>
      </c>
      <c r="E17" s="163">
        <f>PLANTILLA!X7</f>
        <v>0</v>
      </c>
      <c r="F17" s="163">
        <f>PLANTILLA!Y7</f>
        <v>14.300000000000004</v>
      </c>
      <c r="G17" s="163">
        <f>PLANTILLA!Z7</f>
        <v>9.3793333333333351</v>
      </c>
      <c r="H17" s="163">
        <f>PLANTILLA!AA7</f>
        <v>14.333333333333329</v>
      </c>
      <c r="I17" s="163">
        <f>PLANTILLA!AB7</f>
        <v>9.4199999999999982</v>
      </c>
      <c r="J17" s="163">
        <f>PLANTILLA!AC7</f>
        <v>1.1428571428571428</v>
      </c>
      <c r="K17" s="163">
        <f>PLANTILLA!AD7</f>
        <v>9.8000000000000007</v>
      </c>
      <c r="L17" s="615">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6">
        <f>S17</f>
        <v>1.5181818181818183E-2</v>
      </c>
      <c r="Z17" s="406">
        <f>S17</f>
        <v>1.5181818181818183E-2</v>
      </c>
      <c r="AA17" s="406">
        <f t="shared" si="11"/>
        <v>1.5181818181818183E-2</v>
      </c>
    </row>
    <row r="18" spans="1:27" x14ac:dyDescent="0.25">
      <c r="A18" s="287" t="str">
        <f>PLANTILLA!A23</f>
        <v>#15</v>
      </c>
      <c r="B18" s="287" t="str">
        <f>PLANTILLA!D23</f>
        <v>P .Trivadi</v>
      </c>
      <c r="C18" s="287">
        <f>PLANTILLA!E23</f>
        <v>27</v>
      </c>
      <c r="D18" s="287">
        <f ca="1">PLANTILLA!F23</f>
        <v>63</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615">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6">
        <v>0</v>
      </c>
      <c r="Z18" s="406">
        <v>0</v>
      </c>
      <c r="AA18" s="406">
        <f t="shared" si="11"/>
        <v>0</v>
      </c>
    </row>
    <row r="19" spans="1:27" x14ac:dyDescent="0.25">
      <c r="A19" s="287" t="str">
        <f>PLANTILLA!A5</f>
        <v>#1</v>
      </c>
      <c r="B19" s="287" t="str">
        <f>PLANTILLA!D5</f>
        <v>D. Gehmacher</v>
      </c>
      <c r="C19" s="287">
        <f>PLANTILLA!E5</f>
        <v>30</v>
      </c>
      <c r="D19" s="287">
        <f ca="1">PLANTILLA!F5</f>
        <v>60</v>
      </c>
      <c r="E19" s="163">
        <f>PLANTILLA!X5</f>
        <v>16.666666666666668</v>
      </c>
      <c r="F19" s="163">
        <f>PLANTILLA!Y5</f>
        <v>12.080559440559444</v>
      </c>
      <c r="G19" s="163">
        <f>PLANTILLA!Z5</f>
        <v>2.0699999999999985</v>
      </c>
      <c r="H19" s="163">
        <f>PLANTILLA!AA5</f>
        <v>2.149999999999999</v>
      </c>
      <c r="I19" s="163">
        <f>PLANTILLA!AB5</f>
        <v>1.0400000000000003</v>
      </c>
      <c r="J19" s="163">
        <f>PLANTILLA!AC5</f>
        <v>0.14055555555555557</v>
      </c>
      <c r="K19" s="163">
        <f>PLANTILLA!AD5</f>
        <v>17.949999999999996</v>
      </c>
      <c r="L19" s="615">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6">
        <f>O19</f>
        <v>0</v>
      </c>
      <c r="Z19" s="406">
        <f>O19</f>
        <v>0</v>
      </c>
      <c r="AA19" s="406">
        <f t="shared" si="11"/>
        <v>0</v>
      </c>
    </row>
    <row r="20" spans="1:27" x14ac:dyDescent="0.25">
      <c r="A20" s="287" t="str">
        <f>PLANTILLA!A6</f>
        <v>#16</v>
      </c>
      <c r="B20" s="287" t="str">
        <f>PLANTILLA!D6</f>
        <v>T. Hammond</v>
      </c>
      <c r="C20" s="287">
        <f>PLANTILLA!E6</f>
        <v>34</v>
      </c>
      <c r="D20" s="287">
        <f ca="1">PLANTILLA!F6</f>
        <v>69</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615"/>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6"/>
      <c r="Z20" s="406"/>
      <c r="AA20" s="406">
        <f t="shared" si="11"/>
        <v>0</v>
      </c>
    </row>
    <row r="21" spans="1:27" x14ac:dyDescent="0.25">
      <c r="A21" s="287" t="str">
        <f>PLANTILLA!A11</f>
        <v>#13</v>
      </c>
      <c r="B21" s="287" t="str">
        <f>PLANTILLA!D11</f>
        <v>F. Lasprilla</v>
      </c>
      <c r="C21" s="287">
        <f>PLANTILLA!E11</f>
        <v>27</v>
      </c>
      <c r="D21" s="287">
        <f ca="1">PLANTILLA!F11</f>
        <v>79</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13.238888888888889</v>
      </c>
      <c r="L21" s="615"/>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6"/>
      <c r="Z21" s="406"/>
      <c r="AA21" s="406">
        <f t="shared" si="11"/>
        <v>0</v>
      </c>
    </row>
    <row r="22" spans="1:27" x14ac:dyDescent="0.25">
      <c r="A22" s="287" t="str">
        <f>PLANTILLA!A19</f>
        <v>#14</v>
      </c>
      <c r="B22" s="287" t="str">
        <f>PLANTILLA!D19</f>
        <v>W. Gelifini</v>
      </c>
      <c r="C22" s="287">
        <f>PLANTILLA!E19</f>
        <v>29</v>
      </c>
      <c r="D22" s="287">
        <f ca="1">PLANTILLA!F19</f>
        <v>57</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12.450000000000001</v>
      </c>
      <c r="L22" s="615"/>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6"/>
      <c r="Z22" s="406"/>
      <c r="AA22" s="406">
        <f t="shared" si="11"/>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6"/>
      <c r="Z23" s="406"/>
      <c r="AA23" s="406">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42585</v>
      </c>
      <c r="Y2" s="619">
        <f>SUM(Y4:Y22)</f>
        <v>0.24062111707736711</v>
      </c>
      <c r="Z2" s="619">
        <f>SUM(Z4:Z22)</f>
        <v>0.19504062465312466</v>
      </c>
      <c r="AA2" s="619"/>
      <c r="AD2" s="493" t="s">
        <v>276</v>
      </c>
      <c r="AE2" s="493" t="s">
        <v>179</v>
      </c>
      <c r="AG2" s="493" t="s">
        <v>276</v>
      </c>
      <c r="AH2" s="493"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841</v>
      </c>
      <c r="O3" s="614" t="s">
        <v>1</v>
      </c>
      <c r="P3" s="614" t="s">
        <v>804</v>
      </c>
      <c r="Q3" s="613" t="s">
        <v>834</v>
      </c>
      <c r="R3" s="613" t="s">
        <v>840</v>
      </c>
      <c r="S3" s="613" t="s">
        <v>835</v>
      </c>
      <c r="T3" s="613" t="s">
        <v>805</v>
      </c>
      <c r="U3" s="613" t="s">
        <v>503</v>
      </c>
      <c r="V3" s="613" t="s">
        <v>839</v>
      </c>
      <c r="W3" s="614" t="s">
        <v>602</v>
      </c>
      <c r="X3" s="614" t="s">
        <v>66</v>
      </c>
      <c r="Y3" s="616" t="s">
        <v>837</v>
      </c>
      <c r="Z3" s="616" t="s">
        <v>838</v>
      </c>
      <c r="AA3" s="616" t="s">
        <v>843</v>
      </c>
      <c r="AD3" t="s">
        <v>1</v>
      </c>
      <c r="AE3" t="s">
        <v>782</v>
      </c>
      <c r="AG3" t="s">
        <v>1</v>
      </c>
      <c r="AH3" t="s">
        <v>782</v>
      </c>
    </row>
    <row r="4" spans="1:34" x14ac:dyDescent="0.25">
      <c r="A4" s="287" t="str">
        <f>PLANTILLA!A21</f>
        <v>#9</v>
      </c>
      <c r="B4" s="670" t="str">
        <f>PLANTILLA!D21</f>
        <v>J. Limon</v>
      </c>
      <c r="C4" s="287">
        <f>PLANTILLA!E21</f>
        <v>30</v>
      </c>
      <c r="D4" s="287">
        <f ca="1">PLANTILLA!F21</f>
        <v>32</v>
      </c>
      <c r="E4" s="163">
        <f>PLANTILLA!X21</f>
        <v>0</v>
      </c>
      <c r="F4" s="163">
        <f>PLANTILLA!Y21</f>
        <v>6.8376190476190493</v>
      </c>
      <c r="G4" s="163">
        <f>PLANTILLA!Z21</f>
        <v>8.6449999999999996</v>
      </c>
      <c r="H4" s="163">
        <f>PLANTILLA!AA21</f>
        <v>8.7399999999999967</v>
      </c>
      <c r="I4" s="163">
        <f>PLANTILLA!AB21</f>
        <v>9.6900000000000013</v>
      </c>
      <c r="J4" s="163">
        <f>PLANTILLA!AC21</f>
        <v>8.5625000000000018</v>
      </c>
      <c r="K4" s="163">
        <f>PLANTILLA!AD21</f>
        <v>18.789999999999992</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6">
        <f>W4</f>
        <v>4.7065340909090911E-2</v>
      </c>
      <c r="Z4" s="406"/>
      <c r="AA4" s="406">
        <f t="shared" ref="AA4:AA23" si="6">MAX(Z4,Y4)</f>
        <v>4.7065340909090911E-2</v>
      </c>
      <c r="AD4" t="s">
        <v>803</v>
      </c>
      <c r="AE4" s="635" t="s">
        <v>856</v>
      </c>
      <c r="AG4" t="s">
        <v>803</v>
      </c>
      <c r="AH4" s="635" t="str">
        <f>AE4</f>
        <v>B. Pinczehelyi</v>
      </c>
    </row>
    <row r="5" spans="1:34" x14ac:dyDescent="0.25">
      <c r="A5" s="287" t="str">
        <f>PLANTILLA!A18</f>
        <v>#5</v>
      </c>
      <c r="B5" s="670" t="str">
        <f>PLANTILLA!D18</f>
        <v>L. Bauman</v>
      </c>
      <c r="C5" s="287">
        <f>PLANTILLA!E18</f>
        <v>30</v>
      </c>
      <c r="D5" s="287">
        <f ca="1">PLANTILLA!F18</f>
        <v>107</v>
      </c>
      <c r="E5" s="163">
        <f>PLANTILLA!X18</f>
        <v>0</v>
      </c>
      <c r="F5" s="163">
        <f>PLANTILLA!Y18</f>
        <v>5.4644444444444451</v>
      </c>
      <c r="G5" s="163">
        <f>PLANTILLA!Z18</f>
        <v>14.42664708994708</v>
      </c>
      <c r="H5" s="163">
        <f>PLANTILLA!AA18</f>
        <v>3.5124999999999993</v>
      </c>
      <c r="I5" s="163">
        <f>PLANTILLA!AB18</f>
        <v>9.1400000000000041</v>
      </c>
      <c r="J5" s="163">
        <f>PLANTILLA!AC18</f>
        <v>7.4318888888888894</v>
      </c>
      <c r="K5" s="163">
        <f>PLANTILLA!AD18</f>
        <v>16.27</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6">
        <f>T5</f>
        <v>4.0351010101010096E-2</v>
      </c>
      <c r="Z5" s="406">
        <f>W5</f>
        <v>4.183585858585858E-2</v>
      </c>
      <c r="AA5" s="406">
        <f t="shared" si="6"/>
        <v>4.183585858585858E-2</v>
      </c>
      <c r="AD5" t="s">
        <v>804</v>
      </c>
      <c r="AE5" t="s">
        <v>272</v>
      </c>
      <c r="AG5" t="s">
        <v>815</v>
      </c>
      <c r="AH5" t="s">
        <v>273</v>
      </c>
    </row>
    <row r="6" spans="1:34" x14ac:dyDescent="0.25">
      <c r="A6" s="287" t="str">
        <f>PLANTILLA!A15</f>
        <v>#6</v>
      </c>
      <c r="B6" s="670" t="str">
        <f>PLANTILLA!D15</f>
        <v>S. Buschelman</v>
      </c>
      <c r="C6" s="287">
        <f>PLANTILLA!E15</f>
        <v>29</v>
      </c>
      <c r="D6" s="287">
        <f ca="1">PLANTILLA!F15</f>
        <v>104</v>
      </c>
      <c r="E6" s="163">
        <f>PLANTILLA!X15</f>
        <v>0</v>
      </c>
      <c r="F6" s="163">
        <f>PLANTILLA!Y15</f>
        <v>9.3036666666666648</v>
      </c>
      <c r="G6" s="163">
        <f>PLANTILLA!Z15</f>
        <v>13.909999999999998</v>
      </c>
      <c r="H6" s="163">
        <f>PLANTILLA!AA15</f>
        <v>12.945</v>
      </c>
      <c r="I6" s="163">
        <f>PLANTILLA!AB15</f>
        <v>9.6733333333333356</v>
      </c>
      <c r="J6" s="163">
        <f>PLANTILLA!AC15</f>
        <v>5.0296666666666656</v>
      </c>
      <c r="K6" s="163">
        <f>PLANTILLA!AD15</f>
        <v>15.399999999999999</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6">
        <f>U6</f>
        <v>3.5380681818181818E-2</v>
      </c>
      <c r="Z6" s="406">
        <f>U6</f>
        <v>3.5380681818181818E-2</v>
      </c>
      <c r="AA6" s="406">
        <f t="shared" si="6"/>
        <v>3.5380681818181818E-2</v>
      </c>
      <c r="AD6" t="s">
        <v>803</v>
      </c>
      <c r="AE6" t="s">
        <v>269</v>
      </c>
      <c r="AG6" t="s">
        <v>814</v>
      </c>
      <c r="AH6" t="s">
        <v>269</v>
      </c>
    </row>
    <row r="7" spans="1:34" x14ac:dyDescent="0.25">
      <c r="A7" s="287" t="str">
        <f>PLANTILLA!A20</f>
        <v>#19</v>
      </c>
      <c r="B7" s="670" t="str">
        <f>PLANTILLA!D20</f>
        <v>G. Kerschl</v>
      </c>
      <c r="C7" s="287">
        <f>PLANTILLA!E20</f>
        <v>29</v>
      </c>
      <c r="D7" s="287">
        <f ca="1">PLANTILLA!F20</f>
        <v>22</v>
      </c>
      <c r="E7" s="163">
        <f>PLANTILLA!X20</f>
        <v>0</v>
      </c>
      <c r="F7" s="163">
        <f>PLANTILLA!Y20</f>
        <v>3</v>
      </c>
      <c r="G7" s="163">
        <f>PLANTILLA!Z20</f>
        <v>15.07</v>
      </c>
      <c r="H7" s="163">
        <f>PLANTILLA!AA20</f>
        <v>12.02</v>
      </c>
      <c r="I7" s="163">
        <f>PLANTILLA!AB20</f>
        <v>12</v>
      </c>
      <c r="J7" s="163">
        <f>PLANTILLA!AC20</f>
        <v>8</v>
      </c>
      <c r="K7" s="163">
        <f>PLANTILLA!AD20</f>
        <v>3</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6">
        <f>W7</f>
        <v>2.6894480519480523E-2</v>
      </c>
      <c r="Z7" s="406">
        <f>W7</f>
        <v>2.6894480519480523E-2</v>
      </c>
      <c r="AA7" s="406">
        <f t="shared" si="6"/>
        <v>2.6894480519480523E-2</v>
      </c>
      <c r="AD7" t="s">
        <v>503</v>
      </c>
      <c r="AE7" t="s">
        <v>618</v>
      </c>
      <c r="AG7" t="s">
        <v>815</v>
      </c>
      <c r="AH7" t="s">
        <v>275</v>
      </c>
    </row>
    <row r="8" spans="1:34" x14ac:dyDescent="0.25">
      <c r="A8" s="287" t="str">
        <f>PLANTILLA!A16</f>
        <v>#4</v>
      </c>
      <c r="B8" s="670" t="str">
        <f>PLANTILLA!D16</f>
        <v>C. Rojas</v>
      </c>
      <c r="C8" s="287">
        <f>PLANTILLA!E16</f>
        <v>32</v>
      </c>
      <c r="D8" s="287">
        <f ca="1">PLANTILLA!F16</f>
        <v>26</v>
      </c>
      <c r="E8" s="163">
        <f>PLANTILLA!X16</f>
        <v>0</v>
      </c>
      <c r="F8" s="163">
        <f>PLANTILLA!Y16</f>
        <v>8.6275555555555581</v>
      </c>
      <c r="G8" s="163">
        <f>PLANTILLA!Z16</f>
        <v>14.333255555555548</v>
      </c>
      <c r="H8" s="163">
        <f>PLANTILLA!AA16</f>
        <v>9.99</v>
      </c>
      <c r="I8" s="163">
        <f>PLANTILLA!AB16</f>
        <v>10.09</v>
      </c>
      <c r="J8" s="163">
        <f>PLANTILLA!AC16</f>
        <v>4.3999999999999995</v>
      </c>
      <c r="K8" s="163">
        <f>PLANTILLA!AD16</f>
        <v>16.74444444444444</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6">
        <f>U8</f>
        <v>2.3587121212121212E-2</v>
      </c>
      <c r="Z8" s="406">
        <f>U8</f>
        <v>2.3587121212121212E-2</v>
      </c>
      <c r="AA8" s="406">
        <f t="shared" si="6"/>
        <v>2.3587121212121212E-2</v>
      </c>
      <c r="AD8" t="s">
        <v>805</v>
      </c>
      <c r="AE8" t="s">
        <v>400</v>
      </c>
      <c r="AG8" t="s">
        <v>803</v>
      </c>
      <c r="AH8" t="s">
        <v>816</v>
      </c>
    </row>
    <row r="9" spans="1:34" x14ac:dyDescent="0.25">
      <c r="A9" s="287" t="str">
        <f>PLANTILLA!A13</f>
        <v>#11</v>
      </c>
      <c r="B9" s="670" t="str">
        <f>PLANTILLA!D13</f>
        <v>K. Helms</v>
      </c>
      <c r="C9" s="287">
        <f>PLANTILLA!E13</f>
        <v>30</v>
      </c>
      <c r="D9" s="287">
        <f ca="1">PLANTILLA!F13</f>
        <v>92</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17.500000000000004</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6">
        <f>V9</f>
        <v>1.9088636363636363E-2</v>
      </c>
      <c r="Z9" s="406">
        <f>V9</f>
        <v>1.9088636363636363E-2</v>
      </c>
      <c r="AA9" s="406">
        <f t="shared" si="6"/>
        <v>1.9088636363636363E-2</v>
      </c>
      <c r="AD9" t="s">
        <v>503</v>
      </c>
      <c r="AE9" t="s">
        <v>285</v>
      </c>
      <c r="AG9" t="s">
        <v>503</v>
      </c>
      <c r="AH9" t="s">
        <v>285</v>
      </c>
    </row>
    <row r="10" spans="1:34" x14ac:dyDescent="0.25">
      <c r="A10" s="287" t="str">
        <f>PLANTILLA!A14</f>
        <v>#10</v>
      </c>
      <c r="B10" s="670" t="str">
        <f>PLANTILLA!D14</f>
        <v>S. Zobbe</v>
      </c>
      <c r="C10" s="287">
        <f>PLANTILLA!E14</f>
        <v>27</v>
      </c>
      <c r="D10" s="287">
        <f ca="1">PLANTILLA!F14</f>
        <v>107</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15.47</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6">
        <f>V10</f>
        <v>1.9088636363636363E-2</v>
      </c>
      <c r="Z10" s="406">
        <f>V10</f>
        <v>1.9088636363636363E-2</v>
      </c>
      <c r="AA10" s="406">
        <f t="shared" si="6"/>
        <v>1.9088636363636363E-2</v>
      </c>
      <c r="AD10" t="s">
        <v>806</v>
      </c>
      <c r="AE10" t="s">
        <v>816</v>
      </c>
      <c r="AG10" t="s">
        <v>503</v>
      </c>
      <c r="AH10" t="s">
        <v>618</v>
      </c>
    </row>
    <row r="11" spans="1:34" x14ac:dyDescent="0.25">
      <c r="A11" s="287" t="str">
        <f>PLANTILLA!A12</f>
        <v>#7</v>
      </c>
      <c r="B11" s="670" t="str">
        <f>PLANTILLA!D12</f>
        <v>E. Romweber</v>
      </c>
      <c r="C11" s="287">
        <f>PLANTILLA!E12</f>
        <v>31</v>
      </c>
      <c r="D11" s="287">
        <f ca="1">PLANTILLA!F12</f>
        <v>33</v>
      </c>
      <c r="E11" s="163">
        <f>PLANTILLA!X12</f>
        <v>0</v>
      </c>
      <c r="F11" s="163">
        <f>PLANTILLA!Y12</f>
        <v>12.06111111111111</v>
      </c>
      <c r="G11" s="163">
        <f>PLANTILLA!Z12</f>
        <v>12.614111111111114</v>
      </c>
      <c r="H11" s="163">
        <f>PLANTILLA!AA12</f>
        <v>13.216666666666669</v>
      </c>
      <c r="I11" s="163">
        <f>PLANTILLA!AB12</f>
        <v>10.91</v>
      </c>
      <c r="J11" s="163">
        <f>PLANTILLA!AC12</f>
        <v>7.7700000000000005</v>
      </c>
      <c r="K11" s="163">
        <f>PLANTILLA!AD12</f>
        <v>17.329999999999998</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6">
        <f>V11</f>
        <v>1.4683566433566433E-2</v>
      </c>
      <c r="Z11" s="406">
        <f>V11</f>
        <v>1.4683566433566433E-2</v>
      </c>
      <c r="AA11" s="406">
        <f t="shared" si="6"/>
        <v>1.4683566433566433E-2</v>
      </c>
      <c r="AD11" t="s">
        <v>806</v>
      </c>
      <c r="AE11" t="s">
        <v>298</v>
      </c>
      <c r="AG11" t="s">
        <v>806</v>
      </c>
      <c r="AH11" t="s">
        <v>298</v>
      </c>
    </row>
    <row r="12" spans="1:34" x14ac:dyDescent="0.25">
      <c r="A12" s="287" t="str">
        <f>PLANTILLA!A22</f>
        <v>#18</v>
      </c>
      <c r="B12" s="670" t="str">
        <f>PLANTILLA!D22</f>
        <v>L. Calosso</v>
      </c>
      <c r="C12" s="287">
        <f>PLANTILLA!E22</f>
        <v>30</v>
      </c>
      <c r="D12" s="287">
        <f ca="1">PLANTILLA!F22</f>
        <v>101</v>
      </c>
      <c r="E12" s="163">
        <f>PLANTILLA!X22</f>
        <v>0</v>
      </c>
      <c r="F12" s="163">
        <f>PLANTILLA!Y22</f>
        <v>3.02</v>
      </c>
      <c r="G12" s="163">
        <f>PLANTILLA!Z22</f>
        <v>14.277609523809524</v>
      </c>
      <c r="H12" s="163">
        <f>PLANTILLA!AA22</f>
        <v>3.04</v>
      </c>
      <c r="I12" s="163">
        <f>PLANTILLA!AB22</f>
        <v>15.02</v>
      </c>
      <c r="J12" s="163">
        <f>PLANTILLA!AC22</f>
        <v>10</v>
      </c>
      <c r="K12" s="163">
        <f>PLANTILLA!AD22</f>
        <v>9.6000000000000014</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6">
        <f>W12</f>
        <v>1.448164335664336E-2</v>
      </c>
      <c r="Z12" s="406">
        <f>W12</f>
        <v>1.448164335664336E-2</v>
      </c>
      <c r="AA12" s="406">
        <f t="shared" si="6"/>
        <v>1.448164335664336E-2</v>
      </c>
      <c r="AD12" t="s">
        <v>66</v>
      </c>
      <c r="AE12" t="s">
        <v>287</v>
      </c>
      <c r="AG12" t="s">
        <v>806</v>
      </c>
      <c r="AH12" t="s">
        <v>507</v>
      </c>
    </row>
    <row r="13" spans="1:34" x14ac:dyDescent="0.25">
      <c r="A13" s="287" t="str">
        <f>PLANTILLA!A23</f>
        <v>#15</v>
      </c>
      <c r="B13" s="670" t="str">
        <f>PLANTILLA!D23</f>
        <v>P .Trivadi</v>
      </c>
      <c r="C13" s="287">
        <f>PLANTILLA!E23</f>
        <v>27</v>
      </c>
      <c r="D13" s="287">
        <f ca="1">PLANTILLA!F23</f>
        <v>63</v>
      </c>
      <c r="E13" s="163">
        <f>PLANTILLA!X23</f>
        <v>0</v>
      </c>
      <c r="F13" s="163">
        <f>PLANTILLA!Y23</f>
        <v>4.0199999999999996</v>
      </c>
      <c r="G13" s="163">
        <f>PLANTILLA!Z23</f>
        <v>5.5738722222222199</v>
      </c>
      <c r="H13" s="163">
        <f>PLANTILLA!AA23</f>
        <v>5.5099999999999989</v>
      </c>
      <c r="I13" s="163">
        <f>PLANTILLA!AB23</f>
        <v>10.799999999999999</v>
      </c>
      <c r="J13" s="163">
        <f>PLANTILLA!AC23</f>
        <v>8.384500000000001</v>
      </c>
      <c r="K13" s="163">
        <f>PLANTILLA!AD23</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6">
        <v>0</v>
      </c>
      <c r="Z13" s="406">
        <v>0</v>
      </c>
      <c r="AA13" s="406">
        <f t="shared" si="6"/>
        <v>0</v>
      </c>
      <c r="AD13" t="s">
        <v>66</v>
      </c>
      <c r="AE13" t="s">
        <v>507</v>
      </c>
      <c r="AG13" t="s">
        <v>66</v>
      </c>
      <c r="AH13" t="s">
        <v>287</v>
      </c>
    </row>
    <row r="14" spans="1:34" x14ac:dyDescent="0.25">
      <c r="A14" s="287" t="str">
        <f>PLANTILLA!A5</f>
        <v>#1</v>
      </c>
      <c r="B14" s="287" t="str">
        <f>PLANTILLA!D5</f>
        <v>D. Gehmacher</v>
      </c>
      <c r="C14" s="287">
        <f>PLANTILLA!E5</f>
        <v>30</v>
      </c>
      <c r="D14" s="287">
        <f ca="1">PLANTILLA!F5</f>
        <v>60</v>
      </c>
      <c r="E14" s="163">
        <f>PLANTILLA!X5</f>
        <v>16.666666666666668</v>
      </c>
      <c r="F14" s="163">
        <f>PLANTILLA!Y5</f>
        <v>12.080559440559444</v>
      </c>
      <c r="G14" s="163">
        <f>PLANTILLA!Z5</f>
        <v>2.0699999999999985</v>
      </c>
      <c r="H14" s="163">
        <f>PLANTILLA!AA5</f>
        <v>2.149999999999999</v>
      </c>
      <c r="I14" s="163">
        <f>PLANTILLA!AB5</f>
        <v>1.0400000000000003</v>
      </c>
      <c r="J14" s="163">
        <f>PLANTILLA!AC5</f>
        <v>0.14055555555555557</v>
      </c>
      <c r="K14" s="163">
        <f>PLANTILLA!AD5</f>
        <v>17.949999999999996</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6">
        <f>L14</f>
        <v>0</v>
      </c>
      <c r="Z14" s="406">
        <f>L14</f>
        <v>0</v>
      </c>
      <c r="AA14" s="406">
        <f t="shared" si="6"/>
        <v>0</v>
      </c>
    </row>
    <row r="15" spans="1:34" x14ac:dyDescent="0.25">
      <c r="A15" s="287" t="str">
        <f>PLANTILLA!A7</f>
        <v>#17</v>
      </c>
      <c r="B15" s="670" t="str">
        <f>PLANTILLA!D7</f>
        <v>B. Pinczehelyi</v>
      </c>
      <c r="C15" s="287">
        <f>PLANTILLA!E7</f>
        <v>30</v>
      </c>
      <c r="D15" s="287">
        <f ca="1">PLANTILLA!F7</f>
        <v>72</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9.8000000000000007</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6">
        <v>0</v>
      </c>
      <c r="Z15" s="406">
        <v>0</v>
      </c>
      <c r="AA15" s="406">
        <f t="shared" si="6"/>
        <v>0</v>
      </c>
    </row>
    <row r="16" spans="1:34" x14ac:dyDescent="0.25">
      <c r="A16" s="287" t="str">
        <f>PLANTILLA!A8</f>
        <v>#8</v>
      </c>
      <c r="B16" s="670" t="str">
        <f>PLANTILLA!D8</f>
        <v>D. Toh</v>
      </c>
      <c r="C16" s="287">
        <f>PLANTILLA!E8</f>
        <v>32</v>
      </c>
      <c r="D16" s="287">
        <f ca="1">PLANTILLA!F8</f>
        <v>5</v>
      </c>
      <c r="E16" s="163">
        <f>PLANTILLA!X8</f>
        <v>0</v>
      </c>
      <c r="F16" s="163">
        <f>PLANTILLA!Y8</f>
        <v>11.077333333333334</v>
      </c>
      <c r="G16" s="163">
        <f>PLANTILLA!Z8</f>
        <v>6.2194444444444406</v>
      </c>
      <c r="H16" s="163">
        <f>PLANTILLA!AA8</f>
        <v>6.1</v>
      </c>
      <c r="I16" s="163">
        <f>PLANTILLA!AB8</f>
        <v>7.7227777777777789</v>
      </c>
      <c r="J16" s="163">
        <f>PLANTILLA!AC8</f>
        <v>3.9933333333333318</v>
      </c>
      <c r="K16" s="163">
        <f>PLANTILLA!AD8</f>
        <v>15.387777777777776</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6">
        <v>0</v>
      </c>
      <c r="Z16" s="406">
        <v>0</v>
      </c>
      <c r="AA16" s="406">
        <f t="shared" si="6"/>
        <v>0</v>
      </c>
    </row>
    <row r="17" spans="1:27" x14ac:dyDescent="0.25">
      <c r="A17" s="287" t="str">
        <f>PLANTILLA!A9</f>
        <v>#2</v>
      </c>
      <c r="B17" s="670" t="str">
        <f>PLANTILLA!D9</f>
        <v>E. Toney</v>
      </c>
      <c r="C17" s="287">
        <f>PLANTILLA!E9</f>
        <v>31</v>
      </c>
      <c r="D17" s="287">
        <f ca="1">PLANTILLA!F9</f>
        <v>71</v>
      </c>
      <c r="E17" s="163">
        <f>PLANTILLA!X9</f>
        <v>0</v>
      </c>
      <c r="F17" s="163">
        <f>PLANTILLA!Y9</f>
        <v>12.200000000000005</v>
      </c>
      <c r="G17" s="163">
        <f>PLANTILLA!Z9</f>
        <v>13.261555555555553</v>
      </c>
      <c r="H17" s="163">
        <f>PLANTILLA!AA9</f>
        <v>9.8750000000000053</v>
      </c>
      <c r="I17" s="163">
        <f>PLANTILLA!AB9</f>
        <v>9.6</v>
      </c>
      <c r="J17" s="163">
        <f>PLANTILLA!AC9</f>
        <v>3.6816666666666658</v>
      </c>
      <c r="K17" s="163">
        <f>PLANTILLA!AD9</f>
        <v>16.827777777777772</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6">
        <f>S17</f>
        <v>0</v>
      </c>
      <c r="Z17" s="406">
        <f>S17</f>
        <v>0</v>
      </c>
      <c r="AA17" s="406">
        <f t="shared" si="6"/>
        <v>0</v>
      </c>
    </row>
    <row r="18" spans="1:27" x14ac:dyDescent="0.25">
      <c r="A18" s="287" t="str">
        <f>PLANTILLA!A17</f>
        <v>#12</v>
      </c>
      <c r="B18" s="670" t="str">
        <f>PLANTILLA!D17</f>
        <v>E. Gross</v>
      </c>
      <c r="C18" s="287">
        <f>PLANTILLA!E17</f>
        <v>31</v>
      </c>
      <c r="D18" s="287">
        <f ca="1">PLANTILLA!F17</f>
        <v>20</v>
      </c>
      <c r="E18" s="163">
        <f>PLANTILLA!X17</f>
        <v>0</v>
      </c>
      <c r="F18" s="163">
        <f>PLANTILLA!Y17</f>
        <v>10.549999999999995</v>
      </c>
      <c r="G18" s="163">
        <f>PLANTILLA!Z17</f>
        <v>12.939777777777776</v>
      </c>
      <c r="H18" s="163">
        <f>PLANTILLA!AA17</f>
        <v>5.1399999999999979</v>
      </c>
      <c r="I18" s="163">
        <f>PLANTILLA!AB17</f>
        <v>9.24</v>
      </c>
      <c r="J18" s="163">
        <f>PLANTILLA!AC17</f>
        <v>2.98</v>
      </c>
      <c r="K18" s="163">
        <f>PLANTILLA!AD17</f>
        <v>17.059999999999999</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6">
        <v>0</v>
      </c>
      <c r="Z18" s="406">
        <v>0</v>
      </c>
      <c r="AA18" s="406">
        <f t="shared" si="6"/>
        <v>0</v>
      </c>
    </row>
    <row r="19" spans="1:27" x14ac:dyDescent="0.25">
      <c r="A19" s="287" t="str">
        <f>PLANTILLA!A10</f>
        <v>#3</v>
      </c>
      <c r="B19" s="670" t="str">
        <f>PLANTILLA!D10</f>
        <v>B. Bartolache</v>
      </c>
      <c r="C19" s="287">
        <f>PLANTILLA!E10</f>
        <v>31</v>
      </c>
      <c r="D19" s="287">
        <f ca="1">PLANTILLA!F10</f>
        <v>56</v>
      </c>
      <c r="E19" s="163">
        <f>PLANTILLA!X10</f>
        <v>0</v>
      </c>
      <c r="F19" s="163">
        <f>PLANTILLA!Y10</f>
        <v>11.999999999999996</v>
      </c>
      <c r="G19" s="163">
        <f>PLANTILLA!Z10</f>
        <v>7.0225000000000017</v>
      </c>
      <c r="H19" s="163">
        <f>PLANTILLA!AA10</f>
        <v>7.5000000000000018</v>
      </c>
      <c r="I19" s="163">
        <f>PLANTILLA!AB10</f>
        <v>9.0199999999999978</v>
      </c>
      <c r="J19" s="163">
        <f>PLANTILLA!AC10</f>
        <v>4.6199999999999966</v>
      </c>
      <c r="K19" s="163">
        <f>PLANTILLA!AD10</f>
        <v>15.799999999999999</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6">
        <v>0</v>
      </c>
      <c r="Z19" s="406">
        <f>S19</f>
        <v>0</v>
      </c>
      <c r="AA19" s="406">
        <f t="shared" si="6"/>
        <v>0</v>
      </c>
    </row>
    <row r="20" spans="1:27" x14ac:dyDescent="0.25">
      <c r="A20" s="287" t="str">
        <f>PLANTILLA!A6</f>
        <v>#16</v>
      </c>
      <c r="B20" s="287" t="str">
        <f>PLANTILLA!D6</f>
        <v>T. Hammond</v>
      </c>
      <c r="C20" s="287">
        <f>PLANTILLA!E6</f>
        <v>34</v>
      </c>
      <c r="D20" s="287">
        <f ca="1">PLANTILLA!F6</f>
        <v>69</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6"/>
      <c r="Z20" s="406"/>
      <c r="AA20" s="406">
        <f t="shared" si="6"/>
        <v>0</v>
      </c>
    </row>
    <row r="21" spans="1:27" x14ac:dyDescent="0.25">
      <c r="A21" s="287" t="str">
        <f>PLANTILLA!A11</f>
        <v>#13</v>
      </c>
      <c r="B21" s="287" t="str">
        <f>PLANTILLA!D11</f>
        <v>F. Lasprilla</v>
      </c>
      <c r="C21" s="287">
        <f>PLANTILLA!E11</f>
        <v>27</v>
      </c>
      <c r="D21" s="287">
        <f ca="1">PLANTILLA!F11</f>
        <v>79</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13.238888888888889</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6"/>
      <c r="Z21" s="406"/>
      <c r="AA21" s="406">
        <f t="shared" si="6"/>
        <v>0</v>
      </c>
    </row>
    <row r="22" spans="1:27" x14ac:dyDescent="0.25">
      <c r="A22" s="287" t="str">
        <f>PLANTILLA!A19</f>
        <v>#14</v>
      </c>
      <c r="B22" s="287" t="str">
        <f>PLANTILLA!D19</f>
        <v>W. Gelifini</v>
      </c>
      <c r="C22" s="287">
        <f>PLANTILLA!E19</f>
        <v>29</v>
      </c>
      <c r="D22" s="287">
        <f ca="1">PLANTILLA!F19</f>
        <v>57</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12.450000000000001</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6"/>
      <c r="Z22" s="406"/>
      <c r="AA22" s="406">
        <f t="shared" si="6"/>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6"/>
      <c r="Z23" s="406"/>
      <c r="AA23" s="406">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J11" sqref="J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9">
        <f>SUM(Y4:Y22)</f>
        <v>0.35961805555555554</v>
      </c>
      <c r="Z2" s="619">
        <f>SUM(Z4:Z22)</f>
        <v>0.49770896464646464</v>
      </c>
      <c r="AA2" s="619"/>
      <c r="AD2" s="493" t="s">
        <v>276</v>
      </c>
      <c r="AE2" s="493" t="s">
        <v>179</v>
      </c>
      <c r="AG2" s="493" t="s">
        <v>276</v>
      </c>
      <c r="AH2" s="493"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841</v>
      </c>
      <c r="O3" s="614" t="s">
        <v>1</v>
      </c>
      <c r="P3" s="614" t="s">
        <v>804</v>
      </c>
      <c r="Q3" s="613" t="s">
        <v>834</v>
      </c>
      <c r="R3" s="613" t="s">
        <v>840</v>
      </c>
      <c r="S3" s="613" t="s">
        <v>835</v>
      </c>
      <c r="T3" s="613" t="s">
        <v>805</v>
      </c>
      <c r="U3" s="613" t="s">
        <v>503</v>
      </c>
      <c r="V3" s="613" t="s">
        <v>839</v>
      </c>
      <c r="W3" s="614" t="s">
        <v>602</v>
      </c>
      <c r="X3" s="614" t="s">
        <v>66</v>
      </c>
      <c r="Y3" s="616" t="s">
        <v>837</v>
      </c>
      <c r="Z3" s="616" t="s">
        <v>838</v>
      </c>
      <c r="AA3" s="616" t="s">
        <v>843</v>
      </c>
      <c r="AD3" t="s">
        <v>1</v>
      </c>
      <c r="AE3" t="s">
        <v>782</v>
      </c>
      <c r="AG3" t="s">
        <v>1</v>
      </c>
      <c r="AH3" t="s">
        <v>782</v>
      </c>
    </row>
    <row r="4" spans="1:34" x14ac:dyDescent="0.25">
      <c r="A4" s="287" t="str">
        <f>PLANTILLA!A8</f>
        <v>#8</v>
      </c>
      <c r="B4" s="670" t="str">
        <f>PLANTILLA!D8</f>
        <v>D. Toh</v>
      </c>
      <c r="C4" s="287">
        <f>PLANTILLA!E8</f>
        <v>32</v>
      </c>
      <c r="D4" s="287">
        <f ca="1">PLANTILLA!F8</f>
        <v>5</v>
      </c>
      <c r="E4" s="163">
        <f>PLANTILLA!X8</f>
        <v>0</v>
      </c>
      <c r="F4" s="163">
        <f>PLANTILLA!Y8</f>
        <v>11.077333333333334</v>
      </c>
      <c r="G4" s="163">
        <f>PLANTILLA!Z8</f>
        <v>6.2194444444444406</v>
      </c>
      <c r="H4" s="163">
        <f>PLANTILLA!AA8</f>
        <v>6.1</v>
      </c>
      <c r="I4" s="163">
        <f>PLANTILLA!AB8</f>
        <v>7.7227777777777789</v>
      </c>
      <c r="J4" s="163">
        <f>PLANTILLA!AC8</f>
        <v>3.9933333333333318</v>
      </c>
      <c r="K4" s="163">
        <f>PLANTILLA!AD8</f>
        <v>15.387777777777776</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6"/>
      <c r="Z4" s="406">
        <f>R4</f>
        <v>7.1499999999999994E-2</v>
      </c>
      <c r="AA4" s="406">
        <f t="shared" ref="AA4:AA23" si="8">MAX(Z4,Y4)</f>
        <v>7.1499999999999994E-2</v>
      </c>
      <c r="AD4" t="s">
        <v>803</v>
      </c>
      <c r="AE4" s="635" t="s">
        <v>856</v>
      </c>
      <c r="AG4" t="s">
        <v>803</v>
      </c>
      <c r="AH4" s="635" t="str">
        <f>AE4</f>
        <v>B. Pinczehelyi</v>
      </c>
    </row>
    <row r="5" spans="1:34" x14ac:dyDescent="0.25">
      <c r="A5" s="287" t="str">
        <f>PLANTILLA!A10</f>
        <v>#3</v>
      </c>
      <c r="B5" s="670" t="str">
        <f>PLANTILLA!D10</f>
        <v>B. Bartolache</v>
      </c>
      <c r="C5" s="287">
        <f>PLANTILLA!E10</f>
        <v>31</v>
      </c>
      <c r="D5" s="287">
        <f ca="1">PLANTILLA!F10</f>
        <v>56</v>
      </c>
      <c r="E5" s="163">
        <f>PLANTILLA!X10</f>
        <v>0</v>
      </c>
      <c r="F5" s="163">
        <f>PLANTILLA!Y10</f>
        <v>11.999999999999996</v>
      </c>
      <c r="G5" s="163">
        <f>PLANTILLA!Z10</f>
        <v>7.0225000000000017</v>
      </c>
      <c r="H5" s="163">
        <f>PLANTILLA!AA10</f>
        <v>7.5000000000000018</v>
      </c>
      <c r="I5" s="163">
        <f>PLANTILLA!AB10</f>
        <v>9.0199999999999978</v>
      </c>
      <c r="J5" s="163">
        <f>PLANTILLA!AC10</f>
        <v>4.6199999999999966</v>
      </c>
      <c r="K5" s="163">
        <f>PLANTILLA!AD10</f>
        <v>15.799999999999999</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6"/>
      <c r="Z5" s="406">
        <f>S5</f>
        <v>5.5681818181818173E-2</v>
      </c>
      <c r="AA5" s="406">
        <f t="shared" si="8"/>
        <v>5.5681818181818173E-2</v>
      </c>
      <c r="AD5" t="s">
        <v>804</v>
      </c>
      <c r="AE5" t="s">
        <v>272</v>
      </c>
      <c r="AG5" t="s">
        <v>815</v>
      </c>
      <c r="AH5" t="s">
        <v>273</v>
      </c>
    </row>
    <row r="6" spans="1:34" x14ac:dyDescent="0.25">
      <c r="A6" s="287" t="str">
        <f>PLANTILLA!A14</f>
        <v>#10</v>
      </c>
      <c r="B6" s="670" t="str">
        <f>PLANTILLA!D14</f>
        <v>S. Zobbe</v>
      </c>
      <c r="C6" s="287">
        <f>PLANTILLA!E14</f>
        <v>27</v>
      </c>
      <c r="D6" s="287">
        <f ca="1">PLANTILLA!F14</f>
        <v>107</v>
      </c>
      <c r="E6" s="163">
        <f>PLANTILLA!X14</f>
        <v>0</v>
      </c>
      <c r="F6" s="163">
        <f>PLANTILLA!Y14</f>
        <v>8.3599999999999977</v>
      </c>
      <c r="G6" s="163">
        <f>PLANTILLA!Z14</f>
        <v>12.253412698412699</v>
      </c>
      <c r="H6" s="163">
        <f>PLANTILLA!AA14</f>
        <v>12.36</v>
      </c>
      <c r="I6" s="163">
        <f>PLANTILLA!AB14</f>
        <v>10.24</v>
      </c>
      <c r="J6" s="163">
        <f>PLANTILLA!AC14</f>
        <v>7.4766666666666666</v>
      </c>
      <c r="K6" s="163">
        <f>PLANTILLA!AD14</f>
        <v>15.47</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6">
        <f>V6</f>
        <v>5.4545454545454536E-2</v>
      </c>
      <c r="Z6" s="406">
        <f>V6</f>
        <v>5.4545454545454536E-2</v>
      </c>
      <c r="AA6" s="406">
        <f t="shared" si="8"/>
        <v>5.4545454545454536E-2</v>
      </c>
      <c r="AD6" t="s">
        <v>803</v>
      </c>
      <c r="AE6" t="s">
        <v>269</v>
      </c>
      <c r="AG6" t="s">
        <v>814</v>
      </c>
      <c r="AH6" t="s">
        <v>269</v>
      </c>
    </row>
    <row r="7" spans="1:34" x14ac:dyDescent="0.25">
      <c r="A7" s="287" t="str">
        <f>PLANTILLA!A9</f>
        <v>#2</v>
      </c>
      <c r="B7" s="670" t="str">
        <f>PLANTILLA!D9</f>
        <v>E. Toney</v>
      </c>
      <c r="C7" s="287">
        <f>PLANTILLA!E9</f>
        <v>31</v>
      </c>
      <c r="D7" s="287">
        <f ca="1">PLANTILLA!F9</f>
        <v>71</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16.827777777777772</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6">
        <f>S7</f>
        <v>4.7727272727272722E-2</v>
      </c>
      <c r="Z7" s="406">
        <f>S7</f>
        <v>4.7727272727272722E-2</v>
      </c>
      <c r="AA7" s="406">
        <f t="shared" si="8"/>
        <v>4.7727272727272722E-2</v>
      </c>
      <c r="AD7" t="s">
        <v>503</v>
      </c>
      <c r="AE7" t="s">
        <v>618</v>
      </c>
      <c r="AG7" t="s">
        <v>815</v>
      </c>
      <c r="AH7" t="s">
        <v>275</v>
      </c>
    </row>
    <row r="8" spans="1:34" x14ac:dyDescent="0.25">
      <c r="A8" s="287" t="str">
        <f>PLANTILLA!A12</f>
        <v>#7</v>
      </c>
      <c r="B8" s="671" t="str">
        <f>PLANTILLA!D12</f>
        <v>E. Romweber</v>
      </c>
      <c r="C8" s="287">
        <f>PLANTILLA!E12</f>
        <v>31</v>
      </c>
      <c r="D8" s="287">
        <f ca="1">PLANTILLA!F12</f>
        <v>33</v>
      </c>
      <c r="E8" s="163">
        <f>PLANTILLA!X12</f>
        <v>0</v>
      </c>
      <c r="F8" s="163">
        <f>PLANTILLA!Y12</f>
        <v>12.06111111111111</v>
      </c>
      <c r="G8" s="163">
        <f>PLANTILLA!Z12</f>
        <v>12.614111111111114</v>
      </c>
      <c r="H8" s="163">
        <f>PLANTILLA!AA12</f>
        <v>13.216666666666669</v>
      </c>
      <c r="I8" s="163">
        <f>PLANTILLA!AB12</f>
        <v>10.91</v>
      </c>
      <c r="J8" s="163">
        <f>PLANTILLA!AC12</f>
        <v>7.7700000000000005</v>
      </c>
      <c r="K8" s="163">
        <f>PLANTILLA!AD12</f>
        <v>17.329999999999998</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6">
        <f>V8</f>
        <v>4.0909090909090909E-2</v>
      </c>
      <c r="Z8" s="406">
        <f>V8</f>
        <v>4.0909090909090909E-2</v>
      </c>
      <c r="AA8" s="406">
        <f t="shared" si="8"/>
        <v>4.0909090909090909E-2</v>
      </c>
      <c r="AD8" t="s">
        <v>805</v>
      </c>
      <c r="AE8" t="s">
        <v>400</v>
      </c>
      <c r="AG8" t="s">
        <v>803</v>
      </c>
      <c r="AH8" t="s">
        <v>816</v>
      </c>
    </row>
    <row r="9" spans="1:34" x14ac:dyDescent="0.25">
      <c r="A9" s="287" t="str">
        <f>PLANTILLA!A13</f>
        <v>#11</v>
      </c>
      <c r="B9" s="671" t="str">
        <f>PLANTILLA!D13</f>
        <v>K. Helms</v>
      </c>
      <c r="C9" s="287">
        <f>PLANTILLA!E13</f>
        <v>30</v>
      </c>
      <c r="D9" s="287">
        <f ca="1">PLANTILLA!F13</f>
        <v>92</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17.500000000000004</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6">
        <f>V9</f>
        <v>4.0909090909090909E-2</v>
      </c>
      <c r="Z9" s="406">
        <f>V9</f>
        <v>4.0909090909090909E-2</v>
      </c>
      <c r="AA9" s="406">
        <f t="shared" si="8"/>
        <v>4.0909090909090909E-2</v>
      </c>
      <c r="AD9" t="s">
        <v>503</v>
      </c>
      <c r="AE9" t="s">
        <v>285</v>
      </c>
      <c r="AG9" t="s">
        <v>503</v>
      </c>
      <c r="AH9" t="s">
        <v>285</v>
      </c>
    </row>
    <row r="10" spans="1:34" x14ac:dyDescent="0.25">
      <c r="A10" s="287" t="str">
        <f>PLANTILLA!A16</f>
        <v>#4</v>
      </c>
      <c r="B10" s="671" t="str">
        <f>PLANTILLA!D16</f>
        <v>C. Rojas</v>
      </c>
      <c r="C10" s="287">
        <f>PLANTILLA!E16</f>
        <v>32</v>
      </c>
      <c r="D10" s="287">
        <f ca="1">PLANTILLA!F16</f>
        <v>26</v>
      </c>
      <c r="E10" s="163">
        <f>PLANTILLA!X16</f>
        <v>0</v>
      </c>
      <c r="F10" s="163">
        <f>PLANTILLA!Y16</f>
        <v>8.6275555555555581</v>
      </c>
      <c r="G10" s="163">
        <f>PLANTILLA!Z16</f>
        <v>14.333255555555548</v>
      </c>
      <c r="H10" s="163">
        <f>PLANTILLA!AA16</f>
        <v>9.99</v>
      </c>
      <c r="I10" s="163">
        <f>PLANTILLA!AB16</f>
        <v>10.09</v>
      </c>
      <c r="J10" s="163">
        <f>PLANTILLA!AC16</f>
        <v>4.3999999999999995</v>
      </c>
      <c r="K10" s="163">
        <f>PLANTILLA!AD16</f>
        <v>16.74444444444444</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6">
        <f>U10</f>
        <v>4.0767045454545452E-2</v>
      </c>
      <c r="Z10" s="406">
        <f>U10</f>
        <v>4.0767045454545452E-2</v>
      </c>
      <c r="AA10" s="406">
        <f t="shared" si="8"/>
        <v>4.0767045454545452E-2</v>
      </c>
      <c r="AD10" t="s">
        <v>806</v>
      </c>
      <c r="AE10" t="s">
        <v>816</v>
      </c>
      <c r="AG10" t="s">
        <v>503</v>
      </c>
      <c r="AH10" t="s">
        <v>618</v>
      </c>
    </row>
    <row r="11" spans="1:34" x14ac:dyDescent="0.25">
      <c r="A11" s="287" t="str">
        <f>PLANTILLA!A15</f>
        <v>#6</v>
      </c>
      <c r="B11" s="671" t="str">
        <f>PLANTILLA!D15</f>
        <v>S. Buschelman</v>
      </c>
      <c r="C11" s="287">
        <f>PLANTILLA!E15</f>
        <v>29</v>
      </c>
      <c r="D11" s="287">
        <f ca="1">PLANTILLA!F15</f>
        <v>104</v>
      </c>
      <c r="E11" s="163">
        <f>PLANTILLA!X15</f>
        <v>0</v>
      </c>
      <c r="F11" s="163">
        <f>PLANTILLA!Y15</f>
        <v>9.3036666666666648</v>
      </c>
      <c r="G11" s="163">
        <f>PLANTILLA!Z15</f>
        <v>13.909999999999998</v>
      </c>
      <c r="H11" s="163">
        <f>PLANTILLA!AA15</f>
        <v>12.945</v>
      </c>
      <c r="I11" s="163">
        <f>PLANTILLA!AB15</f>
        <v>9.6733333333333356</v>
      </c>
      <c r="J11" s="163">
        <f>PLANTILLA!AC15</f>
        <v>5.0296666666666656</v>
      </c>
      <c r="K11" s="163">
        <f>PLANTILLA!AD15</f>
        <v>15.399999999999999</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6">
        <f>U11</f>
        <v>3.6237373737373728E-2</v>
      </c>
      <c r="Z11" s="406">
        <f>U11</f>
        <v>3.6237373737373728E-2</v>
      </c>
      <c r="AA11" s="406">
        <f t="shared" si="8"/>
        <v>3.6237373737373728E-2</v>
      </c>
      <c r="AD11" t="s">
        <v>806</v>
      </c>
      <c r="AE11" t="s">
        <v>298</v>
      </c>
      <c r="AG11" t="s">
        <v>806</v>
      </c>
      <c r="AH11" t="s">
        <v>298</v>
      </c>
    </row>
    <row r="12" spans="1:34" x14ac:dyDescent="0.25">
      <c r="A12" s="287" t="str">
        <f>PLANTILLA!A20</f>
        <v>#19</v>
      </c>
      <c r="B12" s="219" t="str">
        <f>PLANTILLA!D20</f>
        <v>G. Kerschl</v>
      </c>
      <c r="C12" s="287">
        <f>PLANTILLA!E20</f>
        <v>29</v>
      </c>
      <c r="D12" s="287">
        <f ca="1">PLANTILLA!F20</f>
        <v>22</v>
      </c>
      <c r="E12" s="163">
        <f>PLANTILLA!X20</f>
        <v>0</v>
      </c>
      <c r="F12" s="163">
        <f>PLANTILLA!Y20</f>
        <v>3</v>
      </c>
      <c r="G12" s="163">
        <f>PLANTILLA!Z20</f>
        <v>15.07</v>
      </c>
      <c r="H12" s="163">
        <f>PLANTILLA!AA20</f>
        <v>12.02</v>
      </c>
      <c r="I12" s="163">
        <f>PLANTILLA!AB20</f>
        <v>12</v>
      </c>
      <c r="J12" s="163">
        <f>PLANTILLA!AC20</f>
        <v>8</v>
      </c>
      <c r="K12" s="163">
        <f>PLANTILLA!AD20</f>
        <v>3</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6">
        <f>U12</f>
        <v>3.2613636363636365E-2</v>
      </c>
      <c r="Z12" s="406">
        <f>U12</f>
        <v>3.2613636363636365E-2</v>
      </c>
      <c r="AA12" s="406">
        <f t="shared" si="8"/>
        <v>3.2613636363636365E-2</v>
      </c>
      <c r="AD12" t="s">
        <v>66</v>
      </c>
      <c r="AE12" t="s">
        <v>287</v>
      </c>
      <c r="AG12" t="s">
        <v>806</v>
      </c>
      <c r="AH12" t="s">
        <v>507</v>
      </c>
    </row>
    <row r="13" spans="1:34" x14ac:dyDescent="0.25">
      <c r="A13" s="287" t="str">
        <f>PLANTILLA!A22</f>
        <v>#18</v>
      </c>
      <c r="B13" s="219" t="str">
        <f>PLANTILLA!D22</f>
        <v>L. Calosso</v>
      </c>
      <c r="C13" s="287">
        <f>PLANTILLA!E22</f>
        <v>30</v>
      </c>
      <c r="D13" s="287">
        <f ca="1">PLANTILLA!F22</f>
        <v>101</v>
      </c>
      <c r="E13" s="163">
        <f>PLANTILLA!X22</f>
        <v>0</v>
      </c>
      <c r="F13" s="163">
        <f>PLANTILLA!Y22</f>
        <v>3.02</v>
      </c>
      <c r="G13" s="163">
        <f>PLANTILLA!Z22</f>
        <v>14.277609523809524</v>
      </c>
      <c r="H13" s="163">
        <f>PLANTILLA!AA22</f>
        <v>3.04</v>
      </c>
      <c r="I13" s="163">
        <f>PLANTILLA!AB22</f>
        <v>15.02</v>
      </c>
      <c r="J13" s="163">
        <f>PLANTILLA!AC22</f>
        <v>10</v>
      </c>
      <c r="K13" s="163">
        <f>PLANTILLA!AD22</f>
        <v>9.6000000000000014</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6">
        <f>W13</f>
        <v>2.7272727272727268E-2</v>
      </c>
      <c r="Z13" s="406">
        <f>W13</f>
        <v>2.7272727272727268E-2</v>
      </c>
      <c r="AA13" s="406">
        <f t="shared" si="8"/>
        <v>2.7272727272727268E-2</v>
      </c>
      <c r="AD13" t="s">
        <v>66</v>
      </c>
      <c r="AE13" t="s">
        <v>507</v>
      </c>
      <c r="AG13" t="s">
        <v>66</v>
      </c>
      <c r="AH13" t="s">
        <v>287</v>
      </c>
    </row>
    <row r="14" spans="1:34" x14ac:dyDescent="0.25">
      <c r="A14" s="287" t="str">
        <f>PLANTILLA!A18</f>
        <v>#5</v>
      </c>
      <c r="B14" s="219" t="str">
        <f>PLANTILLA!D18</f>
        <v>L. Bauman</v>
      </c>
      <c r="C14" s="287">
        <f>PLANTILLA!E18</f>
        <v>30</v>
      </c>
      <c r="D14" s="287">
        <f ca="1">PLANTILLA!F18</f>
        <v>107</v>
      </c>
      <c r="E14" s="163">
        <f>PLANTILLA!X18</f>
        <v>0</v>
      </c>
      <c r="F14" s="163">
        <f>PLANTILLA!Y18</f>
        <v>5.4644444444444451</v>
      </c>
      <c r="G14" s="163">
        <f>PLANTILLA!Z18</f>
        <v>14.42664708994708</v>
      </c>
      <c r="H14" s="163">
        <f>PLANTILLA!AA18</f>
        <v>3.5124999999999993</v>
      </c>
      <c r="I14" s="163">
        <f>PLANTILLA!AB18</f>
        <v>9.1400000000000041</v>
      </c>
      <c r="J14" s="163">
        <f>PLANTILLA!AC18</f>
        <v>7.4318888888888894</v>
      </c>
      <c r="K14" s="163">
        <f>PLANTILLA!AD18</f>
        <v>16.27</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6">
        <f>T14</f>
        <v>0</v>
      </c>
      <c r="Z14" s="406">
        <f>W14</f>
        <v>2.7272727272727268E-2</v>
      </c>
      <c r="AA14" s="406">
        <f t="shared" si="8"/>
        <v>2.7272727272727268E-2</v>
      </c>
    </row>
    <row r="15" spans="1:34" x14ac:dyDescent="0.25">
      <c r="A15" s="287" t="str">
        <f>PLANTILLA!A7</f>
        <v>#17</v>
      </c>
      <c r="B15" s="219" t="str">
        <f>PLANTILLA!D7</f>
        <v>B. Pinczehelyi</v>
      </c>
      <c r="C15" s="287">
        <f>PLANTILLA!E7</f>
        <v>30</v>
      </c>
      <c r="D15" s="287">
        <f ca="1">PLANTILLA!F7</f>
        <v>72</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9.8000000000000007</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6">
        <f>S15</f>
        <v>2.227272727272727E-2</v>
      </c>
      <c r="Z15" s="406">
        <f>S15</f>
        <v>2.227272727272727E-2</v>
      </c>
      <c r="AA15" s="406">
        <f t="shared" si="8"/>
        <v>2.227272727272727E-2</v>
      </c>
    </row>
    <row r="16" spans="1:34" x14ac:dyDescent="0.25">
      <c r="A16" s="287" t="str">
        <f>PLANTILLA!A21</f>
        <v>#9</v>
      </c>
      <c r="B16" s="219" t="str">
        <f>PLANTILLA!D21</f>
        <v>J. Limon</v>
      </c>
      <c r="C16" s="287">
        <f>PLANTILLA!E21</f>
        <v>30</v>
      </c>
      <c r="D16" s="287">
        <f ca="1">PLANTILLA!F21</f>
        <v>32</v>
      </c>
      <c r="E16" s="163">
        <f>PLANTILLA!X21</f>
        <v>0</v>
      </c>
      <c r="F16" s="163">
        <f>PLANTILLA!Y21</f>
        <v>6.8376190476190493</v>
      </c>
      <c r="G16" s="163">
        <f>PLANTILLA!Z21</f>
        <v>8.6449999999999996</v>
      </c>
      <c r="H16" s="163">
        <f>PLANTILLA!AA21</f>
        <v>8.7399999999999967</v>
      </c>
      <c r="I16" s="163">
        <f>PLANTILLA!AB21</f>
        <v>9.6900000000000013</v>
      </c>
      <c r="J16" s="163">
        <f>PLANTILLA!AC21</f>
        <v>8.5625000000000018</v>
      </c>
      <c r="K16" s="163">
        <f>PLANTILLA!AD21</f>
        <v>18.789999999999992</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6">
        <f>W16</f>
        <v>1.6363636363636361E-2</v>
      </c>
      <c r="Z16" s="406"/>
      <c r="AA16" s="406">
        <f t="shared" si="8"/>
        <v>1.6363636363636361E-2</v>
      </c>
    </row>
    <row r="17" spans="1:27" x14ac:dyDescent="0.25">
      <c r="A17" s="287" t="str">
        <f>PLANTILLA!A23</f>
        <v>#15</v>
      </c>
      <c r="B17" s="219" t="str">
        <f>PLANTILLA!D23</f>
        <v>P .Trivadi</v>
      </c>
      <c r="C17" s="287">
        <f>PLANTILLA!E23</f>
        <v>27</v>
      </c>
      <c r="D17" s="287">
        <f ca="1">PLANTILLA!F23</f>
        <v>63</v>
      </c>
      <c r="E17" s="163">
        <f>PLANTILLA!X23</f>
        <v>0</v>
      </c>
      <c r="F17" s="163">
        <f>PLANTILLA!Y23</f>
        <v>4.0199999999999996</v>
      </c>
      <c r="G17" s="163">
        <f>PLANTILLA!Z23</f>
        <v>5.5738722222222199</v>
      </c>
      <c r="H17" s="163">
        <f>PLANTILLA!AA23</f>
        <v>5.5099999999999989</v>
      </c>
      <c r="I17" s="163">
        <f>PLANTILLA!AB23</f>
        <v>10.799999999999999</v>
      </c>
      <c r="J17" s="163">
        <f>PLANTILLA!AC23</f>
        <v>8.384500000000001</v>
      </c>
      <c r="K17" s="163">
        <f>PLANTILLA!AD23</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6">
        <v>0</v>
      </c>
      <c r="Z17" s="406">
        <v>0</v>
      </c>
      <c r="AA17" s="406">
        <f t="shared" si="8"/>
        <v>0</v>
      </c>
    </row>
    <row r="18" spans="1:27" x14ac:dyDescent="0.25">
      <c r="A18" s="287" t="str">
        <f>PLANTILLA!A5</f>
        <v>#1</v>
      </c>
      <c r="B18" s="287" t="str">
        <f>PLANTILLA!D5</f>
        <v>D. Gehmacher</v>
      </c>
      <c r="C18" s="287">
        <f>PLANTILLA!E5</f>
        <v>30</v>
      </c>
      <c r="D18" s="287">
        <f ca="1">PLANTILLA!F5</f>
        <v>60</v>
      </c>
      <c r="E18" s="163">
        <f>PLANTILLA!X5</f>
        <v>16.666666666666668</v>
      </c>
      <c r="F18" s="163">
        <f>PLANTILLA!Y5</f>
        <v>12.080559440559444</v>
      </c>
      <c r="G18" s="163">
        <f>PLANTILLA!Z5</f>
        <v>2.0699999999999985</v>
      </c>
      <c r="H18" s="163">
        <f>PLANTILLA!AA5</f>
        <v>2.149999999999999</v>
      </c>
      <c r="I18" s="163">
        <f>PLANTILLA!AB5</f>
        <v>1.0400000000000003</v>
      </c>
      <c r="J18" s="163">
        <f>PLANTILLA!AC5</f>
        <v>0.14055555555555557</v>
      </c>
      <c r="K18" s="163">
        <f>PLANTILLA!AD5</f>
        <v>17.949999999999996</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6">
        <f>L18</f>
        <v>0</v>
      </c>
      <c r="Z18" s="406">
        <f>L18</f>
        <v>0</v>
      </c>
      <c r="AA18" s="406">
        <f t="shared" si="8"/>
        <v>0</v>
      </c>
    </row>
    <row r="19" spans="1:27" x14ac:dyDescent="0.25">
      <c r="A19" s="287" t="str">
        <f>PLANTILLA!A17</f>
        <v>#12</v>
      </c>
      <c r="B19" s="287" t="str">
        <f>PLANTILLA!D17</f>
        <v>E. Gross</v>
      </c>
      <c r="C19" s="287">
        <f>PLANTILLA!E17</f>
        <v>31</v>
      </c>
      <c r="D19" s="287">
        <f ca="1">PLANTILLA!F17</f>
        <v>20</v>
      </c>
      <c r="E19" s="163">
        <f>PLANTILLA!X17</f>
        <v>0</v>
      </c>
      <c r="F19" s="163">
        <f>PLANTILLA!Y17</f>
        <v>10.549999999999995</v>
      </c>
      <c r="G19" s="163">
        <f>PLANTILLA!Z17</f>
        <v>12.939777777777776</v>
      </c>
      <c r="H19" s="163">
        <f>PLANTILLA!AA17</f>
        <v>5.1399999999999979</v>
      </c>
      <c r="I19" s="163">
        <f>PLANTILLA!AB17</f>
        <v>9.24</v>
      </c>
      <c r="J19" s="163">
        <f>PLANTILLA!AC17</f>
        <v>2.98</v>
      </c>
      <c r="K19" s="163">
        <f>PLANTILLA!AD17</f>
        <v>17.059999999999999</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6">
        <v>0</v>
      </c>
      <c r="Z19" s="406">
        <v>0</v>
      </c>
      <c r="AA19" s="406">
        <f t="shared" si="8"/>
        <v>0</v>
      </c>
    </row>
    <row r="20" spans="1:27" x14ac:dyDescent="0.25">
      <c r="A20" s="287" t="str">
        <f>PLANTILLA!A6</f>
        <v>#16</v>
      </c>
      <c r="B20" s="287" t="str">
        <f>PLANTILLA!D6</f>
        <v>T. Hammond</v>
      </c>
      <c r="C20" s="287">
        <f>PLANTILLA!E6</f>
        <v>34</v>
      </c>
      <c r="D20" s="287">
        <f ca="1">PLANTILLA!F6</f>
        <v>69</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6"/>
      <c r="Z20" s="406"/>
      <c r="AA20" s="406">
        <f t="shared" si="8"/>
        <v>0</v>
      </c>
    </row>
    <row r="21" spans="1:27" x14ac:dyDescent="0.25">
      <c r="A21" s="287" t="str">
        <f>PLANTILLA!A11</f>
        <v>#13</v>
      </c>
      <c r="B21" s="287" t="str">
        <f>PLANTILLA!D11</f>
        <v>F. Lasprilla</v>
      </c>
      <c r="C21" s="287">
        <f>PLANTILLA!E11</f>
        <v>27</v>
      </c>
      <c r="D21" s="287">
        <f ca="1">PLANTILLA!F11</f>
        <v>79</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13.238888888888889</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6"/>
      <c r="Z21" s="406"/>
      <c r="AA21" s="406">
        <f t="shared" si="8"/>
        <v>0</v>
      </c>
    </row>
    <row r="22" spans="1:27" x14ac:dyDescent="0.25">
      <c r="A22" s="287" t="str">
        <f>PLANTILLA!A19</f>
        <v>#14</v>
      </c>
      <c r="B22" s="287" t="str">
        <f>PLANTILLA!D19</f>
        <v>W. Gelifini</v>
      </c>
      <c r="C22" s="287">
        <f>PLANTILLA!E19</f>
        <v>29</v>
      </c>
      <c r="D22" s="287">
        <f ca="1">PLANTILLA!F19</f>
        <v>57</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12.450000000000001</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6"/>
      <c r="Z22" s="406"/>
      <c r="AA22" s="406">
        <f t="shared" si="8"/>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6"/>
      <c r="Z23" s="406"/>
      <c r="AA23" s="406">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C7" sqref="C7"/>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9"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43130</v>
      </c>
      <c r="F2" s="291"/>
      <c r="G2" s="700" t="s">
        <v>444</v>
      </c>
      <c r="H2" s="700"/>
      <c r="J2" s="291"/>
      <c r="K2" s="291"/>
      <c r="L2" s="700" t="s">
        <v>864</v>
      </c>
      <c r="M2" s="700"/>
      <c r="N2" s="700"/>
      <c r="O2" s="630"/>
      <c r="P2" s="309"/>
      <c r="Q2" s="309"/>
      <c r="R2" s="700" t="s">
        <v>446</v>
      </c>
      <c r="S2" s="700"/>
      <c r="U2" s="4" t="s">
        <v>872</v>
      </c>
      <c r="V2" s="3" t="s">
        <v>176</v>
      </c>
      <c r="W2" s="291"/>
      <c r="X2" s="291"/>
    </row>
    <row r="3" spans="1:24" x14ac:dyDescent="0.25">
      <c r="F3">
        <v>1</v>
      </c>
      <c r="G3" s="3">
        <v>60</v>
      </c>
      <c r="H3" t="s">
        <v>783</v>
      </c>
      <c r="I3" t="s">
        <v>1</v>
      </c>
      <c r="K3" s="620">
        <v>1</v>
      </c>
      <c r="L3" s="3">
        <v>283</v>
      </c>
      <c r="M3" t="s">
        <v>460</v>
      </c>
      <c r="N3" t="s">
        <v>459</v>
      </c>
      <c r="O3" s="370">
        <f t="shared" ref="O3:O22" si="0">L3/$G$22</f>
        <v>0.87616099071207432</v>
      </c>
      <c r="Q3" s="620">
        <v>1</v>
      </c>
      <c r="R3" s="3">
        <v>196</v>
      </c>
      <c r="S3" t="s">
        <v>447</v>
      </c>
      <c r="T3" t="s">
        <v>212</v>
      </c>
      <c r="U3" s="159">
        <f>R3/L7</f>
        <v>0.86343612334801767</v>
      </c>
      <c r="V3" s="47">
        <f t="shared" ref="V3:V16" si="1">R3/$R$33</f>
        <v>0.18031278748850046</v>
      </c>
    </row>
    <row r="4" spans="1:24" s="291" customFormat="1" ht="18.75" x14ac:dyDescent="0.3">
      <c r="A4" s="291" t="s">
        <v>441</v>
      </c>
      <c r="F4">
        <v>2</v>
      </c>
      <c r="G4" s="3">
        <v>57</v>
      </c>
      <c r="H4" t="s">
        <v>206</v>
      </c>
      <c r="I4" s="290" t="s">
        <v>1</v>
      </c>
      <c r="J4"/>
      <c r="K4" s="620">
        <v>2</v>
      </c>
      <c r="L4" s="3">
        <v>281</v>
      </c>
      <c r="M4" t="s">
        <v>473</v>
      </c>
      <c r="N4" s="290" t="s">
        <v>439</v>
      </c>
      <c r="O4" s="370">
        <f t="shared" si="0"/>
        <v>0.86996904024767807</v>
      </c>
      <c r="P4"/>
      <c r="Q4" s="620">
        <v>2</v>
      </c>
      <c r="R4" s="3">
        <v>93</v>
      </c>
      <c r="S4" t="s">
        <v>547</v>
      </c>
      <c r="T4" t="s">
        <v>65</v>
      </c>
      <c r="U4" s="159">
        <f>R4/L12</f>
        <v>0.48691099476439792</v>
      </c>
      <c r="V4" s="47">
        <f t="shared" si="1"/>
        <v>8.5556577736890529E-2</v>
      </c>
      <c r="W4"/>
      <c r="X4"/>
    </row>
    <row r="5" spans="1:24" x14ac:dyDescent="0.25">
      <c r="A5" s="179" t="s">
        <v>442</v>
      </c>
      <c r="B5" s="492" t="s">
        <v>875</v>
      </c>
      <c r="C5" s="290">
        <v>43066</v>
      </c>
      <c r="D5" t="s">
        <v>876</v>
      </c>
      <c r="F5">
        <v>3</v>
      </c>
      <c r="G5" s="665">
        <v>46</v>
      </c>
      <c r="H5" s="663" t="s">
        <v>204</v>
      </c>
      <c r="I5" s="664" t="s">
        <v>1</v>
      </c>
      <c r="K5" s="632">
        <v>3</v>
      </c>
      <c r="L5" s="3">
        <v>249</v>
      </c>
      <c r="M5" t="s">
        <v>449</v>
      </c>
      <c r="N5" s="290" t="s">
        <v>64</v>
      </c>
      <c r="O5" s="370">
        <f t="shared" si="0"/>
        <v>0.77089783281733748</v>
      </c>
      <c r="Q5" s="620">
        <v>3</v>
      </c>
      <c r="R5" s="3">
        <v>80</v>
      </c>
      <c r="S5" t="s">
        <v>449</v>
      </c>
      <c r="T5" t="s">
        <v>64</v>
      </c>
      <c r="U5" s="159">
        <f>R5/L5</f>
        <v>0.32128514056224899</v>
      </c>
      <c r="V5" s="47">
        <f t="shared" si="1"/>
        <v>7.3597056117755286E-2</v>
      </c>
    </row>
    <row r="6" spans="1:24" ht="18.75" x14ac:dyDescent="0.3">
      <c r="A6" s="179" t="s">
        <v>862</v>
      </c>
      <c r="B6" s="366" t="s">
        <v>868</v>
      </c>
      <c r="C6" s="290">
        <v>43055</v>
      </c>
      <c r="D6" t="s">
        <v>869</v>
      </c>
      <c r="F6">
        <v>4</v>
      </c>
      <c r="G6" s="665">
        <v>2</v>
      </c>
      <c r="H6" s="663" t="s">
        <v>200</v>
      </c>
      <c r="I6" s="663" t="s">
        <v>1</v>
      </c>
      <c r="J6" s="291"/>
      <c r="K6" s="632">
        <v>4</v>
      </c>
      <c r="L6" s="342">
        <v>237</v>
      </c>
      <c r="M6" t="s">
        <v>498</v>
      </c>
      <c r="N6" s="290" t="s">
        <v>64</v>
      </c>
      <c r="O6" s="370">
        <f t="shared" si="0"/>
        <v>0.73374613003095979</v>
      </c>
      <c r="P6" s="291"/>
      <c r="Q6" s="620">
        <v>4</v>
      </c>
      <c r="R6" s="321">
        <v>76</v>
      </c>
      <c r="S6" t="s">
        <v>460</v>
      </c>
      <c r="T6" t="s">
        <v>459</v>
      </c>
      <c r="U6" s="159">
        <f>R6/L3</f>
        <v>0.26855123674911663</v>
      </c>
      <c r="V6" s="47">
        <f t="shared" si="1"/>
        <v>6.9917203311867529E-2</v>
      </c>
      <c r="X6" s="291"/>
    </row>
    <row r="7" spans="1:24" ht="18.75" x14ac:dyDescent="0.3">
      <c r="F7">
        <v>5</v>
      </c>
      <c r="G7" s="3">
        <v>1</v>
      </c>
      <c r="H7" t="s">
        <v>448</v>
      </c>
      <c r="I7" t="s">
        <v>2</v>
      </c>
      <c r="K7" s="632">
        <v>5</v>
      </c>
      <c r="L7" s="342">
        <v>227</v>
      </c>
      <c r="M7" t="s">
        <v>496</v>
      </c>
      <c r="N7" s="290" t="s">
        <v>212</v>
      </c>
      <c r="O7" s="370">
        <f t="shared" si="0"/>
        <v>0.70278637770897834</v>
      </c>
      <c r="Q7" s="620">
        <v>5</v>
      </c>
      <c r="R7" s="380">
        <v>63</v>
      </c>
      <c r="S7" t="s">
        <v>497</v>
      </c>
      <c r="T7" s="290" t="s">
        <v>65</v>
      </c>
      <c r="U7" s="159">
        <f>R7/L10</f>
        <v>0.29439252336448596</v>
      </c>
      <c r="V7" s="47">
        <f t="shared" si="1"/>
        <v>5.7957681692732292E-2</v>
      </c>
      <c r="W7" s="291"/>
    </row>
    <row r="8" spans="1:24" s="291" customFormat="1" ht="18.75" x14ac:dyDescent="0.3">
      <c r="A8" s="700" t="s">
        <v>863</v>
      </c>
      <c r="B8" s="700"/>
      <c r="F8">
        <v>5</v>
      </c>
      <c r="G8" s="665">
        <v>1</v>
      </c>
      <c r="H8" s="663" t="s">
        <v>462</v>
      </c>
      <c r="I8" s="663" t="s">
        <v>439</v>
      </c>
      <c r="J8"/>
      <c r="K8" s="632">
        <v>6</v>
      </c>
      <c r="L8" s="317">
        <v>224</v>
      </c>
      <c r="M8" t="s">
        <v>457</v>
      </c>
      <c r="N8" s="290" t="s">
        <v>64</v>
      </c>
      <c r="O8" s="370">
        <f t="shared" si="0"/>
        <v>0.69349845201238391</v>
      </c>
      <c r="P8"/>
      <c r="Q8" s="620">
        <v>6</v>
      </c>
      <c r="R8" s="317">
        <v>62</v>
      </c>
      <c r="S8" t="s">
        <v>498</v>
      </c>
      <c r="T8" s="290" t="s">
        <v>64</v>
      </c>
      <c r="U8" s="159">
        <f>R8/L6</f>
        <v>0.26160337552742619</v>
      </c>
      <c r="V8" s="47">
        <f t="shared" si="1"/>
        <v>5.7037718491260353E-2</v>
      </c>
      <c r="X8"/>
    </row>
    <row r="9" spans="1:24" x14ac:dyDescent="0.25">
      <c r="A9" s="660" t="s">
        <v>879</v>
      </c>
      <c r="B9" t="s">
        <v>860</v>
      </c>
      <c r="C9" s="290" t="s">
        <v>66</v>
      </c>
      <c r="K9" s="632">
        <v>7</v>
      </c>
      <c r="L9" s="317">
        <v>223</v>
      </c>
      <c r="M9" t="s">
        <v>461</v>
      </c>
      <c r="N9" s="290" t="s">
        <v>439</v>
      </c>
      <c r="O9" s="370">
        <f t="shared" si="0"/>
        <v>0.69040247678018574</v>
      </c>
      <c r="Q9" s="620">
        <v>7</v>
      </c>
      <c r="R9" s="321">
        <v>59</v>
      </c>
      <c r="S9" t="s">
        <v>473</v>
      </c>
      <c r="T9" s="290" t="s">
        <v>439</v>
      </c>
      <c r="U9" s="159">
        <f>R9/L4</f>
        <v>0.20996441281138789</v>
      </c>
      <c r="V9" s="47">
        <f t="shared" si="1"/>
        <v>5.4277828886844529E-2</v>
      </c>
    </row>
    <row r="10" spans="1:24" ht="18.75" x14ac:dyDescent="0.3">
      <c r="A10" s="568" t="s">
        <v>866</v>
      </c>
      <c r="B10" t="s">
        <v>783</v>
      </c>
      <c r="C10" t="s">
        <v>1</v>
      </c>
      <c r="F10" s="291"/>
      <c r="G10" s="700" t="s">
        <v>445</v>
      </c>
      <c r="H10" s="700"/>
      <c r="J10" s="291"/>
      <c r="K10" s="632">
        <v>8</v>
      </c>
      <c r="L10" s="342">
        <v>214</v>
      </c>
      <c r="M10" t="s">
        <v>497</v>
      </c>
      <c r="N10" s="290" t="s">
        <v>65</v>
      </c>
      <c r="O10" s="370">
        <f t="shared" si="0"/>
        <v>0.66253869969040247</v>
      </c>
      <c r="P10" s="291"/>
      <c r="Q10" s="620">
        <v>8</v>
      </c>
      <c r="R10" s="360">
        <v>56</v>
      </c>
      <c r="S10" t="s">
        <v>476</v>
      </c>
      <c r="T10" s="290" t="s">
        <v>64</v>
      </c>
      <c r="U10" s="159">
        <f>R10/L11</f>
        <v>0.29015544041450775</v>
      </c>
      <c r="V10" s="47">
        <f t="shared" si="1"/>
        <v>5.1517939282428704E-2</v>
      </c>
      <c r="X10" s="291"/>
    </row>
    <row r="11" spans="1:24" x14ac:dyDescent="0.25">
      <c r="A11" s="382" t="s">
        <v>866</v>
      </c>
      <c r="B11" t="s">
        <v>460</v>
      </c>
      <c r="C11" t="s">
        <v>459</v>
      </c>
      <c r="F11">
        <v>1</v>
      </c>
      <c r="G11" s="444">
        <v>116</v>
      </c>
      <c r="H11" t="s">
        <v>783</v>
      </c>
      <c r="I11" t="s">
        <v>1</v>
      </c>
      <c r="K11" s="632">
        <v>9</v>
      </c>
      <c r="L11" s="317">
        <v>193</v>
      </c>
      <c r="M11" t="s">
        <v>476</v>
      </c>
      <c r="N11" s="290" t="s">
        <v>64</v>
      </c>
      <c r="O11" s="370">
        <f t="shared" si="0"/>
        <v>0.5975232198142415</v>
      </c>
      <c r="Q11" s="620">
        <v>9</v>
      </c>
      <c r="R11" s="321">
        <v>55</v>
      </c>
      <c r="S11" t="s">
        <v>461</v>
      </c>
      <c r="T11" s="290" t="s">
        <v>439</v>
      </c>
      <c r="U11" s="159">
        <f>R11/L9</f>
        <v>0.24663677130044842</v>
      </c>
      <c r="V11" s="47">
        <f t="shared" si="1"/>
        <v>5.0597976080956765E-2</v>
      </c>
    </row>
    <row r="12" spans="1:24" s="291" customFormat="1" ht="18.75" x14ac:dyDescent="0.3">
      <c r="A12" s="382" t="s">
        <v>866</v>
      </c>
      <c r="B12" t="s">
        <v>498</v>
      </c>
      <c r="C12" s="290" t="s">
        <v>64</v>
      </c>
      <c r="F12">
        <v>2</v>
      </c>
      <c r="G12" s="665">
        <v>88</v>
      </c>
      <c r="H12" s="663" t="s">
        <v>204</v>
      </c>
      <c r="I12" s="664" t="s">
        <v>1</v>
      </c>
      <c r="J12"/>
      <c r="K12" s="632">
        <v>10</v>
      </c>
      <c r="L12" s="444">
        <v>191</v>
      </c>
      <c r="M12" t="s">
        <v>547</v>
      </c>
      <c r="N12" t="s">
        <v>65</v>
      </c>
      <c r="O12" s="370">
        <f>L12/$G$22</f>
        <v>0.59133126934984526</v>
      </c>
      <c r="P12"/>
      <c r="Q12" s="620">
        <v>10</v>
      </c>
      <c r="R12" s="381">
        <v>52</v>
      </c>
      <c r="S12" t="s">
        <v>550</v>
      </c>
      <c r="T12" s="290" t="s">
        <v>212</v>
      </c>
      <c r="U12" s="159">
        <f>R12/L17</f>
        <v>0.46846846846846846</v>
      </c>
      <c r="V12" s="47">
        <f t="shared" si="1"/>
        <v>4.7838086476540941E-2</v>
      </c>
      <c r="W12"/>
      <c r="X12"/>
    </row>
    <row r="13" spans="1:24" x14ac:dyDescent="0.25">
      <c r="A13" s="656" t="s">
        <v>791</v>
      </c>
      <c r="B13" t="s">
        <v>857</v>
      </c>
      <c r="C13" t="s">
        <v>2</v>
      </c>
      <c r="F13">
        <v>3</v>
      </c>
      <c r="G13" s="317">
        <v>71</v>
      </c>
      <c r="H13" t="s">
        <v>473</v>
      </c>
      <c r="I13" s="290" t="s">
        <v>439</v>
      </c>
      <c r="K13" s="632">
        <v>11</v>
      </c>
      <c r="L13" s="321">
        <v>188</v>
      </c>
      <c r="M13" t="s">
        <v>206</v>
      </c>
      <c r="N13" s="290" t="s">
        <v>1</v>
      </c>
      <c r="O13" s="370">
        <f t="shared" si="0"/>
        <v>0.58204334365325072</v>
      </c>
      <c r="Q13" s="620">
        <v>11</v>
      </c>
      <c r="R13" s="317">
        <v>49</v>
      </c>
      <c r="S13" t="s">
        <v>448</v>
      </c>
      <c r="T13" t="s">
        <v>2</v>
      </c>
      <c r="U13" s="159">
        <f>R13/L14</f>
        <v>0.28994082840236685</v>
      </c>
      <c r="V13" s="47">
        <f t="shared" si="1"/>
        <v>4.5078196872125116E-2</v>
      </c>
    </row>
    <row r="14" spans="1:24" x14ac:dyDescent="0.25">
      <c r="A14" s="382" t="s">
        <v>791</v>
      </c>
      <c r="B14" t="s">
        <v>449</v>
      </c>
      <c r="C14" s="290" t="s">
        <v>64</v>
      </c>
      <c r="F14">
        <v>4</v>
      </c>
      <c r="G14" s="662">
        <v>21</v>
      </c>
      <c r="H14" s="663" t="s">
        <v>190</v>
      </c>
      <c r="I14" s="663" t="s">
        <v>65</v>
      </c>
      <c r="K14" s="632">
        <v>12</v>
      </c>
      <c r="L14" s="317">
        <v>169</v>
      </c>
      <c r="M14" t="s">
        <v>448</v>
      </c>
      <c r="N14" s="290" t="s">
        <v>439</v>
      </c>
      <c r="O14" s="370">
        <f t="shared" si="0"/>
        <v>0.52321981424148611</v>
      </c>
      <c r="Q14" s="620">
        <v>12</v>
      </c>
      <c r="R14" s="321">
        <v>41</v>
      </c>
      <c r="S14" t="s">
        <v>457</v>
      </c>
      <c r="T14" t="s">
        <v>64</v>
      </c>
      <c r="U14" s="159">
        <f>R14/L8</f>
        <v>0.18303571428571427</v>
      </c>
      <c r="V14" s="47">
        <f t="shared" si="1"/>
        <v>3.7718491260349589E-2</v>
      </c>
    </row>
    <row r="15" spans="1:24" x14ac:dyDescent="0.25">
      <c r="A15" s="380" t="s">
        <v>880</v>
      </c>
      <c r="B15" t="s">
        <v>473</v>
      </c>
      <c r="C15" s="290" t="s">
        <v>439</v>
      </c>
      <c r="F15">
        <v>5</v>
      </c>
      <c r="G15" s="444">
        <v>8</v>
      </c>
      <c r="H15" t="s">
        <v>449</v>
      </c>
      <c r="I15" s="290" t="s">
        <v>64</v>
      </c>
      <c r="K15" s="632">
        <v>13</v>
      </c>
      <c r="L15" s="662">
        <v>146</v>
      </c>
      <c r="M15" s="663" t="s">
        <v>204</v>
      </c>
      <c r="N15" s="664" t="s">
        <v>1</v>
      </c>
      <c r="O15" s="666">
        <f t="shared" si="0"/>
        <v>0.45201238390092879</v>
      </c>
      <c r="Q15" s="620">
        <v>13</v>
      </c>
      <c r="R15" s="444">
        <v>39</v>
      </c>
      <c r="S15" s="246" t="s">
        <v>860</v>
      </c>
      <c r="T15" s="246" t="s">
        <v>66</v>
      </c>
      <c r="U15" s="159">
        <f>R15/L23</f>
        <v>0.73584905660377353</v>
      </c>
      <c r="V15" s="47">
        <f t="shared" si="1"/>
        <v>3.5878564857405704E-2</v>
      </c>
      <c r="W15">
        <v>115</v>
      </c>
    </row>
    <row r="16" spans="1:24" x14ac:dyDescent="0.25">
      <c r="A16" s="382" t="s">
        <v>819</v>
      </c>
      <c r="B16" t="s">
        <v>497</v>
      </c>
      <c r="C16" s="290" t="s">
        <v>65</v>
      </c>
      <c r="F16">
        <v>6</v>
      </c>
      <c r="G16" s="662">
        <v>6</v>
      </c>
      <c r="H16" s="663" t="s">
        <v>194</v>
      </c>
      <c r="I16" s="664" t="s">
        <v>64</v>
      </c>
      <c r="K16" s="632">
        <v>14</v>
      </c>
      <c r="L16" s="444">
        <v>131</v>
      </c>
      <c r="M16" t="s">
        <v>783</v>
      </c>
      <c r="N16" t="s">
        <v>1</v>
      </c>
      <c r="O16" s="370">
        <f t="shared" si="0"/>
        <v>0.40557275541795668</v>
      </c>
      <c r="Q16" s="620">
        <v>14</v>
      </c>
      <c r="R16" s="317">
        <v>21</v>
      </c>
      <c r="S16" t="s">
        <v>513</v>
      </c>
      <c r="T16" t="s">
        <v>64</v>
      </c>
      <c r="U16" s="159">
        <f>R16/L18</f>
        <v>0.21212121212121213</v>
      </c>
      <c r="V16" s="47">
        <f t="shared" si="1"/>
        <v>1.9319227230910764E-2</v>
      </c>
    </row>
    <row r="17" spans="1:23" x14ac:dyDescent="0.25">
      <c r="A17" s="382" t="s">
        <v>819</v>
      </c>
      <c r="B17" t="s">
        <v>476</v>
      </c>
      <c r="C17" s="290" t="s">
        <v>64</v>
      </c>
      <c r="F17">
        <v>7</v>
      </c>
      <c r="G17" s="665">
        <v>5</v>
      </c>
      <c r="H17" s="663" t="s">
        <v>193</v>
      </c>
      <c r="I17" s="664" t="s">
        <v>64</v>
      </c>
      <c r="K17" s="632">
        <v>15</v>
      </c>
      <c r="L17" s="444">
        <v>111</v>
      </c>
      <c r="M17" s="246" t="s">
        <v>627</v>
      </c>
      <c r="N17" s="453" t="s">
        <v>212</v>
      </c>
      <c r="O17" s="370">
        <f t="shared" si="0"/>
        <v>0.34365325077399383</v>
      </c>
      <c r="Q17" s="620">
        <v>15</v>
      </c>
      <c r="R17" s="662">
        <v>19</v>
      </c>
      <c r="S17" s="663" t="s">
        <v>205</v>
      </c>
      <c r="T17" s="664" t="s">
        <v>451</v>
      </c>
      <c r="U17" s="159"/>
      <c r="V17" s="47"/>
    </row>
    <row r="18" spans="1:23" x14ac:dyDescent="0.25">
      <c r="A18" s="382" t="s">
        <v>819</v>
      </c>
      <c r="B18" t="s">
        <v>457</v>
      </c>
      <c r="C18" s="290" t="s">
        <v>64</v>
      </c>
      <c r="F18">
        <v>8</v>
      </c>
      <c r="G18" s="662">
        <v>4</v>
      </c>
      <c r="H18" s="663" t="s">
        <v>387</v>
      </c>
      <c r="I18" s="664" t="s">
        <v>212</v>
      </c>
      <c r="K18" s="632">
        <v>16</v>
      </c>
      <c r="L18" s="444">
        <v>99</v>
      </c>
      <c r="M18" t="s">
        <v>513</v>
      </c>
      <c r="N18" t="s">
        <v>64</v>
      </c>
      <c r="O18" s="370">
        <f t="shared" si="0"/>
        <v>0.30650154798761609</v>
      </c>
      <c r="Q18" s="620">
        <v>16</v>
      </c>
      <c r="R18" s="662">
        <v>15</v>
      </c>
      <c r="S18" s="663" t="s">
        <v>193</v>
      </c>
      <c r="T18" s="664" t="s">
        <v>64</v>
      </c>
      <c r="U18" s="159"/>
      <c r="V18" s="47"/>
    </row>
    <row r="19" spans="1:23" x14ac:dyDescent="0.25">
      <c r="A19" s="380" t="s">
        <v>819</v>
      </c>
      <c r="B19" t="s">
        <v>547</v>
      </c>
      <c r="C19" s="290" t="s">
        <v>65</v>
      </c>
      <c r="F19">
        <v>9</v>
      </c>
      <c r="G19" s="605">
        <v>2</v>
      </c>
      <c r="H19" t="s">
        <v>206</v>
      </c>
      <c r="I19" s="290" t="s">
        <v>1</v>
      </c>
      <c r="K19" s="632">
        <v>17</v>
      </c>
      <c r="L19" s="662">
        <v>89</v>
      </c>
      <c r="M19" s="663" t="s">
        <v>462</v>
      </c>
      <c r="N19" s="664" t="s">
        <v>439</v>
      </c>
      <c r="O19" s="666">
        <f t="shared" si="0"/>
        <v>0.27554179566563469</v>
      </c>
      <c r="Q19" s="620">
        <v>17</v>
      </c>
      <c r="R19" s="662">
        <v>12</v>
      </c>
      <c r="S19" s="663" t="s">
        <v>533</v>
      </c>
      <c r="T19" s="664" t="s">
        <v>212</v>
      </c>
      <c r="U19" s="159"/>
      <c r="V19" s="47"/>
    </row>
    <row r="20" spans="1:23" x14ac:dyDescent="0.25">
      <c r="A20" s="380" t="s">
        <v>819</v>
      </c>
      <c r="B20" t="s">
        <v>496</v>
      </c>
      <c r="C20" s="290" t="s">
        <v>212</v>
      </c>
      <c r="F20">
        <v>10</v>
      </c>
      <c r="G20" s="665">
        <v>1</v>
      </c>
      <c r="H20" s="663" t="s">
        <v>205</v>
      </c>
      <c r="I20" s="664" t="s">
        <v>451</v>
      </c>
      <c r="K20" s="632">
        <v>18</v>
      </c>
      <c r="L20" s="444">
        <v>79</v>
      </c>
      <c r="M20" t="s">
        <v>857</v>
      </c>
      <c r="N20" t="s">
        <v>2</v>
      </c>
      <c r="O20" s="370">
        <f t="shared" si="0"/>
        <v>0.24458204334365324</v>
      </c>
      <c r="Q20" s="620">
        <v>18</v>
      </c>
      <c r="R20" s="317">
        <v>12</v>
      </c>
      <c r="S20" t="s">
        <v>630</v>
      </c>
      <c r="T20" t="s">
        <v>2</v>
      </c>
      <c r="U20" s="159">
        <f>R20/L21</f>
        <v>0.18181818181818182</v>
      </c>
      <c r="V20" s="47">
        <f>R20/$R$33</f>
        <v>1.1039558417663294E-2</v>
      </c>
    </row>
    <row r="21" spans="1:23" x14ac:dyDescent="0.25">
      <c r="A21" s="382" t="s">
        <v>713</v>
      </c>
      <c r="B21" t="s">
        <v>550</v>
      </c>
      <c r="C21" s="290" t="s">
        <v>212</v>
      </c>
      <c r="F21">
        <v>10</v>
      </c>
      <c r="G21" s="3">
        <v>1</v>
      </c>
      <c r="H21" t="s">
        <v>448</v>
      </c>
      <c r="I21" t="s">
        <v>2</v>
      </c>
      <c r="K21" s="632">
        <v>19</v>
      </c>
      <c r="L21" s="605">
        <v>66</v>
      </c>
      <c r="M21" t="s">
        <v>630</v>
      </c>
      <c r="N21" t="s">
        <v>439</v>
      </c>
      <c r="O21" s="370">
        <f t="shared" si="0"/>
        <v>0.2043343653250774</v>
      </c>
      <c r="Q21" s="620">
        <v>19</v>
      </c>
      <c r="R21" s="594">
        <v>12</v>
      </c>
      <c r="S21" t="s">
        <v>857</v>
      </c>
      <c r="T21" t="s">
        <v>2</v>
      </c>
      <c r="U21" s="159">
        <f>R21/L23</f>
        <v>0.22641509433962265</v>
      </c>
      <c r="V21" s="47">
        <f>R21/$R$33</f>
        <v>1.1039558417663294E-2</v>
      </c>
      <c r="W21">
        <v>58</v>
      </c>
    </row>
    <row r="22" spans="1:23" x14ac:dyDescent="0.25">
      <c r="A22" s="326" t="s">
        <v>867</v>
      </c>
      <c r="B22" t="s">
        <v>461</v>
      </c>
      <c r="C22" s="290" t="s">
        <v>439</v>
      </c>
      <c r="G22" s="667">
        <f>SUM(G11:G21)</f>
        <v>323</v>
      </c>
      <c r="K22" s="632">
        <v>20</v>
      </c>
      <c r="L22" s="662">
        <v>55</v>
      </c>
      <c r="M22" s="663" t="s">
        <v>205</v>
      </c>
      <c r="N22" s="664" t="s">
        <v>451</v>
      </c>
      <c r="O22" s="666">
        <f t="shared" si="0"/>
        <v>0.17027863777089783</v>
      </c>
      <c r="Q22" s="620">
        <v>20</v>
      </c>
      <c r="R22" s="321">
        <v>11</v>
      </c>
      <c r="S22" t="s">
        <v>206</v>
      </c>
      <c r="T22" s="290" t="s">
        <v>1</v>
      </c>
      <c r="U22" s="159">
        <f>R22/L13</f>
        <v>5.8510638297872342E-2</v>
      </c>
      <c r="V22" s="47">
        <f>R22/$R$33</f>
        <v>1.0119595216191352E-2</v>
      </c>
    </row>
    <row r="23" spans="1:23" x14ac:dyDescent="0.25">
      <c r="A23" s="680" t="s">
        <v>867</v>
      </c>
      <c r="B23" s="246" t="s">
        <v>877</v>
      </c>
      <c r="C23" s="246" t="s">
        <v>66</v>
      </c>
      <c r="K23" s="632">
        <v>21</v>
      </c>
      <c r="L23" s="444">
        <v>53</v>
      </c>
      <c r="M23" t="s">
        <v>860</v>
      </c>
      <c r="N23" t="s">
        <v>66</v>
      </c>
      <c r="O23" s="370">
        <f t="shared" ref="O23" si="2">L23/$G$22</f>
        <v>0.16408668730650156</v>
      </c>
      <c r="Q23" s="620">
        <v>20</v>
      </c>
      <c r="R23" s="662">
        <v>10</v>
      </c>
      <c r="S23" s="663" t="s">
        <v>462</v>
      </c>
      <c r="T23" s="664" t="s">
        <v>439</v>
      </c>
      <c r="U23" s="159"/>
      <c r="V23" s="47"/>
    </row>
    <row r="24" spans="1:23" x14ac:dyDescent="0.25">
      <c r="A24" s="382" t="s">
        <v>574</v>
      </c>
      <c r="B24" t="s">
        <v>206</v>
      </c>
      <c r="C24" s="290" t="s">
        <v>1</v>
      </c>
      <c r="K24" s="632"/>
      <c r="L24" s="605" t="s">
        <v>793</v>
      </c>
      <c r="M24" t="s">
        <v>793</v>
      </c>
      <c r="N24" t="s">
        <v>793</v>
      </c>
      <c r="O24" s="629" t="s">
        <v>793</v>
      </c>
      <c r="Q24" s="620">
        <v>20</v>
      </c>
      <c r="R24" s="662">
        <v>10</v>
      </c>
      <c r="S24" s="663" t="s">
        <v>548</v>
      </c>
      <c r="T24" s="664" t="s">
        <v>212</v>
      </c>
      <c r="U24" s="503"/>
      <c r="V24" s="47"/>
    </row>
    <row r="25" spans="1:23" x14ac:dyDescent="0.25">
      <c r="A25" s="662" t="s">
        <v>574</v>
      </c>
      <c r="B25" s="663" t="s">
        <v>204</v>
      </c>
      <c r="C25" s="664" t="s">
        <v>1</v>
      </c>
      <c r="K25" s="632"/>
      <c r="L25" s="673">
        <v>7</v>
      </c>
      <c r="M25" s="246" t="s">
        <v>877</v>
      </c>
      <c r="N25" s="246" t="s">
        <v>66</v>
      </c>
      <c r="O25" s="370">
        <f>L25/$G$22</f>
        <v>2.1671826625386997E-2</v>
      </c>
      <c r="Q25" s="620">
        <v>23</v>
      </c>
      <c r="R25" s="662">
        <v>9</v>
      </c>
      <c r="S25" s="663" t="s">
        <v>464</v>
      </c>
      <c r="T25" s="663" t="s">
        <v>212</v>
      </c>
      <c r="U25" s="159"/>
      <c r="V25" s="47"/>
    </row>
    <row r="26" spans="1:23" x14ac:dyDescent="0.25">
      <c r="A26" s="380" t="s">
        <v>574</v>
      </c>
      <c r="B26" t="s">
        <v>513</v>
      </c>
      <c r="C26" t="s">
        <v>64</v>
      </c>
      <c r="Q26" s="620">
        <v>23</v>
      </c>
      <c r="R26" s="662">
        <v>9</v>
      </c>
      <c r="S26" s="663" t="s">
        <v>463</v>
      </c>
      <c r="T26" s="663" t="s">
        <v>212</v>
      </c>
      <c r="U26" s="159"/>
      <c r="V26" s="47"/>
    </row>
    <row r="27" spans="1:23" x14ac:dyDescent="0.25">
      <c r="A27" s="662" t="s">
        <v>458</v>
      </c>
      <c r="B27" s="663" t="s">
        <v>387</v>
      </c>
      <c r="C27" s="664" t="s">
        <v>212</v>
      </c>
      <c r="Q27" s="620">
        <v>25</v>
      </c>
      <c r="R27" s="662">
        <v>8</v>
      </c>
      <c r="S27" s="663" t="s">
        <v>199</v>
      </c>
      <c r="T27" s="663" t="s">
        <v>439</v>
      </c>
      <c r="U27" s="159"/>
      <c r="V27" s="47"/>
    </row>
    <row r="28" spans="1:23" x14ac:dyDescent="0.25">
      <c r="A28" s="380" t="s">
        <v>458</v>
      </c>
      <c r="B28" t="s">
        <v>448</v>
      </c>
      <c r="C28" s="290" t="s">
        <v>2</v>
      </c>
      <c r="Q28" s="620">
        <v>26</v>
      </c>
      <c r="R28" s="662">
        <v>6</v>
      </c>
      <c r="S28" s="663" t="s">
        <v>204</v>
      </c>
      <c r="T28" s="664" t="s">
        <v>1</v>
      </c>
      <c r="U28" s="159"/>
      <c r="V28" s="47"/>
    </row>
    <row r="29" spans="1:23" x14ac:dyDescent="0.25">
      <c r="A29" s="455" t="s">
        <v>458</v>
      </c>
      <c r="B29" t="s">
        <v>630</v>
      </c>
      <c r="C29" t="s">
        <v>439</v>
      </c>
      <c r="Q29" s="634">
        <v>27</v>
      </c>
      <c r="R29" s="444">
        <v>4</v>
      </c>
      <c r="S29" s="246" t="s">
        <v>877</v>
      </c>
      <c r="T29" s="246" t="s">
        <v>66</v>
      </c>
      <c r="U29" s="676"/>
      <c r="V29" s="677"/>
      <c r="W29" s="246">
        <v>61</v>
      </c>
    </row>
    <row r="30" spans="1:23" x14ac:dyDescent="0.25">
      <c r="A30" s="662" t="s">
        <v>859</v>
      </c>
      <c r="B30" s="663" t="s">
        <v>794</v>
      </c>
      <c r="C30" s="663" t="s">
        <v>66</v>
      </c>
      <c r="Q30" s="660">
        <v>28</v>
      </c>
      <c r="R30" s="662">
        <v>3</v>
      </c>
      <c r="S30" s="663" t="s">
        <v>794</v>
      </c>
      <c r="T30" s="663" t="s">
        <v>66</v>
      </c>
      <c r="U30" s="159"/>
      <c r="V30" s="47"/>
    </row>
    <row r="31" spans="1:23" x14ac:dyDescent="0.25">
      <c r="A31" s="662" t="s">
        <v>512</v>
      </c>
      <c r="B31" s="663" t="s">
        <v>548</v>
      </c>
      <c r="C31" s="664" t="s">
        <v>212</v>
      </c>
      <c r="Q31" s="673">
        <v>28</v>
      </c>
      <c r="R31" s="662">
        <v>3</v>
      </c>
      <c r="S31" s="663" t="s">
        <v>638</v>
      </c>
      <c r="T31" s="663" t="s">
        <v>64</v>
      </c>
      <c r="U31" s="159"/>
      <c r="V31" s="47"/>
    </row>
    <row r="32" spans="1:23" x14ac:dyDescent="0.25">
      <c r="A32" s="393" t="s">
        <v>512</v>
      </c>
      <c r="B32" t="s">
        <v>533</v>
      </c>
      <c r="C32" t="s">
        <v>212</v>
      </c>
      <c r="Q32" s="681">
        <v>30</v>
      </c>
      <c r="R32" s="444">
        <v>2</v>
      </c>
      <c r="S32" t="s">
        <v>783</v>
      </c>
      <c r="T32" s="246" t="s">
        <v>1</v>
      </c>
      <c r="U32" s="676"/>
      <c r="V32" s="677"/>
      <c r="W32" s="246"/>
    </row>
    <row r="33" spans="1:18" x14ac:dyDescent="0.25">
      <c r="A33" s="320"/>
      <c r="B33" s="318"/>
      <c r="C33" s="319"/>
      <c r="R33" s="668">
        <f>SUM(R3:R32)</f>
        <v>1087</v>
      </c>
    </row>
    <row r="34" spans="1:18" x14ac:dyDescent="0.25">
      <c r="A34" s="320"/>
      <c r="B34" s="318"/>
      <c r="C34" s="319"/>
    </row>
    <row r="35" spans="1:18" x14ac:dyDescent="0.25">
      <c r="A35" s="320"/>
      <c r="B35" s="318"/>
      <c r="C35" s="319"/>
    </row>
    <row r="36" spans="1:18" x14ac:dyDescent="0.25">
      <c r="A36" s="320"/>
      <c r="B36" s="318"/>
      <c r="C36" s="318"/>
    </row>
    <row r="37" spans="1:18" x14ac:dyDescent="0.25">
      <c r="A37" s="657"/>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01" t="s">
        <v>11</v>
      </c>
      <c r="E2" s="701"/>
      <c r="F2" s="702" t="s">
        <v>12</v>
      </c>
      <c r="G2" s="702"/>
      <c r="H2" s="703" t="s">
        <v>13</v>
      </c>
      <c r="I2" s="703"/>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4">
        <f>B18/B17</f>
        <v>0.5760921747479596</v>
      </c>
      <c r="C37" s="404">
        <f t="shared" ref="C37:P37" si="14">C18/C17</f>
        <v>0.57609217474795971</v>
      </c>
      <c r="D37" s="404">
        <f t="shared" si="14"/>
        <v>0.5760921747479596</v>
      </c>
      <c r="E37" s="404">
        <f t="shared" si="14"/>
        <v>0.57609217474795971</v>
      </c>
      <c r="F37" s="404">
        <f t="shared" si="14"/>
        <v>0.57609217474795971</v>
      </c>
      <c r="G37" s="404">
        <f t="shared" si="14"/>
        <v>0.57609217474795971</v>
      </c>
      <c r="H37" s="404">
        <f t="shared" si="14"/>
        <v>0.57609217474795982</v>
      </c>
      <c r="I37" s="404">
        <f t="shared" si="14"/>
        <v>0.5760921747479596</v>
      </c>
      <c r="J37" s="404">
        <f t="shared" si="14"/>
        <v>0.57609217474795971</v>
      </c>
      <c r="K37" s="404">
        <f t="shared" si="14"/>
        <v>0.5760921747479596</v>
      </c>
      <c r="L37" s="404">
        <f t="shared" si="14"/>
        <v>0.57609217474795971</v>
      </c>
      <c r="M37" s="404">
        <f t="shared" si="14"/>
        <v>0.57609217474795971</v>
      </c>
      <c r="N37" s="404">
        <f t="shared" si="14"/>
        <v>0.57609217474795971</v>
      </c>
      <c r="O37" s="404">
        <f t="shared" si="14"/>
        <v>0.57609217474795971</v>
      </c>
      <c r="P37" s="404">
        <f t="shared" si="14"/>
        <v>0.5760921747479596</v>
      </c>
    </row>
    <row r="38" spans="1:30" x14ac:dyDescent="0.25">
      <c r="B38" s="404">
        <f>B19/B17</f>
        <v>0.21747479596735478</v>
      </c>
      <c r="C38" s="404">
        <f t="shared" ref="C38:P38" si="15">C19/C17</f>
        <v>0.21747479596735481</v>
      </c>
      <c r="D38" s="404">
        <f t="shared" si="15"/>
        <v>0.21747479596735475</v>
      </c>
      <c r="E38" s="404">
        <f t="shared" si="15"/>
        <v>0.21747479596735481</v>
      </c>
      <c r="F38" s="404">
        <f t="shared" si="15"/>
        <v>0.21747479596735478</v>
      </c>
      <c r="G38" s="404">
        <f t="shared" si="15"/>
        <v>0.21747479596735478</v>
      </c>
      <c r="H38" s="404">
        <f t="shared" si="15"/>
        <v>0.21747479596735483</v>
      </c>
      <c r="I38" s="404">
        <f t="shared" si="15"/>
        <v>0.21747479596735475</v>
      </c>
      <c r="J38" s="404">
        <f t="shared" si="15"/>
        <v>0.21747479596735481</v>
      </c>
      <c r="K38" s="404">
        <f t="shared" si="15"/>
        <v>0.21747479596735478</v>
      </c>
      <c r="L38" s="404">
        <f t="shared" si="15"/>
        <v>0.21747479596735481</v>
      </c>
      <c r="M38" s="404">
        <f t="shared" si="15"/>
        <v>0.21747479596735481</v>
      </c>
      <c r="N38" s="404">
        <f t="shared" si="15"/>
        <v>0.21747479596735481</v>
      </c>
      <c r="O38" s="404">
        <f t="shared" si="15"/>
        <v>0.21747479596735478</v>
      </c>
      <c r="P38" s="404">
        <f t="shared" si="15"/>
        <v>0.21747479596735478</v>
      </c>
    </row>
    <row r="39" spans="1:30" x14ac:dyDescent="0.25">
      <c r="B39" s="404">
        <f>B20/B17</f>
        <v>0.18434949591934707</v>
      </c>
      <c r="C39" s="404">
        <f t="shared" ref="C39:P39" si="16">C20/C17</f>
        <v>0.1843494959193471</v>
      </c>
      <c r="D39" s="404">
        <f t="shared" si="16"/>
        <v>0.18434949591934707</v>
      </c>
      <c r="E39" s="404">
        <f t="shared" si="16"/>
        <v>0.1843494959193471</v>
      </c>
      <c r="F39" s="404">
        <f t="shared" si="16"/>
        <v>0.1843494959193471</v>
      </c>
      <c r="G39" s="404">
        <f t="shared" si="16"/>
        <v>0.1843494959193471</v>
      </c>
      <c r="H39" s="404">
        <f t="shared" si="16"/>
        <v>0.18434949591934713</v>
      </c>
      <c r="I39" s="404">
        <f t="shared" si="16"/>
        <v>0.18434949591934707</v>
      </c>
      <c r="J39" s="404">
        <f t="shared" si="16"/>
        <v>0.1843494959193471</v>
      </c>
      <c r="K39" s="404">
        <f t="shared" si="16"/>
        <v>0.18434949591934705</v>
      </c>
      <c r="L39" s="404">
        <f t="shared" si="16"/>
        <v>0.1843494959193471</v>
      </c>
      <c r="M39" s="404">
        <f t="shared" si="16"/>
        <v>0.1843494959193471</v>
      </c>
      <c r="N39" s="404">
        <f t="shared" si="16"/>
        <v>0.1843494959193471</v>
      </c>
      <c r="O39" s="404">
        <f t="shared" si="16"/>
        <v>0.18434949591934707</v>
      </c>
      <c r="P39" s="404">
        <f t="shared" si="16"/>
        <v>0.18434949591934707</v>
      </c>
    </row>
    <row r="40" spans="1:30" x14ac:dyDescent="0.25">
      <c r="B40" s="404">
        <f>B21/B17</f>
        <v>2.2083533365338453E-2</v>
      </c>
      <c r="C40" s="404">
        <f t="shared" ref="C40:P40" si="17">C21/C17</f>
        <v>2.2083533365338456E-2</v>
      </c>
      <c r="D40" s="404">
        <f t="shared" si="17"/>
        <v>2.2083533365338453E-2</v>
      </c>
      <c r="E40" s="404">
        <f t="shared" si="17"/>
        <v>2.2083533365338453E-2</v>
      </c>
      <c r="F40" s="404">
        <f t="shared" si="17"/>
        <v>2.2083533365338453E-2</v>
      </c>
      <c r="G40" s="404">
        <f t="shared" si="17"/>
        <v>2.2083533365338453E-2</v>
      </c>
      <c r="H40" s="404">
        <f t="shared" si="17"/>
        <v>2.208353336533846E-2</v>
      </c>
      <c r="I40" s="404">
        <f t="shared" si="17"/>
        <v>2.2083533365338453E-2</v>
      </c>
      <c r="J40" s="404">
        <f t="shared" si="17"/>
        <v>2.208353336533846E-2</v>
      </c>
      <c r="K40" s="404">
        <f t="shared" si="17"/>
        <v>2.2083533365338449E-2</v>
      </c>
      <c r="L40" s="404">
        <f t="shared" si="17"/>
        <v>2.2083533365338456E-2</v>
      </c>
      <c r="M40" s="404">
        <f t="shared" si="17"/>
        <v>2.2083533365338456E-2</v>
      </c>
      <c r="N40" s="404">
        <f t="shared" si="17"/>
        <v>2.2083533365338456E-2</v>
      </c>
      <c r="O40" s="404">
        <f t="shared" si="17"/>
        <v>2.2083533365338456E-2</v>
      </c>
      <c r="P40" s="404">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5" t="s">
        <v>230</v>
      </c>
      <c r="C59" s="195" t="s">
        <v>177</v>
      </c>
      <c r="D59" s="686" t="s">
        <v>231</v>
      </c>
      <c r="E59" s="686" t="s">
        <v>231</v>
      </c>
      <c r="F59" s="196" t="s">
        <v>232</v>
      </c>
      <c r="H59" s="274" t="s">
        <v>233</v>
      </c>
    </row>
    <row r="60" spans="1:24" ht="23.25" x14ac:dyDescent="0.25">
      <c r="A60" s="197">
        <v>18</v>
      </c>
      <c r="B60" s="685"/>
      <c r="C60" s="195" t="s">
        <v>234</v>
      </c>
      <c r="D60" s="686"/>
      <c r="E60" s="686"/>
      <c r="F60" s="196" t="s">
        <v>235</v>
      </c>
      <c r="H60" s="273" t="s">
        <v>236</v>
      </c>
    </row>
    <row r="61" spans="1:24" x14ac:dyDescent="0.25">
      <c r="A61" s="194">
        <v>19</v>
      </c>
      <c r="B61" s="685"/>
      <c r="C61" s="198"/>
      <c r="D61" s="686"/>
      <c r="E61" s="686"/>
      <c r="F61" s="199"/>
      <c r="H61" s="273" t="s">
        <v>237</v>
      </c>
      <c r="I61" s="158"/>
    </row>
    <row r="62" spans="1:24" ht="23.25" x14ac:dyDescent="0.25">
      <c r="A62" s="197">
        <v>20</v>
      </c>
      <c r="B62" s="685"/>
      <c r="C62" s="196" t="s">
        <v>231</v>
      </c>
      <c r="D62" s="687" t="s">
        <v>232</v>
      </c>
      <c r="E62" s="196" t="s">
        <v>232</v>
      </c>
      <c r="F62" s="199"/>
      <c r="H62" s="273" t="s">
        <v>238</v>
      </c>
    </row>
    <row r="63" spans="1:24" ht="23.25" x14ac:dyDescent="0.25">
      <c r="A63" s="194">
        <v>21</v>
      </c>
      <c r="B63" s="688" t="s">
        <v>177</v>
      </c>
      <c r="C63" s="196" t="s">
        <v>239</v>
      </c>
      <c r="D63" s="687"/>
      <c r="E63" s="196" t="s">
        <v>235</v>
      </c>
      <c r="F63" s="199"/>
      <c r="H63" s="273" t="s">
        <v>240</v>
      </c>
    </row>
    <row r="64" spans="1:24" x14ac:dyDescent="0.25">
      <c r="A64" s="197">
        <v>22</v>
      </c>
      <c r="B64" s="688"/>
      <c r="C64" s="199"/>
      <c r="D64" s="687"/>
      <c r="E64" s="199"/>
      <c r="F64" s="199"/>
      <c r="H64" s="273" t="s">
        <v>241</v>
      </c>
    </row>
    <row r="65" spans="1:8" x14ac:dyDescent="0.25">
      <c r="A65" s="194">
        <v>23</v>
      </c>
      <c r="B65" s="688"/>
      <c r="C65" s="199"/>
      <c r="D65" s="687"/>
      <c r="E65" s="199"/>
      <c r="F65" s="199"/>
    </row>
    <row r="66" spans="1:8" x14ac:dyDescent="0.25">
      <c r="A66" s="197">
        <v>24</v>
      </c>
      <c r="B66" s="688"/>
      <c r="C66" s="199"/>
      <c r="D66" s="687"/>
      <c r="E66" s="199"/>
      <c r="F66" s="199"/>
      <c r="H66" s="273" t="s">
        <v>242</v>
      </c>
    </row>
    <row r="67" spans="1:8" x14ac:dyDescent="0.25">
      <c r="A67" s="194">
        <v>25</v>
      </c>
      <c r="B67" s="688"/>
      <c r="C67" s="199"/>
      <c r="D67" s="686" t="s">
        <v>231</v>
      </c>
      <c r="E67" s="199"/>
      <c r="F67" s="199"/>
      <c r="H67" s="273" t="s">
        <v>243</v>
      </c>
    </row>
    <row r="68" spans="1:8" x14ac:dyDescent="0.25">
      <c r="A68" s="197">
        <v>26</v>
      </c>
      <c r="B68" s="688"/>
      <c r="C68" s="686" t="s">
        <v>231</v>
      </c>
      <c r="D68" s="686"/>
      <c r="E68" s="199"/>
      <c r="F68" s="199"/>
    </row>
    <row r="69" spans="1:8" x14ac:dyDescent="0.25">
      <c r="A69" s="194">
        <v>27</v>
      </c>
      <c r="B69" s="685" t="s">
        <v>230</v>
      </c>
      <c r="C69" s="686"/>
      <c r="D69" s="686"/>
      <c r="E69" s="199"/>
      <c r="F69" s="199"/>
    </row>
    <row r="70" spans="1:8" x14ac:dyDescent="0.25">
      <c r="A70" s="197">
        <v>28</v>
      </c>
      <c r="B70" s="685"/>
      <c r="C70" s="688" t="s">
        <v>177</v>
      </c>
      <c r="D70" s="686"/>
      <c r="E70" s="199"/>
      <c r="F70" s="199"/>
      <c r="H70" s="273" t="s">
        <v>244</v>
      </c>
    </row>
    <row r="71" spans="1:8" x14ac:dyDescent="0.25">
      <c r="A71" s="194">
        <v>29</v>
      </c>
      <c r="B71" s="685"/>
      <c r="C71" s="688"/>
      <c r="D71" s="686"/>
      <c r="E71" s="199"/>
      <c r="F71" s="199"/>
    </row>
    <row r="72" spans="1:8" x14ac:dyDescent="0.25">
      <c r="A72" s="197">
        <v>30</v>
      </c>
      <c r="B72" s="685"/>
      <c r="C72" s="688"/>
      <c r="D72" s="688" t="s">
        <v>177</v>
      </c>
      <c r="E72" s="199"/>
      <c r="F72" s="199"/>
      <c r="H72" s="273" t="s">
        <v>245</v>
      </c>
    </row>
    <row r="73" spans="1:8" x14ac:dyDescent="0.25">
      <c r="A73" s="194">
        <v>31</v>
      </c>
      <c r="B73" s="685"/>
      <c r="C73" s="688"/>
      <c r="D73" s="688"/>
      <c r="E73" s="196" t="s">
        <v>231</v>
      </c>
      <c r="F73" s="199"/>
    </row>
    <row r="74" spans="1:8" ht="23.25" x14ac:dyDescent="0.25">
      <c r="A74" s="197">
        <v>32</v>
      </c>
      <c r="B74" s="685"/>
      <c r="C74" s="688"/>
      <c r="D74" s="688"/>
      <c r="E74" s="196" t="s">
        <v>239</v>
      </c>
      <c r="F74" s="199"/>
      <c r="H74" s="273" t="s">
        <v>246</v>
      </c>
    </row>
    <row r="75" spans="1:8" ht="23.25" x14ac:dyDescent="0.25">
      <c r="A75" s="194">
        <v>33</v>
      </c>
      <c r="B75" s="685"/>
      <c r="C75" s="685" t="s">
        <v>230</v>
      </c>
      <c r="D75" s="688"/>
      <c r="E75" s="195" t="s">
        <v>177</v>
      </c>
      <c r="F75" s="195" t="s">
        <v>177</v>
      </c>
    </row>
    <row r="76" spans="1:8" x14ac:dyDescent="0.25">
      <c r="A76" s="197">
        <v>34</v>
      </c>
      <c r="B76" s="689" t="s">
        <v>247</v>
      </c>
      <c r="C76" s="685"/>
      <c r="D76" s="688"/>
      <c r="E76" s="195" t="s">
        <v>234</v>
      </c>
      <c r="F76" s="195" t="s">
        <v>234</v>
      </c>
      <c r="H76" s="273" t="s">
        <v>248</v>
      </c>
    </row>
    <row r="77" spans="1:8" x14ac:dyDescent="0.25">
      <c r="A77" s="194">
        <v>35</v>
      </c>
      <c r="B77" s="689"/>
      <c r="C77" s="689" t="s">
        <v>247</v>
      </c>
      <c r="D77" s="685" t="s">
        <v>230</v>
      </c>
      <c r="E77" s="685" t="s">
        <v>230</v>
      </c>
      <c r="F77" s="198"/>
    </row>
    <row r="78" spans="1:8" ht="23.25" x14ac:dyDescent="0.25">
      <c r="A78" s="197">
        <v>36</v>
      </c>
      <c r="B78" s="689"/>
      <c r="C78" s="689"/>
      <c r="D78" s="685"/>
      <c r="E78" s="685"/>
      <c r="F78" s="200" t="s">
        <v>230</v>
      </c>
      <c r="H78" s="273" t="s">
        <v>249</v>
      </c>
    </row>
    <row r="79" spans="1:8" x14ac:dyDescent="0.25">
      <c r="A79" s="684" t="s">
        <v>250</v>
      </c>
      <c r="B79" s="684"/>
      <c r="C79" s="684"/>
      <c r="D79" s="684"/>
      <c r="E79" s="684"/>
      <c r="F79" s="684"/>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10"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11"/>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12">
        <f>C13</f>
        <v>1504841</v>
      </c>
      <c r="AA14" s="713"/>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4" t="s">
        <v>93</v>
      </c>
      <c r="B26" s="714"/>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05" t="s">
        <v>94</v>
      </c>
      <c r="B27" s="705"/>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06" t="s">
        <v>95</v>
      </c>
      <c r="B28" s="706"/>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4" t="s">
        <v>96</v>
      </c>
      <c r="B29" s="714"/>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05" t="s">
        <v>97</v>
      </c>
      <c r="B30" s="705"/>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06" t="s">
        <v>98</v>
      </c>
      <c r="B31" s="706"/>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5"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7">
        <f>C23</f>
        <v>1482625</v>
      </c>
      <c r="AA33" s="708"/>
    </row>
    <row r="34" spans="1:27" x14ac:dyDescent="0.25">
      <c r="A34" s="57"/>
      <c r="B34" s="715"/>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5"/>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5"/>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5"/>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5"/>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09"/>
      <c r="I40" s="709"/>
      <c r="J40" s="709"/>
      <c r="K40" s="709"/>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04"/>
      <c r="I49" s="704"/>
      <c r="J49" s="704"/>
      <c r="K49" s="704"/>
    </row>
    <row r="50" spans="8:11" x14ac:dyDescent="0.25">
      <c r="H50" s="103"/>
      <c r="I50" s="103"/>
      <c r="J50" s="103"/>
      <c r="K50" s="103"/>
    </row>
    <row r="51" spans="8:11" x14ac:dyDescent="0.25">
      <c r="H51" s="704"/>
      <c r="I51" s="704"/>
      <c r="J51" s="704"/>
      <c r="K51" s="704"/>
    </row>
    <row r="52" spans="8:11" ht="15" customHeight="1" x14ac:dyDescent="0.25">
      <c r="H52" s="704"/>
      <c r="I52" s="704"/>
      <c r="J52" s="704"/>
      <c r="K52" s="105"/>
    </row>
  </sheetData>
  <mergeCells count="15">
    <mergeCell ref="Z33:AA33"/>
    <mergeCell ref="H40:I40"/>
    <mergeCell ref="J40:K40"/>
    <mergeCell ref="A11:A12"/>
    <mergeCell ref="Z14:AA14"/>
    <mergeCell ref="A26:B26"/>
    <mergeCell ref="A27:B27"/>
    <mergeCell ref="A28:B28"/>
    <mergeCell ref="A29:B29"/>
    <mergeCell ref="B33:B38"/>
    <mergeCell ref="H49:K49"/>
    <mergeCell ref="H51:K51"/>
    <mergeCell ref="H52:J52"/>
    <mergeCell ref="A30:B30"/>
    <mergeCell ref="A31:B31"/>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208</v>
      </c>
      <c r="C2" s="717"/>
      <c r="D2" s="717"/>
      <c r="E2" s="717"/>
      <c r="F2" s="717"/>
      <c r="G2" s="718"/>
      <c r="I2" s="719" t="s">
        <v>101</v>
      </c>
      <c r="J2" s="719"/>
      <c r="K2" s="719"/>
      <c r="L2" s="719"/>
      <c r="M2" s="719"/>
      <c r="N2" s="719"/>
      <c r="O2" s="719"/>
      <c r="P2" s="719"/>
      <c r="Q2" s="719"/>
      <c r="R2" s="719"/>
      <c r="S2" s="719"/>
      <c r="T2" s="719"/>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10"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11"/>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12">
        <f>C13</f>
        <v>2257672</v>
      </c>
      <c r="Z14" s="713"/>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4" t="s">
        <v>93</v>
      </c>
      <c r="B26" s="714"/>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05" t="s">
        <v>94</v>
      </c>
      <c r="B27" s="705"/>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06" t="s">
        <v>95</v>
      </c>
      <c r="B28" s="706"/>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4" t="s">
        <v>96</v>
      </c>
      <c r="B29" s="714"/>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05" t="s">
        <v>97</v>
      </c>
      <c r="B30" s="705"/>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06" t="s">
        <v>98</v>
      </c>
      <c r="B31" s="706"/>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5" t="s">
        <v>259</v>
      </c>
      <c r="C33" s="173" t="s">
        <v>181</v>
      </c>
      <c r="D33" s="174"/>
      <c r="E33" s="174"/>
      <c r="F33" s="174"/>
      <c r="G33" s="174"/>
      <c r="H33" s="174"/>
      <c r="I33" s="174"/>
      <c r="J33" s="174"/>
      <c r="K33" s="174"/>
      <c r="L33" s="174"/>
      <c r="M33" s="174"/>
      <c r="N33" s="174"/>
      <c r="O33" s="174"/>
      <c r="P33" s="174"/>
      <c r="Q33" s="174"/>
      <c r="R33" s="174"/>
      <c r="S33" s="174">
        <v>49820</v>
      </c>
      <c r="Y33" s="707">
        <f>C23</f>
        <v>2470257</v>
      </c>
      <c r="Z33" s="708"/>
    </row>
    <row r="34" spans="1:26" x14ac:dyDescent="0.25">
      <c r="A34" s="57"/>
      <c r="B34" s="715"/>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5"/>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5"/>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5"/>
      <c r="C37" s="173" t="s">
        <v>211</v>
      </c>
      <c r="D37" s="176"/>
      <c r="E37" s="176"/>
      <c r="F37" s="176"/>
      <c r="G37" s="176"/>
      <c r="H37" s="176"/>
      <c r="I37" s="176"/>
      <c r="J37" s="176"/>
      <c r="K37" s="176"/>
      <c r="L37" s="176"/>
      <c r="M37" s="176"/>
      <c r="N37" s="176"/>
      <c r="O37" s="176"/>
      <c r="P37" s="176"/>
      <c r="Q37" s="176"/>
      <c r="R37" s="176"/>
      <c r="S37" s="176" t="s">
        <v>393</v>
      </c>
    </row>
    <row r="38" spans="1:26" x14ac:dyDescent="0.25">
      <c r="B38" s="715"/>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09"/>
      <c r="H40" s="709"/>
      <c r="I40" s="709"/>
      <c r="J40" s="709"/>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04"/>
      <c r="H49" s="704"/>
      <c r="I49" s="704"/>
      <c r="J49" s="704"/>
    </row>
    <row r="50" spans="7:10" x14ac:dyDescent="0.25">
      <c r="G50" s="216"/>
      <c r="H50" s="216"/>
      <c r="I50" s="216"/>
      <c r="J50" s="216"/>
    </row>
    <row r="51" spans="7:10" x14ac:dyDescent="0.25">
      <c r="G51" s="704"/>
      <c r="H51" s="704"/>
      <c r="I51" s="704"/>
      <c r="J51" s="704"/>
    </row>
    <row r="52" spans="7:10" ht="15" customHeight="1" x14ac:dyDescent="0.25">
      <c r="G52" s="704"/>
      <c r="H52" s="704"/>
      <c r="I52" s="704"/>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289</v>
      </c>
      <c r="C2" s="717"/>
      <c r="D2" s="717"/>
      <c r="E2" s="717"/>
      <c r="F2" s="717"/>
      <c r="G2" s="718"/>
      <c r="I2" s="719" t="s">
        <v>101</v>
      </c>
      <c r="J2" s="719"/>
      <c r="K2" s="719"/>
      <c r="L2" s="719"/>
      <c r="M2" s="719"/>
      <c r="N2" s="719"/>
      <c r="O2" s="719"/>
      <c r="P2" s="719"/>
      <c r="Q2" s="719"/>
      <c r="R2" s="719"/>
      <c r="S2" s="719"/>
      <c r="T2" s="719"/>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10"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11"/>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12">
        <f>C13</f>
        <v>3165941</v>
      </c>
      <c r="Z14" s="713"/>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4" t="s">
        <v>93</v>
      </c>
      <c r="B26" s="714"/>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05" t="s">
        <v>94</v>
      </c>
      <c r="B27" s="705"/>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06" t="s">
        <v>95</v>
      </c>
      <c r="B28" s="706"/>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4" t="s">
        <v>96</v>
      </c>
      <c r="B29" s="714"/>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05" t="s">
        <v>97</v>
      </c>
      <c r="B30" s="705"/>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06" t="s">
        <v>98</v>
      </c>
      <c r="B31" s="706"/>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5" t="s">
        <v>259</v>
      </c>
      <c r="C33" s="173" t="s">
        <v>181</v>
      </c>
      <c r="D33" s="174"/>
      <c r="E33" s="174"/>
      <c r="F33" s="174"/>
      <c r="G33" s="174"/>
      <c r="H33" s="174"/>
      <c r="I33" s="174"/>
      <c r="J33" s="174"/>
      <c r="K33" s="174"/>
      <c r="L33" s="174"/>
      <c r="M33" s="174"/>
      <c r="N33" s="174"/>
      <c r="O33" s="174"/>
      <c r="P33" s="174"/>
      <c r="Q33" s="174"/>
      <c r="R33" s="174"/>
      <c r="S33" s="174"/>
      <c r="Y33" s="707">
        <f>C23</f>
        <v>1505104</v>
      </c>
      <c r="Z33" s="708"/>
    </row>
    <row r="34" spans="1:26" x14ac:dyDescent="0.25">
      <c r="A34" s="57"/>
      <c r="B34" s="715"/>
      <c r="C34" s="173" t="s">
        <v>104</v>
      </c>
      <c r="D34" s="174"/>
      <c r="E34" s="174"/>
      <c r="F34" s="174"/>
      <c r="G34" s="174"/>
      <c r="H34" s="174"/>
      <c r="I34" s="174"/>
      <c r="J34" s="174"/>
      <c r="K34" s="174"/>
      <c r="L34" s="174"/>
      <c r="M34" s="174"/>
      <c r="N34" s="174"/>
      <c r="O34" s="174"/>
      <c r="P34" s="174"/>
      <c r="Q34" s="174"/>
      <c r="R34" s="174"/>
      <c r="S34" s="174"/>
    </row>
    <row r="35" spans="1:26" x14ac:dyDescent="0.25">
      <c r="A35" s="57"/>
      <c r="B35" s="715"/>
      <c r="C35" s="173" t="s">
        <v>61</v>
      </c>
      <c r="D35" s="175"/>
      <c r="E35" s="175"/>
      <c r="F35" s="175"/>
      <c r="G35" s="175"/>
      <c r="H35" s="175"/>
      <c r="I35" s="175"/>
      <c r="J35" s="175"/>
      <c r="K35" s="175"/>
      <c r="L35" s="175"/>
      <c r="M35" s="175"/>
      <c r="N35" s="175"/>
      <c r="O35" s="175"/>
      <c r="P35" s="175"/>
      <c r="Q35" s="175"/>
      <c r="R35" s="175"/>
      <c r="S35" s="175"/>
    </row>
    <row r="36" spans="1:26" x14ac:dyDescent="0.25">
      <c r="A36" s="57"/>
      <c r="B36" s="715"/>
      <c r="C36" s="173" t="s">
        <v>210</v>
      </c>
      <c r="D36" s="176"/>
      <c r="E36" s="176"/>
      <c r="F36" s="176"/>
      <c r="G36" s="176"/>
      <c r="H36" s="176"/>
      <c r="I36" s="176"/>
      <c r="J36" s="176"/>
      <c r="K36" s="176"/>
      <c r="L36" s="176"/>
      <c r="M36" s="176"/>
      <c r="N36" s="176"/>
      <c r="O36" s="176"/>
      <c r="P36" s="176"/>
      <c r="Q36" s="176"/>
      <c r="R36" s="176"/>
      <c r="S36" s="176"/>
    </row>
    <row r="37" spans="1:26" x14ac:dyDescent="0.25">
      <c r="B37" s="715"/>
      <c r="C37" s="173" t="s">
        <v>211</v>
      </c>
      <c r="D37" s="176"/>
      <c r="E37" s="176"/>
      <c r="F37" s="176"/>
      <c r="G37" s="176"/>
      <c r="H37" s="176"/>
      <c r="I37" s="176"/>
      <c r="J37" s="176"/>
      <c r="K37" s="176"/>
      <c r="L37" s="176"/>
      <c r="M37" s="176"/>
      <c r="N37" s="176"/>
      <c r="O37" s="176"/>
      <c r="P37" s="176"/>
      <c r="Q37" s="176"/>
      <c r="R37" s="176"/>
      <c r="S37" s="176"/>
    </row>
    <row r="38" spans="1:26" x14ac:dyDescent="0.25">
      <c r="B38" s="715"/>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09"/>
      <c r="H40" s="709"/>
      <c r="I40" s="709"/>
      <c r="J40" s="709"/>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04"/>
      <c r="H49" s="704"/>
      <c r="I49" s="704"/>
      <c r="J49" s="704"/>
    </row>
    <row r="50" spans="7:10" x14ac:dyDescent="0.25">
      <c r="G50" s="243"/>
      <c r="H50" s="243"/>
      <c r="I50" s="243"/>
      <c r="J50" s="243"/>
    </row>
    <row r="51" spans="7:10" x14ac:dyDescent="0.25">
      <c r="G51" s="704"/>
      <c r="H51" s="704"/>
      <c r="I51" s="704"/>
      <c r="J51" s="704"/>
    </row>
    <row r="52" spans="7:10" ht="15" customHeight="1" x14ac:dyDescent="0.25">
      <c r="G52" s="704"/>
      <c r="H52" s="704"/>
      <c r="I52" s="704"/>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389</v>
      </c>
      <c r="C2" s="717"/>
      <c r="D2" s="717"/>
      <c r="E2" s="717"/>
      <c r="F2" s="717"/>
      <c r="G2" s="718"/>
      <c r="I2" s="719" t="s">
        <v>390</v>
      </c>
      <c r="J2" s="719"/>
      <c r="K2" s="719"/>
      <c r="L2" s="719"/>
      <c r="M2" s="719"/>
      <c r="N2" s="719"/>
      <c r="O2" s="719"/>
      <c r="P2" s="719"/>
      <c r="Q2" s="719"/>
      <c r="R2" s="719"/>
      <c r="S2" s="719"/>
      <c r="T2" s="719"/>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10"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11"/>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12">
        <f>C13</f>
        <v>3470401</v>
      </c>
      <c r="Z14" s="713"/>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4" t="s">
        <v>93</v>
      </c>
      <c r="B26" s="714"/>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05" t="s">
        <v>94</v>
      </c>
      <c r="B27" s="705"/>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06" t="s">
        <v>95</v>
      </c>
      <c r="B28" s="706"/>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4" t="s">
        <v>96</v>
      </c>
      <c r="B29" s="714"/>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05" t="s">
        <v>97</v>
      </c>
      <c r="B30" s="705"/>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06" t="s">
        <v>98</v>
      </c>
      <c r="B31" s="706"/>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5"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7">
        <f>C23</f>
        <v>4347517</v>
      </c>
      <c r="Z33" s="708"/>
    </row>
    <row r="34" spans="1:26" x14ac:dyDescent="0.25">
      <c r="A34" s="57"/>
      <c r="B34" s="715"/>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5"/>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5"/>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5"/>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5"/>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09"/>
      <c r="H40" s="709"/>
      <c r="I40" s="709"/>
      <c r="J40" s="709"/>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04"/>
      <c r="H49" s="704"/>
      <c r="I49" s="704"/>
      <c r="J49" s="704"/>
    </row>
    <row r="50" spans="7:10" x14ac:dyDescent="0.25">
      <c r="G50" s="258"/>
      <c r="H50" s="258"/>
      <c r="I50" s="258"/>
      <c r="J50" s="258"/>
    </row>
    <row r="51" spans="7:10" x14ac:dyDescent="0.25">
      <c r="G51" s="704"/>
      <c r="H51" s="704"/>
      <c r="I51" s="704"/>
      <c r="J51" s="704"/>
    </row>
    <row r="52" spans="7:10" ht="15" customHeight="1" x14ac:dyDescent="0.25">
      <c r="G52" s="704"/>
      <c r="H52" s="704"/>
      <c r="I52" s="704"/>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424</v>
      </c>
      <c r="C2" s="717"/>
      <c r="D2" s="717"/>
      <c r="E2" s="717"/>
      <c r="F2" s="717"/>
      <c r="G2" s="718"/>
      <c r="I2" s="726" t="s">
        <v>425</v>
      </c>
      <c r="J2" s="726"/>
      <c r="K2" s="726"/>
      <c r="L2" s="726"/>
      <c r="M2" s="726"/>
      <c r="N2" s="726"/>
      <c r="O2" s="726"/>
      <c r="P2" s="726"/>
      <c r="Q2" s="726"/>
      <c r="R2" s="726"/>
      <c r="S2" s="726"/>
      <c r="T2" s="726"/>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10"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11"/>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12">
        <f>C13</f>
        <v>3901063</v>
      </c>
      <c r="Z14" s="713"/>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4" t="s">
        <v>93</v>
      </c>
      <c r="B26" s="714"/>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05" t="s">
        <v>94</v>
      </c>
      <c r="B27" s="705"/>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06" t="s">
        <v>95</v>
      </c>
      <c r="B28" s="706"/>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4" t="s">
        <v>96</v>
      </c>
      <c r="B29" s="714"/>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05" t="s">
        <v>97</v>
      </c>
      <c r="B30" s="705"/>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06" t="s">
        <v>98</v>
      </c>
      <c r="B31" s="706"/>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5"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7">
        <f>C23</f>
        <v>2535782</v>
      </c>
      <c r="Z34" s="708"/>
    </row>
    <row r="35" spans="1:26" x14ac:dyDescent="0.25">
      <c r="A35" s="57"/>
      <c r="B35" s="715"/>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5"/>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5"/>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5"/>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5"/>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09"/>
      <c r="H41" s="709"/>
      <c r="I41" s="709"/>
      <c r="J41" s="709"/>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04"/>
      <c r="H46" s="704"/>
      <c r="I46" s="704"/>
      <c r="J46" s="704"/>
    </row>
    <row r="47" spans="1:26" x14ac:dyDescent="0.25">
      <c r="G47" s="329"/>
      <c r="H47" s="329"/>
      <c r="I47" s="329"/>
      <c r="J47" s="329"/>
    </row>
    <row r="48" spans="1:26" x14ac:dyDescent="0.25">
      <c r="G48" s="704"/>
      <c r="H48" s="704"/>
      <c r="I48" s="704"/>
      <c r="J48" s="704"/>
    </row>
    <row r="49" spans="7:10" ht="15" customHeight="1" x14ac:dyDescent="0.25">
      <c r="G49" s="704"/>
      <c r="H49" s="704"/>
      <c r="I49" s="704"/>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493</v>
      </c>
      <c r="C2" s="717"/>
      <c r="D2" s="717"/>
      <c r="E2" s="717"/>
      <c r="F2" s="717"/>
      <c r="G2" s="718"/>
      <c r="I2" s="726" t="s">
        <v>494</v>
      </c>
      <c r="J2" s="726"/>
      <c r="K2" s="726"/>
      <c r="L2" s="726"/>
      <c r="M2" s="726"/>
      <c r="N2" s="726"/>
      <c r="O2" s="726"/>
      <c r="P2" s="726"/>
      <c r="Q2" s="726"/>
      <c r="R2" s="726"/>
      <c r="S2" s="726"/>
      <c r="T2" s="726"/>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F14" sqref="F14"/>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5" t="s">
        <v>179</v>
      </c>
      <c r="B1" s="405" t="s">
        <v>2</v>
      </c>
      <c r="C1" s="405" t="s">
        <v>578</v>
      </c>
      <c r="D1" s="332" t="s">
        <v>579</v>
      </c>
      <c r="E1" s="332" t="s">
        <v>515</v>
      </c>
      <c r="F1" s="332" t="s">
        <v>516</v>
      </c>
      <c r="H1" s="405" t="s">
        <v>487</v>
      </c>
      <c r="I1" s="405" t="str">
        <f>D1</f>
        <v>N_CA</v>
      </c>
      <c r="J1" s="332" t="s">
        <v>515</v>
      </c>
      <c r="K1" s="332" t="s">
        <v>516</v>
      </c>
      <c r="M1" s="405" t="s">
        <v>487</v>
      </c>
      <c r="N1" s="405" t="str">
        <f>I1</f>
        <v>N_CA</v>
      </c>
      <c r="O1" s="332" t="s">
        <v>515</v>
      </c>
      <c r="P1" s="332" t="s">
        <v>516</v>
      </c>
    </row>
    <row r="2" spans="1:16" x14ac:dyDescent="0.25">
      <c r="A2" t="str">
        <f>PLANTILLA!D7</f>
        <v>B. Pinczehelyi</v>
      </c>
      <c r="B2" s="159">
        <f>PLANTILLA!Y7+1.5+PLANTILLA!J7</f>
        <v>17.383360961115287</v>
      </c>
      <c r="C2" s="159">
        <f>PLANTILLA!AB7+1.5+PLANTILLA!J7</f>
        <v>12.503360961115282</v>
      </c>
      <c r="D2" s="357">
        <f t="shared" ref="D2:D20" si="0">(C2*2+B2)/8</f>
        <v>5.2987603604182318</v>
      </c>
      <c r="E2" s="159">
        <f>D2*PLANTILLA!R7</f>
        <v>4.905698845553248</v>
      </c>
      <c r="F2" s="159">
        <f>E2*PLANTILLA!S7</f>
        <v>4.9021935226007995</v>
      </c>
      <c r="H2" t="str">
        <f>A2</f>
        <v>B. Pinczehelyi</v>
      </c>
      <c r="I2" s="159">
        <f>D2</f>
        <v>5.2987603604182318</v>
      </c>
      <c r="J2" s="159">
        <f t="shared" ref="J2:K2" si="1">E2</f>
        <v>4.905698845553248</v>
      </c>
      <c r="K2" s="159">
        <f t="shared" si="1"/>
        <v>4.9021935226007995</v>
      </c>
      <c r="M2" t="str">
        <f>A2</f>
        <v>B. Pinczehelyi</v>
      </c>
      <c r="N2" s="159">
        <f>D2</f>
        <v>5.2987603604182318</v>
      </c>
      <c r="O2" s="159">
        <f t="shared" ref="O2:P2" si="2">E2</f>
        <v>4.905698845553248</v>
      </c>
      <c r="P2" s="159">
        <f t="shared" si="2"/>
        <v>4.9021935226007995</v>
      </c>
    </row>
    <row r="3" spans="1:16" x14ac:dyDescent="0.25">
      <c r="A3" t="str">
        <f>PLANTILLA!D16</f>
        <v>C. Rojas</v>
      </c>
      <c r="B3" s="159">
        <f>PLANTILLA!Y16+1.5+PLANTILLA!J16</f>
        <v>11.580762370808088</v>
      </c>
      <c r="C3" s="159">
        <f>PLANTILLA!AB16+1.5+PLANTILLA!J16</f>
        <v>13.04320681525253</v>
      </c>
      <c r="D3" s="357">
        <f t="shared" si="0"/>
        <v>4.708397000164144</v>
      </c>
      <c r="E3" s="159">
        <f>D3*PLANTILLA!R16</f>
        <v>3.5592135817705337</v>
      </c>
      <c r="F3" s="159">
        <f>E3*PLANTILLA!S16</f>
        <v>3.0050749120705929</v>
      </c>
      <c r="H3" s="159" t="str">
        <f>A7</f>
        <v>E. Toney</v>
      </c>
      <c r="I3" s="159">
        <f>D7</f>
        <v>5.0510523991824039</v>
      </c>
      <c r="J3" s="159">
        <f t="shared" ref="J3:K3" si="3">E7</f>
        <v>4.2689184260256905</v>
      </c>
      <c r="K3" s="159">
        <f t="shared" si="3"/>
        <v>3.9489555675807555</v>
      </c>
      <c r="M3" t="str">
        <f>A7</f>
        <v>E. Toney</v>
      </c>
      <c r="N3" s="159">
        <f>D7</f>
        <v>5.0510523991824039</v>
      </c>
      <c r="O3" s="159">
        <f t="shared" ref="O3:P3" si="4">E7</f>
        <v>4.2689184260256905</v>
      </c>
      <c r="P3" s="159">
        <f t="shared" si="4"/>
        <v>3.9489555675807555</v>
      </c>
    </row>
    <row r="4" spans="1:16" x14ac:dyDescent="0.25">
      <c r="A4" t="str">
        <f>PLANTILLA!D12</f>
        <v>E. Romweber</v>
      </c>
      <c r="B4" s="159">
        <f>PLANTILLA!Y12+1.5+PLANTILLA!J12</f>
        <v>15.0724963222714</v>
      </c>
      <c r="C4" s="159">
        <f>PLANTILLA!AB12+1.5+PLANTILLA!J12</f>
        <v>13.92138521116029</v>
      </c>
      <c r="D4" s="357">
        <f t="shared" si="0"/>
        <v>5.3644083430739977</v>
      </c>
      <c r="E4" s="159">
        <f>D4*PLANTILLA!R12</f>
        <v>5.3644083430739977</v>
      </c>
      <c r="F4" s="159">
        <f>E4*PLANTILLA!S12</f>
        <v>5.3644083430739977</v>
      </c>
      <c r="H4" t="str">
        <f t="shared" ref="H4:H6" si="5">A4</f>
        <v>E. Romweber</v>
      </c>
      <c r="I4" s="159">
        <f t="shared" ref="I4:I6" si="6">D4</f>
        <v>5.3644083430739977</v>
      </c>
      <c r="J4" s="159">
        <f t="shared" ref="J4" si="7">E4</f>
        <v>5.3644083430739977</v>
      </c>
      <c r="K4" s="159">
        <f t="shared" ref="K4" si="8">F4</f>
        <v>5.3644083430739977</v>
      </c>
      <c r="M4" t="str">
        <f t="shared" ref="M4" si="9">A4</f>
        <v>E. Romweber</v>
      </c>
      <c r="N4" s="159">
        <f t="shared" ref="N4" si="10">D4</f>
        <v>5.3644083430739977</v>
      </c>
      <c r="O4" s="159">
        <f t="shared" ref="O4" si="11">E4</f>
        <v>5.3644083430739977</v>
      </c>
      <c r="P4" s="159">
        <f t="shared" ref="P4" si="12">F4</f>
        <v>5.3644083430739977</v>
      </c>
    </row>
    <row r="5" spans="1:16" x14ac:dyDescent="0.25">
      <c r="A5" t="str">
        <f>PLANTILLA!D8</f>
        <v>D. Toh</v>
      </c>
      <c r="B5" s="159">
        <f>PLANTILLA!Y8+1.5+PLANTILLA!J8</f>
        <v>13.823331268324758</v>
      </c>
      <c r="C5" s="159">
        <f>PLANTILLA!AB8+1.5+PLANTILLA!J8</f>
        <v>10.468775712769203</v>
      </c>
      <c r="D5" s="357">
        <f t="shared" si="0"/>
        <v>4.3451103367328958</v>
      </c>
      <c r="E5" s="159">
        <f>D5*PLANTILLA!R8</f>
        <v>3.6722884883546643</v>
      </c>
      <c r="F5" s="159">
        <f>E5*PLANTILLA!S8</f>
        <v>3.3970440811050522</v>
      </c>
      <c r="H5" s="159" t="str">
        <f>A12</f>
        <v>B. Bartolache</v>
      </c>
      <c r="I5" s="159">
        <f>D12</f>
        <v>4.8280946495349681</v>
      </c>
      <c r="J5" s="159">
        <f t="shared" ref="J5:K5" si="13">E12</f>
        <v>4.4699470701437862</v>
      </c>
      <c r="K5" s="159">
        <f t="shared" si="13"/>
        <v>4.4667531097001261</v>
      </c>
      <c r="M5" s="159" t="str">
        <f>H5</f>
        <v>B. Bartolache</v>
      </c>
      <c r="N5" s="159">
        <f t="shared" ref="N5:P5" si="14">I5</f>
        <v>4.8280946495349681</v>
      </c>
      <c r="O5" s="159">
        <f t="shared" si="14"/>
        <v>4.4699470701437862</v>
      </c>
      <c r="P5" s="159">
        <f t="shared" si="14"/>
        <v>4.4667531097001261</v>
      </c>
    </row>
    <row r="6" spans="1:16" x14ac:dyDescent="0.25">
      <c r="A6" t="str">
        <f>PLANTILLA!D17</f>
        <v>E. Gross</v>
      </c>
      <c r="B6" s="159">
        <f>PLANTILLA!Y17+1.5+PLANTILLA!J17</f>
        <v>13.400449632940225</v>
      </c>
      <c r="C6" s="159">
        <f>PLANTILLA!AB17+1.5+PLANTILLA!J17</f>
        <v>12.09044963294023</v>
      </c>
      <c r="D6" s="357">
        <f t="shared" si="0"/>
        <v>4.6976686123525857</v>
      </c>
      <c r="E6" s="159">
        <f>D6*PLANTILLA!R17</f>
        <v>4.6976686123525857</v>
      </c>
      <c r="F6" s="159">
        <f>E6*PLANTILLA!S17</f>
        <v>4.6976686123525857</v>
      </c>
      <c r="H6" t="str">
        <f t="shared" si="5"/>
        <v>E. Gross</v>
      </c>
      <c r="I6" s="159">
        <f t="shared" si="6"/>
        <v>4.6976686123525857</v>
      </c>
      <c r="J6" s="159">
        <f t="shared" ref="J6" si="15">E6</f>
        <v>4.6976686123525857</v>
      </c>
      <c r="K6" s="159">
        <f t="shared" ref="K6" si="16">F6</f>
        <v>4.6976686123525857</v>
      </c>
      <c r="N6" s="406"/>
      <c r="O6" s="406"/>
      <c r="P6" s="406"/>
    </row>
    <row r="7" spans="1:16" x14ac:dyDescent="0.25">
      <c r="A7" t="str">
        <f>PLANTILLA!D9</f>
        <v>E. Toney</v>
      </c>
      <c r="B7" s="159">
        <f>PLANTILLA!Y9+1.5+PLANTILLA!J9</f>
        <v>15.202806397819748</v>
      </c>
      <c r="C7" s="159">
        <f>PLANTILLA!AB9+1.5+PLANTILLA!J9</f>
        <v>12.602806397819743</v>
      </c>
      <c r="D7" s="357">
        <f t="shared" si="0"/>
        <v>5.0510523991824039</v>
      </c>
      <c r="E7" s="159">
        <f>D7*PLANTILLA!R9</f>
        <v>4.2689184260256905</v>
      </c>
      <c r="F7" s="159">
        <f>E7*PLANTILLA!S9</f>
        <v>3.9489555675807555</v>
      </c>
      <c r="I7" s="423">
        <f>SUM(I2:I6)</f>
        <v>25.239984364562186</v>
      </c>
      <c r="J7" s="423">
        <f t="shared" ref="J7:K7" si="17">SUM(J2:J6)</f>
        <v>23.706641297149307</v>
      </c>
      <c r="K7" s="423">
        <f t="shared" si="17"/>
        <v>23.379979155308263</v>
      </c>
      <c r="L7" s="423"/>
      <c r="M7" s="423"/>
      <c r="N7" s="423">
        <f>SUM(N2:N6)</f>
        <v>20.5423157522096</v>
      </c>
      <c r="O7" s="423">
        <f t="shared" ref="O7:P7" si="18">SUM(O2:O6)</f>
        <v>19.008972684796721</v>
      </c>
      <c r="P7" s="423">
        <f t="shared" si="18"/>
        <v>18.682310542955676</v>
      </c>
    </row>
    <row r="8" spans="1:16" x14ac:dyDescent="0.25">
      <c r="A8" t="str">
        <f>PLANTILLA!D23</f>
        <v>P .Trivadi</v>
      </c>
      <c r="B8" s="159">
        <f>PLANTILLA!Y23+1.5+PLANTILLA!J23</f>
        <v>6.6038844755238069</v>
      </c>
      <c r="C8" s="159">
        <f>PLANTILLA!AB23+1.5+PLANTILLA!J23</f>
        <v>13.383884475523807</v>
      </c>
      <c r="D8" s="357">
        <f t="shared" si="0"/>
        <v>4.1714566783214275</v>
      </c>
      <c r="E8" s="159">
        <f>D8*PLANTILLA!R23</f>
        <v>3.8620184381204199</v>
      </c>
      <c r="F8" s="159">
        <f>E8*PLANTILLA!S23</f>
        <v>3.8592588676086277</v>
      </c>
    </row>
    <row r="9" spans="1:16" x14ac:dyDescent="0.25">
      <c r="A9" t="str">
        <f>PLANTILLA!D13</f>
        <v>K. Helms</v>
      </c>
      <c r="B9" s="159">
        <f>PLANTILLA!Y13+1.5+PLANTILLA!J13</f>
        <v>10.15950949875166</v>
      </c>
      <c r="C9" s="159">
        <f>PLANTILLA!AB13+1.5+PLANTILLA!J13</f>
        <v>13.269206468448628</v>
      </c>
      <c r="D9" s="357">
        <f t="shared" si="0"/>
        <v>4.587240304456115</v>
      </c>
      <c r="E9" s="159">
        <f>D9*PLANTILLA!R13</f>
        <v>3.8769256607732214</v>
      </c>
      <c r="F9" s="159">
        <f>E9*PLANTILLA!S13</f>
        <v>3.5863433416459896</v>
      </c>
    </row>
    <row r="10" spans="1:16" x14ac:dyDescent="0.25">
      <c r="A10" t="str">
        <f>PLANTILLA!D21</f>
        <v>J. Limon</v>
      </c>
      <c r="B10" s="159">
        <f>PLANTILLA!Y21+1.5+PLANTILLA!J21</f>
        <v>9.7417236389302762</v>
      </c>
      <c r="C10" s="159">
        <f>PLANTILLA!AB21+1.5+PLANTILLA!J21</f>
        <v>12.594104591311227</v>
      </c>
      <c r="D10" s="357">
        <f t="shared" si="0"/>
        <v>4.3662416026940916</v>
      </c>
      <c r="E10" s="159">
        <f>D10*PLANTILLA!R21</f>
        <v>4.3662416026940916</v>
      </c>
      <c r="F10" s="159">
        <f>E10*PLANTILLA!S21</f>
        <v>4.3662416026940916</v>
      </c>
      <c r="H10" s="159"/>
    </row>
    <row r="11" spans="1:16" x14ac:dyDescent="0.25">
      <c r="A11" t="str">
        <f>PLANTILLA!D22</f>
        <v>L. Calosso</v>
      </c>
      <c r="B11" s="159">
        <f>PLANTILLA!Y22+1.5+PLANTILLA!J22</f>
        <v>5.9342637871381481</v>
      </c>
      <c r="C11" s="159">
        <f>PLANTILLA!AB22+1.5+PLANTILLA!J22</f>
        <v>17.93426378713815</v>
      </c>
      <c r="D11" s="357">
        <f t="shared" si="0"/>
        <v>5.2253489201768062</v>
      </c>
      <c r="E11" s="159">
        <f>D11*PLANTILLA!R22</f>
        <v>4.8377330586244849</v>
      </c>
      <c r="F11" s="159">
        <f>E11*PLANTILLA!S22</f>
        <v>4.8342763000133067</v>
      </c>
    </row>
    <row r="12" spans="1:16" x14ac:dyDescent="0.25">
      <c r="A12" t="str">
        <f>PLANTILLA!D10</f>
        <v>B. Bartolache</v>
      </c>
      <c r="B12" s="159">
        <f>PLANTILLA!Y10+1.5+PLANTILLA!J10</f>
        <v>14.861585732093246</v>
      </c>
      <c r="C12" s="159">
        <f>PLANTILLA!AB10+1.5+PLANTILLA!J10</f>
        <v>11.881585732093249</v>
      </c>
      <c r="D12" s="357">
        <f t="shared" si="0"/>
        <v>4.8280946495349681</v>
      </c>
      <c r="E12" s="159">
        <f>D12*PLANTILLA!R10</f>
        <v>4.4699470701437862</v>
      </c>
      <c r="F12" s="159">
        <f>E12*PLANTILLA!S10</f>
        <v>4.4667531097001261</v>
      </c>
    </row>
    <row r="13" spans="1:16" x14ac:dyDescent="0.25">
      <c r="A13" t="str">
        <f>PLANTILLA!D14</f>
        <v>S. Zobbe</v>
      </c>
      <c r="B13" s="159">
        <f>PLANTILLA!Y14+1.5+PLANTILLA!J14</f>
        <v>11.193333333333332</v>
      </c>
      <c r="C13" s="159">
        <f>PLANTILLA!AB14+1.5+PLANTILLA!J14</f>
        <v>13.073333333333334</v>
      </c>
      <c r="D13" s="357">
        <f t="shared" si="0"/>
        <v>4.6675000000000004</v>
      </c>
      <c r="E13" s="159">
        <f>D13*PLANTILLA!R14</f>
        <v>4.3212653156883842</v>
      </c>
      <c r="F13" s="159">
        <f>E13*PLANTILLA!S14</f>
        <v>4.3181775944540419</v>
      </c>
    </row>
    <row r="14" spans="1:16" x14ac:dyDescent="0.25">
      <c r="A14" t="str">
        <f>PLANTILLA!D15</f>
        <v>S. Buschelman</v>
      </c>
      <c r="B14" s="159">
        <f>PLANTILLA!Y15+1.5+PLANTILLA!J15</f>
        <v>12.232842676408165</v>
      </c>
      <c r="C14" s="159">
        <f>PLANTILLA!AB15+1.5+PLANTILLA!J15</f>
        <v>12.602509343074836</v>
      </c>
      <c r="D14" s="357">
        <f t="shared" si="0"/>
        <v>4.6797326703197299</v>
      </c>
      <c r="E14" s="159">
        <f>D14*PLANTILLA!R15</f>
        <v>4.6797326703197299</v>
      </c>
      <c r="F14" s="159">
        <f>E14*PLANTILLA!S15</f>
        <v>4.6797326703197299</v>
      </c>
    </row>
    <row r="15" spans="1:16" x14ac:dyDescent="0.25">
      <c r="A15" t="str">
        <f>PLANTILLA!D6</f>
        <v>T. Hammond</v>
      </c>
      <c r="B15" s="159">
        <f>PLANTILLA!Y6+1.5+PLANTILLA!J6</f>
        <v>13.580853342193215</v>
      </c>
      <c r="C15" s="159">
        <f>PLANTILLA!AB6+1.5+PLANTILLA!J6</f>
        <v>8.7558533421932179</v>
      </c>
      <c r="D15" s="357">
        <f t="shared" si="0"/>
        <v>3.8865700033224564</v>
      </c>
      <c r="E15" s="159">
        <f>D15*PLANTILLA!R6</f>
        <v>3.5982646282490021</v>
      </c>
      <c r="F15" s="159">
        <f>E15*PLANTILLA!S6</f>
        <v>3.5956935206479277</v>
      </c>
    </row>
    <row r="16" spans="1:16" x14ac:dyDescent="0.25">
      <c r="A16" t="str">
        <f>PLANTILLA!D11</f>
        <v>F. Lasprilla</v>
      </c>
      <c r="B16" s="159">
        <f>PLANTILLA!Y11+1.5+PLANTILLA!J11</f>
        <v>12.132469348856192</v>
      </c>
      <c r="C16" s="159">
        <f>PLANTILLA!AB11+1.5+PLANTILLA!J11</f>
        <v>11.391136015522857</v>
      </c>
      <c r="D16" s="357">
        <f t="shared" si="0"/>
        <v>4.3643426724877381</v>
      </c>
      <c r="E16" s="159">
        <f>D16*PLANTILLA!R11</f>
        <v>3.6885427787462368</v>
      </c>
      <c r="F16" s="159">
        <f>E16*PLANTILLA!S11</f>
        <v>3.4120800841702672</v>
      </c>
    </row>
    <row r="17" spans="1:6" x14ac:dyDescent="0.25">
      <c r="A17" t="str">
        <f>PLANTILLA!D18</f>
        <v>L. Bauman</v>
      </c>
      <c r="B17" s="159">
        <f>PLANTILLA!Y18+1.5+PLANTILLA!J18</f>
        <v>8.2494948809051856</v>
      </c>
      <c r="C17" s="159">
        <f>PLANTILLA!AB18+1.5+PLANTILLA!J18</f>
        <v>11.925050436460744</v>
      </c>
      <c r="D17" s="357">
        <f t="shared" si="0"/>
        <v>4.0124494692283346</v>
      </c>
      <c r="E17" s="159">
        <f>D17*PLANTILLA!R18</f>
        <v>3.0331266982260816</v>
      </c>
      <c r="F17" s="159">
        <f>E17*PLANTILLA!S18</f>
        <v>2.5608951911889926</v>
      </c>
    </row>
    <row r="18" spans="1:6" x14ac:dyDescent="0.25">
      <c r="A18" t="str">
        <f>PLANTILLA!D19</f>
        <v>W. Gelifini</v>
      </c>
      <c r="B18" s="159">
        <f>PLANTILLA!Y19+1.5+PLANTILLA!J19</f>
        <v>8.0835155613369096</v>
      </c>
      <c r="C18" s="159">
        <f>PLANTILLA!AB19+1.5+PLANTILLA!J19</f>
        <v>11.698626672448022</v>
      </c>
      <c r="D18" s="357">
        <f t="shared" si="0"/>
        <v>3.9350961132791191</v>
      </c>
      <c r="E18" s="159">
        <f>D18*PLANTILLA!R19</f>
        <v>2.5761251151468691</v>
      </c>
      <c r="F18" s="159">
        <f>E18*PLANTILLA!S19</f>
        <v>1.9449318103901658</v>
      </c>
    </row>
    <row r="19" spans="1:6" x14ac:dyDescent="0.25">
      <c r="A19" t="e">
        <f>PLANTILLA!#REF!</f>
        <v>#REF!</v>
      </c>
      <c r="B19" s="159" t="e">
        <f>PLANTILLA!#REF!+1.5+PLANTILLA!#REF!</f>
        <v>#REF!</v>
      </c>
      <c r="C19" s="159" t="e">
        <f>PLANTILLA!#REF!+1.5+PLANTILLA!#REF!</f>
        <v>#REF!</v>
      </c>
      <c r="D19" s="357" t="e">
        <f t="shared" si="0"/>
        <v>#REF!</v>
      </c>
      <c r="E19" s="159" t="e">
        <f>D19*PLANTILLA!#REF!</f>
        <v>#REF!</v>
      </c>
      <c r="F19" s="159" t="e">
        <f>E19*PLANTILLA!#REF!</f>
        <v>#REF!</v>
      </c>
    </row>
    <row r="20" spans="1:6" x14ac:dyDescent="0.25">
      <c r="A20" t="str">
        <f>PLANTILLA!D5</f>
        <v>D. Gehmacher</v>
      </c>
      <c r="B20" s="159">
        <f>PLANTILLA!Y5+1.5+PLANTILLA!J5</f>
        <v>15.300605589042801</v>
      </c>
      <c r="C20" s="159">
        <f>PLANTILLA!AB5+1.5+PLANTILLA!J5</f>
        <v>4.2600461484833572</v>
      </c>
      <c r="D20" s="357">
        <f t="shared" si="0"/>
        <v>2.9775872357511894</v>
      </c>
      <c r="E20" s="159">
        <f>D20*PLANTILLA!R5</f>
        <v>2.5165205211204404</v>
      </c>
      <c r="F20" s="159">
        <f>E20*PLANTILLA!S5</f>
        <v>2.3279029325612095</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10"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11"/>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12">
        <f>C13</f>
        <v>5218072</v>
      </c>
      <c r="Z14" s="713"/>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4" t="s">
        <v>93</v>
      </c>
      <c r="B26" s="714"/>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05" t="s">
        <v>94</v>
      </c>
      <c r="B27" s="705"/>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06" t="s">
        <v>95</v>
      </c>
      <c r="B28" s="706"/>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4" t="s">
        <v>96</v>
      </c>
      <c r="B29" s="714"/>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05" t="s">
        <v>97</v>
      </c>
      <c r="B30" s="705"/>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06" t="s">
        <v>98</v>
      </c>
      <c r="B31" s="706"/>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5"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7">
        <f>C23</f>
        <v>4415274</v>
      </c>
      <c r="Z34" s="708"/>
    </row>
    <row r="35" spans="1:26" x14ac:dyDescent="0.25">
      <c r="A35" s="57"/>
      <c r="B35" s="715"/>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5"/>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5"/>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5"/>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5"/>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09"/>
      <c r="H41" s="709"/>
      <c r="I41" s="709"/>
      <c r="J41" s="709"/>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04"/>
      <c r="H46" s="704"/>
      <c r="I46" s="704"/>
      <c r="J46" s="704"/>
    </row>
    <row r="47" spans="1:26" x14ac:dyDescent="0.25">
      <c r="G47" s="363"/>
      <c r="H47" s="363"/>
      <c r="I47" s="363"/>
      <c r="J47" s="363"/>
    </row>
    <row r="48" spans="1:26" x14ac:dyDescent="0.25">
      <c r="G48" s="704"/>
      <c r="H48" s="704"/>
      <c r="I48" s="704"/>
      <c r="J48" s="704"/>
      <c r="P48" s="383"/>
    </row>
    <row r="49" spans="7:10" ht="15" customHeight="1" x14ac:dyDescent="0.25">
      <c r="G49" s="704"/>
      <c r="H49" s="704"/>
      <c r="I49" s="704"/>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559</v>
      </c>
      <c r="C2" s="717"/>
      <c r="D2" s="717"/>
      <c r="E2" s="717"/>
      <c r="F2" s="717"/>
      <c r="G2" s="718"/>
      <c r="I2" s="726" t="s">
        <v>494</v>
      </c>
      <c r="J2" s="726"/>
      <c r="K2" s="726"/>
      <c r="L2" s="726"/>
      <c r="M2" s="726"/>
      <c r="N2" s="726"/>
      <c r="O2" s="726"/>
      <c r="P2" s="726"/>
      <c r="Q2" s="726"/>
      <c r="R2" s="726"/>
      <c r="S2" s="726"/>
      <c r="T2" s="726"/>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10"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11"/>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12">
        <f>C13</f>
        <v>6564204.3711659508</v>
      </c>
      <c r="Z14" s="713"/>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4" t="s">
        <v>93</v>
      </c>
      <c r="B26" s="714"/>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05" t="s">
        <v>94</v>
      </c>
      <c r="B27" s="705"/>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06" t="s">
        <v>95</v>
      </c>
      <c r="B28" s="706"/>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4" t="s">
        <v>96</v>
      </c>
      <c r="B29" s="714"/>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05" t="s">
        <v>97</v>
      </c>
      <c r="B30" s="705"/>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06" t="s">
        <v>98</v>
      </c>
      <c r="B31" s="706"/>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5"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7">
        <f>C23</f>
        <v>4502296</v>
      </c>
      <c r="Z34" s="708"/>
    </row>
    <row r="35" spans="1:26" x14ac:dyDescent="0.25">
      <c r="A35" s="57"/>
      <c r="B35" s="715"/>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5"/>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5"/>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5"/>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5"/>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09"/>
      <c r="H41" s="709"/>
      <c r="I41" s="709"/>
      <c r="J41" s="709"/>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04"/>
      <c r="H46" s="704"/>
      <c r="I46" s="704"/>
      <c r="J46" s="704"/>
    </row>
    <row r="47" spans="1:26" x14ac:dyDescent="0.25">
      <c r="G47" s="392"/>
      <c r="H47" s="392"/>
      <c r="I47" s="392"/>
      <c r="J47" s="392"/>
    </row>
    <row r="48" spans="1:26" x14ac:dyDescent="0.25">
      <c r="G48" s="704"/>
      <c r="H48" s="704"/>
      <c r="I48" s="704"/>
      <c r="J48" s="704"/>
      <c r="P48" s="383"/>
    </row>
    <row r="49" spans="7:10" ht="15" customHeight="1" x14ac:dyDescent="0.25">
      <c r="G49" s="704"/>
      <c r="H49" s="704"/>
      <c r="I49" s="704"/>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6" t="s">
        <v>561</v>
      </c>
      <c r="C2" s="717"/>
      <c r="D2" s="717"/>
      <c r="E2" s="717"/>
      <c r="F2" s="717"/>
      <c r="G2" s="718"/>
      <c r="I2" s="726" t="s">
        <v>494</v>
      </c>
      <c r="J2" s="726"/>
      <c r="K2" s="726"/>
      <c r="L2" s="726"/>
      <c r="M2" s="726"/>
      <c r="N2" s="726"/>
      <c r="O2" s="726"/>
      <c r="P2" s="726"/>
      <c r="Q2" s="726"/>
      <c r="R2" s="726"/>
      <c r="S2" s="726"/>
      <c r="T2" s="726"/>
    </row>
    <row r="3" spans="2:21"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3" t="s">
        <v>113</v>
      </c>
      <c r="C4" s="724"/>
      <c r="D4" s="109"/>
      <c r="E4" s="725" t="s">
        <v>114</v>
      </c>
      <c r="F4" s="724"/>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7" t="s">
        <v>491</v>
      </c>
      <c r="J5" s="398" t="s">
        <v>571</v>
      </c>
      <c r="K5" s="397">
        <v>0</v>
      </c>
      <c r="L5" s="397">
        <v>0</v>
      </c>
      <c r="M5" s="397">
        <v>13000</v>
      </c>
      <c r="N5" s="397">
        <v>650</v>
      </c>
      <c r="O5" s="399">
        <f t="shared" si="0"/>
        <v>12350</v>
      </c>
      <c r="P5" s="399">
        <f t="shared" si="1"/>
        <v>0</v>
      </c>
      <c r="Q5" s="400"/>
      <c r="R5" s="401"/>
      <c r="S5" s="401">
        <v>42104</v>
      </c>
      <c r="T5" s="402"/>
      <c r="U5" s="47"/>
    </row>
    <row r="6" spans="2:21" x14ac:dyDescent="0.25">
      <c r="B6" s="116" t="s">
        <v>116</v>
      </c>
      <c r="C6" s="117">
        <f>SUM(C7:C9)</f>
        <v>4751570</v>
      </c>
      <c r="D6" s="140">
        <f>C6/$C$34</f>
        <v>0.27164532659126617</v>
      </c>
      <c r="E6" s="116" t="s">
        <v>117</v>
      </c>
      <c r="F6" s="117">
        <f>F7+F8+F9</f>
        <v>7870713</v>
      </c>
      <c r="G6" s="118">
        <f ca="1">F6/$F$34</f>
        <v>0.44996546476030541</v>
      </c>
      <c r="I6" s="397" t="s">
        <v>491</v>
      </c>
      <c r="J6" s="398" t="s">
        <v>616</v>
      </c>
      <c r="K6" s="397">
        <v>0</v>
      </c>
      <c r="L6" s="397">
        <v>0</v>
      </c>
      <c r="M6" s="397">
        <v>1000</v>
      </c>
      <c r="N6" s="397">
        <v>50</v>
      </c>
      <c r="O6" s="399">
        <f t="shared" si="0"/>
        <v>950</v>
      </c>
      <c r="P6" s="399">
        <f t="shared" si="1"/>
        <v>0</v>
      </c>
      <c r="Q6" s="400"/>
      <c r="R6" s="401"/>
      <c r="S6" s="401">
        <v>42169</v>
      </c>
      <c r="T6" s="402"/>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5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7">
        <v>125000</v>
      </c>
      <c r="J6" s="457">
        <v>567000</v>
      </c>
      <c r="K6" s="457">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8">
        <f t="shared" ref="I7:K7" si="4">H7*(1+I43)</f>
        <v>132296.52871784955</v>
      </c>
      <c r="J7" s="458">
        <f t="shared" si="4"/>
        <v>133696.42525623669</v>
      </c>
      <c r="K7" s="458">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7"/>
      <c r="J8" s="457">
        <v>0</v>
      </c>
      <c r="K8" s="457"/>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7"/>
      <c r="J9" s="464">
        <v>95000</v>
      </c>
      <c r="K9" s="457"/>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8"/>
      <c r="J10" s="458">
        <v>0</v>
      </c>
      <c r="K10" s="458"/>
      <c r="L10" s="72">
        <v>0</v>
      </c>
      <c r="M10" s="72">
        <v>0</v>
      </c>
      <c r="N10" s="72">
        <v>7920</v>
      </c>
      <c r="O10" s="72">
        <v>0</v>
      </c>
      <c r="P10" s="72">
        <v>0</v>
      </c>
      <c r="Q10" s="72">
        <v>0</v>
      </c>
      <c r="R10" s="72">
        <v>0</v>
      </c>
      <c r="S10" s="70">
        <v>13520</v>
      </c>
      <c r="Y10" s="67" t="s">
        <v>76</v>
      </c>
      <c r="Z10" s="71">
        <f t="shared" si="5"/>
        <v>3.1039581409092768E-3</v>
      </c>
    </row>
    <row r="11" spans="1:26" x14ac:dyDescent="0.25">
      <c r="A11" s="710" t="s">
        <v>77</v>
      </c>
      <c r="B11" s="67" t="s">
        <v>78</v>
      </c>
      <c r="C11" s="68">
        <f t="shared" si="3"/>
        <v>82440</v>
      </c>
      <c r="D11" s="72">
        <v>270</v>
      </c>
      <c r="E11" s="72">
        <v>300</v>
      </c>
      <c r="F11" s="72">
        <v>240</v>
      </c>
      <c r="G11" s="72">
        <v>180</v>
      </c>
      <c r="H11" s="72">
        <v>180</v>
      </c>
      <c r="I11" s="458"/>
      <c r="J11" s="458"/>
      <c r="K11" s="458"/>
      <c r="L11" s="72"/>
      <c r="M11" s="72">
        <v>240</v>
      </c>
      <c r="N11" s="72">
        <v>300</v>
      </c>
      <c r="O11" s="72">
        <v>120</v>
      </c>
      <c r="P11" s="72">
        <v>0</v>
      </c>
      <c r="Q11" s="72">
        <v>0</v>
      </c>
      <c r="R11" s="72">
        <v>0</v>
      </c>
      <c r="S11" s="70">
        <f>80580+30</f>
        <v>80610</v>
      </c>
      <c r="Y11" s="67" t="s">
        <v>78</v>
      </c>
      <c r="Z11" s="71">
        <f t="shared" si="5"/>
        <v>1.1935182329130635E-2</v>
      </c>
    </row>
    <row r="12" spans="1:26" x14ac:dyDescent="0.25">
      <c r="A12" s="711"/>
      <c r="B12" s="67" t="s">
        <v>79</v>
      </c>
      <c r="C12" s="68">
        <f t="shared" si="3"/>
        <v>25000</v>
      </c>
      <c r="D12" s="72">
        <v>0</v>
      </c>
      <c r="E12" s="72">
        <v>0</v>
      </c>
      <c r="F12" s="72">
        <v>0</v>
      </c>
      <c r="G12" s="72">
        <v>0</v>
      </c>
      <c r="H12" s="72">
        <v>0</v>
      </c>
      <c r="I12" s="458"/>
      <c r="J12" s="458">
        <v>0</v>
      </c>
      <c r="K12" s="458"/>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9">
        <f t="shared" ref="I13:S13" si="7">SUM(I6:I12)</f>
        <v>257296.52871784955</v>
      </c>
      <c r="J13" s="459">
        <f t="shared" si="7"/>
        <v>795696.42525623669</v>
      </c>
      <c r="K13" s="459">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60">
        <f t="shared" ref="I14:J14" si="8">H14+200</f>
        <v>65470</v>
      </c>
      <c r="J14" s="460">
        <f t="shared" si="8"/>
        <v>65670</v>
      </c>
      <c r="K14" s="460">
        <v>66550</v>
      </c>
      <c r="L14" s="83">
        <v>66550</v>
      </c>
      <c r="M14" s="83">
        <v>68690</v>
      </c>
      <c r="N14" s="83">
        <v>68710</v>
      </c>
      <c r="O14" s="83">
        <v>69590</v>
      </c>
      <c r="P14" s="83">
        <v>69590</v>
      </c>
      <c r="Q14" s="83">
        <v>69710</v>
      </c>
      <c r="R14" s="83">
        <v>71090</v>
      </c>
      <c r="S14" s="70">
        <v>71850</v>
      </c>
      <c r="Y14" s="712">
        <f>C13</f>
        <v>6907309.643589247</v>
      </c>
      <c r="Z14" s="713"/>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60">
        <f t="shared" si="9"/>
        <v>34706</v>
      </c>
      <c r="J15" s="460">
        <f t="shared" si="9"/>
        <v>34706</v>
      </c>
      <c r="K15" s="460">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3">
        <f t="shared" si="10"/>
        <v>0</v>
      </c>
      <c r="J16" s="463">
        <f t="shared" si="10"/>
        <v>0</v>
      </c>
      <c r="K16" s="463">
        <f t="shared" si="10"/>
        <v>0</v>
      </c>
      <c r="L16" s="463">
        <f t="shared" si="10"/>
        <v>0</v>
      </c>
      <c r="M16" s="463">
        <f t="shared" si="10"/>
        <v>0</v>
      </c>
      <c r="N16" s="463">
        <f t="shared" si="10"/>
        <v>0</v>
      </c>
      <c r="O16" s="463">
        <v>112900</v>
      </c>
      <c r="P16" s="463">
        <v>0</v>
      </c>
      <c r="Q16" s="463">
        <f t="shared" si="10"/>
        <v>0</v>
      </c>
      <c r="R16" s="463">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3">
        <f t="shared" si="11"/>
        <v>120000</v>
      </c>
      <c r="J17" s="463">
        <f t="shared" si="11"/>
        <v>120000</v>
      </c>
      <c r="K17" s="463">
        <f t="shared" si="11"/>
        <v>120000</v>
      </c>
      <c r="L17" s="463">
        <f t="shared" si="11"/>
        <v>120000</v>
      </c>
      <c r="M17" s="463">
        <f t="shared" si="11"/>
        <v>120000</v>
      </c>
      <c r="N17" s="463">
        <f t="shared" si="11"/>
        <v>120000</v>
      </c>
      <c r="O17" s="463">
        <f t="shared" si="11"/>
        <v>120000</v>
      </c>
      <c r="P17" s="463">
        <f t="shared" si="11"/>
        <v>120000</v>
      </c>
      <c r="Q17" s="463">
        <f t="shared" si="11"/>
        <v>120000</v>
      </c>
      <c r="R17" s="463">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3">
        <f t="shared" si="11"/>
        <v>20000</v>
      </c>
      <c r="J18" s="463">
        <f t="shared" si="11"/>
        <v>20000</v>
      </c>
      <c r="K18" s="463">
        <f t="shared" si="11"/>
        <v>20000</v>
      </c>
      <c r="L18" s="463">
        <f t="shared" si="11"/>
        <v>20000</v>
      </c>
      <c r="M18" s="463">
        <f t="shared" si="11"/>
        <v>20000</v>
      </c>
      <c r="N18" s="463">
        <f t="shared" si="11"/>
        <v>20000</v>
      </c>
      <c r="O18" s="463">
        <f t="shared" si="11"/>
        <v>20000</v>
      </c>
      <c r="P18" s="463">
        <f t="shared" si="11"/>
        <v>20000</v>
      </c>
      <c r="Q18" s="463">
        <f t="shared" si="11"/>
        <v>20000</v>
      </c>
      <c r="R18" s="463">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60">
        <f t="shared" si="11"/>
        <v>0</v>
      </c>
      <c r="J19" s="460">
        <f t="shared" si="11"/>
        <v>0</v>
      </c>
      <c r="K19" s="460">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60">
        <f t="shared" si="11"/>
        <v>0</v>
      </c>
      <c r="J20" s="460">
        <f t="shared" si="11"/>
        <v>0</v>
      </c>
      <c r="K20" s="460">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60">
        <v>0</v>
      </c>
      <c r="J21" s="460">
        <v>4000</v>
      </c>
      <c r="K21" s="460">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60">
        <f t="shared" si="11"/>
        <v>0</v>
      </c>
      <c r="J22" s="460">
        <f t="shared" si="11"/>
        <v>0</v>
      </c>
      <c r="K22" s="460">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1">
        <f t="shared" si="12"/>
        <v>240176</v>
      </c>
      <c r="J23" s="461">
        <f t="shared" si="12"/>
        <v>244376</v>
      </c>
      <c r="K23" s="461">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2">
        <f t="shared" si="13"/>
        <v>5748972.8998837993</v>
      </c>
      <c r="J24" s="462">
        <f t="shared" si="13"/>
        <v>6300293.3251400357</v>
      </c>
      <c r="K24" s="462">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4" t="s">
        <v>93</v>
      </c>
      <c r="B26" s="714"/>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05" t="s">
        <v>94</v>
      </c>
      <c r="B27" s="705"/>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06" t="s">
        <v>95</v>
      </c>
      <c r="B28" s="706"/>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4" t="s">
        <v>96</v>
      </c>
      <c r="B29" s="714"/>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05" t="s">
        <v>97</v>
      </c>
      <c r="B30" s="705"/>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06" t="s">
        <v>98</v>
      </c>
      <c r="B31" s="706"/>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5"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7">
        <f>C23</f>
        <v>4106107</v>
      </c>
      <c r="Z34" s="708"/>
    </row>
    <row r="35" spans="1:26" x14ac:dyDescent="0.25">
      <c r="A35" s="57"/>
      <c r="B35" s="715"/>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5"/>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5"/>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5"/>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5"/>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50"/>
      <c r="G41" s="709"/>
      <c r="H41" s="709"/>
      <c r="I41" s="709"/>
      <c r="J41" s="709"/>
    </row>
    <row r="42" spans="1:26" x14ac:dyDescent="0.25">
      <c r="C42" s="4" t="s">
        <v>485</v>
      </c>
      <c r="D42" s="9">
        <v>85845</v>
      </c>
      <c r="E42" s="341">
        <v>92875</v>
      </c>
      <c r="F42" s="246">
        <v>97870</v>
      </c>
      <c r="G42" s="451">
        <v>101200</v>
      </c>
      <c r="H42" s="451">
        <v>103420</v>
      </c>
      <c r="I42" s="451">
        <v>104900</v>
      </c>
      <c r="J42" s="451">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4"/>
      <c r="H46" s="704"/>
      <c r="I46" s="704"/>
      <c r="J46" s="704"/>
      <c r="M46" s="383"/>
    </row>
    <row r="47" spans="1:26" x14ac:dyDescent="0.25">
      <c r="E47" s="106"/>
      <c r="G47" s="451"/>
      <c r="H47" s="451"/>
      <c r="I47" s="451"/>
      <c r="J47" s="451"/>
    </row>
    <row r="48" spans="1:26" x14ac:dyDescent="0.25">
      <c r="G48" s="704"/>
      <c r="H48" s="704"/>
      <c r="I48" s="704"/>
      <c r="J48" s="704"/>
      <c r="P48" s="383"/>
    </row>
    <row r="49" spans="7:10" ht="15" customHeight="1" x14ac:dyDescent="0.25">
      <c r="G49" s="704"/>
      <c r="H49" s="704"/>
      <c r="I49" s="704"/>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620</v>
      </c>
      <c r="C2" s="717"/>
      <c r="D2" s="717"/>
      <c r="E2" s="717"/>
      <c r="F2" s="717"/>
      <c r="G2" s="718"/>
      <c r="I2" s="726" t="s">
        <v>621</v>
      </c>
      <c r="J2" s="726"/>
      <c r="K2" s="726"/>
      <c r="L2" s="726"/>
      <c r="M2" s="726"/>
      <c r="N2" s="726"/>
      <c r="O2" s="726"/>
      <c r="P2" s="726"/>
      <c r="Q2" s="726"/>
      <c r="R2" s="726"/>
      <c r="S2" s="726"/>
      <c r="T2" s="726"/>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7" t="s">
        <v>491</v>
      </c>
      <c r="J5" s="398" t="s">
        <v>626</v>
      </c>
      <c r="K5" s="397">
        <v>0</v>
      </c>
      <c r="L5" s="397">
        <v>0</v>
      </c>
      <c r="M5" s="397">
        <v>11000</v>
      </c>
      <c r="N5" s="397">
        <f>M5*0.05</f>
        <v>550</v>
      </c>
      <c r="O5" s="399">
        <f t="shared" si="0"/>
        <v>10450</v>
      </c>
      <c r="P5" s="399">
        <f t="shared" si="1"/>
        <v>0</v>
      </c>
      <c r="Q5" s="400"/>
      <c r="R5" s="401"/>
      <c r="S5" s="401">
        <v>42197</v>
      </c>
      <c r="T5" s="402"/>
    </row>
    <row r="6" spans="2:20" x14ac:dyDescent="0.25">
      <c r="B6" s="116" t="s">
        <v>116</v>
      </c>
      <c r="C6" s="117">
        <f>SUM(C7:C9)</f>
        <v>4935685</v>
      </c>
      <c r="D6" s="140">
        <f>C6/$C$34</f>
        <v>0.23704025225199579</v>
      </c>
      <c r="E6" s="116" t="s">
        <v>117</v>
      </c>
      <c r="F6" s="117">
        <f ca="1">F7+F8+F9</f>
        <v>10929511.37116595</v>
      </c>
      <c r="G6" s="118">
        <f ca="1">F6/$F$34</f>
        <v>0.52489859713742526</v>
      </c>
      <c r="I6" s="397" t="s">
        <v>491</v>
      </c>
      <c r="J6" s="398" t="s">
        <v>635</v>
      </c>
      <c r="K6" s="397">
        <v>0</v>
      </c>
      <c r="L6" s="397">
        <v>0</v>
      </c>
      <c r="M6" s="397">
        <v>1000</v>
      </c>
      <c r="N6" s="397">
        <f>M6*0.05</f>
        <v>50</v>
      </c>
      <c r="O6" s="399">
        <f t="shared" ref="O6" si="2">IF(M6=0,0,M6-K6)-N6</f>
        <v>950</v>
      </c>
      <c r="P6" s="399">
        <f t="shared" ref="P6" si="3">IF(M6=0,K6,0)</f>
        <v>0</v>
      </c>
      <c r="Q6" s="400"/>
      <c r="R6" s="401"/>
      <c r="S6" s="401">
        <v>42216</v>
      </c>
      <c r="T6" s="402"/>
    </row>
    <row r="7" spans="2:20" x14ac:dyDescent="0.25">
      <c r="B7" s="119" t="s">
        <v>84</v>
      </c>
      <c r="C7" s="120">
        <f>EconomiaT47!C16+'A-P_T46'!C7</f>
        <v>2866885</v>
      </c>
      <c r="D7" s="202">
        <f>C7/$C$34</f>
        <v>0.13768446397561088</v>
      </c>
      <c r="E7" s="203" t="s">
        <v>118</v>
      </c>
      <c r="F7" s="204">
        <v>300000</v>
      </c>
      <c r="G7" s="121">
        <f ca="1">F7/$F$34</f>
        <v>1.4407741919429368E-2</v>
      </c>
      <c r="I7" s="397" t="s">
        <v>491</v>
      </c>
      <c r="J7" s="398" t="s">
        <v>637</v>
      </c>
      <c r="K7" s="397">
        <v>0</v>
      </c>
      <c r="L7" s="397">
        <v>0</v>
      </c>
      <c r="M7" s="397">
        <v>100000</v>
      </c>
      <c r="N7" s="397">
        <f>M7*0.05</f>
        <v>5000</v>
      </c>
      <c r="O7" s="399">
        <f t="shared" ref="O7" si="4">IF(M7=0,0,M7-K7)-N7</f>
        <v>95000</v>
      </c>
      <c r="P7" s="399">
        <f t="shared" ref="P7" si="5">IF(M7=0,K7,0)</f>
        <v>0</v>
      </c>
      <c r="Q7" s="400"/>
      <c r="R7" s="401"/>
      <c r="S7" s="401">
        <v>42235</v>
      </c>
      <c r="T7" s="402"/>
    </row>
    <row r="8" spans="2:20" x14ac:dyDescent="0.25">
      <c r="B8" s="119" t="s">
        <v>67</v>
      </c>
      <c r="C8" s="120">
        <f>'A-P_T46'!C8+'A-P_T46'!C9</f>
        <v>2068800</v>
      </c>
      <c r="D8" s="202">
        <f>C8/$C$34</f>
        <v>9.9355788276384915E-2</v>
      </c>
      <c r="E8" s="203" t="s">
        <v>261</v>
      </c>
      <c r="F8" s="204">
        <f>'A-P_T46'!F9+'A-P_T46'!F8</f>
        <v>7570713</v>
      </c>
      <c r="G8" s="121">
        <f ca="1">F8/$F$34</f>
        <v>0.36358959683356284</v>
      </c>
      <c r="I8" s="397" t="s">
        <v>491</v>
      </c>
      <c r="J8" s="398" t="s">
        <v>640</v>
      </c>
      <c r="K8" s="397">
        <v>0</v>
      </c>
      <c r="L8" s="397">
        <v>0</v>
      </c>
      <c r="M8" s="397">
        <v>2000</v>
      </c>
      <c r="N8" s="397">
        <f>M8*0.05</f>
        <v>100</v>
      </c>
      <c r="O8" s="399">
        <f t="shared" ref="O8" si="6">IF(M8=0,0,M8-K8)-N8</f>
        <v>1900</v>
      </c>
      <c r="P8" s="399">
        <f t="shared" ref="P8" si="7">IF(M8=0,K8,0)</f>
        <v>0</v>
      </c>
      <c r="Q8" s="400"/>
      <c r="R8" s="401"/>
      <c r="S8" s="401">
        <v>42265</v>
      </c>
      <c r="T8" s="402"/>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4">
        <v>8310</v>
      </c>
      <c r="N6" s="464">
        <v>461286</v>
      </c>
      <c r="O6" s="464">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8">
        <v>187500</v>
      </c>
      <c r="N7" s="559">
        <v>187965</v>
      </c>
      <c r="O7" s="559">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7">
        <v>0</v>
      </c>
      <c r="N8" s="464">
        <v>0</v>
      </c>
      <c r="O8" s="464">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7">
        <v>0</v>
      </c>
      <c r="N9" s="464">
        <v>0</v>
      </c>
      <c r="O9" s="464">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8">
        <v>0</v>
      </c>
      <c r="N10" s="559">
        <v>0</v>
      </c>
      <c r="O10" s="559">
        <v>0</v>
      </c>
      <c r="P10" s="70">
        <v>0</v>
      </c>
      <c r="Q10" s="72">
        <v>10000</v>
      </c>
      <c r="R10" s="72">
        <v>120</v>
      </c>
      <c r="S10" s="72">
        <v>0</v>
      </c>
      <c r="Y10" s="67" t="s">
        <v>76</v>
      </c>
      <c r="Z10" s="71">
        <f t="shared" si="4"/>
        <v>1.4744551340901927E-3</v>
      </c>
    </row>
    <row r="11" spans="1:26" x14ac:dyDescent="0.25">
      <c r="A11" s="710" t="s">
        <v>77</v>
      </c>
      <c r="B11" s="67" t="s">
        <v>78</v>
      </c>
      <c r="C11" s="68">
        <f t="shared" si="3"/>
        <v>84270</v>
      </c>
      <c r="D11" s="72">
        <v>120</v>
      </c>
      <c r="E11" s="72">
        <v>60</v>
      </c>
      <c r="F11" s="72">
        <v>90</v>
      </c>
      <c r="G11" s="72">
        <v>0</v>
      </c>
      <c r="H11" s="72">
        <v>0</v>
      </c>
      <c r="I11" s="72">
        <v>0</v>
      </c>
      <c r="J11" s="72">
        <v>120</v>
      </c>
      <c r="K11" s="72">
        <v>300</v>
      </c>
      <c r="L11" s="72">
        <v>60</v>
      </c>
      <c r="M11" s="559">
        <v>240</v>
      </c>
      <c r="N11" s="559">
        <v>300</v>
      </c>
      <c r="O11" s="559">
        <v>300</v>
      </c>
      <c r="P11" s="70">
        <v>60</v>
      </c>
      <c r="Q11" s="72">
        <v>0</v>
      </c>
      <c r="R11" s="72">
        <v>180</v>
      </c>
      <c r="S11" s="72">
        <v>82440</v>
      </c>
      <c r="Y11" s="67" t="s">
        <v>78</v>
      </c>
      <c r="Z11" s="71">
        <f t="shared" si="4"/>
        <v>1.1677850953926741E-2</v>
      </c>
    </row>
    <row r="12" spans="1:26" x14ac:dyDescent="0.25">
      <c r="A12" s="711"/>
      <c r="B12" s="67" t="s">
        <v>79</v>
      </c>
      <c r="C12" s="68">
        <f t="shared" si="3"/>
        <v>0</v>
      </c>
      <c r="D12" s="72">
        <v>0</v>
      </c>
      <c r="E12" s="72">
        <v>0</v>
      </c>
      <c r="F12" s="72">
        <v>0</v>
      </c>
      <c r="G12" s="72"/>
      <c r="H12" s="72">
        <v>0</v>
      </c>
      <c r="I12" s="72">
        <v>0</v>
      </c>
      <c r="J12" s="72">
        <v>0</v>
      </c>
      <c r="K12" s="72">
        <v>0</v>
      </c>
      <c r="L12" s="72"/>
      <c r="M12" s="458">
        <v>0</v>
      </c>
      <c r="N12" s="559">
        <v>0</v>
      </c>
      <c r="O12" s="559">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60">
        <v>82690</v>
      </c>
      <c r="N14" s="463">
        <v>82690</v>
      </c>
      <c r="O14" s="463">
        <v>83870</v>
      </c>
      <c r="P14" s="70">
        <f t="shared" si="7"/>
        <v>83870</v>
      </c>
      <c r="Q14" s="83">
        <f t="shared" si="7"/>
        <v>83870</v>
      </c>
      <c r="R14" s="83">
        <f t="shared" si="7"/>
        <v>83870</v>
      </c>
      <c r="S14" s="83">
        <v>85220</v>
      </c>
      <c r="Y14" s="712">
        <f>C13</f>
        <v>7216225</v>
      </c>
      <c r="Z14" s="713"/>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3">
        <f t="shared" si="8"/>
        <v>35776</v>
      </c>
      <c r="N15" s="463">
        <f t="shared" si="8"/>
        <v>35776</v>
      </c>
      <c r="O15" s="463">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3">
        <f t="shared" si="9"/>
        <v>0</v>
      </c>
      <c r="N16" s="463">
        <f t="shared" si="9"/>
        <v>0</v>
      </c>
      <c r="O16" s="463">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3">
        <f t="shared" si="9"/>
        <v>65280.000000000007</v>
      </c>
      <c r="N17" s="463">
        <f t="shared" si="9"/>
        <v>65280.000000000007</v>
      </c>
      <c r="O17" s="463">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3">
        <f t="shared" si="9"/>
        <v>20000</v>
      </c>
      <c r="N18" s="463">
        <f t="shared" si="9"/>
        <v>20000</v>
      </c>
      <c r="O18" s="463">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60">
        <f t="shared" si="9"/>
        <v>0</v>
      </c>
      <c r="N19" s="463">
        <f t="shared" si="9"/>
        <v>0</v>
      </c>
      <c r="O19" s="463">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60">
        <f t="shared" si="9"/>
        <v>0</v>
      </c>
      <c r="N20" s="463">
        <f t="shared" si="9"/>
        <v>0</v>
      </c>
      <c r="O20" s="463">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60">
        <f t="shared" si="9"/>
        <v>2000</v>
      </c>
      <c r="N21" s="463">
        <v>6000</v>
      </c>
      <c r="O21" s="463">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60">
        <f t="shared" si="9"/>
        <v>0</v>
      </c>
      <c r="N22" s="463">
        <f t="shared" si="9"/>
        <v>0</v>
      </c>
      <c r="O22" s="463">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4" t="s">
        <v>93</v>
      </c>
      <c r="B26" s="714"/>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05" t="s">
        <v>94</v>
      </c>
      <c r="B27" s="705"/>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06" t="s">
        <v>95</v>
      </c>
      <c r="B28" s="706"/>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4" t="s">
        <v>96</v>
      </c>
      <c r="B29" s="714"/>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05" t="s">
        <v>97</v>
      </c>
      <c r="B30" s="705"/>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06" t="s">
        <v>98</v>
      </c>
      <c r="B31" s="706"/>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5"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7">
        <f>C23</f>
        <v>5755973</v>
      </c>
      <c r="Z34" s="708"/>
    </row>
    <row r="35" spans="1:26" x14ac:dyDescent="0.25">
      <c r="A35" s="57"/>
      <c r="B35" s="715"/>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5"/>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5"/>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5"/>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5"/>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5"/>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5"/>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5"/>
      <c r="G43" s="709"/>
      <c r="H43" s="709"/>
      <c r="I43" s="709"/>
      <c r="J43" s="709"/>
    </row>
    <row r="44" spans="1:26" x14ac:dyDescent="0.25">
      <c r="C44" s="4" t="s">
        <v>485</v>
      </c>
      <c r="D44" s="9">
        <v>85845</v>
      </c>
      <c r="E44" s="341">
        <v>92875</v>
      </c>
      <c r="F44" s="246">
        <v>97870</v>
      </c>
      <c r="G44" s="466">
        <v>101200</v>
      </c>
      <c r="H44" s="466">
        <v>103420</v>
      </c>
      <c r="I44" s="466">
        <v>104900</v>
      </c>
      <c r="J44" s="466">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04"/>
      <c r="H48" s="704"/>
      <c r="I48" s="704"/>
      <c r="J48" s="704"/>
      <c r="M48" s="383"/>
    </row>
    <row r="49" spans="5:16" x14ac:dyDescent="0.25">
      <c r="E49" s="106"/>
      <c r="G49" s="466"/>
      <c r="H49" s="466"/>
      <c r="I49" s="466"/>
      <c r="J49" s="466"/>
    </row>
    <row r="50" spans="5:16" x14ac:dyDescent="0.25">
      <c r="G50" s="704"/>
      <c r="H50" s="704"/>
      <c r="I50" s="704"/>
      <c r="J50" s="704"/>
      <c r="P50" s="383"/>
    </row>
    <row r="51" spans="5:16" ht="15" customHeight="1" x14ac:dyDescent="0.25">
      <c r="G51" s="704"/>
      <c r="H51" s="704"/>
      <c r="I51" s="704"/>
      <c r="J51" s="105"/>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6" t="s">
        <v>654</v>
      </c>
      <c r="C2" s="717"/>
      <c r="D2" s="717"/>
      <c r="E2" s="717"/>
      <c r="F2" s="717"/>
      <c r="G2" s="718"/>
      <c r="I2" s="727" t="s">
        <v>655</v>
      </c>
      <c r="J2" s="728"/>
      <c r="K2" s="728"/>
      <c r="L2" s="728"/>
      <c r="M2" s="728"/>
      <c r="N2" s="728"/>
      <c r="O2" s="728"/>
      <c r="P2" s="728"/>
      <c r="Q2" s="728"/>
      <c r="R2" s="728"/>
      <c r="S2" s="729"/>
    </row>
    <row r="3" spans="2:19" x14ac:dyDescent="0.25">
      <c r="B3" s="720" t="s">
        <v>102</v>
      </c>
      <c r="C3" s="721"/>
      <c r="D3" s="721"/>
      <c r="E3" s="721"/>
      <c r="F3" s="721"/>
      <c r="G3" s="722"/>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30" t="s">
        <v>113</v>
      </c>
      <c r="C4" s="731"/>
      <c r="D4" s="109"/>
      <c r="E4" s="732" t="s">
        <v>114</v>
      </c>
      <c r="F4" s="733"/>
      <c r="G4" s="109"/>
      <c r="I4" s="397" t="s">
        <v>115</v>
      </c>
      <c r="J4" s="398" t="s">
        <v>539</v>
      </c>
      <c r="K4" s="397">
        <f>1052640+300</f>
        <v>1052940</v>
      </c>
      <c r="L4" s="397">
        <v>0</v>
      </c>
      <c r="M4" s="397">
        <v>0</v>
      </c>
      <c r="N4" s="397">
        <v>0</v>
      </c>
      <c r="O4" s="399">
        <v>-1052940</v>
      </c>
      <c r="P4" s="399">
        <v>0</v>
      </c>
      <c r="Q4" s="400"/>
      <c r="R4" s="401"/>
      <c r="S4" s="401">
        <v>42305</v>
      </c>
    </row>
    <row r="5" spans="2:19" x14ac:dyDescent="0.25">
      <c r="B5" s="113"/>
      <c r="C5" s="114"/>
      <c r="D5" s="201"/>
      <c r="E5" s="113"/>
      <c r="F5" s="114"/>
      <c r="G5" s="115"/>
      <c r="I5" s="397" t="s">
        <v>491</v>
      </c>
      <c r="J5" s="398" t="s">
        <v>708</v>
      </c>
      <c r="K5" s="397">
        <v>0</v>
      </c>
      <c r="L5" s="397">
        <v>0</v>
      </c>
      <c r="M5" s="397">
        <v>500000</v>
      </c>
      <c r="N5" s="397">
        <f>M5*0.05</f>
        <v>25000</v>
      </c>
      <c r="O5" s="399">
        <f t="shared" ref="O5" si="0">IF(M5=0,0,M5-K5)-N5</f>
        <v>475000</v>
      </c>
      <c r="P5" s="399">
        <f t="shared" ref="P5" si="1">IF(M5=0,K5,0)</f>
        <v>0</v>
      </c>
      <c r="Q5" s="400"/>
      <c r="R5" s="401"/>
      <c r="S5" s="401">
        <v>42322</v>
      </c>
    </row>
    <row r="6" spans="2:19" x14ac:dyDescent="0.25">
      <c r="B6" s="116" t="s">
        <v>116</v>
      </c>
      <c r="C6" s="117">
        <f>SUM(C7:C9)</f>
        <v>4926685</v>
      </c>
      <c r="D6" s="140">
        <f>C6/C30</f>
        <v>0.24548592411094017</v>
      </c>
      <c r="E6" s="116" t="s">
        <v>117</v>
      </c>
      <c r="F6" s="117">
        <f ca="1">F7+F8+F9</f>
        <v>13914829.014755197</v>
      </c>
      <c r="G6" s="118">
        <f ca="1">F6/$F$30</f>
        <v>0.69334545633278821</v>
      </c>
      <c r="I6" s="397" t="s">
        <v>491</v>
      </c>
      <c r="J6" s="398" t="s">
        <v>548</v>
      </c>
      <c r="K6" s="397">
        <v>0</v>
      </c>
      <c r="L6" s="397">
        <v>0</v>
      </c>
      <c r="M6" s="397">
        <v>1000</v>
      </c>
      <c r="N6" s="397">
        <f>M6*0.05</f>
        <v>50</v>
      </c>
      <c r="O6" s="399">
        <f t="shared" ref="O6" si="2">IF(M6=0,0,M6-K6)-N6</f>
        <v>950</v>
      </c>
      <c r="P6" s="399">
        <f t="shared" ref="P6" si="3">IF(M6=0,K6,0)</f>
        <v>0</v>
      </c>
      <c r="Q6" s="400"/>
      <c r="R6" s="401"/>
      <c r="S6" s="401">
        <v>42330</v>
      </c>
    </row>
    <row r="7" spans="2:19" x14ac:dyDescent="0.25">
      <c r="B7" s="119" t="s">
        <v>84</v>
      </c>
      <c r="C7" s="120">
        <f>'A-P_T47'!C7+EconomiaT48!C16</f>
        <v>2866885</v>
      </c>
      <c r="D7" s="202">
        <f>C7/C30</f>
        <v>0.14285060107248437</v>
      </c>
      <c r="E7" s="203" t="s">
        <v>118</v>
      </c>
      <c r="F7" s="204">
        <v>300000</v>
      </c>
      <c r="G7" s="121">
        <f ca="1">F7/$F$30</f>
        <v>1.4948343000066384E-2</v>
      </c>
      <c r="I7" s="397" t="s">
        <v>491</v>
      </c>
      <c r="J7" s="398" t="s">
        <v>769</v>
      </c>
      <c r="K7" s="397">
        <v>0</v>
      </c>
      <c r="L7" s="397">
        <v>0</v>
      </c>
      <c r="M7" s="397">
        <v>1000</v>
      </c>
      <c r="N7" s="397">
        <f>M7*0.05</f>
        <v>50</v>
      </c>
      <c r="O7" s="399">
        <f t="shared" ref="O7" si="4">IF(M7=0,0,M7-K7)-N7</f>
        <v>950</v>
      </c>
      <c r="P7" s="399">
        <f t="shared" ref="P7" si="5">IF(M7=0,K7,0)</f>
        <v>0</v>
      </c>
      <c r="Q7" s="400"/>
      <c r="R7" s="401"/>
      <c r="S7" s="401">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1"/>
      <c r="J8" s="471"/>
      <c r="K8" s="471"/>
      <c r="L8" s="471"/>
      <c r="M8" s="471"/>
      <c r="N8" s="471"/>
      <c r="O8" s="471"/>
      <c r="P8" s="471"/>
      <c r="Q8" s="471"/>
      <c r="R8" s="471"/>
      <c r="S8" s="471"/>
    </row>
    <row r="9" spans="2:19" x14ac:dyDescent="0.25">
      <c r="B9" s="122" t="s">
        <v>119</v>
      </c>
      <c r="C9" s="123">
        <v>-2068800</v>
      </c>
      <c r="D9" s="202">
        <f>C9/C30</f>
        <v>-0.10308377332845778</v>
      </c>
      <c r="E9" s="203" t="s">
        <v>656</v>
      </c>
      <c r="F9" s="204">
        <f ca="1">'A-P_T47'!F11-EconomiaT47!C24+EconomiaT47!C5</f>
        <v>2985317.643589247</v>
      </c>
      <c r="G9" s="121">
        <f ca="1">F9/$F$30</f>
        <v>0.1487518403350733</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0</v>
      </c>
      <c r="D11" s="140">
        <f>C11/C30</f>
        <v>0</v>
      </c>
      <c r="E11" s="116" t="s">
        <v>657</v>
      </c>
      <c r="F11" s="117">
        <f>SUM(F12:F17)+C9</f>
        <v>2458112</v>
      </c>
      <c r="G11" s="118">
        <f t="shared" ref="G11:G17" ca="1" si="6">F11/$F$30</f>
        <v>0.12248233769526393</v>
      </c>
      <c r="I11" s="471"/>
      <c r="J11" s="471"/>
      <c r="K11" s="471"/>
      <c r="L11" s="471"/>
      <c r="M11" s="471"/>
      <c r="N11" s="471"/>
      <c r="O11" s="471"/>
      <c r="P11" s="471"/>
      <c r="Q11" s="471"/>
      <c r="R11" s="471"/>
      <c r="S11" s="471"/>
    </row>
    <row r="12" spans="2:19" x14ac:dyDescent="0.25">
      <c r="B12" s="129" t="s">
        <v>121</v>
      </c>
      <c r="C12" s="130">
        <f>SUMIF(I4:I516,"S",$P$4:$P$516)</f>
        <v>0</v>
      </c>
      <c r="D12" s="202">
        <f>C12/C30</f>
        <v>0</v>
      </c>
      <c r="E12" s="49" t="s">
        <v>122</v>
      </c>
      <c r="F12" s="131">
        <f>SUMIF(I4:I516,"J",$O$4:$O$516)</f>
        <v>-1052940</v>
      </c>
      <c r="G12" s="121">
        <f t="shared" ca="1" si="6"/>
        <v>-5.2465694261632993E-2</v>
      </c>
      <c r="I12" s="471"/>
      <c r="J12" s="471"/>
      <c r="K12" s="471"/>
      <c r="L12" s="471"/>
      <c r="M12" s="471"/>
      <c r="N12" s="471"/>
      <c r="O12" s="471"/>
      <c r="P12" s="471"/>
      <c r="Q12" s="471"/>
      <c r="R12" s="471"/>
      <c r="S12" s="471"/>
    </row>
    <row r="13" spans="2:19" x14ac:dyDescent="0.25">
      <c r="B13" s="129" t="s">
        <v>100</v>
      </c>
      <c r="C13" s="130">
        <f>SUMIF(I4:I516,"J",$P$4:$P$516)</f>
        <v>0</v>
      </c>
      <c r="D13" s="202">
        <f>C13/C30</f>
        <v>0</v>
      </c>
      <c r="E13" s="49" t="s">
        <v>123</v>
      </c>
      <c r="F13" s="131">
        <f>SUMIF(I4:I516,"S",$O$4:$O$516)</f>
        <v>0</v>
      </c>
      <c r="G13" s="121">
        <f t="shared" ca="1" si="6"/>
        <v>0</v>
      </c>
      <c r="I13" s="471"/>
      <c r="J13" s="471"/>
      <c r="K13" s="471"/>
      <c r="L13" s="471"/>
      <c r="M13" s="471"/>
      <c r="N13" s="471"/>
      <c r="O13" s="471"/>
      <c r="P13" s="471"/>
      <c r="Q13" s="471"/>
      <c r="R13" s="471"/>
      <c r="S13" s="471"/>
    </row>
    <row r="14" spans="2:19" x14ac:dyDescent="0.25">
      <c r="B14" s="129" t="s">
        <v>99</v>
      </c>
      <c r="C14" s="130">
        <f>SUMIF(I4:I516,"E",$P$4:$P$516)</f>
        <v>0</v>
      </c>
      <c r="D14" s="202">
        <f>C14/C30</f>
        <v>0</v>
      </c>
      <c r="E14" s="49" t="s">
        <v>124</v>
      </c>
      <c r="F14" s="131">
        <f>SUMIF(I4:I516,"C",$O$4:$O$516)</f>
        <v>476900</v>
      </c>
      <c r="G14" s="121">
        <f t="shared" ca="1" si="6"/>
        <v>2.3762882589105527E-2</v>
      </c>
      <c r="I14" s="471"/>
      <c r="J14" s="471"/>
      <c r="K14" s="471"/>
      <c r="L14" s="471"/>
      <c r="M14" s="471"/>
      <c r="N14" s="471"/>
      <c r="O14" s="471"/>
      <c r="P14" s="471"/>
      <c r="Q14" s="471"/>
      <c r="R14" s="471"/>
      <c r="S14" s="471"/>
    </row>
    <row r="15" spans="2:19" x14ac:dyDescent="0.25">
      <c r="B15" s="129" t="s">
        <v>125</v>
      </c>
      <c r="C15" s="130">
        <f>SUMIF(I4:I516,"M",$P$4:$P$516)</f>
        <v>0</v>
      </c>
      <c r="D15" s="202">
        <f>C15/C30</f>
        <v>0</v>
      </c>
      <c r="E15" s="49" t="s">
        <v>126</v>
      </c>
      <c r="F15" s="131">
        <f>SUMIF(I4:I516,"E",$O$4:$O$516)</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SUMIF(I4:I516,"M",$O$4:$O$516)</f>
        <v>0</v>
      </c>
      <c r="G16" s="121">
        <f t="shared" ca="1" si="6"/>
        <v>0</v>
      </c>
      <c r="I16" s="471"/>
      <c r="J16" s="471"/>
      <c r="K16" s="471"/>
      <c r="L16" s="471"/>
      <c r="M16" s="471"/>
      <c r="N16" s="471"/>
      <c r="O16" s="471"/>
      <c r="P16" s="471"/>
      <c r="Q16" s="471"/>
      <c r="R16" s="471"/>
      <c r="S16" s="471"/>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9"/>
      <c r="G22" s="470"/>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2" t="s">
        <v>90</v>
      </c>
      <c r="F29" s="473">
        <f>EconomiaT48!C22</f>
        <v>0</v>
      </c>
      <c r="G29" s="474">
        <f t="shared" ca="1" si="7"/>
        <v>0</v>
      </c>
    </row>
    <row r="30" spans="2:11" ht="18.75" x14ac:dyDescent="0.3">
      <c r="B30" s="146" t="s">
        <v>27</v>
      </c>
      <c r="C30" s="147">
        <f>C23+C21+C17+C11+C6</f>
        <v>20069114.014755197</v>
      </c>
      <c r="D30" s="475">
        <f>C30/C30</f>
        <v>1</v>
      </c>
      <c r="E30" s="146" t="s">
        <v>27</v>
      </c>
      <c r="F30" s="147">
        <f ca="1">F23+F19+F11+F6</f>
        <v>20069114.014755197</v>
      </c>
      <c r="G30" s="145">
        <f ca="1">F30/$F$30</f>
        <v>1</v>
      </c>
      <c r="J30" s="106"/>
    </row>
    <row r="31" spans="2:11" x14ac:dyDescent="0.25">
      <c r="C31" s="106"/>
      <c r="D31" s="476"/>
      <c r="E31" s="477" t="s">
        <v>604</v>
      </c>
      <c r="F31" s="478">
        <f ca="1">F30-C30</f>
        <v>0</v>
      </c>
      <c r="G31" s="106"/>
    </row>
    <row r="32" spans="2:11" x14ac:dyDescent="0.25">
      <c r="C32" s="106"/>
      <c r="D32" s="106"/>
      <c r="F32" s="106"/>
      <c r="G32" s="106"/>
      <c r="H32" s="106"/>
    </row>
    <row r="33" spans="2:7" ht="15.75" x14ac:dyDescent="0.25">
      <c r="B33" s="479" t="s">
        <v>660</v>
      </c>
      <c r="C33" s="480">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4">
        <v>21921</v>
      </c>
      <c r="N6" s="464">
        <v>633023</v>
      </c>
      <c r="O6" s="464">
        <v>19414</v>
      </c>
      <c r="P6" s="464">
        <f>609647+15477</f>
        <v>625124</v>
      </c>
      <c r="Q6" s="464">
        <v>18667</v>
      </c>
      <c r="R6" s="464">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9">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7">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7">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8">
        <v>0</v>
      </c>
      <c r="N10" s="72">
        <v>0</v>
      </c>
      <c r="O10" s="72">
        <v>0</v>
      </c>
      <c r="P10" s="72">
        <v>0</v>
      </c>
      <c r="Q10" s="72">
        <v>39020</v>
      </c>
      <c r="R10" s="72">
        <v>0</v>
      </c>
      <c r="S10" s="70">
        <v>0</v>
      </c>
      <c r="Y10" s="67" t="s">
        <v>76</v>
      </c>
      <c r="Z10" s="71">
        <f t="shared" si="4"/>
        <v>1.2443392560305147E-2</v>
      </c>
    </row>
    <row r="11" spans="1:26" x14ac:dyDescent="0.25">
      <c r="A11" s="710" t="s">
        <v>77</v>
      </c>
      <c r="B11" s="67" t="s">
        <v>78</v>
      </c>
      <c r="C11" s="68">
        <f t="shared" si="3"/>
        <v>88230</v>
      </c>
      <c r="D11" s="72">
        <v>210</v>
      </c>
      <c r="E11" s="72">
        <v>300</v>
      </c>
      <c r="F11" s="72">
        <v>300</v>
      </c>
      <c r="G11" s="72">
        <v>270</v>
      </c>
      <c r="H11" s="72">
        <v>240</v>
      </c>
      <c r="I11" s="72">
        <v>120</v>
      </c>
      <c r="J11" s="72">
        <v>0</v>
      </c>
      <c r="K11" s="72">
        <v>60</v>
      </c>
      <c r="L11" s="72">
        <v>120</v>
      </c>
      <c r="M11" s="559">
        <v>120</v>
      </c>
      <c r="N11" s="72">
        <v>240</v>
      </c>
      <c r="O11" s="72">
        <v>240</v>
      </c>
      <c r="P11" s="72">
        <v>240</v>
      </c>
      <c r="Q11" s="72">
        <v>60</v>
      </c>
      <c r="R11" s="72">
        <v>240</v>
      </c>
      <c r="S11" s="70">
        <f>85230+240</f>
        <v>85470</v>
      </c>
      <c r="Y11" s="67" t="s">
        <v>78</v>
      </c>
      <c r="Z11" s="71">
        <f t="shared" si="4"/>
        <v>9.1067339565161966E-3</v>
      </c>
    </row>
    <row r="12" spans="1:26" x14ac:dyDescent="0.25">
      <c r="A12" s="711"/>
      <c r="B12" s="67" t="s">
        <v>79</v>
      </c>
      <c r="C12" s="68">
        <f t="shared" si="3"/>
        <v>1105000</v>
      </c>
      <c r="D12" s="72">
        <v>0</v>
      </c>
      <c r="E12" s="72">
        <v>0</v>
      </c>
      <c r="F12" s="72">
        <v>0</v>
      </c>
      <c r="G12" s="72">
        <v>0</v>
      </c>
      <c r="H12" s="72">
        <v>0</v>
      </c>
      <c r="I12" s="72">
        <v>0</v>
      </c>
      <c r="J12" s="72">
        <v>180000</v>
      </c>
      <c r="K12" s="72">
        <v>0</v>
      </c>
      <c r="L12" s="72">
        <v>0</v>
      </c>
      <c r="M12" s="458">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3">
        <v>147606</v>
      </c>
      <c r="N14" s="83">
        <v>147606</v>
      </c>
      <c r="O14" s="83">
        <v>147886</v>
      </c>
      <c r="P14" s="83">
        <f t="shared" ref="M14:S15" si="7">O14</f>
        <v>147886</v>
      </c>
      <c r="Q14" s="83">
        <v>148566</v>
      </c>
      <c r="R14" s="83">
        <v>150696</v>
      </c>
      <c r="S14" s="70">
        <v>153622</v>
      </c>
      <c r="Y14" s="712">
        <f>C13</f>
        <v>9688435</v>
      </c>
      <c r="Z14" s="713"/>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3">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3">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3">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3">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3">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3">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3">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4" t="s">
        <v>93</v>
      </c>
      <c r="B26" s="714"/>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05" t="s">
        <v>94</v>
      </c>
      <c r="B27" s="705"/>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06" t="s">
        <v>95</v>
      </c>
      <c r="B28" s="706"/>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4" t="s">
        <v>96</v>
      </c>
      <c r="B29" s="714"/>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05" t="s">
        <v>97</v>
      </c>
      <c r="B30" s="705"/>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06" t="s">
        <v>98</v>
      </c>
      <c r="B31" s="706"/>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5"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7">
        <f>C23</f>
        <v>16032490</v>
      </c>
      <c r="Z34" s="708"/>
    </row>
    <row r="35" spans="1:26" x14ac:dyDescent="0.25">
      <c r="A35" s="57"/>
      <c r="B35" s="715"/>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5"/>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5"/>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5"/>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792</v>
      </c>
    </row>
    <row r="39" spans="1:26" x14ac:dyDescent="0.25">
      <c r="A39" s="57"/>
      <c r="B39" s="715"/>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5"/>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5"/>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60"/>
      <c r="G43" s="709"/>
      <c r="H43" s="709"/>
      <c r="I43" s="709"/>
      <c r="J43" s="709"/>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4"/>
      <c r="H46" s="704"/>
      <c r="I46" s="704"/>
      <c r="J46" s="704"/>
      <c r="M46" s="383"/>
    </row>
    <row r="47" spans="1:26" x14ac:dyDescent="0.25">
      <c r="E47" s="106"/>
      <c r="G47" s="561"/>
      <c r="H47" s="561"/>
      <c r="I47" s="561"/>
      <c r="J47" s="561"/>
    </row>
    <row r="48" spans="1:26" x14ac:dyDescent="0.25">
      <c r="G48" s="704"/>
      <c r="H48" s="704"/>
      <c r="I48" s="704"/>
      <c r="J48" s="704"/>
      <c r="P48" s="383"/>
    </row>
    <row r="49" spans="7:10" ht="15" customHeight="1" x14ac:dyDescent="0.25">
      <c r="G49" s="704"/>
      <c r="H49" s="704"/>
      <c r="I49" s="704"/>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6" t="s">
        <v>770</v>
      </c>
      <c r="C2" s="717"/>
      <c r="D2" s="717"/>
      <c r="E2" s="717"/>
      <c r="F2" s="717"/>
      <c r="G2" s="718"/>
      <c r="I2" s="727" t="s">
        <v>771</v>
      </c>
      <c r="J2" s="728"/>
      <c r="K2" s="728"/>
      <c r="L2" s="728"/>
      <c r="M2" s="728"/>
      <c r="N2" s="728"/>
      <c r="O2" s="728"/>
      <c r="P2" s="728"/>
      <c r="Q2" s="728"/>
      <c r="R2" s="728"/>
      <c r="S2" s="729"/>
    </row>
    <row r="3" spans="2:19" x14ac:dyDescent="0.25">
      <c r="B3" s="720" t="s">
        <v>102</v>
      </c>
      <c r="C3" s="721"/>
      <c r="D3" s="721"/>
      <c r="E3" s="721"/>
      <c r="F3" s="721"/>
      <c r="G3" s="722"/>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30" t="s">
        <v>113</v>
      </c>
      <c r="C4" s="731"/>
      <c r="D4" s="109"/>
      <c r="E4" s="732" t="s">
        <v>114</v>
      </c>
      <c r="F4" s="733"/>
      <c r="G4" s="109"/>
      <c r="I4" s="397" t="s">
        <v>491</v>
      </c>
      <c r="J4" s="398" t="s">
        <v>786</v>
      </c>
      <c r="K4" s="397">
        <v>0</v>
      </c>
      <c r="L4" s="397">
        <v>0</v>
      </c>
      <c r="M4" s="397">
        <v>71400</v>
      </c>
      <c r="N4" s="397">
        <f>M4*0.05</f>
        <v>3570</v>
      </c>
      <c r="O4" s="399">
        <f t="shared" ref="O4" si="0">IF(M4=0,0,M4-K4)-N4</f>
        <v>67830</v>
      </c>
      <c r="P4" s="399">
        <f t="shared" ref="P4" si="1">IF(M4=0,K4,0)</f>
        <v>0</v>
      </c>
      <c r="Q4" s="400"/>
      <c r="R4" s="401"/>
      <c r="S4" s="401">
        <v>42467</v>
      </c>
    </row>
    <row r="5" spans="2:19" x14ac:dyDescent="0.25">
      <c r="B5" s="113"/>
      <c r="C5" s="114"/>
      <c r="D5" s="201"/>
      <c r="E5" s="113"/>
      <c r="F5" s="114"/>
      <c r="G5" s="115"/>
      <c r="I5" s="397" t="s">
        <v>491</v>
      </c>
      <c r="J5" s="398" t="s">
        <v>787</v>
      </c>
      <c r="K5" s="397">
        <v>0</v>
      </c>
      <c r="L5" s="397">
        <v>0</v>
      </c>
      <c r="M5" s="397">
        <v>13001</v>
      </c>
      <c r="N5" s="397">
        <v>650</v>
      </c>
      <c r="O5" s="399">
        <f t="shared" ref="O5" si="2">IF(M5=0,0,M5-K5)-N5</f>
        <v>12351</v>
      </c>
      <c r="P5" s="399">
        <f t="shared" ref="P5" si="3">IF(M5=0,K5,0)</f>
        <v>0</v>
      </c>
      <c r="Q5" s="400"/>
      <c r="R5" s="401"/>
      <c r="S5" s="401">
        <v>42471</v>
      </c>
    </row>
    <row r="6" spans="2:19" x14ac:dyDescent="0.25">
      <c r="B6" s="116" t="s">
        <v>116</v>
      </c>
      <c r="C6" s="117">
        <f>SUM(C7:C9)</f>
        <v>5301170</v>
      </c>
      <c r="D6" s="140">
        <f>C6/C34</f>
        <v>0.14788584142163574</v>
      </c>
      <c r="E6" s="116" t="s">
        <v>117</v>
      </c>
      <c r="F6" s="117">
        <f ca="1">F7+F8+F9</f>
        <v>14313141.014755197</v>
      </c>
      <c r="G6" s="118">
        <f ca="1">F6/$F$34</f>
        <v>0.39929127010708909</v>
      </c>
      <c r="I6" s="569" t="s">
        <v>115</v>
      </c>
      <c r="J6" s="110" t="s">
        <v>783</v>
      </c>
      <c r="K6" s="569">
        <v>11662680</v>
      </c>
      <c r="L6" s="569">
        <v>53436</v>
      </c>
      <c r="M6" s="569">
        <v>0</v>
      </c>
      <c r="N6" s="569">
        <v>0</v>
      </c>
      <c r="O6" s="111">
        <f t="shared" ref="O6" si="4">IF(M6=0,0,M6-K6)-N6</f>
        <v>0</v>
      </c>
      <c r="P6" s="111">
        <f t="shared" ref="P6" si="5">IF(M6=0,K6,0)</f>
        <v>11662680</v>
      </c>
      <c r="Q6" s="570"/>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1"/>
      <c r="J7" s="471"/>
      <c r="K7" s="471"/>
      <c r="L7" s="471"/>
      <c r="M7" s="471"/>
      <c r="N7" s="471"/>
      <c r="O7" s="471"/>
      <c r="P7" s="471"/>
      <c r="Q7" s="471"/>
      <c r="R7" s="471"/>
      <c r="S7" s="471"/>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1"/>
      <c r="J8" s="471"/>
      <c r="K8" s="471"/>
      <c r="L8" s="471"/>
      <c r="M8" s="471"/>
      <c r="N8" s="471"/>
      <c r="O8" s="471"/>
      <c r="P8" s="471"/>
      <c r="Q8" s="471"/>
      <c r="R8" s="471"/>
      <c r="S8" s="471"/>
    </row>
    <row r="9" spans="2:19" x14ac:dyDescent="0.25">
      <c r="B9" s="122" t="s">
        <v>119</v>
      </c>
      <c r="C9" s="123">
        <v>0</v>
      </c>
      <c r="D9" s="202">
        <f>C9/C34</f>
        <v>0</v>
      </c>
      <c r="E9" s="203" t="s">
        <v>772</v>
      </c>
      <c r="F9" s="204">
        <f>'A-P_T48'!F11-2059800</f>
        <v>398312</v>
      </c>
      <c r="G9" s="121">
        <f ca="1">F9/$F$34</f>
        <v>1.1111642386177878E-2</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1"/>
      <c r="J11" s="471"/>
      <c r="K11" s="471"/>
      <c r="L11" s="471"/>
      <c r="M11" s="471"/>
      <c r="N11" s="471"/>
      <c r="O11" s="471"/>
      <c r="P11" s="471"/>
      <c r="Q11" s="471"/>
      <c r="R11" s="471"/>
      <c r="S11" s="471"/>
    </row>
    <row r="12" spans="2:19" x14ac:dyDescent="0.25">
      <c r="B12" s="129" t="s">
        <v>121</v>
      </c>
      <c r="C12" s="130">
        <f>SUMIF(I4:I520,"S",$P$4:$P$520)</f>
        <v>0</v>
      </c>
      <c r="D12" s="202">
        <f>C12/C34</f>
        <v>0</v>
      </c>
      <c r="E12" s="49" t="s">
        <v>122</v>
      </c>
      <c r="F12" s="131">
        <f>SUMIF(I4:I520,"J",$O$4:$O$520)</f>
        <v>0</v>
      </c>
      <c r="G12" s="121">
        <f t="shared" ca="1" si="6"/>
        <v>0</v>
      </c>
      <c r="I12" s="471"/>
      <c r="J12" s="471"/>
      <c r="K12" s="471"/>
      <c r="L12" s="471"/>
      <c r="M12" s="471"/>
      <c r="N12" s="471"/>
      <c r="O12" s="471"/>
      <c r="P12" s="471"/>
      <c r="Q12" s="471"/>
      <c r="R12" s="471"/>
      <c r="S12" s="471"/>
    </row>
    <row r="13" spans="2:19" x14ac:dyDescent="0.25">
      <c r="B13" s="129" t="s">
        <v>100</v>
      </c>
      <c r="C13" s="130">
        <f>SUMIF(I4:I520,"J",$P$4:$P$520)</f>
        <v>11662680</v>
      </c>
      <c r="D13" s="202">
        <f>C13/C34</f>
        <v>0.32535180819164122</v>
      </c>
      <c r="E13" s="49" t="s">
        <v>123</v>
      </c>
      <c r="F13" s="131">
        <f>SUMIF(I4:I520,"S",$O$4:$O$520)</f>
        <v>0</v>
      </c>
      <c r="G13" s="121">
        <f t="shared" ca="1" si="6"/>
        <v>0</v>
      </c>
      <c r="I13" s="471"/>
      <c r="J13" s="471"/>
      <c r="K13" s="471"/>
      <c r="L13" s="471"/>
      <c r="M13" s="471"/>
      <c r="N13" s="471"/>
      <c r="O13" s="471"/>
      <c r="P13" s="471"/>
      <c r="Q13" s="471"/>
      <c r="R13" s="471"/>
      <c r="S13" s="471"/>
    </row>
    <row r="14" spans="2:19" x14ac:dyDescent="0.25">
      <c r="B14" s="129" t="s">
        <v>99</v>
      </c>
      <c r="C14" s="130">
        <f>SUMIF(I4:I520,"E",$P$4:$P$520)</f>
        <v>0</v>
      </c>
      <c r="D14" s="202">
        <f>C14/C34</f>
        <v>0</v>
      </c>
      <c r="E14" s="49" t="s">
        <v>124</v>
      </c>
      <c r="F14" s="131">
        <f>SUMIF(I4:I520,"C",$O$4:$O$520)</f>
        <v>80181</v>
      </c>
      <c r="G14" s="121">
        <f t="shared" ca="1" si="6"/>
        <v>2.236795773579828E-3</v>
      </c>
      <c r="I14" s="471"/>
      <c r="J14" s="471"/>
      <c r="K14" s="471"/>
      <c r="L14" s="471"/>
      <c r="M14" s="471"/>
      <c r="N14" s="471"/>
      <c r="O14" s="471"/>
      <c r="P14" s="471"/>
      <c r="Q14" s="471"/>
      <c r="R14" s="471"/>
      <c r="S14" s="471"/>
    </row>
    <row r="15" spans="2:19" x14ac:dyDescent="0.25">
      <c r="B15" s="129" t="s">
        <v>125</v>
      </c>
      <c r="C15" s="130">
        <f>SUMIF(I4:I520,"M",$P$4:$P$520)</f>
        <v>0</v>
      </c>
      <c r="D15" s="202">
        <f>C15/C34</f>
        <v>0</v>
      </c>
      <c r="E15" s="49" t="s">
        <v>126</v>
      </c>
      <c r="F15" s="131">
        <f>SUMIF(I4:I520,"E",$O$4:$O$520)</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SUMIF(I4:I520,"M",$O$4:$O$520)</f>
        <v>0</v>
      </c>
      <c r="G16" s="121">
        <f t="shared" ca="1" si="6"/>
        <v>0</v>
      </c>
      <c r="I16" s="471"/>
      <c r="J16" s="471"/>
      <c r="K16" s="471"/>
      <c r="L16" s="471"/>
      <c r="M16" s="471"/>
      <c r="N16" s="471"/>
      <c r="O16" s="471"/>
      <c r="P16" s="471"/>
      <c r="Q16" s="471"/>
      <c r="R16" s="471"/>
      <c r="S16" s="471"/>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9"/>
      <c r="G22" s="470"/>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1"/>
      <c r="C26" s="572"/>
      <c r="D26" s="573"/>
      <c r="E26" s="574"/>
      <c r="F26" s="575"/>
      <c r="G26" s="576"/>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2" t="s">
        <v>90</v>
      </c>
      <c r="F33" s="473">
        <f>EconomiaT49!C22</f>
        <v>0</v>
      </c>
      <c r="G33" s="474">
        <f t="shared" ca="1" si="7"/>
        <v>0</v>
      </c>
    </row>
    <row r="34" spans="2:10" ht="18.75" x14ac:dyDescent="0.3">
      <c r="B34" s="146" t="s">
        <v>27</v>
      </c>
      <c r="C34" s="147">
        <f>C27+C21+C17+C11+C6</f>
        <v>35846366.014755197</v>
      </c>
      <c r="D34" s="475">
        <f>C34/C34</f>
        <v>1</v>
      </c>
      <c r="E34" s="146" t="s">
        <v>27</v>
      </c>
      <c r="F34" s="147">
        <f ca="1">F27+F19+F11+F6+F23</f>
        <v>35846366.014755197</v>
      </c>
      <c r="G34" s="145">
        <f ca="1">F34/$F$34</f>
        <v>1</v>
      </c>
      <c r="J34" s="106"/>
    </row>
    <row r="35" spans="2:10" x14ac:dyDescent="0.25">
      <c r="C35" s="106"/>
      <c r="D35" s="476"/>
      <c r="E35" s="477" t="s">
        <v>604</v>
      </c>
      <c r="F35" s="478">
        <f ca="1">F34-C34</f>
        <v>0</v>
      </c>
      <c r="G35" s="106"/>
    </row>
    <row r="36" spans="2:10" x14ac:dyDescent="0.25">
      <c r="C36" s="106"/>
      <c r="D36" s="106"/>
      <c r="F36" s="106"/>
      <c r="G36" s="106"/>
      <c r="H36" s="106"/>
    </row>
    <row r="37" spans="2:10" ht="15.75" x14ac:dyDescent="0.25">
      <c r="B37" s="479" t="s">
        <v>660</v>
      </c>
      <c r="C37" s="480">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6" t="str">
        <f>PLANTILLA!D4</f>
        <v>Jugador</v>
      </c>
      <c r="B1" s="586" t="s">
        <v>705</v>
      </c>
      <c r="C1" s="586" t="str">
        <f>PLANTILLA!AC4</f>
        <v>An</v>
      </c>
      <c r="D1" s="586" t="str">
        <f>PLANTILLA!AD4</f>
        <v>PA</v>
      </c>
      <c r="E1" s="586" t="str">
        <f>PLANTILLA!AI4</f>
        <v>TL</v>
      </c>
      <c r="F1" s="586" t="str">
        <f>PLANTILLA!AJ4</f>
        <v>PEN</v>
      </c>
      <c r="G1" s="586" t="str">
        <f>PLANTILLA!AK4</f>
        <v>BPiA</v>
      </c>
      <c r="H1" s="586" t="str">
        <f>PLANTILLA!AL4</f>
        <v>BPiD</v>
      </c>
    </row>
    <row r="2" spans="1:15" x14ac:dyDescent="0.25">
      <c r="A2" t="str">
        <f>PLANTILLA!D21</f>
        <v>J. Limon</v>
      </c>
      <c r="B2" s="159">
        <f>PLANTILLA!J21</f>
        <v>1.4041045913112262</v>
      </c>
      <c r="C2" s="265">
        <f>PLANTILLA!AC21</f>
        <v>8.5625000000000018</v>
      </c>
      <c r="D2" s="265">
        <f>PLANTILLA!AD21</f>
        <v>18.789999999999992</v>
      </c>
      <c r="E2" s="159">
        <f>PLANTILLA!AI21</f>
        <v>23.366321146797809</v>
      </c>
      <c r="F2" s="159">
        <f>PLANTILLA!AJ21</f>
        <v>18.625854591311221</v>
      </c>
      <c r="G2" s="159">
        <f>PLANTILLA!AK21</f>
        <v>1.2241533673048981</v>
      </c>
      <c r="H2" s="159">
        <f>PLANTILLA!AL21</f>
        <v>1.0404920832965476</v>
      </c>
      <c r="K2" t="str">
        <f>A4</f>
        <v>L. Calosso</v>
      </c>
      <c r="L2" s="406">
        <f>B2</f>
        <v>1.4041045913112262</v>
      </c>
      <c r="M2" s="406">
        <f t="shared" ref="M2:N2" si="0">C2</f>
        <v>8.5625000000000018</v>
      </c>
      <c r="N2" s="406">
        <f t="shared" si="0"/>
        <v>18.789999999999992</v>
      </c>
      <c r="O2" s="406"/>
    </row>
    <row r="3" spans="1:15" x14ac:dyDescent="0.25">
      <c r="A3" t="str">
        <f>PLANTILLA!D12</f>
        <v>E. Romweber</v>
      </c>
      <c r="B3" s="159">
        <f>PLANTILLA!J12</f>
        <v>1.5113852111602899</v>
      </c>
      <c r="C3" s="265">
        <f>PLANTILLA!AC12</f>
        <v>7.7700000000000005</v>
      </c>
      <c r="D3" s="265">
        <f>PLANTILLA!AD12</f>
        <v>17.329999999999998</v>
      </c>
      <c r="E3" s="159">
        <f>PLANTILLA!AI12</f>
        <v>21.484861316664237</v>
      </c>
      <c r="F3" s="159">
        <f>PLANTILLA!AJ12</f>
        <v>17.473385211160288</v>
      </c>
      <c r="G3" s="159">
        <f>PLANTILLA!AK12</f>
        <v>1.149310816892823</v>
      </c>
      <c r="H3" s="159">
        <f>PLANTILLA!AL12</f>
        <v>1.2131414092256647</v>
      </c>
      <c r="K3" t="str">
        <f>A5</f>
        <v>L. Bauman</v>
      </c>
      <c r="L3" s="406">
        <f t="shared" ref="L3:L11" si="1">B3</f>
        <v>1.5113852111602899</v>
      </c>
      <c r="M3" s="406">
        <f t="shared" ref="M3:M11" si="2">C3</f>
        <v>7.7700000000000005</v>
      </c>
      <c r="N3" s="406">
        <f t="shared" ref="N3:N11" si="3">D3</f>
        <v>17.329999999999998</v>
      </c>
      <c r="O3" s="406"/>
    </row>
    <row r="4" spans="1:15" x14ac:dyDescent="0.25">
      <c r="A4" t="str">
        <f>PLANTILLA!D22</f>
        <v>L. Calosso</v>
      </c>
      <c r="B4" s="159">
        <f>PLANTILLA!J22</f>
        <v>1.4142637871381487</v>
      </c>
      <c r="C4" s="265">
        <f>PLANTILLA!AC22</f>
        <v>10</v>
      </c>
      <c r="D4" s="265">
        <f>PLANTILLA!AD22</f>
        <v>9.6000000000000014</v>
      </c>
      <c r="E4" s="159">
        <f ca="1">PLANTILLA!AI22</f>
        <v>17.888994140421275</v>
      </c>
      <c r="F4" s="159">
        <f ca="1">PLANTILLA!AJ22</f>
        <v>11.111316670997001</v>
      </c>
      <c r="G4" s="159">
        <f ca="1">PLANTILLA!AK22</f>
        <v>0.97052749550170669</v>
      </c>
      <c r="H4" s="159">
        <f ca="1">PLANTILLA!AL22</f>
        <v>0.56851155856399349</v>
      </c>
      <c r="K4" t="str">
        <f>A6</f>
        <v>P .Trivadi</v>
      </c>
      <c r="L4" s="406">
        <f t="shared" si="1"/>
        <v>1.4142637871381487</v>
      </c>
      <c r="M4" s="406">
        <f t="shared" si="2"/>
        <v>10</v>
      </c>
      <c r="N4" s="406">
        <f t="shared" si="3"/>
        <v>9.6000000000000014</v>
      </c>
      <c r="O4" s="406"/>
    </row>
    <row r="5" spans="1:15" x14ac:dyDescent="0.25">
      <c r="A5" t="str">
        <f>PLANTILLA!D18</f>
        <v>L. Bauman</v>
      </c>
      <c r="B5" s="159">
        <f>PLANTILLA!J18</f>
        <v>1.2850504364607402</v>
      </c>
      <c r="C5" s="265">
        <f>PLANTILLA!AC18</f>
        <v>7.4318888888888894</v>
      </c>
      <c r="D5" s="265">
        <f>PLANTILLA!AD18</f>
        <v>16.27</v>
      </c>
      <c r="E5" s="159">
        <f>PLANTILLA!AI18</f>
        <v>14.997930408017421</v>
      </c>
      <c r="F5" s="159">
        <f>PLANTILLA!AJ18</f>
        <v>12.399968987657392</v>
      </c>
      <c r="G5" s="159">
        <f>PLANTILLA!AK18</f>
        <v>1.0824984793613035</v>
      </c>
      <c r="H5" s="159">
        <f>PLANTILLA!AL18</f>
        <v>0.90163130833002969</v>
      </c>
      <c r="K5" t="str">
        <f>A14</f>
        <v>D. Toh</v>
      </c>
      <c r="L5" s="406">
        <f t="shared" si="1"/>
        <v>1.2850504364607402</v>
      </c>
      <c r="M5" s="406">
        <f t="shared" si="2"/>
        <v>7.4318888888888894</v>
      </c>
      <c r="N5" s="406">
        <f t="shared" si="3"/>
        <v>16.27</v>
      </c>
      <c r="O5" s="406"/>
    </row>
    <row r="6" spans="1:15" x14ac:dyDescent="0.25">
      <c r="A6" t="str">
        <f>PLANTILLA!D23</f>
        <v>P .Trivadi</v>
      </c>
      <c r="B6" s="159">
        <f>PLANTILLA!J23</f>
        <v>1.0838844755238075</v>
      </c>
      <c r="C6" s="265">
        <f>PLANTILLA!AC23</f>
        <v>8.384500000000001</v>
      </c>
      <c r="D6" s="265">
        <f>PLANTILLA!AD23</f>
        <v>13.566666666666668</v>
      </c>
      <c r="E6" s="159">
        <f>PLANTILLA!AI23</f>
        <v>18.044531263868517</v>
      </c>
      <c r="F6" s="159">
        <f>PLANTILLA!AJ23</f>
        <v>13.513178651733083</v>
      </c>
      <c r="G6" s="159">
        <f>PLANTILLA!AK23</f>
        <v>1.0329357580419045</v>
      </c>
      <c r="H6" s="159">
        <f>PLANTILLA!AL23</f>
        <v>0.74867191328666649</v>
      </c>
      <c r="K6" t="str">
        <f>A18</f>
        <v>D. Gehmacher</v>
      </c>
      <c r="L6" s="406">
        <f t="shared" si="1"/>
        <v>1.0838844755238075</v>
      </c>
      <c r="M6" s="406">
        <f t="shared" si="2"/>
        <v>8.384500000000001</v>
      </c>
      <c r="N6" s="406">
        <f t="shared" si="3"/>
        <v>13.566666666666668</v>
      </c>
      <c r="O6" s="406"/>
    </row>
    <row r="7" spans="1:15" x14ac:dyDescent="0.25">
      <c r="A7" t="str">
        <f>PLANTILLA!D14</f>
        <v>S. Zobbe</v>
      </c>
      <c r="B7" s="159">
        <f>PLANTILLA!J14</f>
        <v>1.3333333333333333</v>
      </c>
      <c r="C7" s="265">
        <f>PLANTILLA!AC14</f>
        <v>7.4766666666666666</v>
      </c>
      <c r="D7" s="265">
        <f>PLANTILLA!AD14</f>
        <v>15.47</v>
      </c>
      <c r="E7" s="159">
        <f>PLANTILLA!AI14</f>
        <v>18.128884562356234</v>
      </c>
      <c r="F7" s="159">
        <f>PLANTILLA!AJ14</f>
        <v>14.725477293582355</v>
      </c>
      <c r="G7" s="159">
        <f>PLANTILLA!AK14</f>
        <v>1.0646</v>
      </c>
      <c r="H7" s="159">
        <f>PLANTILLA!AL14</f>
        <v>0.99683333333333324</v>
      </c>
      <c r="K7" t="str">
        <f>A13</f>
        <v>E. Toney</v>
      </c>
      <c r="L7" s="406">
        <f t="shared" si="1"/>
        <v>1.3333333333333333</v>
      </c>
      <c r="M7" s="406">
        <f t="shared" si="2"/>
        <v>7.4766666666666666</v>
      </c>
      <c r="N7" s="406">
        <f t="shared" si="3"/>
        <v>15.47</v>
      </c>
      <c r="O7" s="406"/>
    </row>
    <row r="8" spans="1:15" x14ac:dyDescent="0.25">
      <c r="A8" t="str">
        <f>PLANTILLA!D13</f>
        <v>K. Helms</v>
      </c>
      <c r="B8" s="159">
        <f>PLANTILLA!J13</f>
        <v>1.4092064684486303</v>
      </c>
      <c r="C8" s="265">
        <f>PLANTILLA!AC13</f>
        <v>5.4050000000000002</v>
      </c>
      <c r="D8" s="265">
        <f>PLANTILLA!AD13</f>
        <v>17.500000000000004</v>
      </c>
      <c r="E8" s="159">
        <f>PLANTILLA!AI13</f>
        <v>14.728204262097627</v>
      </c>
      <c r="F8" s="159">
        <f>PLANTILLA!AJ13</f>
        <v>14.1822854691597</v>
      </c>
      <c r="G8" s="159">
        <f>PLANTILLA!AK13</f>
        <v>1.0279865174758906</v>
      </c>
      <c r="H8" s="159">
        <f>PLANTILLA!AL13</f>
        <v>1.0186565740035254</v>
      </c>
      <c r="K8" t="str">
        <f>A14</f>
        <v>D. Toh</v>
      </c>
      <c r="L8" s="406">
        <f t="shared" si="1"/>
        <v>1.4092064684486303</v>
      </c>
      <c r="M8" s="406">
        <f t="shared" si="2"/>
        <v>5.4050000000000002</v>
      </c>
      <c r="N8" s="406">
        <f t="shared" si="3"/>
        <v>17.500000000000004</v>
      </c>
      <c r="O8" s="406"/>
    </row>
    <row r="9" spans="1:15" x14ac:dyDescent="0.25">
      <c r="A9" t="str">
        <f>PLANTILLA!D15</f>
        <v>S. Buschelman</v>
      </c>
      <c r="B9" s="159">
        <f>PLANTILLA!J15</f>
        <v>1.4291760097415007</v>
      </c>
      <c r="C9" s="265">
        <f>PLANTILLA!AC15</f>
        <v>5.0296666666666656</v>
      </c>
      <c r="D9" s="265">
        <f>PLANTILLA!AD15</f>
        <v>15.399999999999999</v>
      </c>
      <c r="E9" s="159">
        <f>PLANTILLA!AI15</f>
        <v>15.692725648195379</v>
      </c>
      <c r="F9" s="159">
        <f>PLANTILLA!AJ15</f>
        <v>15.218076009741498</v>
      </c>
      <c r="G9" s="159">
        <f>PLANTILLA!AK15</f>
        <v>0.94781741411265319</v>
      </c>
      <c r="H9" s="159">
        <f>PLANTILLA!AL15</f>
        <v>1.0391889873485716</v>
      </c>
      <c r="K9" t="str">
        <f>A9</f>
        <v>S. Buschelman</v>
      </c>
      <c r="L9" s="406">
        <f t="shared" si="1"/>
        <v>1.4291760097415007</v>
      </c>
      <c r="M9" s="406">
        <f t="shared" si="2"/>
        <v>5.0296666666666656</v>
      </c>
      <c r="N9" s="406">
        <f t="shared" si="3"/>
        <v>15.399999999999999</v>
      </c>
      <c r="O9" s="406"/>
    </row>
    <row r="10" spans="1:15" x14ac:dyDescent="0.25">
      <c r="A10" t="str">
        <f>PLANTILLA!D16</f>
        <v>C. Rojas</v>
      </c>
      <c r="B10" s="159">
        <f>PLANTILLA!J16</f>
        <v>1.4532068152525308</v>
      </c>
      <c r="C10" s="265">
        <f>PLANTILLA!AC16</f>
        <v>4.3999999999999995</v>
      </c>
      <c r="D10" s="265">
        <f>PLANTILLA!AD16</f>
        <v>16.74444444444444</v>
      </c>
      <c r="E10" s="159">
        <f>PLANTILLA!AI16</f>
        <v>11.671566742937614</v>
      </c>
      <c r="F10" s="159">
        <f>PLANTILLA!AJ16</f>
        <v>12.090567892360136</v>
      </c>
      <c r="G10" s="159">
        <f>PLANTILLA!AK16</f>
        <v>0.95858987855353561</v>
      </c>
      <c r="H10" s="159">
        <f>PLANTILLA!AL16</f>
        <v>1.0541600326232328</v>
      </c>
      <c r="K10" t="str">
        <f>A11</f>
        <v>B. Bartolache</v>
      </c>
      <c r="L10" s="406">
        <f t="shared" si="1"/>
        <v>1.4532068152525308</v>
      </c>
      <c r="M10" s="406">
        <f t="shared" si="2"/>
        <v>4.3999999999999995</v>
      </c>
      <c r="N10" s="406">
        <f t="shared" si="3"/>
        <v>16.74444444444444</v>
      </c>
      <c r="O10" s="406"/>
    </row>
    <row r="11" spans="1:15" x14ac:dyDescent="0.25">
      <c r="A11" t="str">
        <f>PLANTILLA!D10</f>
        <v>B. Bartolache</v>
      </c>
      <c r="B11" s="159">
        <f>PLANTILLA!J10</f>
        <v>1.3615857320932507</v>
      </c>
      <c r="C11" s="265">
        <f>PLANTILLA!AC10</f>
        <v>4.6199999999999966</v>
      </c>
      <c r="D11" s="265">
        <f>PLANTILLA!AD10</f>
        <v>15.799999999999999</v>
      </c>
      <c r="E11" s="159">
        <f>PLANTILLA!AI10</f>
        <v>13.964426447395093</v>
      </c>
      <c r="F11" s="159">
        <f>PLANTILLA!AJ10</f>
        <v>14.172070549763458</v>
      </c>
      <c r="G11" s="159">
        <f>PLANTILLA!AK10</f>
        <v>0.93392685856745972</v>
      </c>
      <c r="H11" s="159">
        <f>PLANTILLA!AL10</f>
        <v>1.1543110012465274</v>
      </c>
      <c r="K11" t="str">
        <f>A12</f>
        <v>T. Hammond</v>
      </c>
      <c r="L11" s="406">
        <f t="shared" si="1"/>
        <v>1.3615857320932507</v>
      </c>
      <c r="M11" s="406">
        <f t="shared" si="2"/>
        <v>4.6199999999999966</v>
      </c>
      <c r="N11" s="406">
        <f t="shared" si="3"/>
        <v>15.799999999999999</v>
      </c>
      <c r="O11" s="406"/>
    </row>
    <row r="12" spans="1:15" x14ac:dyDescent="0.25">
      <c r="A12" t="str">
        <f>PLANTILLA!D6</f>
        <v>T. Hammond</v>
      </c>
      <c r="B12" s="159">
        <f>PLANTILLA!J6</f>
        <v>1.265853342193217</v>
      </c>
      <c r="C12" s="265">
        <f>PLANTILLA!AC6</f>
        <v>3.99</v>
      </c>
      <c r="D12" s="265">
        <f>PLANTILLA!AD6</f>
        <v>15.778888888888888</v>
      </c>
      <c r="E12" s="159">
        <f>PLANTILLA!AI6</f>
        <v>12.789579541606743</v>
      </c>
      <c r="F12" s="159">
        <f>PLANTILLA!AJ6</f>
        <v>13.894778016441091</v>
      </c>
      <c r="G12" s="159">
        <f>PLANTILLA!AK6</f>
        <v>0.89413493404212407</v>
      </c>
      <c r="H12" s="159">
        <f>PLANTILLA!AL6</f>
        <v>1.0995764006201916</v>
      </c>
      <c r="M12" s="587">
        <f>AVERAGE(M2:M11)</f>
        <v>6.9080222222222218</v>
      </c>
      <c r="N12" s="587">
        <f>AVERAGE(N2:N11)</f>
        <v>15.64711111111111</v>
      </c>
      <c r="O12" s="588">
        <f>1.66*(M12+1.5)+0.55*(N12+1.5)-7.6</f>
        <v>15.788227999999998</v>
      </c>
    </row>
    <row r="13" spans="1:15" x14ac:dyDescent="0.25">
      <c r="A13" t="str">
        <f>PLANTILLA!D9</f>
        <v>E. Toney</v>
      </c>
      <c r="B13" s="159">
        <f>PLANTILLA!J9</f>
        <v>1.5028063978197437</v>
      </c>
      <c r="C13" s="265">
        <f>PLANTILLA!AC9</f>
        <v>3.6816666666666658</v>
      </c>
      <c r="D13" s="265">
        <f>PLANTILLA!AD9</f>
        <v>16.827777777777772</v>
      </c>
      <c r="E13" s="159">
        <f>PLANTILLA!AI9</f>
        <v>12.1727961012046</v>
      </c>
      <c r="F13" s="159">
        <f>PLANTILLA!AJ9</f>
        <v>13.426755068151419</v>
      </c>
      <c r="G13" s="159">
        <f>PLANTILLA!AK9</f>
        <v>0.92914117849224598</v>
      </c>
      <c r="H13" s="159">
        <f>PLANTILLA!AL9</f>
        <v>1.2030297811807154</v>
      </c>
    </row>
    <row r="14" spans="1:15" x14ac:dyDescent="0.25">
      <c r="A14" t="str">
        <f>PLANTILLA!D8</f>
        <v>D. Toh</v>
      </c>
      <c r="B14" s="159">
        <f>PLANTILLA!J8</f>
        <v>1.2459979349914236</v>
      </c>
      <c r="C14" s="265">
        <f>PLANTILLA!AC8</f>
        <v>3.9933333333333318</v>
      </c>
      <c r="D14" s="265">
        <f>PLANTILLA!AD8</f>
        <v>15.387777777777776</v>
      </c>
      <c r="E14" s="159">
        <f>PLANTILLA!AI8</f>
        <v>11.461024060376346</v>
      </c>
      <c r="F14" s="159">
        <f>PLANTILLA!AJ8</f>
        <v>12.436818737192549</v>
      </c>
      <c r="G14" s="159">
        <f>PLANTILLA!AK8</f>
        <v>0.88097983479931374</v>
      </c>
      <c r="H14" s="159">
        <f>PLANTILLA!AL8</f>
        <v>1.0969465221160664</v>
      </c>
    </row>
    <row r="15" spans="1:15" x14ac:dyDescent="0.25">
      <c r="A15" t="str">
        <f>PLANTILLA!D17</f>
        <v>E. Gross</v>
      </c>
      <c r="B15" s="159">
        <f>PLANTILLA!J17</f>
        <v>1.3504496329402296</v>
      </c>
      <c r="C15" s="265">
        <f>PLANTILLA!AC17</f>
        <v>2.98</v>
      </c>
      <c r="D15" s="265">
        <f>PLANTILLA!AD17</f>
        <v>17.059999999999999</v>
      </c>
      <c r="E15" s="159">
        <f>PLANTILLA!AI17</f>
        <v>13.029293688797909</v>
      </c>
      <c r="F15" s="159">
        <f>PLANTILLA!AJ17</f>
        <v>15.686449632940228</v>
      </c>
      <c r="G15" s="159">
        <f>PLANTILLA!AK17</f>
        <v>0.88883597063521835</v>
      </c>
      <c r="H15" s="159">
        <f>PLANTILLA!AL17</f>
        <v>1.1333314743058158</v>
      </c>
    </row>
    <row r="16" spans="1:15" x14ac:dyDescent="0.25">
      <c r="A16" t="str">
        <f>PLANTILLA!D11</f>
        <v>F. Lasprilla</v>
      </c>
      <c r="B16" s="159">
        <f>PLANTILLA!J11</f>
        <v>1.0278026821895256</v>
      </c>
      <c r="C16" s="265">
        <f>PLANTILLA!AC11</f>
        <v>3.2566666666666673</v>
      </c>
      <c r="D16" s="265">
        <f>PLANTILLA!AD11</f>
        <v>13.238888888888889</v>
      </c>
      <c r="E16" s="159">
        <f>PLANTILLA!AI11</f>
        <v>9.0210915627662693</v>
      </c>
      <c r="F16" s="159">
        <f>PLANTILLA!AJ11</f>
        <v>10.794331189462163</v>
      </c>
      <c r="G16" s="159">
        <f>PLANTILLA!AK11</f>
        <v>0.7622242145751621</v>
      </c>
      <c r="H16" s="159">
        <f>PLANTILLA!AL11</f>
        <v>0.95829952108660021</v>
      </c>
    </row>
    <row r="17" spans="1:8" x14ac:dyDescent="0.25">
      <c r="A17" t="str">
        <f>PLANTILLA!D19</f>
        <v>W. Gelifini</v>
      </c>
      <c r="B17" s="159">
        <f>PLANTILLA!J19</f>
        <v>0.93196000578135851</v>
      </c>
      <c r="C17" s="265">
        <f>PLANTILLA!AC19</f>
        <v>3.5417777777777766</v>
      </c>
      <c r="D17" s="265">
        <f>PLANTILLA!AD19</f>
        <v>12.450000000000001</v>
      </c>
      <c r="E17" s="159">
        <f>PLANTILLA!AI19</f>
        <v>6.8748342130696276</v>
      </c>
      <c r="F17" s="159">
        <f>PLANTILLA!AJ19</f>
        <v>7.9929896319360276</v>
      </c>
      <c r="G17" s="159">
        <f>PLANTILLA!AK19</f>
        <v>0.74514568935139747</v>
      </c>
      <c r="H17" s="159">
        <f>PLANTILLA!AL19</f>
        <v>0.76979942262691714</v>
      </c>
    </row>
    <row r="18" spans="1:8" x14ac:dyDescent="0.25">
      <c r="A18" t="str">
        <f>PLANTILLA!D5</f>
        <v>D. Gehmacher</v>
      </c>
      <c r="B18" s="159">
        <f>PLANTILLA!J5</f>
        <v>1.7200461484833574</v>
      </c>
      <c r="C18" s="265">
        <f>PLANTILLA!AC5</f>
        <v>0.14055555555555557</v>
      </c>
      <c r="D18" s="265">
        <f>PLANTILLA!AD5</f>
        <v>17.949999999999996</v>
      </c>
      <c r="E18" s="159">
        <f ca="1">PLANTILLA!AI5</f>
        <v>7.1982837644458364</v>
      </c>
      <c r="F18" s="159">
        <f ca="1">PLANTILLA!AJ5</f>
        <v>12.953859123853483</v>
      </c>
      <c r="G18" s="159">
        <f ca="1">PLANTILLA!AK5</f>
        <v>0.76313146965644629</v>
      </c>
      <c r="H18" s="159">
        <f ca="1">PLANTILLA!AL5</f>
        <v>1.2121256080162126</v>
      </c>
    </row>
    <row r="19" spans="1:8" x14ac:dyDescent="0.25">
      <c r="A19" t="e">
        <f>PLANTILLA!#REF!</f>
        <v>#REF!</v>
      </c>
      <c r="B19" s="159" t="e">
        <f>PLANTILLA!#REF!</f>
        <v>#REF!</v>
      </c>
      <c r="C19" s="265" t="e">
        <f>PLANTILLA!#REF!</f>
        <v>#REF!</v>
      </c>
      <c r="D19" s="265" t="e">
        <f>PLANTILLA!#REF!</f>
        <v>#REF!</v>
      </c>
      <c r="E19" s="159" t="e">
        <f>PLANTILLA!#REF!</f>
        <v>#REF!</v>
      </c>
      <c r="F19" s="159" t="e">
        <f>PLANTILLA!#REF!</f>
        <v>#REF!</v>
      </c>
      <c r="G19" s="159" t="e">
        <f>PLANTILLA!#REF!</f>
        <v>#REF!</v>
      </c>
      <c r="H19" s="159" t="e">
        <f>PLANTILLA!#REF!</f>
        <v>#REF!</v>
      </c>
    </row>
    <row r="20" spans="1:8" x14ac:dyDescent="0.25">
      <c r="A20" t="str">
        <f>PLANTILLA!D7</f>
        <v>B. Pinczehelyi</v>
      </c>
      <c r="B20" s="159">
        <f>PLANTILLA!J7</f>
        <v>1.5833609611152841</v>
      </c>
      <c r="C20" s="265">
        <f>PLANTILLA!AC7</f>
        <v>1.1428571428571428</v>
      </c>
      <c r="D20" s="265">
        <f>PLANTILLA!AD7</f>
        <v>9.8000000000000007</v>
      </c>
      <c r="E20" s="159">
        <f ca="1">PLANTILLA!AI7</f>
        <v>4.9960683499033145</v>
      </c>
      <c r="F20" s="159">
        <f ca="1">PLANTILLA!AJ7</f>
        <v>9.0602774214157016</v>
      </c>
      <c r="G20" s="159">
        <f ca="1">PLANTILLA!AK7</f>
        <v>0.55781173403207984</v>
      </c>
      <c r="H20" s="159">
        <f ca="1">PLANTILLA!AL7</f>
        <v>1.0468352672780701</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8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4">
        <f>25483+550584</f>
        <v>576067</v>
      </c>
      <c r="N6" s="464">
        <f>14126+59043</f>
        <v>73169</v>
      </c>
      <c r="O6" s="464">
        <v>21707</v>
      </c>
      <c r="P6" s="464">
        <f>22579+394156</f>
        <v>416735</v>
      </c>
      <c r="Q6" s="464">
        <v>21824</v>
      </c>
      <c r="R6" s="464">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10"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11"/>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12">
        <f>C13</f>
        <v>10943703</v>
      </c>
      <c r="Z14" s="713"/>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4" t="s">
        <v>93</v>
      </c>
      <c r="B26" s="714"/>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05" t="s">
        <v>94</v>
      </c>
      <c r="B27" s="705"/>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06" t="s">
        <v>95</v>
      </c>
      <c r="B28" s="706"/>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4" t="s">
        <v>96</v>
      </c>
      <c r="B29" s="714"/>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05" t="s">
        <v>97</v>
      </c>
      <c r="B30" s="705"/>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06" t="s">
        <v>98</v>
      </c>
      <c r="B31" s="706"/>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5"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7">
        <f>C23</f>
        <v>7143175</v>
      </c>
      <c r="Z34" s="708"/>
    </row>
    <row r="35" spans="1:26" x14ac:dyDescent="0.25">
      <c r="A35" s="57"/>
      <c r="B35" s="715"/>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5"/>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5"/>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5"/>
      <c r="C38" s="173" t="s">
        <v>665</v>
      </c>
      <c r="D38" s="175" t="s">
        <v>798</v>
      </c>
      <c r="E38" s="175" t="s">
        <v>802</v>
      </c>
      <c r="F38" s="175"/>
      <c r="G38" s="175" t="s">
        <v>820</v>
      </c>
      <c r="H38" s="175" t="s">
        <v>821</v>
      </c>
      <c r="I38" s="175" t="s">
        <v>822</v>
      </c>
      <c r="J38" s="175" t="s">
        <v>826</v>
      </c>
      <c r="K38" s="175" t="s">
        <v>832</v>
      </c>
      <c r="L38" s="175" t="s">
        <v>842</v>
      </c>
      <c r="M38" s="175"/>
      <c r="N38" s="175"/>
      <c r="O38" s="175"/>
      <c r="P38" s="175"/>
      <c r="Q38" s="175"/>
      <c r="R38" s="175" t="s">
        <v>848</v>
      </c>
      <c r="S38" s="175" t="s">
        <v>851</v>
      </c>
    </row>
    <row r="39" spans="1:26" x14ac:dyDescent="0.25">
      <c r="A39" s="57"/>
      <c r="B39" s="715"/>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5"/>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5"/>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9"/>
      <c r="G43" s="709"/>
      <c r="H43" s="709"/>
      <c r="I43" s="709"/>
      <c r="J43" s="709"/>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4"/>
      <c r="H46" s="704"/>
      <c r="I46" s="704"/>
      <c r="J46" s="704"/>
      <c r="M46" s="383"/>
    </row>
    <row r="47" spans="1:26" x14ac:dyDescent="0.25">
      <c r="E47" s="106"/>
      <c r="G47" s="590"/>
      <c r="H47" s="590"/>
      <c r="I47" s="590"/>
      <c r="J47" s="590"/>
    </row>
    <row r="48" spans="1:26" x14ac:dyDescent="0.25">
      <c r="G48" s="704"/>
      <c r="H48" s="704"/>
      <c r="I48" s="704"/>
      <c r="J48" s="704"/>
      <c r="P48" s="383"/>
    </row>
    <row r="49" spans="7:10" ht="15" customHeight="1" x14ac:dyDescent="0.25">
      <c r="G49" s="704"/>
      <c r="H49" s="704"/>
      <c r="I49" s="704"/>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6" t="s">
        <v>795</v>
      </c>
      <c r="C2" s="717"/>
      <c r="D2" s="717"/>
      <c r="E2" s="717"/>
      <c r="F2" s="717"/>
      <c r="G2" s="718"/>
      <c r="I2" s="727" t="s">
        <v>796</v>
      </c>
      <c r="J2" s="728"/>
      <c r="K2" s="728"/>
      <c r="L2" s="728"/>
      <c r="M2" s="728"/>
      <c r="N2" s="728"/>
      <c r="O2" s="728"/>
      <c r="P2" s="728"/>
      <c r="Q2" s="728"/>
      <c r="R2" s="728"/>
      <c r="S2" s="729"/>
    </row>
    <row r="3" spans="2:19" x14ac:dyDescent="0.25">
      <c r="B3" s="720" t="s">
        <v>102</v>
      </c>
      <c r="C3" s="721"/>
      <c r="D3" s="721"/>
      <c r="E3" s="721"/>
      <c r="F3" s="721"/>
      <c r="G3" s="722"/>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30" t="s">
        <v>113</v>
      </c>
      <c r="C4" s="731"/>
      <c r="D4" s="109"/>
      <c r="E4" s="732" t="s">
        <v>114</v>
      </c>
      <c r="F4" s="733"/>
      <c r="G4" s="109"/>
      <c r="I4" s="569" t="s">
        <v>115</v>
      </c>
      <c r="J4" s="110" t="s">
        <v>783</v>
      </c>
      <c r="K4" s="625">
        <f>11662680+53436</f>
        <v>11716116</v>
      </c>
      <c r="L4" s="625">
        <v>0</v>
      </c>
      <c r="M4" s="625">
        <v>0</v>
      </c>
      <c r="N4" s="625">
        <v>0</v>
      </c>
      <c r="O4" s="111">
        <f t="shared" ref="O4:O5" si="0">IF(M4=0,0,M4-K4)-N4</f>
        <v>0</v>
      </c>
      <c r="P4" s="111">
        <f t="shared" ref="P4:P5" si="1">IF(M4=0,K4,0)</f>
        <v>11716116</v>
      </c>
      <c r="Q4" s="570"/>
      <c r="R4" s="112">
        <v>42468</v>
      </c>
      <c r="S4" s="112"/>
    </row>
    <row r="5" spans="2:19" x14ac:dyDescent="0.25">
      <c r="B5" s="113"/>
      <c r="C5" s="114"/>
      <c r="D5" s="201"/>
      <c r="E5" s="113"/>
      <c r="F5" s="114"/>
      <c r="G5" s="115"/>
      <c r="I5" s="397" t="s">
        <v>491</v>
      </c>
      <c r="J5" s="398" t="s">
        <v>823</v>
      </c>
      <c r="K5" s="626">
        <v>0</v>
      </c>
      <c r="L5" s="626">
        <v>0</v>
      </c>
      <c r="M5" s="626">
        <v>2000</v>
      </c>
      <c r="N5" s="626">
        <v>650</v>
      </c>
      <c r="O5" s="399">
        <f t="shared" si="0"/>
        <v>1350</v>
      </c>
      <c r="P5" s="399">
        <f t="shared" si="1"/>
        <v>0</v>
      </c>
      <c r="Q5" s="400"/>
      <c r="R5" s="401"/>
      <c r="S5" s="401">
        <v>42562</v>
      </c>
    </row>
    <row r="6" spans="2:19" x14ac:dyDescent="0.25">
      <c r="B6" s="116" t="s">
        <v>116</v>
      </c>
      <c r="C6" s="117">
        <f>SUM(C7:C9)</f>
        <v>7660337</v>
      </c>
      <c r="D6" s="140">
        <f>C6/C34</f>
        <v>0.22958988498479441</v>
      </c>
      <c r="E6" s="116" t="s">
        <v>117</v>
      </c>
      <c r="F6" s="117">
        <f ca="1">F7+F8+F9</f>
        <v>20059687.014755197</v>
      </c>
      <c r="G6" s="118">
        <f ca="1">F6/$F$34</f>
        <v>0.60121391977254002</v>
      </c>
      <c r="I6" s="397" t="s">
        <v>491</v>
      </c>
      <c r="J6" s="398" t="s">
        <v>824</v>
      </c>
      <c r="K6" s="626">
        <v>0</v>
      </c>
      <c r="L6" s="626">
        <v>0</v>
      </c>
      <c r="M6" s="626">
        <v>59000</v>
      </c>
      <c r="N6" s="626">
        <v>650</v>
      </c>
      <c r="O6" s="399">
        <f t="shared" ref="O6" si="2">IF(M6=0,0,M6-K6)-N6</f>
        <v>58350</v>
      </c>
      <c r="P6" s="399">
        <f t="shared" ref="P6" si="3">IF(M6=0,K6,0)</f>
        <v>0</v>
      </c>
      <c r="Q6" s="400"/>
      <c r="R6" s="401"/>
      <c r="S6" s="401">
        <v>42530</v>
      </c>
    </row>
    <row r="7" spans="2:19" x14ac:dyDescent="0.25">
      <c r="B7" s="119" t="s">
        <v>84</v>
      </c>
      <c r="C7" s="120">
        <f>'A-P_T49'!C7+EconomiaT50!C16</f>
        <v>3684165</v>
      </c>
      <c r="D7" s="202">
        <f>C7/C34</f>
        <v>0.11041903490864764</v>
      </c>
      <c r="E7" s="203" t="s">
        <v>118</v>
      </c>
      <c r="F7" s="204">
        <v>300000</v>
      </c>
      <c r="G7" s="121">
        <f ca="1">F7/$F$34</f>
        <v>8.9913753788427742E-3</v>
      </c>
      <c r="I7" s="397" t="s">
        <v>491</v>
      </c>
      <c r="J7" s="398" t="s">
        <v>829</v>
      </c>
      <c r="K7" s="626">
        <v>0</v>
      </c>
      <c r="L7" s="626">
        <v>0</v>
      </c>
      <c r="M7" s="626">
        <v>261000</v>
      </c>
      <c r="N7" s="626">
        <f>M7-247950</f>
        <v>13050</v>
      </c>
      <c r="O7" s="399">
        <f t="shared" ref="O7" si="4">IF(M7=0,0,M7-K7)-N7</f>
        <v>247950</v>
      </c>
      <c r="P7" s="399">
        <f t="shared" ref="P7" si="5">IF(M7=0,K7,0)</f>
        <v>0</v>
      </c>
      <c r="Q7" s="400"/>
      <c r="R7" s="401"/>
      <c r="S7" s="401">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7" t="s">
        <v>491</v>
      </c>
      <c r="J8" s="398" t="s">
        <v>831</v>
      </c>
      <c r="K8" s="626">
        <v>0</v>
      </c>
      <c r="L8" s="626">
        <v>0</v>
      </c>
      <c r="M8" s="626">
        <v>84660</v>
      </c>
      <c r="N8" s="626">
        <f>M8-81427</f>
        <v>3233</v>
      </c>
      <c r="O8" s="399">
        <f t="shared" ref="O8" si="6">IF(M8=0,0,M8-K8)-N8</f>
        <v>81427</v>
      </c>
      <c r="P8" s="399">
        <f t="shared" ref="P8" si="7">IF(M8=0,K8,0)</f>
        <v>0</v>
      </c>
      <c r="Q8" s="400"/>
      <c r="R8" s="401"/>
      <c r="S8" s="401">
        <v>42578</v>
      </c>
    </row>
    <row r="9" spans="2:19" x14ac:dyDescent="0.25">
      <c r="B9" s="122" t="s">
        <v>119</v>
      </c>
      <c r="C9" s="123">
        <v>0</v>
      </c>
      <c r="D9" s="202">
        <f>C9/C34</f>
        <v>0</v>
      </c>
      <c r="E9" s="203" t="s">
        <v>797</v>
      </c>
      <c r="F9" s="204">
        <f>'A-P_T49'!F11+192375</f>
        <v>5746546</v>
      </c>
      <c r="G9" s="121">
        <f ca="1">F9/$F$34</f>
        <v>0.17223117405929145</v>
      </c>
      <c r="I9" s="397" t="s">
        <v>491</v>
      </c>
      <c r="J9" s="398" t="s">
        <v>845</v>
      </c>
      <c r="K9" s="626">
        <v>0</v>
      </c>
      <c r="L9" s="626">
        <v>0</v>
      </c>
      <c r="M9" s="626">
        <v>84000</v>
      </c>
      <c r="N9" s="626">
        <f>M9-79800</f>
        <v>4200</v>
      </c>
      <c r="O9" s="399">
        <f t="shared" ref="O9" si="8">IF(M9=0,0,M9-K9)-N9</f>
        <v>79800</v>
      </c>
      <c r="P9" s="399">
        <f t="shared" ref="P9" si="9">IF(M9=0,K9,0)</f>
        <v>0</v>
      </c>
      <c r="Q9" s="400"/>
      <c r="R9" s="401"/>
      <c r="S9" s="401">
        <v>42613</v>
      </c>
    </row>
    <row r="10" spans="2:19" x14ac:dyDescent="0.25">
      <c r="B10" s="124"/>
      <c r="C10" s="125"/>
      <c r="D10" s="140"/>
      <c r="E10" s="205"/>
      <c r="F10" s="125"/>
      <c r="G10" s="118"/>
      <c r="I10" s="397" t="s">
        <v>491</v>
      </c>
      <c r="J10" s="398" t="s">
        <v>846</v>
      </c>
      <c r="K10" s="626">
        <v>0</v>
      </c>
      <c r="L10" s="626">
        <v>0</v>
      </c>
      <c r="M10" s="626">
        <v>10000</v>
      </c>
      <c r="N10" s="626">
        <f>M10-9500</f>
        <v>500</v>
      </c>
      <c r="O10" s="399">
        <f t="shared" ref="O10" si="10">IF(M10=0,0,M10-K10)-N10</f>
        <v>9500</v>
      </c>
      <c r="P10" s="399">
        <f t="shared" ref="P10" si="11">IF(M10=0,K10,0)</f>
        <v>0</v>
      </c>
      <c r="Q10" s="400"/>
      <c r="R10" s="401"/>
      <c r="S10" s="401">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7" t="s">
        <v>491</v>
      </c>
      <c r="J11" s="398" t="s">
        <v>847</v>
      </c>
      <c r="K11" s="626">
        <v>0</v>
      </c>
      <c r="L11" s="626">
        <v>0</v>
      </c>
      <c r="M11" s="626">
        <v>116000</v>
      </c>
      <c r="N11" s="626">
        <f>M11-110200</f>
        <v>5800</v>
      </c>
      <c r="O11" s="399">
        <f t="shared" ref="O11:O12" si="13">IF(M11=0,0,M11-K11)-N11</f>
        <v>110200</v>
      </c>
      <c r="P11" s="399">
        <f t="shared" ref="P11:P12" si="14">IF(M11=0,K11,0)</f>
        <v>0</v>
      </c>
      <c r="Q11" s="400"/>
      <c r="R11" s="401"/>
      <c r="S11" s="401">
        <v>42608</v>
      </c>
    </row>
    <row r="12" spans="2:19" x14ac:dyDescent="0.25">
      <c r="B12" s="129" t="s">
        <v>121</v>
      </c>
      <c r="C12" s="130">
        <f>SUMIF(I4:I518,"S",$P$4:$P$518)</f>
        <v>0</v>
      </c>
      <c r="D12" s="202">
        <f>C12/C34</f>
        <v>0</v>
      </c>
      <c r="E12" s="49" t="s">
        <v>122</v>
      </c>
      <c r="F12" s="131">
        <f>SUMIF(I4:I518,"J",$O$4:$O$518)</f>
        <v>0</v>
      </c>
      <c r="G12" s="121">
        <f t="shared" ca="1" si="12"/>
        <v>0</v>
      </c>
      <c r="I12" s="569" t="s">
        <v>435</v>
      </c>
      <c r="J12" s="110" t="s">
        <v>850</v>
      </c>
      <c r="K12" s="625">
        <v>1916000</v>
      </c>
      <c r="L12" s="625">
        <v>372</v>
      </c>
      <c r="M12" s="625">
        <v>0</v>
      </c>
      <c r="N12" s="625">
        <v>0</v>
      </c>
      <c r="O12" s="111">
        <f t="shared" si="13"/>
        <v>0</v>
      </c>
      <c r="P12" s="111">
        <f t="shared" si="14"/>
        <v>1916000</v>
      </c>
      <c r="Q12" s="570"/>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1"/>
      <c r="J13" s="471"/>
      <c r="K13" s="471"/>
      <c r="L13" s="471"/>
      <c r="M13" s="471"/>
      <c r="N13" s="471"/>
      <c r="O13" s="471"/>
      <c r="P13" s="471"/>
      <c r="Q13" s="471"/>
      <c r="R13" s="471"/>
      <c r="S13" s="471"/>
    </row>
    <row r="14" spans="2:19" x14ac:dyDescent="0.25">
      <c r="B14" s="129" t="s">
        <v>99</v>
      </c>
      <c r="C14" s="130">
        <f>SUMIF(I4:I518,"E",$P$4:$P$518)</f>
        <v>0</v>
      </c>
      <c r="D14" s="202">
        <f>C14/C34</f>
        <v>0</v>
      </c>
      <c r="E14" s="49" t="s">
        <v>124</v>
      </c>
      <c r="F14" s="131">
        <f>SUMIF(I4:I518,"C",$O$4:$O$518)</f>
        <v>588577</v>
      </c>
      <c r="G14" s="121">
        <f t="shared" ca="1" si="12"/>
        <v>1.764038915451048E-2</v>
      </c>
      <c r="I14" s="471"/>
      <c r="J14" s="471"/>
      <c r="K14" s="471"/>
      <c r="L14" s="471"/>
      <c r="M14" s="471"/>
      <c r="N14" s="471"/>
      <c r="O14" s="471"/>
      <c r="P14" s="471"/>
      <c r="Q14" s="471"/>
      <c r="R14" s="471"/>
      <c r="S14" s="471"/>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9"/>
      <c r="G22" s="470"/>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1"/>
      <c r="C26" s="572"/>
      <c r="D26" s="573"/>
      <c r="E26" s="574"/>
      <c r="F26" s="575"/>
      <c r="G26" s="576"/>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2" t="s">
        <v>90</v>
      </c>
      <c r="F33" s="473">
        <f>EconomiaT50!C22</f>
        <v>0</v>
      </c>
      <c r="G33" s="474">
        <f t="shared" ca="1" si="15"/>
        <v>0</v>
      </c>
    </row>
    <row r="34" spans="2:8" ht="18.75" x14ac:dyDescent="0.3">
      <c r="B34" s="146" t="s">
        <v>27</v>
      </c>
      <c r="C34" s="147">
        <f>C27+C21+C17+C11+C6</f>
        <v>33365307.014755197</v>
      </c>
      <c r="D34" s="475">
        <f>C34/C34</f>
        <v>1</v>
      </c>
      <c r="E34" s="146" t="s">
        <v>27</v>
      </c>
      <c r="F34" s="147">
        <f ca="1">F27+F19+F11+F6+F23</f>
        <v>33365307.014755197</v>
      </c>
      <c r="G34" s="145">
        <f ca="1">F34/$F$34</f>
        <v>1</v>
      </c>
    </row>
    <row r="35" spans="2:8" x14ac:dyDescent="0.25">
      <c r="C35" s="106"/>
      <c r="D35" s="476"/>
      <c r="E35" s="477" t="s">
        <v>604</v>
      </c>
      <c r="F35" s="478">
        <f ca="1">F34-C34</f>
        <v>0</v>
      </c>
      <c r="G35" s="106"/>
    </row>
    <row r="36" spans="2:8" x14ac:dyDescent="0.25">
      <c r="C36" s="106"/>
      <c r="D36" s="106"/>
      <c r="F36" s="106"/>
      <c r="G36" s="106"/>
      <c r="H36" s="106"/>
    </row>
    <row r="37" spans="2:8" ht="15.75" x14ac:dyDescent="0.25">
      <c r="B37" s="479" t="s">
        <v>660</v>
      </c>
      <c r="C37" s="480">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8">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8">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825</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4" t="s">
        <v>147</v>
      </c>
      <c r="B6" s="150" t="s">
        <v>148</v>
      </c>
      <c r="C6" s="150" t="s">
        <v>149</v>
      </c>
      <c r="D6" s="2">
        <v>0</v>
      </c>
      <c r="E6" s="2">
        <v>22</v>
      </c>
      <c r="F6" s="2">
        <v>0</v>
      </c>
      <c r="G6" s="2">
        <v>0</v>
      </c>
      <c r="H6" s="155">
        <f>H4*2</f>
        <v>8.8000000000000007</v>
      </c>
      <c r="I6" s="2">
        <f t="shared" si="0"/>
        <v>35.200000000000003</v>
      </c>
    </row>
    <row r="7" spans="1:9" x14ac:dyDescent="0.25">
      <c r="A7" s="734"/>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90" t="s">
        <v>326</v>
      </c>
      <c r="B30" s="690"/>
      <c r="C30" s="690"/>
      <c r="D30" s="690"/>
      <c r="F30" s="240" t="s">
        <v>337</v>
      </c>
      <c r="G30" s="235"/>
      <c r="H30" s="228">
        <v>4210500</v>
      </c>
      <c r="I30" s="234"/>
      <c r="J30" s="106"/>
    </row>
    <row r="31" spans="1:14" x14ac:dyDescent="0.25">
      <c r="A31" s="691" t="s">
        <v>257</v>
      </c>
      <c r="B31" s="692" t="s">
        <v>327</v>
      </c>
      <c r="C31" s="692" t="s">
        <v>328</v>
      </c>
      <c r="D31" s="692" t="s">
        <v>329</v>
      </c>
      <c r="F31" s="241" t="s">
        <v>341</v>
      </c>
      <c r="G31" s="236"/>
      <c r="H31" s="228">
        <v>3750000</v>
      </c>
      <c r="I31" s="234"/>
      <c r="J31" s="106"/>
    </row>
    <row r="32" spans="1:14" x14ac:dyDescent="0.25">
      <c r="A32" s="691"/>
      <c r="B32" s="692"/>
      <c r="C32" s="692"/>
      <c r="D32" s="692"/>
      <c r="F32" s="240" t="s">
        <v>345</v>
      </c>
      <c r="G32" s="235"/>
      <c r="H32" s="228">
        <v>3356600</v>
      </c>
      <c r="I32" s="234"/>
      <c r="J32" s="106"/>
    </row>
    <row r="33" spans="1:10" x14ac:dyDescent="0.25">
      <c r="A33" s="229" t="s">
        <v>327</v>
      </c>
      <c r="B33" s="230" t="s">
        <v>330</v>
      </c>
      <c r="C33" s="230" t="s">
        <v>331</v>
      </c>
      <c r="D33" s="230" t="s">
        <v>331</v>
      </c>
      <c r="F33" s="241" t="s">
        <v>349</v>
      </c>
      <c r="G33" s="237">
        <f>I35-H33</f>
        <v>-62800</v>
      </c>
      <c r="H33" s="228">
        <v>3057300</v>
      </c>
      <c r="I33" s="234">
        <f>H33+G33</f>
        <v>2994500</v>
      </c>
      <c r="J33" s="106"/>
    </row>
    <row r="34" spans="1:10" x14ac:dyDescent="0.25">
      <c r="A34" s="231" t="s">
        <v>328</v>
      </c>
      <c r="B34" s="232" t="s">
        <v>332</v>
      </c>
      <c r="C34" s="232" t="s">
        <v>333</v>
      </c>
      <c r="D34" s="232" t="s">
        <v>331</v>
      </c>
      <c r="F34" s="240" t="s">
        <v>353</v>
      </c>
      <c r="G34" s="239">
        <f>I35-H34</f>
        <v>187500</v>
      </c>
      <c r="H34" s="228">
        <v>2807000</v>
      </c>
      <c r="I34" s="234">
        <f>H34+G34</f>
        <v>2994500</v>
      </c>
      <c r="J34" s="106"/>
    </row>
    <row r="35" spans="1:10" x14ac:dyDescent="0.25">
      <c r="A35" s="229" t="s">
        <v>329</v>
      </c>
      <c r="B35" s="230" t="s">
        <v>334</v>
      </c>
      <c r="C35" s="230" t="s">
        <v>335</v>
      </c>
      <c r="D35" s="230" t="s">
        <v>336</v>
      </c>
      <c r="F35" s="241" t="s">
        <v>357</v>
      </c>
      <c r="G35" s="238">
        <v>400000</v>
      </c>
      <c r="H35" s="228">
        <v>2594500</v>
      </c>
      <c r="I35" s="234">
        <f>H35+G35</f>
        <v>2994500</v>
      </c>
      <c r="J35" s="106"/>
    </row>
    <row r="36" spans="1:10" x14ac:dyDescent="0.25">
      <c r="A36" s="231" t="s">
        <v>337</v>
      </c>
      <c r="B36" s="232" t="s">
        <v>338</v>
      </c>
      <c r="C36" s="232" t="s">
        <v>339</v>
      </c>
      <c r="D36" s="232" t="s">
        <v>340</v>
      </c>
      <c r="F36" s="240" t="s">
        <v>361</v>
      </c>
      <c r="G36" s="238">
        <v>594500</v>
      </c>
      <c r="H36" s="228">
        <v>2400000</v>
      </c>
      <c r="I36" s="234">
        <f t="shared" ref="I36:I38" si="12">H36+G36</f>
        <v>2994500</v>
      </c>
      <c r="J36" s="106"/>
    </row>
    <row r="37" spans="1:10" x14ac:dyDescent="0.25">
      <c r="A37" s="229" t="s">
        <v>341</v>
      </c>
      <c r="B37" s="230" t="s">
        <v>342</v>
      </c>
      <c r="C37" s="230" t="s">
        <v>343</v>
      </c>
      <c r="D37" s="230" t="s">
        <v>344</v>
      </c>
      <c r="F37" s="241" t="s">
        <v>365</v>
      </c>
      <c r="G37" s="238">
        <v>752210</v>
      </c>
      <c r="H37" s="228">
        <v>2242290</v>
      </c>
      <c r="I37" s="234">
        <f t="shared" si="12"/>
        <v>2994500</v>
      </c>
      <c r="J37" s="106"/>
    </row>
    <row r="38" spans="1:10" x14ac:dyDescent="0.25">
      <c r="A38" s="231" t="s">
        <v>345</v>
      </c>
      <c r="B38" s="232" t="s">
        <v>346</v>
      </c>
      <c r="C38" s="232" t="s">
        <v>347</v>
      </c>
      <c r="D38" s="232" t="s">
        <v>348</v>
      </c>
      <c r="F38" s="240" t="s">
        <v>369</v>
      </c>
      <c r="G38" s="238">
        <v>889300</v>
      </c>
      <c r="H38" s="228">
        <v>2105200</v>
      </c>
      <c r="I38" s="234">
        <f t="shared" si="12"/>
        <v>2994500</v>
      </c>
      <c r="J38" s="106"/>
    </row>
    <row r="39" spans="1:10" x14ac:dyDescent="0.25">
      <c r="A39" s="229" t="s">
        <v>349</v>
      </c>
      <c r="B39" s="230" t="s">
        <v>350</v>
      </c>
      <c r="C39" s="230" t="s">
        <v>351</v>
      </c>
      <c r="D39" s="230" t="s">
        <v>352</v>
      </c>
    </row>
    <row r="40" spans="1:10" x14ac:dyDescent="0.25">
      <c r="A40" s="231" t="s">
        <v>353</v>
      </c>
      <c r="B40" s="232" t="s">
        <v>354</v>
      </c>
      <c r="C40" s="232" t="s">
        <v>355</v>
      </c>
      <c r="D40" s="232" t="s">
        <v>356</v>
      </c>
    </row>
    <row r="41" spans="1:10" x14ac:dyDescent="0.25">
      <c r="A41" s="229" t="s">
        <v>357</v>
      </c>
      <c r="B41" s="230" t="s">
        <v>358</v>
      </c>
      <c r="C41" s="230" t="s">
        <v>359</v>
      </c>
      <c r="D41" s="230" t="s">
        <v>360</v>
      </c>
    </row>
    <row r="42" spans="1:10" x14ac:dyDescent="0.25">
      <c r="A42" s="231" t="s">
        <v>361</v>
      </c>
      <c r="B42" s="232" t="s">
        <v>362</v>
      </c>
      <c r="C42" s="232" t="s">
        <v>363</v>
      </c>
      <c r="D42" s="232" t="s">
        <v>364</v>
      </c>
    </row>
    <row r="43" spans="1:10" x14ac:dyDescent="0.25">
      <c r="A43" s="229" t="s">
        <v>365</v>
      </c>
      <c r="B43" s="230" t="s">
        <v>366</v>
      </c>
      <c r="C43" s="230" t="s">
        <v>367</v>
      </c>
      <c r="D43" s="230" t="s">
        <v>368</v>
      </c>
    </row>
    <row r="44" spans="1:10" x14ac:dyDescent="0.25">
      <c r="A44" s="231" t="s">
        <v>369</v>
      </c>
      <c r="B44" s="232" t="s">
        <v>370</v>
      </c>
      <c r="C44" s="232" t="s">
        <v>371</v>
      </c>
      <c r="D44" s="232" t="s">
        <v>372</v>
      </c>
    </row>
    <row r="45" spans="1:10" x14ac:dyDescent="0.25">
      <c r="A45" s="229" t="s">
        <v>373</v>
      </c>
      <c r="B45" s="230" t="s">
        <v>374</v>
      </c>
      <c r="C45" s="230" t="s">
        <v>375</v>
      </c>
      <c r="D45" s="230" t="s">
        <v>376</v>
      </c>
    </row>
    <row r="46" spans="1:10" x14ac:dyDescent="0.25">
      <c r="A46" s="231" t="s">
        <v>377</v>
      </c>
      <c r="B46" s="232" t="s">
        <v>378</v>
      </c>
      <c r="C46" s="232" t="s">
        <v>379</v>
      </c>
      <c r="D46" s="232" t="s">
        <v>380</v>
      </c>
    </row>
    <row r="47" spans="1:10"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2">
        <v>10</v>
      </c>
      <c r="E2" s="483">
        <f t="shared" ref="E2:E11" si="0">D2*$A$2</f>
        <v>35</v>
      </c>
      <c r="F2" s="483">
        <f t="shared" ref="F2:F11" si="1">D2*$A$3</f>
        <v>25</v>
      </c>
      <c r="G2" s="484">
        <f t="shared" ref="G2:G11" si="2">D2*$A$4</f>
        <v>0.33333333333333331</v>
      </c>
      <c r="H2" s="482">
        <f>48000*0.68</f>
        <v>32640.000000000004</v>
      </c>
      <c r="I2" s="485">
        <f t="shared" ref="I2:I11" si="3">H2/D2</f>
        <v>3264.0000000000005</v>
      </c>
      <c r="K2">
        <v>15</v>
      </c>
      <c r="L2" s="265">
        <f>K2*3.2</f>
        <v>48</v>
      </c>
      <c r="M2" s="265">
        <f>K2*$A$3</f>
        <v>37.5</v>
      </c>
      <c r="N2" s="406">
        <f>K2*$A$4</f>
        <v>0.5</v>
      </c>
      <c r="O2">
        <f>24000*3</f>
        <v>72000</v>
      </c>
      <c r="P2">
        <f>O2/K2</f>
        <v>4800</v>
      </c>
    </row>
    <row r="3" spans="1:16" x14ac:dyDescent="0.25">
      <c r="A3">
        <v>2.5</v>
      </c>
      <c r="B3" t="s">
        <v>673</v>
      </c>
      <c r="D3" s="482">
        <v>9</v>
      </c>
      <c r="E3" s="483">
        <f t="shared" si="0"/>
        <v>31.5</v>
      </c>
      <c r="F3" s="483">
        <f t="shared" si="1"/>
        <v>22.5</v>
      </c>
      <c r="G3" s="484">
        <f t="shared" si="2"/>
        <v>0.3</v>
      </c>
      <c r="H3" s="482">
        <f>36000*0.68</f>
        <v>24480</v>
      </c>
      <c r="I3" s="485">
        <f t="shared" si="3"/>
        <v>2720</v>
      </c>
      <c r="K3">
        <v>12</v>
      </c>
      <c r="L3" s="265">
        <f>K3*3.2</f>
        <v>38.400000000000006</v>
      </c>
      <c r="M3" s="265">
        <f>K3*$A$3</f>
        <v>30</v>
      </c>
      <c r="N3" s="406">
        <f>K3*$A$4</f>
        <v>0.4</v>
      </c>
      <c r="O3">
        <f>12000*3</f>
        <v>36000</v>
      </c>
      <c r="P3">
        <f>O3/K3</f>
        <v>3000</v>
      </c>
    </row>
    <row r="4" spans="1:16" x14ac:dyDescent="0.25">
      <c r="A4" s="481">
        <f>0.5/15</f>
        <v>3.3333333333333333E-2</v>
      </c>
      <c r="B4" t="s">
        <v>672</v>
      </c>
      <c r="D4" s="482">
        <v>8</v>
      </c>
      <c r="E4" s="483">
        <f t="shared" si="0"/>
        <v>28</v>
      </c>
      <c r="F4" s="483">
        <f t="shared" si="1"/>
        <v>20</v>
      </c>
      <c r="G4" s="484">
        <f t="shared" si="2"/>
        <v>0.26666666666666666</v>
      </c>
      <c r="H4" s="482">
        <f>24000*0.68</f>
        <v>16320.000000000002</v>
      </c>
      <c r="I4" s="485">
        <f t="shared" si="3"/>
        <v>2040.0000000000002</v>
      </c>
    </row>
    <row r="5" spans="1:16" x14ac:dyDescent="0.25">
      <c r="D5" s="482">
        <v>7</v>
      </c>
      <c r="E5" s="483">
        <f t="shared" si="0"/>
        <v>24.5</v>
      </c>
      <c r="F5" s="483">
        <f t="shared" si="1"/>
        <v>17.5</v>
      </c>
      <c r="G5" s="484">
        <f t="shared" si="2"/>
        <v>0.23333333333333334</v>
      </c>
      <c r="H5" s="482">
        <f>18000*0.68</f>
        <v>12240</v>
      </c>
      <c r="I5" s="485">
        <f t="shared" si="3"/>
        <v>1748.5714285714287</v>
      </c>
    </row>
    <row r="6" spans="1:16" x14ac:dyDescent="0.25">
      <c r="D6" s="482">
        <v>6</v>
      </c>
      <c r="E6" s="483">
        <f t="shared" si="0"/>
        <v>21</v>
      </c>
      <c r="F6" s="483">
        <f t="shared" si="1"/>
        <v>15</v>
      </c>
      <c r="G6" s="484">
        <f t="shared" si="2"/>
        <v>0.2</v>
      </c>
      <c r="H6" s="482">
        <f>12000*0.68</f>
        <v>8160.0000000000009</v>
      </c>
      <c r="I6" s="485">
        <f t="shared" si="3"/>
        <v>1360.0000000000002</v>
      </c>
    </row>
    <row r="7" spans="1:16" x14ac:dyDescent="0.25">
      <c r="D7" s="482">
        <v>5</v>
      </c>
      <c r="E7" s="483">
        <f t="shared" si="0"/>
        <v>17.5</v>
      </c>
      <c r="F7" s="483">
        <f t="shared" si="1"/>
        <v>12.5</v>
      </c>
      <c r="G7" s="484">
        <f t="shared" si="2"/>
        <v>0.16666666666666666</v>
      </c>
      <c r="H7" s="482">
        <f>24000*0.68</f>
        <v>16320.000000000002</v>
      </c>
      <c r="I7" s="485">
        <f t="shared" si="3"/>
        <v>3264.0000000000005</v>
      </c>
      <c r="L7" s="265"/>
    </row>
    <row r="8" spans="1:16" x14ac:dyDescent="0.25">
      <c r="D8" s="482">
        <v>4</v>
      </c>
      <c r="E8" s="483">
        <f t="shared" si="0"/>
        <v>14</v>
      </c>
      <c r="F8" s="483">
        <f t="shared" si="1"/>
        <v>10</v>
      </c>
      <c r="G8" s="484">
        <f t="shared" si="2"/>
        <v>0.13333333333333333</v>
      </c>
      <c r="H8" s="482">
        <f>12000*0.68</f>
        <v>8160.0000000000009</v>
      </c>
      <c r="I8" s="485">
        <f t="shared" si="3"/>
        <v>2040.0000000000002</v>
      </c>
    </row>
    <row r="9" spans="1:16" x14ac:dyDescent="0.25">
      <c r="D9" s="482">
        <v>3</v>
      </c>
      <c r="E9" s="483">
        <f t="shared" si="0"/>
        <v>10.5</v>
      </c>
      <c r="F9" s="483">
        <f t="shared" si="1"/>
        <v>7.5</v>
      </c>
      <c r="G9" s="484">
        <f t="shared" si="2"/>
        <v>0.1</v>
      </c>
      <c r="H9" s="482">
        <f>6000*0.68</f>
        <v>4080.0000000000005</v>
      </c>
      <c r="I9" s="485">
        <f t="shared" si="3"/>
        <v>1360.0000000000002</v>
      </c>
    </row>
    <row r="10" spans="1:16" x14ac:dyDescent="0.25">
      <c r="D10" s="482">
        <v>2</v>
      </c>
      <c r="E10" s="483">
        <f t="shared" si="0"/>
        <v>7</v>
      </c>
      <c r="F10" s="483">
        <f t="shared" si="1"/>
        <v>5</v>
      </c>
      <c r="G10" s="484">
        <f t="shared" si="2"/>
        <v>6.6666666666666666E-2</v>
      </c>
      <c r="H10" s="482">
        <f>3000*0.68</f>
        <v>2040.0000000000002</v>
      </c>
      <c r="I10" s="485">
        <f t="shared" si="3"/>
        <v>1020.0000000000001</v>
      </c>
    </row>
    <row r="11" spans="1:16" x14ac:dyDescent="0.25">
      <c r="D11" s="482">
        <v>1</v>
      </c>
      <c r="E11" s="483">
        <f t="shared" si="0"/>
        <v>3.5</v>
      </c>
      <c r="F11" s="483">
        <f t="shared" si="1"/>
        <v>2.5</v>
      </c>
      <c r="G11" s="484">
        <f t="shared" si="2"/>
        <v>3.3333333333333333E-2</v>
      </c>
      <c r="H11" s="482">
        <f>1500*0.68</f>
        <v>1020.0000000000001</v>
      </c>
      <c r="I11" s="485">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30</v>
      </c>
      <c r="C3" s="165">
        <f>PLANTILLA!H5</f>
        <v>6</v>
      </c>
      <c r="D3" s="361">
        <f>PLANTILLA!I5</f>
        <v>18.5</v>
      </c>
      <c r="E3" s="354">
        <f>D3</f>
        <v>18.5</v>
      </c>
      <c r="F3" s="354">
        <f>E3+0.1</f>
        <v>18.600000000000001</v>
      </c>
      <c r="G3" s="354">
        <f>C3</f>
        <v>6</v>
      </c>
      <c r="H3" s="354">
        <f t="shared" ref="H3" si="0">G3+0.99</f>
        <v>6.99</v>
      </c>
      <c r="I3" s="358">
        <f t="shared" ref="I3:J3" si="1">G3*G3*E3</f>
        <v>666</v>
      </c>
      <c r="J3" s="358">
        <f t="shared" si="1"/>
        <v>908.79786000000013</v>
      </c>
      <c r="K3" s="355"/>
      <c r="N3" s="4" t="s">
        <v>519</v>
      </c>
      <c r="O3" t="str">
        <f>A3</f>
        <v>D. Gehmacher</v>
      </c>
      <c r="P3" s="356">
        <f>E3</f>
        <v>18.5</v>
      </c>
      <c r="Q3" s="356">
        <f t="shared" ref="Q3:S3" si="2">F3</f>
        <v>18.600000000000001</v>
      </c>
      <c r="R3" s="356">
        <f t="shared" si="2"/>
        <v>6</v>
      </c>
      <c r="S3" s="356">
        <f t="shared" si="2"/>
        <v>6.99</v>
      </c>
      <c r="U3" s="4" t="s">
        <v>519</v>
      </c>
      <c r="V3" s="179" t="str">
        <f>O3</f>
        <v>D. Gehmacher</v>
      </c>
      <c r="W3" s="356">
        <f>P3</f>
        <v>18.5</v>
      </c>
      <c r="X3" s="356">
        <f t="shared" ref="X3:Z3" si="3">Q3</f>
        <v>18.600000000000001</v>
      </c>
      <c r="Y3" s="356">
        <f t="shared" si="3"/>
        <v>6</v>
      </c>
      <c r="Z3" s="356">
        <f t="shared" si="3"/>
        <v>6.99</v>
      </c>
    </row>
    <row r="4" spans="1:26" x14ac:dyDescent="0.25">
      <c r="A4" s="359" t="str">
        <f>PLANTILLA!D6</f>
        <v>T. Hammond</v>
      </c>
      <c r="B4" s="165">
        <f>PLANTILLA!E6</f>
        <v>34</v>
      </c>
      <c r="C4" s="165">
        <f>PLANTILLA!H6</f>
        <v>3</v>
      </c>
      <c r="D4" s="361">
        <f>PLANTILLA!I6</f>
        <v>7.9</v>
      </c>
      <c r="E4" s="354">
        <f t="shared" ref="E4:E22" si="4">D4</f>
        <v>7.9</v>
      </c>
      <c r="F4" s="354">
        <f t="shared" ref="F4:F22" si="5">E4+0.1</f>
        <v>8</v>
      </c>
      <c r="G4" s="354">
        <f t="shared" ref="G4:G22" si="6">C4</f>
        <v>3</v>
      </c>
      <c r="H4" s="354">
        <f t="shared" ref="H4:H22" si="7">G4+0.99</f>
        <v>3.99</v>
      </c>
      <c r="I4" s="358">
        <f t="shared" ref="I4:I22" si="8">G4*G4*E4</f>
        <v>71.100000000000009</v>
      </c>
      <c r="J4" s="358">
        <f t="shared" ref="J4:J22" si="9">H4*H4*F4</f>
        <v>127.36080000000001</v>
      </c>
      <c r="K4" s="355"/>
      <c r="O4" t="str">
        <f>A7</f>
        <v>E. Toney</v>
      </c>
      <c r="P4" s="356">
        <f>E7</f>
        <v>12.4</v>
      </c>
      <c r="Q4" s="356">
        <f t="shared" ref="Q4:S4" si="10">F7</f>
        <v>12.5</v>
      </c>
      <c r="R4" s="356">
        <f t="shared" si="10"/>
        <v>4</v>
      </c>
      <c r="S4" s="356">
        <f t="shared" si="10"/>
        <v>4.99</v>
      </c>
      <c r="V4" s="179" t="str">
        <f t="shared" ref="V4:V13" si="11">O4</f>
        <v>E. Toney</v>
      </c>
      <c r="W4" s="356">
        <f t="shared" ref="W4:W13" si="12">P4</f>
        <v>12.4</v>
      </c>
      <c r="X4" s="356">
        <f t="shared" ref="X4:X13" si="13">Q4</f>
        <v>12.5</v>
      </c>
      <c r="Y4" s="356">
        <f t="shared" ref="Y4:Y13" si="14">R4</f>
        <v>4</v>
      </c>
      <c r="Z4" s="356">
        <f t="shared" ref="Z4:Z13" si="15">S4</f>
        <v>4.99</v>
      </c>
    </row>
    <row r="5" spans="1:26" x14ac:dyDescent="0.25">
      <c r="A5" s="359" t="str">
        <f>PLANTILLA!D7</f>
        <v>B. Pinczehelyi</v>
      </c>
      <c r="B5" s="165">
        <f>PLANTILLA!E7</f>
        <v>30</v>
      </c>
      <c r="C5" s="165">
        <f>PLANTILLA!H7</f>
        <v>2</v>
      </c>
      <c r="D5" s="361">
        <f>PLANTILLA!I7</f>
        <v>14.4</v>
      </c>
      <c r="E5" s="354">
        <f t="shared" si="4"/>
        <v>14.4</v>
      </c>
      <c r="F5" s="354">
        <f t="shared" si="5"/>
        <v>14.5</v>
      </c>
      <c r="G5" s="354">
        <f t="shared" si="6"/>
        <v>2</v>
      </c>
      <c r="H5" s="354">
        <f t="shared" si="7"/>
        <v>2.99</v>
      </c>
      <c r="I5" s="358">
        <f t="shared" si="8"/>
        <v>57.6</v>
      </c>
      <c r="J5" s="358">
        <f t="shared" si="9"/>
        <v>129.63145000000003</v>
      </c>
      <c r="K5" s="355"/>
      <c r="L5" s="178"/>
      <c r="O5" t="str">
        <f>A15</f>
        <v>E. Gross</v>
      </c>
      <c r="P5" s="356">
        <f>E15</f>
        <v>9.3000000000000007</v>
      </c>
      <c r="Q5" s="356">
        <f t="shared" ref="Q5:S5" si="16">F15</f>
        <v>9.4</v>
      </c>
      <c r="R5" s="356">
        <f t="shared" si="16"/>
        <v>3</v>
      </c>
      <c r="S5" s="356">
        <f t="shared" si="16"/>
        <v>3.99</v>
      </c>
      <c r="V5" s="179" t="str">
        <f t="shared" si="11"/>
        <v>E. Gross</v>
      </c>
      <c r="W5" s="356">
        <f t="shared" si="12"/>
        <v>9.3000000000000007</v>
      </c>
      <c r="X5" s="356">
        <f t="shared" si="13"/>
        <v>9.4</v>
      </c>
      <c r="Y5" s="356">
        <f t="shared" si="14"/>
        <v>3</v>
      </c>
      <c r="Z5" s="356">
        <f t="shared" si="15"/>
        <v>3.99</v>
      </c>
    </row>
    <row r="6" spans="1:26" x14ac:dyDescent="0.25">
      <c r="A6" s="359" t="str">
        <f>PLANTILLA!D8</f>
        <v>D. Toh</v>
      </c>
      <c r="B6" s="165">
        <f>PLANTILLA!E8</f>
        <v>32</v>
      </c>
      <c r="C6" s="165">
        <f>PLANTILLA!H8</f>
        <v>4</v>
      </c>
      <c r="D6" s="361">
        <f>PLANTILLA!I8</f>
        <v>7.6</v>
      </c>
      <c r="E6" s="354">
        <f t="shared" si="4"/>
        <v>7.6</v>
      </c>
      <c r="F6" s="354">
        <f t="shared" si="5"/>
        <v>7.6999999999999993</v>
      </c>
      <c r="G6" s="354">
        <f t="shared" si="6"/>
        <v>4</v>
      </c>
      <c r="H6" s="354">
        <f t="shared" si="7"/>
        <v>4.99</v>
      </c>
      <c r="I6" s="358">
        <f t="shared" si="8"/>
        <v>121.6</v>
      </c>
      <c r="J6" s="358">
        <f t="shared" si="9"/>
        <v>191.73077000000001</v>
      </c>
      <c r="K6" s="355"/>
      <c r="O6" t="str">
        <f>A5</f>
        <v>B. Pinczehelyi</v>
      </c>
      <c r="P6" s="356">
        <f>E5</f>
        <v>14.4</v>
      </c>
      <c r="Q6" s="356">
        <f t="shared" ref="Q6:S6" si="17">F5</f>
        <v>14.5</v>
      </c>
      <c r="R6" s="356">
        <f t="shared" si="17"/>
        <v>2</v>
      </c>
      <c r="S6" s="356">
        <f t="shared" si="17"/>
        <v>2.99</v>
      </c>
      <c r="V6" s="179" t="str">
        <f t="shared" si="11"/>
        <v>B. Pinczehelyi</v>
      </c>
      <c r="W6" s="356">
        <f t="shared" si="12"/>
        <v>14.4</v>
      </c>
      <c r="X6" s="356">
        <f t="shared" si="13"/>
        <v>14.5</v>
      </c>
      <c r="Y6" s="356">
        <f t="shared" si="14"/>
        <v>2</v>
      </c>
      <c r="Z6" s="356">
        <f t="shared" si="15"/>
        <v>2.99</v>
      </c>
    </row>
    <row r="7" spans="1:26" x14ac:dyDescent="0.25">
      <c r="A7" s="359" t="str">
        <f>PLANTILLA!D9</f>
        <v>E. Toney</v>
      </c>
      <c r="B7" s="165">
        <f>PLANTILLA!E9</f>
        <v>31</v>
      </c>
      <c r="C7" s="165">
        <f>PLANTILLA!H9</f>
        <v>4</v>
      </c>
      <c r="D7" s="361">
        <f>PLANTILLA!I9</f>
        <v>12.4</v>
      </c>
      <c r="E7" s="354">
        <f t="shared" si="4"/>
        <v>12.4</v>
      </c>
      <c r="F7" s="354">
        <f t="shared" si="5"/>
        <v>12.5</v>
      </c>
      <c r="G7" s="354">
        <f t="shared" si="6"/>
        <v>4</v>
      </c>
      <c r="H7" s="354">
        <f t="shared" si="7"/>
        <v>4.99</v>
      </c>
      <c r="I7" s="358">
        <f t="shared" si="8"/>
        <v>198.4</v>
      </c>
      <c r="J7" s="358">
        <f t="shared" si="9"/>
        <v>311.25125000000003</v>
      </c>
      <c r="K7" s="355"/>
      <c r="O7" t="str">
        <f>A10</f>
        <v>E. Romweber</v>
      </c>
      <c r="P7" s="356">
        <f>E10</f>
        <v>12.6</v>
      </c>
      <c r="Q7" s="356">
        <f t="shared" ref="Q7:S7" si="18">F10</f>
        <v>12.7</v>
      </c>
      <c r="R7" s="356">
        <f t="shared" si="18"/>
        <v>0</v>
      </c>
      <c r="S7" s="356">
        <f t="shared" si="18"/>
        <v>0.99</v>
      </c>
      <c r="V7" s="179" t="str">
        <f t="shared" si="11"/>
        <v>E. Romweber</v>
      </c>
      <c r="W7" s="356">
        <f t="shared" si="12"/>
        <v>12.6</v>
      </c>
      <c r="X7" s="356">
        <f t="shared" si="13"/>
        <v>12.7</v>
      </c>
      <c r="Y7" s="356">
        <f t="shared" si="14"/>
        <v>0</v>
      </c>
      <c r="Z7" s="356">
        <f t="shared" si="15"/>
        <v>0.99</v>
      </c>
    </row>
    <row r="8" spans="1:26" x14ac:dyDescent="0.25">
      <c r="A8" s="359" t="str">
        <f>PLANTILLA!D10</f>
        <v>B. Bartolache</v>
      </c>
      <c r="B8" s="165">
        <f>PLANTILLA!E10</f>
        <v>31</v>
      </c>
      <c r="C8" s="165">
        <f>PLANTILLA!H10</f>
        <v>3</v>
      </c>
      <c r="D8" s="361">
        <f>PLANTILLA!I10</f>
        <v>9.5</v>
      </c>
      <c r="E8" s="354">
        <f t="shared" si="4"/>
        <v>9.5</v>
      </c>
      <c r="F8" s="354">
        <f t="shared" si="5"/>
        <v>9.6</v>
      </c>
      <c r="G8" s="354">
        <f t="shared" si="6"/>
        <v>3</v>
      </c>
      <c r="H8" s="354">
        <f t="shared" si="7"/>
        <v>3.99</v>
      </c>
      <c r="I8" s="358">
        <f t="shared" si="8"/>
        <v>85.5</v>
      </c>
      <c r="J8" s="358">
        <f t="shared" si="9"/>
        <v>152.83296000000001</v>
      </c>
      <c r="K8" s="355"/>
      <c r="O8" t="str">
        <f>A13</f>
        <v>S. Buschelman</v>
      </c>
      <c r="P8" s="356">
        <f>E13</f>
        <v>10.8</v>
      </c>
      <c r="Q8" s="356">
        <f t="shared" ref="Q8:S8" si="19">F13</f>
        <v>10.9</v>
      </c>
      <c r="R8" s="356">
        <f t="shared" si="19"/>
        <v>3</v>
      </c>
      <c r="S8" s="356">
        <f t="shared" si="19"/>
        <v>3.99</v>
      </c>
      <c r="V8" s="179" t="str">
        <f t="shared" si="11"/>
        <v>S. Buschelman</v>
      </c>
      <c r="W8" s="356">
        <f t="shared" si="12"/>
        <v>10.8</v>
      </c>
      <c r="X8" s="356">
        <f t="shared" si="13"/>
        <v>10.9</v>
      </c>
      <c r="Y8" s="356">
        <f t="shared" si="14"/>
        <v>3</v>
      </c>
      <c r="Z8" s="356">
        <f t="shared" si="15"/>
        <v>3.99</v>
      </c>
    </row>
    <row r="9" spans="1:26" x14ac:dyDescent="0.25">
      <c r="A9" s="359" t="str">
        <f>PLANTILLA!D11</f>
        <v>F. Lasprilla</v>
      </c>
      <c r="B9" s="165">
        <f>PLANTILLA!E11</f>
        <v>27</v>
      </c>
      <c r="C9" s="165">
        <f>PLANTILLA!H11</f>
        <v>4</v>
      </c>
      <c r="D9" s="361">
        <f>PLANTILLA!I11</f>
        <v>4.9000000000000004</v>
      </c>
      <c r="E9" s="354">
        <f t="shared" si="4"/>
        <v>4.9000000000000004</v>
      </c>
      <c r="F9" s="354">
        <f t="shared" si="5"/>
        <v>5</v>
      </c>
      <c r="G9" s="354">
        <f t="shared" si="6"/>
        <v>4</v>
      </c>
      <c r="H9" s="354">
        <f t="shared" si="7"/>
        <v>4.99</v>
      </c>
      <c r="I9" s="358">
        <f t="shared" si="8"/>
        <v>78.400000000000006</v>
      </c>
      <c r="J9" s="358">
        <f t="shared" si="9"/>
        <v>124.50050000000002</v>
      </c>
      <c r="K9" s="355"/>
      <c r="O9" t="str">
        <f>A16</f>
        <v>L. Bauman</v>
      </c>
      <c r="P9" s="356">
        <f>E16</f>
        <v>8.1999999999999993</v>
      </c>
      <c r="Q9" s="356">
        <f t="shared" ref="Q9:S9" si="20">F16</f>
        <v>8.2999999999999989</v>
      </c>
      <c r="R9" s="356">
        <f t="shared" si="20"/>
        <v>0</v>
      </c>
      <c r="S9" s="356">
        <f t="shared" si="20"/>
        <v>0.99</v>
      </c>
      <c r="V9" s="179" t="str">
        <f t="shared" si="11"/>
        <v>L. Bauman</v>
      </c>
      <c r="W9" s="356">
        <f t="shared" si="12"/>
        <v>8.1999999999999993</v>
      </c>
      <c r="X9" s="356">
        <f t="shared" si="13"/>
        <v>8.2999999999999989</v>
      </c>
      <c r="Y9" s="356">
        <f t="shared" si="14"/>
        <v>0</v>
      </c>
      <c r="Z9" s="356">
        <f t="shared" si="15"/>
        <v>0.99</v>
      </c>
    </row>
    <row r="10" spans="1:26" x14ac:dyDescent="0.25">
      <c r="A10" s="359" t="str">
        <f>PLANTILLA!D12</f>
        <v>E. Romweber</v>
      </c>
      <c r="B10" s="165">
        <f>PLANTILLA!E12</f>
        <v>31</v>
      </c>
      <c r="C10" s="165">
        <f>PLANTILLA!H12</f>
        <v>0</v>
      </c>
      <c r="D10" s="361">
        <f>PLANTILLA!I12</f>
        <v>12.6</v>
      </c>
      <c r="E10" s="354">
        <f t="shared" si="4"/>
        <v>12.6</v>
      </c>
      <c r="F10" s="354">
        <f t="shared" si="5"/>
        <v>12.7</v>
      </c>
      <c r="G10" s="354">
        <f t="shared" si="6"/>
        <v>0</v>
      </c>
      <c r="H10" s="354">
        <f t="shared" si="7"/>
        <v>0.99</v>
      </c>
      <c r="I10" s="358">
        <f t="shared" si="8"/>
        <v>0</v>
      </c>
      <c r="J10" s="358">
        <f t="shared" si="9"/>
        <v>12.44727</v>
      </c>
      <c r="K10" s="355"/>
      <c r="O10" t="str">
        <f>A14</f>
        <v>C. Rojas</v>
      </c>
      <c r="P10" s="356">
        <f>E14</f>
        <v>11.3</v>
      </c>
      <c r="Q10" s="356">
        <f t="shared" ref="Q10:S10" si="21">F14</f>
        <v>11.4</v>
      </c>
      <c r="R10" s="356">
        <f t="shared" si="21"/>
        <v>4</v>
      </c>
      <c r="S10" s="356">
        <f t="shared" si="21"/>
        <v>4.99</v>
      </c>
      <c r="V10" s="179" t="str">
        <f t="shared" si="11"/>
        <v>C. Rojas</v>
      </c>
      <c r="W10" s="356">
        <f t="shared" si="12"/>
        <v>11.3</v>
      </c>
      <c r="X10" s="356">
        <f t="shared" si="13"/>
        <v>11.4</v>
      </c>
      <c r="Y10" s="356">
        <f t="shared" si="14"/>
        <v>4</v>
      </c>
      <c r="Z10" s="356">
        <f t="shared" si="15"/>
        <v>4.99</v>
      </c>
    </row>
    <row r="11" spans="1:26" x14ac:dyDescent="0.25">
      <c r="A11" s="359" t="str">
        <f>PLANTILLA!D13</f>
        <v>K. Helms</v>
      </c>
      <c r="B11" s="165">
        <f>PLANTILLA!E13</f>
        <v>30</v>
      </c>
      <c r="C11" s="165">
        <f>PLANTILLA!H13</f>
        <v>2</v>
      </c>
      <c r="D11" s="361">
        <f>PLANTILLA!I13</f>
        <v>10.4</v>
      </c>
      <c r="E11" s="354">
        <f t="shared" si="4"/>
        <v>10.4</v>
      </c>
      <c r="F11" s="354">
        <f t="shared" si="5"/>
        <v>10.5</v>
      </c>
      <c r="G11" s="354">
        <f t="shared" si="6"/>
        <v>2</v>
      </c>
      <c r="H11" s="354">
        <f t="shared" si="7"/>
        <v>2.99</v>
      </c>
      <c r="I11" s="358">
        <f t="shared" si="8"/>
        <v>41.6</v>
      </c>
      <c r="J11" s="358">
        <f t="shared" si="9"/>
        <v>93.871050000000011</v>
      </c>
      <c r="K11" s="355"/>
      <c r="O11" t="str">
        <f>A11</f>
        <v>K. Helms</v>
      </c>
      <c r="P11" s="356">
        <f>E11</f>
        <v>10.4</v>
      </c>
      <c r="Q11" s="356">
        <f t="shared" ref="Q11:S11" si="22">F11</f>
        <v>10.5</v>
      </c>
      <c r="R11" s="356">
        <f t="shared" si="22"/>
        <v>2</v>
      </c>
      <c r="S11" s="356">
        <f t="shared" si="22"/>
        <v>2.99</v>
      </c>
      <c r="V11" s="179" t="str">
        <f t="shared" si="11"/>
        <v>K. Helms</v>
      </c>
      <c r="W11" s="356">
        <f t="shared" si="12"/>
        <v>10.4</v>
      </c>
      <c r="X11" s="356">
        <f t="shared" si="13"/>
        <v>10.5</v>
      </c>
      <c r="Y11" s="356">
        <f t="shared" si="14"/>
        <v>2</v>
      </c>
      <c r="Z11" s="356">
        <f t="shared" si="15"/>
        <v>2.99</v>
      </c>
    </row>
    <row r="12" spans="1:26" x14ac:dyDescent="0.25">
      <c r="A12" s="359" t="str">
        <f>PLANTILLA!D14</f>
        <v>S. Zobbe</v>
      </c>
      <c r="B12" s="165">
        <f>PLANTILLA!E14</f>
        <v>27</v>
      </c>
      <c r="C12" s="165">
        <f>PLANTILLA!H14</f>
        <v>2</v>
      </c>
      <c r="D12" s="361">
        <f>PLANTILLA!I14</f>
        <v>9</v>
      </c>
      <c r="E12" s="354">
        <f t="shared" si="4"/>
        <v>9</v>
      </c>
      <c r="F12" s="354">
        <f t="shared" si="5"/>
        <v>9.1</v>
      </c>
      <c r="G12" s="354">
        <f t="shared" si="6"/>
        <v>2</v>
      </c>
      <c r="H12" s="354">
        <f t="shared" si="7"/>
        <v>2.99</v>
      </c>
      <c r="I12" s="358">
        <f t="shared" si="8"/>
        <v>36</v>
      </c>
      <c r="J12" s="358">
        <f t="shared" si="9"/>
        <v>81.354910000000004</v>
      </c>
      <c r="K12" s="355"/>
      <c r="O12" t="str">
        <f>A21</f>
        <v>L. Calosso</v>
      </c>
      <c r="P12" s="356">
        <f>E21</f>
        <v>10.5</v>
      </c>
      <c r="Q12" s="356">
        <f t="shared" ref="Q12:S12" si="23">F21</f>
        <v>10.6</v>
      </c>
      <c r="R12" s="356">
        <f t="shared" si="23"/>
        <v>3</v>
      </c>
      <c r="S12" s="356">
        <f t="shared" si="23"/>
        <v>3.99</v>
      </c>
      <c r="V12" s="179" t="str">
        <f t="shared" si="11"/>
        <v>L. Calosso</v>
      </c>
      <c r="W12" s="356">
        <f t="shared" si="12"/>
        <v>10.5</v>
      </c>
      <c r="X12" s="356">
        <f t="shared" si="13"/>
        <v>10.6</v>
      </c>
      <c r="Y12" s="356">
        <f t="shared" si="14"/>
        <v>3</v>
      </c>
      <c r="Z12" s="356">
        <f t="shared" si="15"/>
        <v>3.99</v>
      </c>
    </row>
    <row r="13" spans="1:26" x14ac:dyDescent="0.25">
      <c r="A13" s="359" t="str">
        <f>PLANTILLA!D15</f>
        <v>S. Buschelman</v>
      </c>
      <c r="B13" s="165">
        <f>PLANTILLA!E15</f>
        <v>29</v>
      </c>
      <c r="C13" s="165">
        <f>PLANTILLA!H15</f>
        <v>3</v>
      </c>
      <c r="D13" s="361">
        <f>PLANTILLA!I15</f>
        <v>10.8</v>
      </c>
      <c r="E13" s="354">
        <f t="shared" si="4"/>
        <v>10.8</v>
      </c>
      <c r="F13" s="354">
        <f t="shared" si="5"/>
        <v>10.9</v>
      </c>
      <c r="G13" s="354">
        <f t="shared" si="6"/>
        <v>3</v>
      </c>
      <c r="H13" s="354">
        <f t="shared" si="7"/>
        <v>3.99</v>
      </c>
      <c r="I13" s="358">
        <f t="shared" si="8"/>
        <v>97.2</v>
      </c>
      <c r="J13" s="358">
        <f t="shared" si="9"/>
        <v>173.52909000000002</v>
      </c>
      <c r="K13" s="355"/>
      <c r="O13" t="str">
        <f>A20</f>
        <v>J. Limon</v>
      </c>
      <c r="P13" s="356">
        <f>E20</f>
        <v>10.3</v>
      </c>
      <c r="Q13" s="356">
        <f t="shared" ref="Q13:S13" si="24">F20</f>
        <v>10.4</v>
      </c>
      <c r="R13" s="356">
        <f t="shared" si="24"/>
        <v>3</v>
      </c>
      <c r="S13" s="356">
        <f t="shared" si="24"/>
        <v>3.99</v>
      </c>
      <c r="V13" s="179" t="str">
        <f t="shared" si="11"/>
        <v>J. Limon</v>
      </c>
      <c r="W13" s="356">
        <f t="shared" si="12"/>
        <v>10.3</v>
      </c>
      <c r="X13" s="356">
        <f t="shared" si="13"/>
        <v>10.4</v>
      </c>
      <c r="Y13" s="356">
        <f t="shared" si="14"/>
        <v>3</v>
      </c>
      <c r="Z13" s="356">
        <f t="shared" si="15"/>
        <v>3.99</v>
      </c>
    </row>
    <row r="14" spans="1:26" x14ac:dyDescent="0.25">
      <c r="A14" s="359" t="str">
        <f>PLANTILLA!D16</f>
        <v>C. Rojas</v>
      </c>
      <c r="B14" s="165">
        <f>PLANTILLA!E16</f>
        <v>32</v>
      </c>
      <c r="C14" s="165">
        <f>PLANTILLA!H16</f>
        <v>4</v>
      </c>
      <c r="D14" s="361">
        <f>PLANTILLA!I16</f>
        <v>11.3</v>
      </c>
      <c r="E14" s="354">
        <f t="shared" si="4"/>
        <v>11.3</v>
      </c>
      <c r="F14" s="354">
        <f t="shared" si="5"/>
        <v>11.4</v>
      </c>
      <c r="G14" s="354">
        <f t="shared" si="6"/>
        <v>4</v>
      </c>
      <c r="H14" s="354">
        <f t="shared" si="7"/>
        <v>4.99</v>
      </c>
      <c r="I14" s="358">
        <f t="shared" si="8"/>
        <v>180.8</v>
      </c>
      <c r="J14" s="358">
        <f t="shared" si="9"/>
        <v>283.86114000000003</v>
      </c>
      <c r="K14" s="355"/>
      <c r="P14" s="159">
        <f>SUM(P4:P13)/10</f>
        <v>11.02</v>
      </c>
      <c r="Q14" s="159">
        <f>SUM(Q4:Q13)/10</f>
        <v>11.120000000000001</v>
      </c>
      <c r="R14" s="159"/>
      <c r="S14" s="159"/>
      <c r="W14" s="159">
        <f>SUM(W4:W13)/10</f>
        <v>11.02</v>
      </c>
      <c r="X14" s="159">
        <f>SUM(X4:X13)/10</f>
        <v>11.120000000000001</v>
      </c>
      <c r="Y14" s="159"/>
      <c r="Z14" s="159"/>
    </row>
    <row r="15" spans="1:26" x14ac:dyDescent="0.25">
      <c r="A15" s="359" t="str">
        <f>PLANTILLA!D17</f>
        <v>E. Gross</v>
      </c>
      <c r="B15" s="165">
        <f>PLANTILLA!E17</f>
        <v>31</v>
      </c>
      <c r="C15" s="165">
        <f>PLANTILLA!H17</f>
        <v>3</v>
      </c>
      <c r="D15" s="361">
        <f>PLANTILLA!I17</f>
        <v>9.3000000000000007</v>
      </c>
      <c r="E15" s="354">
        <f t="shared" si="4"/>
        <v>9.3000000000000007</v>
      </c>
      <c r="F15" s="354">
        <f t="shared" si="5"/>
        <v>9.4</v>
      </c>
      <c r="G15" s="354">
        <f t="shared" si="6"/>
        <v>3</v>
      </c>
      <c r="H15" s="354">
        <f t="shared" si="7"/>
        <v>3.99</v>
      </c>
      <c r="I15" s="358">
        <f t="shared" si="8"/>
        <v>83.7</v>
      </c>
      <c r="J15" s="358">
        <f t="shared" si="9"/>
        <v>149.64894000000001</v>
      </c>
      <c r="K15" s="355"/>
    </row>
    <row r="16" spans="1:26" x14ac:dyDescent="0.25">
      <c r="A16" s="359" t="str">
        <f>PLANTILLA!D18</f>
        <v>L. Bauman</v>
      </c>
      <c r="B16" s="165">
        <f>PLANTILLA!E18</f>
        <v>30</v>
      </c>
      <c r="C16" s="165">
        <f>PLANTILLA!H18</f>
        <v>0</v>
      </c>
      <c r="D16" s="361">
        <f>PLANTILLA!I18</f>
        <v>8.1999999999999993</v>
      </c>
      <c r="E16" s="354">
        <f t="shared" si="4"/>
        <v>8.1999999999999993</v>
      </c>
      <c r="F16" s="354">
        <f t="shared" si="5"/>
        <v>8.2999999999999989</v>
      </c>
      <c r="G16" s="354">
        <f t="shared" si="6"/>
        <v>0</v>
      </c>
      <c r="H16" s="354">
        <f t="shared" si="7"/>
        <v>0.99</v>
      </c>
      <c r="I16" s="358">
        <f t="shared" si="8"/>
        <v>0</v>
      </c>
      <c r="J16" s="358">
        <f t="shared" si="9"/>
        <v>8.1348299999999991</v>
      </c>
      <c r="K16" s="355"/>
      <c r="L16" s="184" t="s">
        <v>520</v>
      </c>
      <c r="O16" t="s">
        <v>521</v>
      </c>
      <c r="P16" s="265">
        <f>SUM(P3:P13)</f>
        <v>128.70000000000002</v>
      </c>
      <c r="Q16" s="265">
        <f>SUM(Q3:Q13)</f>
        <v>129.80000000000001</v>
      </c>
      <c r="R16" s="265"/>
      <c r="V16" s="179" t="s">
        <v>521</v>
      </c>
      <c r="W16" s="265">
        <f>SUM(W3:W13)</f>
        <v>128.70000000000002</v>
      </c>
      <c r="X16" s="265">
        <f>SUM(X3:X13)</f>
        <v>129.80000000000001</v>
      </c>
      <c r="Y16" s="265"/>
    </row>
    <row r="17" spans="1:25" x14ac:dyDescent="0.25">
      <c r="A17" s="359" t="str">
        <f>PLANTILLA!D19</f>
        <v>W. Gelifini</v>
      </c>
      <c r="B17" s="165">
        <f>PLANTILLA!E19</f>
        <v>29</v>
      </c>
      <c r="C17" s="165">
        <f>PLANTILLA!H19</f>
        <v>2</v>
      </c>
      <c r="D17" s="361">
        <f>PLANTILLA!I19</f>
        <v>4</v>
      </c>
      <c r="E17" s="354">
        <f t="shared" si="4"/>
        <v>4</v>
      </c>
      <c r="F17" s="354">
        <f t="shared" si="5"/>
        <v>4.0999999999999996</v>
      </c>
      <c r="G17" s="354">
        <f t="shared" si="6"/>
        <v>2</v>
      </c>
      <c r="H17" s="354">
        <f t="shared" si="7"/>
        <v>2.99</v>
      </c>
      <c r="I17" s="358">
        <f t="shared" si="8"/>
        <v>16</v>
      </c>
      <c r="J17" s="358">
        <f t="shared" si="9"/>
        <v>36.654409999999999</v>
      </c>
      <c r="K17" s="355"/>
      <c r="O17" s="318" t="s">
        <v>873</v>
      </c>
      <c r="P17" s="159">
        <f>P16/16.5</f>
        <v>7.8000000000000007</v>
      </c>
      <c r="Q17" s="159">
        <f>Q16/16.5</f>
        <v>7.8666666666666671</v>
      </c>
      <c r="R17" s="159"/>
      <c r="V17" s="179" t="s">
        <v>522</v>
      </c>
      <c r="W17" s="159">
        <f>W16/17</f>
        <v>7.5705882352941183</v>
      </c>
      <c r="X17" s="159">
        <f>X16/17</f>
        <v>7.6352941176470592</v>
      </c>
      <c r="Y17" s="159"/>
    </row>
    <row r="18" spans="1:25" x14ac:dyDescent="0.25">
      <c r="A18" s="359" t="e">
        <f>PLANTILLA!#REF!</f>
        <v>#REF!</v>
      </c>
      <c r="B18" s="165" t="e">
        <f>PLANTILLA!#REF!</f>
        <v>#REF!</v>
      </c>
      <c r="C18" s="165" t="e">
        <f>PLANTILLA!#REF!</f>
        <v>#REF!</v>
      </c>
      <c r="D18" s="361" t="e">
        <f>PLANTILLA!#REF!</f>
        <v>#REF!</v>
      </c>
      <c r="E18" s="354" t="e">
        <f t="shared" ref="E18" si="25">D18</f>
        <v>#REF!</v>
      </c>
      <c r="F18" s="354" t="e">
        <f t="shared" ref="F18" si="26">E18+0.1</f>
        <v>#REF!</v>
      </c>
      <c r="G18" s="354" t="e">
        <f t="shared" ref="G18" si="27">C18</f>
        <v>#REF!</v>
      </c>
      <c r="H18" s="354" t="e">
        <f t="shared" ref="H18" si="28">G18+0.99</f>
        <v>#REF!</v>
      </c>
      <c r="I18" s="358" t="e">
        <f t="shared" ref="I18" si="29">G18*G18*E18</f>
        <v>#REF!</v>
      </c>
      <c r="J18" s="358" t="e">
        <f t="shared" ref="J18" si="30">H18*H18*F18</f>
        <v>#REF!</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PLANTILLA!D20</f>
        <v>G. Kerschl</v>
      </c>
      <c r="B19" s="165">
        <f>PLANTILLA!E20</f>
        <v>29</v>
      </c>
      <c r="C19" s="165">
        <f>PLANTILLA!H20</f>
        <v>1</v>
      </c>
      <c r="D19" s="361">
        <f>PLANTILLA!I20</f>
        <v>9</v>
      </c>
      <c r="E19" s="354">
        <f t="shared" ref="E19" si="31">D19</f>
        <v>9</v>
      </c>
      <c r="F19" s="354">
        <f t="shared" ref="F19" si="32">E19+0.1</f>
        <v>9.1</v>
      </c>
      <c r="G19" s="354">
        <f t="shared" ref="G19" si="33">C19</f>
        <v>1</v>
      </c>
      <c r="H19" s="354">
        <f t="shared" ref="H19" si="34">G19+0.99</f>
        <v>1.99</v>
      </c>
      <c r="I19" s="358">
        <f t="shared" ref="I19" si="35">G19*G19*E19</f>
        <v>9</v>
      </c>
      <c r="J19" s="358">
        <f t="shared" ref="J19" si="36">H19*H19*F19</f>
        <v>36.036909999999999</v>
      </c>
      <c r="K19" s="355"/>
      <c r="L19" s="184" t="s">
        <v>525</v>
      </c>
      <c r="O19" s="246" t="s">
        <v>526</v>
      </c>
      <c r="P19" s="265">
        <f>P18*P3</f>
        <v>666</v>
      </c>
      <c r="Q19" s="265">
        <f>Q18*Q3</f>
        <v>908.79786000000013</v>
      </c>
      <c r="R19" s="265"/>
      <c r="V19" s="179" t="s">
        <v>526</v>
      </c>
      <c r="W19" s="265">
        <f>W18*W3</f>
        <v>666</v>
      </c>
      <c r="X19" s="265">
        <f>X18*X3</f>
        <v>908.79786000000013</v>
      </c>
      <c r="Y19" s="265"/>
    </row>
    <row r="20" spans="1:25" x14ac:dyDescent="0.25">
      <c r="A20" s="359" t="str">
        <f>PLANTILLA!D21</f>
        <v>J. Limon</v>
      </c>
      <c r="B20" s="165">
        <f>PLANTILLA!E21</f>
        <v>30</v>
      </c>
      <c r="C20" s="165">
        <f>PLANTILLA!H21</f>
        <v>3</v>
      </c>
      <c r="D20" s="361">
        <f>PLANTILLA!I21</f>
        <v>10.3</v>
      </c>
      <c r="E20" s="354">
        <f t="shared" si="4"/>
        <v>10.3</v>
      </c>
      <c r="F20" s="354">
        <f t="shared" si="5"/>
        <v>10.4</v>
      </c>
      <c r="G20" s="354">
        <f t="shared" si="6"/>
        <v>3</v>
      </c>
      <c r="H20" s="354">
        <f t="shared" si="7"/>
        <v>3.99</v>
      </c>
      <c r="I20" s="358">
        <f t="shared" si="8"/>
        <v>92.7</v>
      </c>
      <c r="J20" s="358">
        <f t="shared" si="9"/>
        <v>165.56904000000003</v>
      </c>
      <c r="K20" s="355"/>
      <c r="L20" s="184" t="s">
        <v>527</v>
      </c>
      <c r="O20" s="318" t="s">
        <v>874</v>
      </c>
      <c r="P20" s="159">
        <f>(P19^(2/3))/27</f>
        <v>2.8245703024146396</v>
      </c>
      <c r="Q20" s="159">
        <f>(Q19^(2/3))/27</f>
        <v>3.4749436491131709</v>
      </c>
      <c r="R20" s="159"/>
      <c r="V20" s="179" t="s">
        <v>528</v>
      </c>
      <c r="W20" s="159">
        <f>(W19^(2/3))/30</f>
        <v>2.5421132721731756</v>
      </c>
      <c r="X20" s="159">
        <f>(X19^(2/3))/30</f>
        <v>3.1274492842018535</v>
      </c>
      <c r="Y20" s="159"/>
    </row>
    <row r="21" spans="1:25" x14ac:dyDescent="0.25">
      <c r="A21" s="359" t="str">
        <f>PLANTILLA!D22</f>
        <v>L. Calosso</v>
      </c>
      <c r="B21" s="165">
        <f>PLANTILLA!E22</f>
        <v>30</v>
      </c>
      <c r="C21" s="165">
        <f>PLANTILLA!H22</f>
        <v>3</v>
      </c>
      <c r="D21" s="361">
        <f>PLANTILLA!I22</f>
        <v>10.5</v>
      </c>
      <c r="E21" s="354">
        <f t="shared" si="4"/>
        <v>10.5</v>
      </c>
      <c r="F21" s="354">
        <f t="shared" si="5"/>
        <v>10.6</v>
      </c>
      <c r="G21" s="354">
        <f t="shared" si="6"/>
        <v>3</v>
      </c>
      <c r="H21" s="354">
        <f t="shared" si="7"/>
        <v>3.99</v>
      </c>
      <c r="I21" s="358">
        <f t="shared" si="8"/>
        <v>94.5</v>
      </c>
      <c r="J21" s="358">
        <f t="shared" si="9"/>
        <v>168.75306</v>
      </c>
      <c r="K21" s="355"/>
      <c r="L21" s="184" t="s">
        <v>529</v>
      </c>
      <c r="O21" s="179" t="s">
        <v>530</v>
      </c>
      <c r="P21" s="672">
        <f>P17+P20</f>
        <v>10.624570302414639</v>
      </c>
      <c r="Q21" s="672">
        <f>Q17+Q20</f>
        <v>11.341610315779839</v>
      </c>
      <c r="V21" s="179" t="s">
        <v>530</v>
      </c>
      <c r="W21" s="672">
        <f>W17+W20</f>
        <v>10.112701507467294</v>
      </c>
      <c r="X21" s="672">
        <f>X17+X20</f>
        <v>10.762743401848912</v>
      </c>
    </row>
    <row r="22" spans="1:25" x14ac:dyDescent="0.25">
      <c r="A22" s="359" t="str">
        <f>PLANTILLA!D23</f>
        <v>P .Trivadi</v>
      </c>
      <c r="B22" s="165">
        <f>PLANTILLA!E23</f>
        <v>27</v>
      </c>
      <c r="C22" s="165">
        <f>PLANTILLA!H23</f>
        <v>5</v>
      </c>
      <c r="D22" s="361">
        <f>PLANTILLA!I23</f>
        <v>5.5</v>
      </c>
      <c r="E22" s="354">
        <f t="shared" si="4"/>
        <v>5.5</v>
      </c>
      <c r="F22" s="354">
        <f t="shared" si="5"/>
        <v>5.6</v>
      </c>
      <c r="G22" s="354">
        <f t="shared" si="6"/>
        <v>5</v>
      </c>
      <c r="H22" s="354">
        <f t="shared" si="7"/>
        <v>5.99</v>
      </c>
      <c r="I22" s="358">
        <f t="shared" si="8"/>
        <v>137.5</v>
      </c>
      <c r="J22" s="358">
        <f t="shared" si="9"/>
        <v>200.92856000000003</v>
      </c>
      <c r="K22" s="355"/>
      <c r="L22" t="s">
        <v>531</v>
      </c>
    </row>
    <row r="23" spans="1:25" x14ac:dyDescent="0.25">
      <c r="A23" s="359"/>
      <c r="B23" s="165"/>
      <c r="C23" s="165"/>
      <c r="D23" s="361"/>
      <c r="E23" s="354"/>
      <c r="F23" s="354"/>
      <c r="G23" s="354"/>
      <c r="H23" s="354"/>
      <c r="I23" s="358"/>
      <c r="J23" s="358"/>
      <c r="K23" s="355"/>
      <c r="O23" s="290">
        <v>42576</v>
      </c>
      <c r="P23">
        <v>6.76</v>
      </c>
      <c r="Q23">
        <v>6.99</v>
      </c>
      <c r="R23" t="s">
        <v>830</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N17" sqref="N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8" bestFit="1" customWidth="1"/>
    <col min="14" max="14" width="21.5703125" style="418" bestFit="1" customWidth="1"/>
    <col min="15" max="15" width="14" style="467" bestFit="1" customWidth="1"/>
    <col min="16" max="16" width="13" style="418" bestFit="1" customWidth="1"/>
    <col min="17" max="17" width="10.42578125" style="418" bestFit="1" customWidth="1"/>
    <col min="18" max="18" width="10.28515625" style="418" bestFit="1" customWidth="1"/>
    <col min="19" max="19" width="21" style="418" bestFit="1" customWidth="1"/>
    <col min="20" max="20" width="12" style="418" bestFit="1" customWidth="1"/>
    <col min="21" max="21" width="16.85546875" style="418"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9" t="s">
        <v>594</v>
      </c>
      <c r="N1" s="419" t="s">
        <v>595</v>
      </c>
      <c r="O1" s="419" t="s">
        <v>662</v>
      </c>
      <c r="P1" s="419" t="s">
        <v>592</v>
      </c>
      <c r="Q1" s="419" t="s">
        <v>598</v>
      </c>
      <c r="R1" s="419" t="s">
        <v>599</v>
      </c>
      <c r="S1" s="419" t="s">
        <v>593</v>
      </c>
      <c r="T1" s="419" t="s">
        <v>537</v>
      </c>
      <c r="U1" s="419" t="s">
        <v>596</v>
      </c>
      <c r="V1" s="419"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20">
        <v>41576</v>
      </c>
      <c r="N2" s="420">
        <v>41731</v>
      </c>
      <c r="O2" s="420">
        <v>42305</v>
      </c>
      <c r="P2" s="228">
        <v>772000</v>
      </c>
      <c r="Q2" s="228">
        <f>((N2-M2)/7)*L2</f>
        <v>6642.8571428571431</v>
      </c>
      <c r="R2" s="228">
        <f ca="1">((TODAY()-N2)/7)*L2</f>
        <v>60300</v>
      </c>
      <c r="S2" s="228">
        <v>2068800</v>
      </c>
      <c r="T2" s="228">
        <f ca="1">S2+Q2+P2+R2</f>
        <v>2907742.8571428573</v>
      </c>
      <c r="U2" s="233">
        <f ca="1">T2/((O2-N2)/112)</f>
        <v>567364.45993031363</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9" t="s">
        <v>594</v>
      </c>
      <c r="N3" s="419" t="s">
        <v>595</v>
      </c>
      <c r="O3" s="419" t="s">
        <v>662</v>
      </c>
      <c r="P3" s="419" t="s">
        <v>592</v>
      </c>
      <c r="Q3" s="419" t="s">
        <v>598</v>
      </c>
      <c r="R3" s="419" t="s">
        <v>599</v>
      </c>
      <c r="S3" s="419" t="s">
        <v>593</v>
      </c>
      <c r="T3" s="419" t="s">
        <v>537</v>
      </c>
      <c r="U3" s="419" t="s">
        <v>596</v>
      </c>
      <c r="V3" s="419"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20">
        <v>41976</v>
      </c>
      <c r="N4" s="420">
        <v>42305</v>
      </c>
      <c r="O4" s="420">
        <v>42908</v>
      </c>
      <c r="P4" s="228">
        <v>1052640</v>
      </c>
      <c r="Q4" s="228">
        <f>((N4-M4)/7)*L4</f>
        <v>14100</v>
      </c>
      <c r="R4" s="228">
        <f ca="1">((TODAY()-N4)/7)*L4</f>
        <v>35700</v>
      </c>
      <c r="S4" s="228">
        <v>2059800</v>
      </c>
      <c r="T4" s="228">
        <f>S4+Q4+P4</f>
        <v>3126540</v>
      </c>
      <c r="U4" s="233">
        <f>T4/((O4-N4)/112)</f>
        <v>580717.21393034828</v>
      </c>
      <c r="V4" s="163">
        <f ca="1">(A7-N4)/112</f>
        <v>7.4375</v>
      </c>
    </row>
    <row r="5" spans="1:22" x14ac:dyDescent="0.25">
      <c r="M5" s="467"/>
      <c r="N5" s="467"/>
      <c r="O5" s="621"/>
      <c r="P5" s="467"/>
      <c r="Q5" s="467"/>
      <c r="R5" s="467"/>
      <c r="S5" s="467"/>
      <c r="T5" s="467"/>
      <c r="U5" s="467"/>
    </row>
    <row r="6" spans="1:22" x14ac:dyDescent="0.25">
      <c r="M6" s="467"/>
      <c r="N6" s="467"/>
      <c r="P6" s="467"/>
      <c r="Q6" s="467"/>
      <c r="R6" s="467"/>
      <c r="S6" s="467"/>
      <c r="T6" s="467"/>
      <c r="U6" s="467"/>
    </row>
    <row r="7" spans="1:22" x14ac:dyDescent="0.25">
      <c r="A7" s="177">
        <f ca="1">TODAY()</f>
        <v>43138</v>
      </c>
    </row>
    <row r="8" spans="1:22" x14ac:dyDescent="0.25">
      <c r="A8" s="177">
        <v>41757</v>
      </c>
    </row>
    <row r="9" spans="1:22" x14ac:dyDescent="0.25">
      <c r="A9" s="179">
        <f ca="1">A7-A8</f>
        <v>1381</v>
      </c>
    </row>
    <row r="10" spans="1:22" x14ac:dyDescent="0.25">
      <c r="A10" s="417">
        <f ca="1">A9/112</f>
        <v>12.330357142857142</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9" t="s">
        <v>594</v>
      </c>
      <c r="N12" s="419" t="s">
        <v>595</v>
      </c>
      <c r="O12" s="419" t="s">
        <v>662</v>
      </c>
      <c r="P12" s="419" t="s">
        <v>592</v>
      </c>
      <c r="Q12" s="419" t="s">
        <v>598</v>
      </c>
      <c r="R12" s="419" t="s">
        <v>599</v>
      </c>
      <c r="S12" s="419" t="s">
        <v>593</v>
      </c>
      <c r="T12" s="419" t="s">
        <v>537</v>
      </c>
      <c r="U12" s="419" t="s">
        <v>596</v>
      </c>
      <c r="V12" s="419" t="s">
        <v>597</v>
      </c>
    </row>
    <row r="13" spans="1:22" x14ac:dyDescent="0.25">
      <c r="D13" s="294" t="s">
        <v>844</v>
      </c>
      <c r="E13" s="210">
        <v>39</v>
      </c>
      <c r="F13" s="262"/>
      <c r="G13" s="371">
        <v>6</v>
      </c>
      <c r="H13" s="214">
        <v>13</v>
      </c>
      <c r="I13" s="303">
        <f t="shared" ref="I13" si="2">(G13)*(G13)*(H13)</f>
        <v>468</v>
      </c>
      <c r="J13" s="303">
        <f t="shared" ref="J13" si="3">(G13+1)*(G13+1)*H13</f>
        <v>637</v>
      </c>
      <c r="K13" s="295">
        <v>1130</v>
      </c>
      <c r="L13" s="295">
        <v>864</v>
      </c>
      <c r="M13" s="420">
        <v>42628</v>
      </c>
      <c r="N13" s="420">
        <f>O4</f>
        <v>42908</v>
      </c>
      <c r="O13" s="420">
        <f ca="1">TODAY()</f>
        <v>43138</v>
      </c>
      <c r="P13" s="623">
        <v>1800000</v>
      </c>
      <c r="Q13" s="228">
        <v>372</v>
      </c>
      <c r="R13" s="228">
        <f t="shared" ref="R13" ca="1" si="4">((TODAY()-N13)/7)*L13</f>
        <v>28388.571428571428</v>
      </c>
      <c r="S13" s="623">
        <v>2553000</v>
      </c>
      <c r="T13" s="228">
        <f t="shared" ref="T13" si="5">S13+Q13+P13</f>
        <v>4353372</v>
      </c>
      <c r="U13" s="233">
        <f t="shared" ref="U13" ca="1" si="6">T13/((O13-N13)/112)</f>
        <v>2119902.8869565218</v>
      </c>
      <c r="V13" s="163">
        <v>7</v>
      </c>
    </row>
    <row r="16" spans="1:22" x14ac:dyDescent="0.25">
      <c r="N16" s="682"/>
    </row>
    <row r="17" spans="1:22" ht="18" x14ac:dyDescent="0.25">
      <c r="A17" s="608">
        <v>42908</v>
      </c>
      <c r="B17" s="290"/>
      <c r="C17">
        <v>112</v>
      </c>
      <c r="D17">
        <v>0</v>
      </c>
    </row>
    <row r="18" spans="1:22" x14ac:dyDescent="0.25">
      <c r="A18" s="290">
        <f ca="1">TODAY()</f>
        <v>43138</v>
      </c>
      <c r="B18" s="290"/>
      <c r="C18">
        <v>400</v>
      </c>
      <c r="D18">
        <v>1</v>
      </c>
    </row>
    <row r="19" spans="1:22" x14ac:dyDescent="0.25">
      <c r="A19">
        <f ca="1">A18-A17</f>
        <v>230</v>
      </c>
      <c r="C19">
        <f>C18-C17</f>
        <v>288</v>
      </c>
      <c r="D19" s="609">
        <f ca="1">(A19-C17)/C19</f>
        <v>0.40972222222222221</v>
      </c>
    </row>
    <row r="20" spans="1:22" x14ac:dyDescent="0.25">
      <c r="D20" t="s">
        <v>865</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9" t="s">
        <v>594</v>
      </c>
      <c r="N24" s="419" t="s">
        <v>595</v>
      </c>
      <c r="O24" s="419" t="s">
        <v>662</v>
      </c>
      <c r="P24" s="419" t="s">
        <v>592</v>
      </c>
      <c r="Q24" s="419" t="s">
        <v>598</v>
      </c>
      <c r="R24" s="419" t="s">
        <v>599</v>
      </c>
      <c r="S24" s="419" t="s">
        <v>593</v>
      </c>
      <c r="T24" s="419" t="s">
        <v>537</v>
      </c>
      <c r="U24" s="419" t="s">
        <v>596</v>
      </c>
      <c r="V24" s="419" t="s">
        <v>597</v>
      </c>
    </row>
    <row r="28" spans="1:22" ht="19.5" x14ac:dyDescent="0.25">
      <c r="A28" s="690" t="s">
        <v>326</v>
      </c>
      <c r="B28" s="690"/>
      <c r="C28" s="690"/>
      <c r="D28" s="690"/>
    </row>
    <row r="29" spans="1:22" x14ac:dyDescent="0.25">
      <c r="A29" s="691" t="s">
        <v>257</v>
      </c>
      <c r="B29" s="692" t="s">
        <v>327</v>
      </c>
      <c r="C29" s="692" t="s">
        <v>328</v>
      </c>
      <c r="D29" s="692" t="s">
        <v>329</v>
      </c>
    </row>
    <row r="30" spans="1:22" x14ac:dyDescent="0.25">
      <c r="A30" s="691"/>
      <c r="B30" s="692"/>
      <c r="C30" s="692"/>
      <c r="D30" s="692"/>
    </row>
    <row r="31" spans="1:22" x14ac:dyDescent="0.25">
      <c r="A31" s="229" t="s">
        <v>327</v>
      </c>
      <c r="B31" s="230" t="s">
        <v>330</v>
      </c>
      <c r="C31" s="230" t="s">
        <v>331</v>
      </c>
      <c r="D31" s="230" t="s">
        <v>331</v>
      </c>
    </row>
    <row r="32" spans="1:22" x14ac:dyDescent="0.25">
      <c r="A32" s="622" t="s">
        <v>328</v>
      </c>
      <c r="B32" s="232" t="s">
        <v>332</v>
      </c>
      <c r="C32" s="232" t="s">
        <v>333</v>
      </c>
      <c r="D32" s="232" t="s">
        <v>331</v>
      </c>
    </row>
    <row r="33" spans="1:4" x14ac:dyDescent="0.25">
      <c r="A33" s="229" t="s">
        <v>329</v>
      </c>
      <c r="B33" s="230" t="s">
        <v>334</v>
      </c>
      <c r="C33" s="230" t="s">
        <v>335</v>
      </c>
      <c r="D33" s="230" t="s">
        <v>336</v>
      </c>
    </row>
    <row r="34" spans="1:4" x14ac:dyDescent="0.25">
      <c r="A34" s="622" t="s">
        <v>337</v>
      </c>
      <c r="B34" s="232" t="s">
        <v>338</v>
      </c>
      <c r="C34" s="232" t="s">
        <v>339</v>
      </c>
      <c r="D34" s="232" t="s">
        <v>340</v>
      </c>
    </row>
    <row r="35" spans="1:4" x14ac:dyDescent="0.25">
      <c r="A35" s="229" t="s">
        <v>341</v>
      </c>
      <c r="B35" s="230" t="s">
        <v>342</v>
      </c>
      <c r="C35" s="230" t="s">
        <v>343</v>
      </c>
      <c r="D35" s="230" t="s">
        <v>344</v>
      </c>
    </row>
    <row r="36" spans="1:4" x14ac:dyDescent="0.25">
      <c r="A36" s="622" t="s">
        <v>345</v>
      </c>
      <c r="B36" s="232" t="s">
        <v>346</v>
      </c>
      <c r="C36" s="232" t="s">
        <v>347</v>
      </c>
      <c r="D36" s="232" t="s">
        <v>348</v>
      </c>
    </row>
    <row r="37" spans="1:4" x14ac:dyDescent="0.25">
      <c r="A37" s="229" t="s">
        <v>349</v>
      </c>
      <c r="B37" s="230" t="s">
        <v>350</v>
      </c>
      <c r="C37" s="230" t="s">
        <v>351</v>
      </c>
      <c r="D37" s="230" t="s">
        <v>352</v>
      </c>
    </row>
    <row r="38" spans="1:4" x14ac:dyDescent="0.25">
      <c r="A38" s="622" t="s">
        <v>353</v>
      </c>
      <c r="B38" s="232" t="s">
        <v>354</v>
      </c>
      <c r="C38" s="232" t="s">
        <v>355</v>
      </c>
      <c r="D38" s="232" t="s">
        <v>356</v>
      </c>
    </row>
    <row r="39" spans="1:4" x14ac:dyDescent="0.25">
      <c r="A39" s="229" t="s">
        <v>357</v>
      </c>
      <c r="B39" s="230" t="s">
        <v>358</v>
      </c>
      <c r="C39" s="230" t="s">
        <v>359</v>
      </c>
      <c r="D39" s="230" t="s">
        <v>360</v>
      </c>
    </row>
    <row r="40" spans="1:4" x14ac:dyDescent="0.25">
      <c r="A40" s="622" t="s">
        <v>361</v>
      </c>
      <c r="B40" s="232" t="s">
        <v>362</v>
      </c>
      <c r="C40" s="232" t="s">
        <v>363</v>
      </c>
      <c r="D40" s="232" t="s">
        <v>364</v>
      </c>
    </row>
    <row r="41" spans="1:4" x14ac:dyDescent="0.25">
      <c r="A41" s="229" t="s">
        <v>365</v>
      </c>
      <c r="B41" s="230" t="s">
        <v>366</v>
      </c>
      <c r="C41" s="230" t="s">
        <v>367</v>
      </c>
      <c r="D41" s="230" t="s">
        <v>368</v>
      </c>
    </row>
    <row r="42" spans="1:4" x14ac:dyDescent="0.25">
      <c r="A42" s="622" t="s">
        <v>369</v>
      </c>
      <c r="B42" s="232" t="s">
        <v>370</v>
      </c>
      <c r="C42" s="232" t="s">
        <v>371</v>
      </c>
      <c r="D42" s="232" t="s">
        <v>372</v>
      </c>
    </row>
    <row r="43" spans="1:4" x14ac:dyDescent="0.25">
      <c r="A43" s="229" t="s">
        <v>373</v>
      </c>
      <c r="B43" s="230" t="s">
        <v>374</v>
      </c>
      <c r="C43" s="230" t="s">
        <v>375</v>
      </c>
      <c r="D43" s="230" t="s">
        <v>376</v>
      </c>
    </row>
    <row r="44" spans="1:4" x14ac:dyDescent="0.25">
      <c r="A44" s="622" t="s">
        <v>377</v>
      </c>
      <c r="B44" s="232" t="s">
        <v>378</v>
      </c>
      <c r="C44" s="232" t="s">
        <v>379</v>
      </c>
      <c r="D44" s="232" t="s">
        <v>380</v>
      </c>
    </row>
    <row r="45" spans="1:4"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7"/>
  <sheetViews>
    <sheetView tabSelected="1" zoomScaleNormal="100" workbookViewId="0">
      <pane xSplit="30" ySplit="4" topLeftCell="AE5" activePane="bottomRight" state="frozen"/>
      <selection pane="topRight" activeCell="T1" sqref="T1"/>
      <selection pane="bottomLeft" activeCell="A4" sqref="A4"/>
      <selection pane="bottomRight" activeCell="E5" sqref="E5"/>
    </sheetView>
  </sheetViews>
  <sheetFormatPr baseColWidth="10"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5" bestFit="1" customWidth="1"/>
    <col min="15" max="15" width="10.42578125" style="674" bestFit="1" customWidth="1"/>
    <col min="16" max="16" width="4.5703125" style="674" bestFit="1" customWidth="1"/>
    <col min="17" max="17" width="4.140625" style="416" bestFit="1" customWidth="1"/>
    <col min="18" max="19" width="5.7109375" style="488" bestFit="1" customWidth="1"/>
    <col min="20" max="20" width="12" bestFit="1" customWidth="1"/>
    <col min="21" max="21" width="10.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1">
        <f ca="1">AVERAGE(C5,C8,C9,C10,C11,C12,C13,C14,C15,C16,C17,C18,C19,C21,C23)</f>
        <v>3.657142857142857</v>
      </c>
      <c r="D1" s="345">
        <f ca="1">TODAY()</f>
        <v>43138</v>
      </c>
      <c r="E1" s="683">
        <v>41471</v>
      </c>
      <c r="F1" s="683"/>
      <c r="G1" s="683"/>
      <c r="H1" s="251"/>
      <c r="I1" s="251"/>
      <c r="J1" s="251"/>
      <c r="K1" s="252"/>
      <c r="L1" s="251"/>
      <c r="M1" s="252"/>
      <c r="N1" s="252"/>
      <c r="O1" s="252"/>
      <c r="P1" s="252"/>
      <c r="Q1" s="631"/>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AVERAGE(I5:I23)</f>
        <v>9.7947368421052641</v>
      </c>
      <c r="J2" s="297"/>
      <c r="K2" s="297"/>
      <c r="M2" s="347">
        <f>AVERAGE(M5:M23)</f>
        <v>7.352631578947368</v>
      </c>
      <c r="N2" s="297"/>
      <c r="O2" s="297"/>
      <c r="P2" s="297"/>
      <c r="Q2" s="347">
        <f>AVERAGE(Q5:Q23)</f>
        <v>5.4736842105263159</v>
      </c>
      <c r="R2" s="502">
        <f>AVERAGE(R5:R23)</f>
        <v>0.87911223058111732</v>
      </c>
      <c r="S2" s="502">
        <f>AVERAGE(S5:S23)</f>
        <v>0.94257176507377982</v>
      </c>
      <c r="T2" s="348">
        <f>AVERAGE(T5:T23)</f>
        <v>115687.36842105263</v>
      </c>
      <c r="U2" s="348"/>
      <c r="V2" s="348">
        <f>AVERAGE(V5:V23)</f>
        <v>15186.105263157895</v>
      </c>
      <c r="W2" s="293"/>
      <c r="X2" s="346">
        <f>(X5+X6)/2</f>
        <v>13.483333333333334</v>
      </c>
      <c r="Y2" s="346">
        <f>AVERAGE(Y5:Y11)</f>
        <v>11.725365634365634</v>
      </c>
      <c r="Z2" s="346">
        <f>AVERAGE(Z12:Z19)</f>
        <v>12.618692890211639</v>
      </c>
      <c r="AA2" s="346">
        <f>AVERAGE(AA12:AA14)</f>
        <v>13.01611111111111</v>
      </c>
      <c r="AB2" s="346">
        <f>AVERAGE(AB6:AB23)</f>
        <v>9.8358950617283956</v>
      </c>
      <c r="AC2" s="346">
        <f>AVERAGE(AC21:AC23)</f>
        <v>8.9823333333333348</v>
      </c>
      <c r="AD2" s="346">
        <f>AVERAGE(AD5:AD23)</f>
        <v>14.629707602339181</v>
      </c>
      <c r="AE2" s="293"/>
      <c r="AH2" s="293"/>
      <c r="AI2" s="293"/>
      <c r="AJ2" s="293"/>
      <c r="AK2" s="293"/>
      <c r="AL2" s="293"/>
      <c r="AM2" s="293"/>
      <c r="AN2" s="293"/>
    </row>
    <row r="3" spans="1:46" s="253" customFormat="1" x14ac:dyDescent="0.25">
      <c r="A3" s="298"/>
      <c r="B3" s="298" t="s">
        <v>849</v>
      </c>
      <c r="C3" s="298"/>
      <c r="D3" s="294" t="s">
        <v>844</v>
      </c>
      <c r="E3" s="210">
        <v>41</v>
      </c>
      <c r="F3" s="211">
        <v>101</v>
      </c>
      <c r="G3" s="262"/>
      <c r="H3" s="371">
        <v>6</v>
      </c>
      <c r="I3" s="214">
        <v>13.2</v>
      </c>
      <c r="J3" s="214"/>
      <c r="K3" s="303">
        <f>(H3)*(H3)*(I3)</f>
        <v>475.2</v>
      </c>
      <c r="L3" s="303">
        <f>(H3+1)*(H3+1)*I3</f>
        <v>646.79999999999995</v>
      </c>
      <c r="M3" s="262">
        <v>2</v>
      </c>
      <c r="N3" s="262"/>
      <c r="O3" s="262"/>
      <c r="P3" s="262"/>
      <c r="Q3" s="262"/>
      <c r="R3" s="624"/>
      <c r="S3" s="624"/>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878</v>
      </c>
      <c r="P4" s="299" t="s">
        <v>695</v>
      </c>
      <c r="Q4" s="299" t="s">
        <v>590</v>
      </c>
      <c r="R4" s="491" t="s">
        <v>693</v>
      </c>
      <c r="S4" s="491"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817</v>
      </c>
      <c r="AG4" s="344" t="s">
        <v>818</v>
      </c>
      <c r="AH4" s="344" t="s">
        <v>827</v>
      </c>
      <c r="AI4" s="344" t="s">
        <v>828</v>
      </c>
      <c r="AJ4" s="344" t="s">
        <v>509</v>
      </c>
      <c r="AK4" s="344" t="s">
        <v>510</v>
      </c>
      <c r="AL4" s="344" t="s">
        <v>511</v>
      </c>
      <c r="AM4" s="344" t="s">
        <v>588</v>
      </c>
      <c r="AN4" s="344" t="s">
        <v>589</v>
      </c>
      <c r="AO4" s="299" t="s">
        <v>799</v>
      </c>
      <c r="AP4" s="299" t="s">
        <v>800</v>
      </c>
      <c r="AQ4" s="299" t="s">
        <v>801</v>
      </c>
      <c r="AR4" s="419" t="s">
        <v>852</v>
      </c>
    </row>
    <row r="5" spans="1:46" x14ac:dyDescent="0.25">
      <c r="A5" s="384" t="s">
        <v>403</v>
      </c>
      <c r="B5" s="384" t="s">
        <v>1</v>
      </c>
      <c r="C5" s="385">
        <f ca="1">((34*112)-(E5*112)-(F5))/112</f>
        <v>3.4642857142857144</v>
      </c>
      <c r="D5" s="658" t="s">
        <v>782</v>
      </c>
      <c r="E5" s="387">
        <v>30</v>
      </c>
      <c r="F5" s="395">
        <f ca="1">-42406+$D$1-112-112-112-112-112-112</f>
        <v>60</v>
      </c>
      <c r="G5" s="388"/>
      <c r="H5" s="403">
        <v>6</v>
      </c>
      <c r="I5" s="308">
        <v>18.5</v>
      </c>
      <c r="J5" s="487">
        <f>LOG(I5+1)*4/3</f>
        <v>1.7200461484833574</v>
      </c>
      <c r="K5" s="303">
        <f t="shared" ref="K5" si="0">(H5)*(H5)*(I5)</f>
        <v>666</v>
      </c>
      <c r="L5" s="303">
        <f t="shared" ref="L5" si="1">(H5+1)*(H5+1)*I5</f>
        <v>906.5</v>
      </c>
      <c r="M5" s="389">
        <v>7.6</v>
      </c>
      <c r="N5" s="446">
        <f>M5*10+19</f>
        <v>95</v>
      </c>
      <c r="O5" s="678">
        <v>42468</v>
      </c>
      <c r="P5" s="679">
        <f ca="1">IF((TODAY()-O5)&gt;335,1,((TODAY()-O5)^0.64)/(336^0.64))</f>
        <v>1</v>
      </c>
      <c r="Q5" s="446">
        <v>5</v>
      </c>
      <c r="R5" s="501">
        <f>(Q5/7)^0.5</f>
        <v>0.84515425472851657</v>
      </c>
      <c r="S5" s="501">
        <f>IF(Q5=7,1,((Q5+0.99)/7)^0.5)</f>
        <v>0.92504826128926143</v>
      </c>
      <c r="T5" s="324">
        <v>91900</v>
      </c>
      <c r="U5" s="627">
        <f t="shared" ref="U5:U23" si="2">T5-AR5</f>
        <v>5180</v>
      </c>
      <c r="V5" s="324">
        <v>39696</v>
      </c>
      <c r="W5" s="316">
        <f t="shared" ref="W5:W24" si="3">T5/V5</f>
        <v>2.3150947198710199</v>
      </c>
      <c r="X5" s="486">
        <f>16+12/18</f>
        <v>16.666666666666668</v>
      </c>
      <c r="Y5" s="487">
        <f>10.53+0.11+0.11+0.11+0.11+0.11+1/11+1/11*0.16+1/11+1/11+1/11+1/11+1/11+1/11+1/11+1/11+1/11+1/13</f>
        <v>12.080559440559444</v>
      </c>
      <c r="Z5" s="486">
        <f>2+0.01+0.01+0.01+0.01+0.01+0.01+0.01</f>
        <v>2.0699999999999985</v>
      </c>
      <c r="AA5" s="487">
        <f>1.94+0.03+0.03+0.03+0.03+0.03+0.03+0.02+0.01</f>
        <v>2.149999999999999</v>
      </c>
      <c r="AB5" s="486">
        <f>0.6+0.04+0.04+0.04+0.04+0.04+0.04+0.03+0.03+0.02+0.02+0.02+0.02+0.02+0.02+0.01+0.01</f>
        <v>1.0400000000000003</v>
      </c>
      <c r="AC5" s="487">
        <f>0+0.05+0.05*37/90+0.04+0.02+0.01</f>
        <v>0.14055555555555557</v>
      </c>
      <c r="AD5" s="486">
        <f>13.7+0.5+0.5+0.5+0.34+0.34+0.34+0.34+0.34+0.25+0.2+0.2+0.2+0.2</f>
        <v>17.949999999999996</v>
      </c>
      <c r="AE5" s="324">
        <v>1467</v>
      </c>
      <c r="AF5" s="604">
        <f ca="1">(Z5+P5+J5)*(Q5/7)^0.5</f>
        <v>4.0483278827366513</v>
      </c>
      <c r="AG5" s="604">
        <f ca="1">(Z5+P5+J5)*(IF(Q5=7, (Q5/7)^0.5, ((Q5+1)/7)^0.5))</f>
        <v>4.4347210031039861</v>
      </c>
      <c r="AH5" s="316">
        <f ca="1">(((Y5+P5+J5)+(AB5+P5+J5)*2)/8)*(Q5/7)^0.5</f>
        <v>2.3580540983588434</v>
      </c>
      <c r="AI5" s="316">
        <f ca="1">(1.66*(AC5+J5+P5)+0.55*(AD5+J5+P5)-7.6)*(Q5/7)^0.5</f>
        <v>7.1982837644458364</v>
      </c>
      <c r="AJ5" s="316">
        <f ca="1">((AD5+J5+P5)*0.7+(AC5+J5+P5)*0.3)*(Q5/7)^0.5</f>
        <v>12.953859123853483</v>
      </c>
      <c r="AK5" s="316">
        <f ca="1">(0.5*(AC5+P5+J5)+ 0.3*(AD5+P5+J5))/10</f>
        <v>0.76313146965644629</v>
      </c>
      <c r="AL5" s="316">
        <f ca="1">(0.4*(Y5+P5+J5)+0.3*(AD5+P5+J5))/10</f>
        <v>1.2121256080162126</v>
      </c>
      <c r="AM5" s="311">
        <f ca="1">(AD5+P5+(LOG(I5)*4/3))*(Q5/7)^0.5</f>
        <v>17.443613897414046</v>
      </c>
      <c r="AN5" s="311">
        <f ca="1">(AD5+P5+(LOG(I5)*4/3))*(IF(Q5=7, (Q5/7)^0.5, ((Q5+1)/7)^0.5))</f>
        <v>19.108521632048557</v>
      </c>
      <c r="AO5" s="446">
        <v>2</v>
      </c>
      <c r="AP5" s="446">
        <v>2</v>
      </c>
      <c r="AQ5" s="591">
        <f>IF(AO5=4,IF(AP5=0,0.137+0.0697,0.137+0.02),IF(AO5=3,IF(AP5=0,0.0958+0.0697,0.0958+0.02),IF(AO5=2,IF(AP5=0,0.0415+0.0697,0.0415+0.02),IF(AO5=1,IF(AP5=0,0.0294+0.0697,0.0294+0.02),IF(AO5=0,IF(AP5=0,0.0063+0.0697,0.0063+0.02))))))</f>
        <v>6.1499999999999999E-2</v>
      </c>
      <c r="AR5">
        <v>86720</v>
      </c>
      <c r="AS5">
        <v>100150</v>
      </c>
      <c r="AT5" s="390">
        <f>AS5-T5</f>
        <v>8250</v>
      </c>
    </row>
    <row r="6" spans="1:46" s="263" customFormat="1" x14ac:dyDescent="0.25">
      <c r="A6" s="384" t="s">
        <v>484</v>
      </c>
      <c r="B6" s="384" t="s">
        <v>1</v>
      </c>
      <c r="C6" s="385">
        <f t="shared" ref="C6:C23" ca="1" si="4">((34*112)-(E6*112)-(F6))/112</f>
        <v>-0.6160714285714286</v>
      </c>
      <c r="D6" s="658" t="s">
        <v>267</v>
      </c>
      <c r="E6" s="387">
        <v>34</v>
      </c>
      <c r="F6" s="395">
        <f ca="1">82-41471+$D$1-112-112-112-112-112-112-112-112-112-112-112-112-112-112-112</f>
        <v>69</v>
      </c>
      <c r="G6" s="388" t="s">
        <v>502</v>
      </c>
      <c r="H6" s="371">
        <v>3</v>
      </c>
      <c r="I6" s="308">
        <v>7.9</v>
      </c>
      <c r="J6" s="487">
        <f t="shared" ref="J6:J23" si="5">LOG(I6+1)*4/3</f>
        <v>1.265853342193217</v>
      </c>
      <c r="K6" s="303">
        <f t="shared" ref="K6:K23" si="6">(H6)*(H6)*(I6)</f>
        <v>71.100000000000009</v>
      </c>
      <c r="L6" s="303">
        <f t="shared" ref="L6:L23" si="7">(H6+1)*(H6+1)*I6</f>
        <v>126.4</v>
      </c>
      <c r="M6" s="389">
        <v>5.7</v>
      </c>
      <c r="N6" s="446">
        <f t="shared" ref="N6:N23" si="8">M6*10+19</f>
        <v>76</v>
      </c>
      <c r="O6" s="446" t="s">
        <v>557</v>
      </c>
      <c r="P6" s="679">
        <v>1.5</v>
      </c>
      <c r="Q6" s="446">
        <v>6</v>
      </c>
      <c r="R6" s="501">
        <f t="shared" ref="R6:R23" si="9">(Q6/7)^0.5</f>
        <v>0.92582009977255142</v>
      </c>
      <c r="S6" s="501">
        <f t="shared" ref="S6:S23" si="10">IF(Q6=7,1,((Q6+0.99)/7)^0.5)</f>
        <v>0.99928545900129484</v>
      </c>
      <c r="T6" s="324">
        <v>1720</v>
      </c>
      <c r="U6" s="627">
        <f t="shared" si="2"/>
        <v>-30</v>
      </c>
      <c r="V6" s="324">
        <v>2770</v>
      </c>
      <c r="W6" s="316">
        <f t="shared" si="3"/>
        <v>0.62093862815884482</v>
      </c>
      <c r="X6" s="486">
        <v>10.3</v>
      </c>
      <c r="Y6" s="487">
        <f>9.5+0.13+0.13/2+0.13+0.13+0.13+0.13+0.13+0.12+0.12+0.02+0.02+0.02+0.02+0.02+0.02+0.02+0.02+0.02+0.01+0.01+0.01+0.01+0.01</f>
        <v>10.814999999999998</v>
      </c>
      <c r="Z6" s="486">
        <v>3.99</v>
      </c>
      <c r="AA6" s="487">
        <v>4.95</v>
      </c>
      <c r="AB6" s="486">
        <v>5.99</v>
      </c>
      <c r="AC6" s="487">
        <v>3.99</v>
      </c>
      <c r="AD6" s="486">
        <f>11.8+0.67+0.5*1.25+0.35+0.35+0.35+0.35*8/90+0.35*80/90+0.35+0.35*75/90+0.35+0.3</f>
        <v>15.778888888888888</v>
      </c>
      <c r="AE6" s="324">
        <v>1056</v>
      </c>
      <c r="AF6" s="604">
        <f t="shared" ref="AF6:AF23" si="11">(Z6+P6+J6)*(Q6/7)^0.5</f>
        <v>6.2547048153180489</v>
      </c>
      <c r="AG6" s="604">
        <f t="shared" ref="AG6:AG23" si="12">(Z6+P6+J6)*(IF(Q6=7, (Q6/7)^0.5, ((Q6+1)/7)^0.5))</f>
        <v>6.755853342193217</v>
      </c>
      <c r="AH6" s="316">
        <f t="shared" ref="AH6:AH23" si="13">(((Y6+P6+J6)+(AB6+P6+J6)*2)/8)*(Q6/7)^0.5</f>
        <v>3.5982646282490021</v>
      </c>
      <c r="AI6" s="316">
        <f t="shared" ref="AI6:AI23" si="14">(1.66*(AC6+J6+P6)+0.55*(AD6+J6+P6)-7.6)*(Q6/7)^0.5</f>
        <v>12.789579541606743</v>
      </c>
      <c r="AJ6" s="316">
        <f t="shared" ref="AJ6:AJ23" si="15">((AD6+J6+P6)*0.7+(AC6+J6+P6)*0.3)*(Q6/7)^0.5</f>
        <v>13.894778016441091</v>
      </c>
      <c r="AK6" s="316">
        <f t="shared" ref="AK6:AK23" si="16">(0.5*(AC6+P6+J6)+ 0.3*(AD6+P6+J6))/10</f>
        <v>0.89413493404212407</v>
      </c>
      <c r="AL6" s="316">
        <f t="shared" ref="AL6:AL23" si="17">(0.4*(Y6+P6+J6)+0.3*(AD6+P6+J6))/10</f>
        <v>1.0995764006201916</v>
      </c>
      <c r="AM6" s="311">
        <f t="shared" ref="AM6:AM23" si="18">(AD6+P6+(LOG(I6)*4/3))*(Q6/7)^0.5</f>
        <v>17.105197572692688</v>
      </c>
      <c r="AN6" s="311">
        <f t="shared" ref="AN6:AN23" si="19">(AD6+P6+(LOG(I6)*4/3))*(IF(Q6=7, (Q6/7)^0.5, ((Q6+1)/7)^0.5))</f>
        <v>18.475725010609477</v>
      </c>
      <c r="AO6" s="446">
        <v>4</v>
      </c>
      <c r="AP6" s="446">
        <v>3</v>
      </c>
      <c r="AQ6" s="591">
        <f t="shared" ref="AQ6:AQ23" si="20">IF(AO6=4,IF(AP6=0,0.137+0.0697,0.137+0.02),IF(AO6=3,IF(AP6=0,0.0958+0.0697,0.0958+0.02),IF(AO6=2,IF(AP6=0,0.0415+0.0697,0.0415+0.02),IF(AO6=1,IF(AP6=0,0.0294+0.0697,0.0294+0.02),IF(AO6=0,IF(AP6=0,0.0063+0.0697,0.0063+0.02))))))</f>
        <v>0.157</v>
      </c>
      <c r="AR6" s="263">
        <v>1750</v>
      </c>
      <c r="AS6">
        <v>1650</v>
      </c>
      <c r="AT6" s="390">
        <f t="shared" ref="AT6:AT22" si="21">AS6-T6</f>
        <v>-70</v>
      </c>
    </row>
    <row r="7" spans="1:46" s="248" customFormat="1" x14ac:dyDescent="0.25">
      <c r="A7" s="384" t="s">
        <v>582</v>
      </c>
      <c r="B7" s="384" t="s">
        <v>2</v>
      </c>
      <c r="C7" s="385">
        <f t="shared" ca="1" si="4"/>
        <v>3.3571428571428572</v>
      </c>
      <c r="D7" s="658" t="s">
        <v>856</v>
      </c>
      <c r="E7" s="387">
        <v>30</v>
      </c>
      <c r="F7" s="395">
        <f ca="1">82-41471+$D$1-112-112-112-112-112-112-112-112-112-112-112+3-112-112-112-112</f>
        <v>72</v>
      </c>
      <c r="G7" s="388" t="s">
        <v>502</v>
      </c>
      <c r="H7" s="394">
        <v>2</v>
      </c>
      <c r="I7" s="308">
        <v>14.4</v>
      </c>
      <c r="J7" s="487">
        <f t="shared" si="5"/>
        <v>1.5833609611152841</v>
      </c>
      <c r="K7" s="303">
        <f>(H7)*(H7)*(I7)</f>
        <v>57.6</v>
      </c>
      <c r="L7" s="303">
        <f>(H7+1)*(H7+1)*I7</f>
        <v>129.6</v>
      </c>
      <c r="M7" s="389">
        <v>7.6</v>
      </c>
      <c r="N7" s="446">
        <f>M7*10+19</f>
        <v>95</v>
      </c>
      <c r="O7" s="678">
        <v>42716</v>
      </c>
      <c r="P7" s="679">
        <f ca="1">IF((TODAY()-O7)&gt;335,1,((TODAY()-O7)^0.64)/(336^0.64))</f>
        <v>1</v>
      </c>
      <c r="Q7" s="446">
        <v>6</v>
      </c>
      <c r="R7" s="501">
        <f>(Q7/7)^0.5</f>
        <v>0.92582009977255142</v>
      </c>
      <c r="S7" s="501">
        <f>IF(Q7=7,1,((Q7+0.99)/7)^0.5)</f>
        <v>0.99928545900129484</v>
      </c>
      <c r="T7" s="324">
        <v>253330</v>
      </c>
      <c r="U7" s="627">
        <f t="shared" si="2"/>
        <v>-1860</v>
      </c>
      <c r="V7" s="324">
        <v>29520</v>
      </c>
      <c r="W7" s="316">
        <f>T7/V7</f>
        <v>8.5816395663956637</v>
      </c>
      <c r="X7" s="486">
        <v>0</v>
      </c>
      <c r="Y7" s="487">
        <f>14+1/20+1/20+1/20+1/20+1/20+1/20</f>
        <v>14.300000000000004</v>
      </c>
      <c r="Z7" s="486">
        <f>9+1/9*0.5+1/9*0.16+0.1*0.5+0.1*0.5+0.1*0.5+0.01+0.1*0.5+0.1*0.16+0.01+0.01+0.1*0.5+0.01</f>
        <v>9.3793333333333351</v>
      </c>
      <c r="AA7" s="487">
        <f>14+1/12*0.5+1/12*0.5+1/12*0.5+1/12*0.5+1/12*0.5+1/12*0.5+1/12*0.5+1/12*0.5</f>
        <v>14.333333333333329</v>
      </c>
      <c r="AB7" s="486">
        <f>8.45+0.15+0.15+0.02+0.12+0.12+0.11+0.01+0.08+0.07+0.07+0.07</f>
        <v>9.4199999999999982</v>
      </c>
      <c r="AC7" s="487">
        <f>1+1/7</f>
        <v>1.1428571428571428</v>
      </c>
      <c r="AD7" s="486">
        <f>9+0.4+0.4</f>
        <v>9.8000000000000007</v>
      </c>
      <c r="AE7" s="324">
        <v>1902</v>
      </c>
      <c r="AF7" s="604">
        <f t="shared" ca="1" si="11"/>
        <v>11.075302825234953</v>
      </c>
      <c r="AG7" s="604">
        <f t="shared" ca="1" si="12"/>
        <v>11.962694294448619</v>
      </c>
      <c r="AH7" s="316">
        <f t="shared" ca="1" si="13"/>
        <v>4.7321075768458947</v>
      </c>
      <c r="AI7" s="316">
        <f t="shared" ca="1" si="14"/>
        <v>4.9960683499033145</v>
      </c>
      <c r="AJ7" s="316">
        <f t="shared" ca="1" si="15"/>
        <v>9.0602774214157016</v>
      </c>
      <c r="AK7" s="316">
        <f t="shared" ca="1" si="16"/>
        <v>0.55781173403207984</v>
      </c>
      <c r="AL7" s="316">
        <f t="shared" ca="1" si="17"/>
        <v>1.0468352672780701</v>
      </c>
      <c r="AM7" s="311">
        <f t="shared" ca="1" si="18"/>
        <v>11.42877078154943</v>
      </c>
      <c r="AN7" s="311">
        <f t="shared" ca="1" si="19"/>
        <v>12.344483322793668</v>
      </c>
      <c r="AO7" s="446">
        <v>1</v>
      </c>
      <c r="AP7" s="446">
        <v>2</v>
      </c>
      <c r="AQ7" s="591">
        <f>IF(AO7=4,IF(AP7=0,0.137+0.0697,0.137+0.02),IF(AO7=3,IF(AP7=0,0.0958+0.0697,0.0958+0.02),IF(AO7=2,IF(AP7=0,0.0415+0.0697,0.0415+0.02),IF(AO7=1,IF(AP7=0,0.0294+0.0697,0.0294+0.02),IF(AO7=0,IF(AP7=0,0.0063+0.0697,0.0063+0.02))))))</f>
        <v>4.9399999999999999E-2</v>
      </c>
      <c r="AR7" s="248">
        <v>255190</v>
      </c>
      <c r="AS7">
        <v>252380</v>
      </c>
      <c r="AT7" s="390">
        <f t="shared" si="21"/>
        <v>-950</v>
      </c>
    </row>
    <row r="8" spans="1:46" s="254" customFormat="1" x14ac:dyDescent="0.25">
      <c r="A8" s="305" t="s">
        <v>412</v>
      </c>
      <c r="B8" s="260" t="s">
        <v>2</v>
      </c>
      <c r="C8" s="385">
        <f t="shared" ca="1" si="4"/>
        <v>1.9553571428571428</v>
      </c>
      <c r="D8" s="659" t="s">
        <v>275</v>
      </c>
      <c r="E8" s="210">
        <v>32</v>
      </c>
      <c r="F8" s="211">
        <f ca="1">18-41471+$D$1-112-112-112-112-112-112-112-112-112-112-112-112-112-112-112</f>
        <v>5</v>
      </c>
      <c r="G8" s="262" t="s">
        <v>502</v>
      </c>
      <c r="H8" s="394">
        <v>4</v>
      </c>
      <c r="I8" s="214">
        <v>7.6</v>
      </c>
      <c r="J8" s="487">
        <f t="shared" si="5"/>
        <v>1.2459979349914236</v>
      </c>
      <c r="K8" s="303">
        <f t="shared" si="6"/>
        <v>121.6</v>
      </c>
      <c r="L8" s="303">
        <f t="shared" si="7"/>
        <v>190</v>
      </c>
      <c r="M8" s="296">
        <v>6.9</v>
      </c>
      <c r="N8" s="446">
        <f t="shared" si="8"/>
        <v>88</v>
      </c>
      <c r="O8" s="446" t="s">
        <v>557</v>
      </c>
      <c r="P8" s="679">
        <v>1.5</v>
      </c>
      <c r="Q8" s="447">
        <v>5</v>
      </c>
      <c r="R8" s="501">
        <f t="shared" si="9"/>
        <v>0.84515425472851657</v>
      </c>
      <c r="S8" s="501">
        <f t="shared" si="10"/>
        <v>0.92504826128926143</v>
      </c>
      <c r="T8" s="628">
        <v>13770</v>
      </c>
      <c r="U8" s="627">
        <f t="shared" si="2"/>
        <v>-5390</v>
      </c>
      <c r="V8" s="628">
        <v>3510</v>
      </c>
      <c r="W8" s="316">
        <f t="shared" si="3"/>
        <v>3.9230769230769229</v>
      </c>
      <c r="X8" s="486">
        <v>0</v>
      </c>
      <c r="Y8" s="487">
        <f>11+1/15*0.16+1/15</f>
        <v>11.077333333333334</v>
      </c>
      <c r="Z8" s="486">
        <f>4.61+0.04+0.04+0.04+0.04+0.25+0.14+0.13+0.13+0.12+0.12+0.12+0.04*55/90+0.025+0.13+0.02+0.02+0.02+0.02+0.02+0.01+0.01+0.01+0.12*0.5+0.01+0.02+0.01+0.01+0.01+0.01</f>
        <v>6.2194444444444406</v>
      </c>
      <c r="AA8" s="487">
        <f>5.98+0.12*0.5+0.12*0.5</f>
        <v>6.1</v>
      </c>
      <c r="AB8" s="486">
        <f>3.88+0.33+(0.33/3)+(0.33/3)+0.31+0.31+0.04+0.3+0.28+0.28+0.28+0.25+0.25+0.2+0.15+0.15+0.02+0.12+0.12+0.11+0.11*35/90+0.08</f>
        <v>7.7227777777777789</v>
      </c>
      <c r="AC8" s="487">
        <f>3.82+0.06+0.06+0.06+0.06*80/90+0.06+0.05+0.05+0.05+0.02+0.2*0.5-0.39</f>
        <v>3.9933333333333318</v>
      </c>
      <c r="AD8" s="486">
        <f>8.7+0.75+0.75+0.75+0.6+0.5+0.5+0.45*10/90+0.35+0.35+0.35+0.35+0.35+0.3+0.25+0.25+0.2+0.2*17/90</f>
        <v>15.387777777777776</v>
      </c>
      <c r="AE8" s="324">
        <v>1155</v>
      </c>
      <c r="AF8" s="604">
        <f t="shared" si="11"/>
        <v>7.5771817725035753</v>
      </c>
      <c r="AG8" s="604">
        <f t="shared" si="12"/>
        <v>8.3003867582343727</v>
      </c>
      <c r="AH8" s="316">
        <f t="shared" si="13"/>
        <v>3.6722884883546643</v>
      </c>
      <c r="AI8" s="316">
        <f t="shared" si="14"/>
        <v>11.461024060376346</v>
      </c>
      <c r="AJ8" s="316">
        <f t="shared" si="15"/>
        <v>12.436818737192549</v>
      </c>
      <c r="AK8" s="316">
        <f t="shared" si="16"/>
        <v>0.88097983479931374</v>
      </c>
      <c r="AL8" s="316">
        <f t="shared" si="17"/>
        <v>1.0969465221160664</v>
      </c>
      <c r="AM8" s="311">
        <f t="shared" si="18"/>
        <v>15.265341715317007</v>
      </c>
      <c r="AN8" s="311">
        <f t="shared" si="19"/>
        <v>16.722344011007461</v>
      </c>
      <c r="AO8" s="447">
        <v>2</v>
      </c>
      <c r="AP8" s="447">
        <v>3</v>
      </c>
      <c r="AQ8" s="591">
        <f t="shared" si="20"/>
        <v>6.1499999999999999E-2</v>
      </c>
      <c r="AR8" s="254">
        <v>19160</v>
      </c>
      <c r="AS8">
        <v>19990</v>
      </c>
      <c r="AT8" s="390">
        <f t="shared" si="21"/>
        <v>6220</v>
      </c>
    </row>
    <row r="9" spans="1:46" s="246" customFormat="1" x14ac:dyDescent="0.25">
      <c r="A9" s="384" t="s">
        <v>504</v>
      </c>
      <c r="B9" s="384" t="s">
        <v>2</v>
      </c>
      <c r="C9" s="385">
        <f t="shared" ca="1" si="4"/>
        <v>2.3660714285714284</v>
      </c>
      <c r="D9" s="658" t="s">
        <v>269</v>
      </c>
      <c r="E9" s="387">
        <v>31</v>
      </c>
      <c r="F9" s="395">
        <f ca="1">84-41471+$D$1-112-112-112-112-112-112-112-112-112-112-112-112-112-112-112</f>
        <v>71</v>
      </c>
      <c r="G9" s="388"/>
      <c r="H9" s="394">
        <v>4</v>
      </c>
      <c r="I9" s="308">
        <v>12.4</v>
      </c>
      <c r="J9" s="487">
        <f t="shared" si="5"/>
        <v>1.5028063978197437</v>
      </c>
      <c r="K9" s="303">
        <f t="shared" si="6"/>
        <v>198.4</v>
      </c>
      <c r="L9" s="303">
        <f t="shared" si="7"/>
        <v>310</v>
      </c>
      <c r="M9" s="389">
        <v>7.3</v>
      </c>
      <c r="N9" s="446">
        <f t="shared" si="8"/>
        <v>92</v>
      </c>
      <c r="O9" s="446" t="s">
        <v>557</v>
      </c>
      <c r="P9" s="679">
        <v>1.5</v>
      </c>
      <c r="Q9" s="446">
        <v>5</v>
      </c>
      <c r="R9" s="501">
        <f t="shared" si="9"/>
        <v>0.84515425472851657</v>
      </c>
      <c r="S9" s="501">
        <f t="shared" si="10"/>
        <v>0.92504826128926143</v>
      </c>
      <c r="T9" s="324">
        <v>119220</v>
      </c>
      <c r="U9" s="627">
        <f t="shared" si="2"/>
        <v>-14290</v>
      </c>
      <c r="V9" s="324">
        <v>14670</v>
      </c>
      <c r="W9" s="316">
        <f t="shared" si="3"/>
        <v>8.1267893660531705</v>
      </c>
      <c r="X9" s="486">
        <v>0</v>
      </c>
      <c r="Y9" s="487">
        <f>9.9+0.14+0.14+0.14+0.14+0.13+0.13+0.13+0.12+0.12+0.09+0.09+0.09+0.09+0.08+0.08+0.08+0.08+0.08+0.07+0.07+0.07+0.07+0.07</f>
        <v>12.200000000000005</v>
      </c>
      <c r="Z9" s="486">
        <f>10.72+0.15+0.15+0.15+0.14+0.14+0.11+0.11+0.11+0.11+0.11+0.11+0.11+0.11*0.5+0.11*0.5+0.11*0.5+0.1+0.1*0.5+0.1*0.5+0.1*0.5+0.1*0.16+0.09+0.08+0.08+0.08*0.5+0.08+1/18+0.08*0.5+0.08*0.5+0.07+0.07*0.5</f>
        <v>13.261555555555553</v>
      </c>
      <c r="AA9" s="487">
        <f>8.8+0.14+0.14+0.14+0.13+0.12*0.5+0.12*0.5+0.12*0.5+0.12*0.5+0.12*0.5+0.12*0.5+0.11+0.11*0.5</f>
        <v>9.8750000000000053</v>
      </c>
      <c r="AB9" s="486">
        <f>4.57+0.36+0.36+0.36+0.36+0.25+0.25+0.25+0.25+0.25+0.25+0.25+0.25+0.2+0.2+0.15+0.15+0.14+0.12+0.12+0.11+0.11+0.08+0.07+0.07+0.07</f>
        <v>9.6</v>
      </c>
      <c r="AC9" s="487">
        <f>3+0.07+0.07+0.07+0.07+0.07+0.05+0.05+0.05+0.2*48/90+0.15*0.5</f>
        <v>3.6816666666666658</v>
      </c>
      <c r="AD9" s="486">
        <f>10.7+0.5+0.5*77/90+0.5+0.45+0.45+0.45+0.35+0.35+0.3+0.35+0.3+0.3+0.3+0.25+0.25+0.2+0.2+0.2</f>
        <v>16.827777777777772</v>
      </c>
      <c r="AE9" s="324">
        <v>1858</v>
      </c>
      <c r="AF9" s="604">
        <f t="shared" si="11"/>
        <v>13.745894705339738</v>
      </c>
      <c r="AG9" s="604">
        <f t="shared" si="12"/>
        <v>15.057873206410806</v>
      </c>
      <c r="AH9" s="316">
        <f t="shared" si="13"/>
        <v>4.2689184260256905</v>
      </c>
      <c r="AI9" s="316">
        <f t="shared" si="14"/>
        <v>12.1727961012046</v>
      </c>
      <c r="AJ9" s="316">
        <f t="shared" si="15"/>
        <v>13.426755068151419</v>
      </c>
      <c r="AK9" s="316">
        <f t="shared" si="16"/>
        <v>0.92914117849224598</v>
      </c>
      <c r="AL9" s="316">
        <f t="shared" si="17"/>
        <v>1.2030297811807154</v>
      </c>
      <c r="AM9" s="311">
        <f t="shared" si="18"/>
        <v>16.721946021177356</v>
      </c>
      <c r="AN9" s="311">
        <f t="shared" si="19"/>
        <v>18.317974082365197</v>
      </c>
      <c r="AO9" s="446">
        <v>2</v>
      </c>
      <c r="AP9" s="446">
        <v>3</v>
      </c>
      <c r="AQ9" s="591">
        <f t="shared" si="20"/>
        <v>6.1499999999999999E-2</v>
      </c>
      <c r="AR9" s="246">
        <v>133510</v>
      </c>
      <c r="AS9">
        <v>133280</v>
      </c>
      <c r="AT9" s="390">
        <f t="shared" si="21"/>
        <v>14060</v>
      </c>
    </row>
    <row r="10" spans="1:46" s="247" customFormat="1" x14ac:dyDescent="0.25">
      <c r="A10" s="384" t="s">
        <v>405</v>
      </c>
      <c r="B10" s="260" t="s">
        <v>2</v>
      </c>
      <c r="C10" s="385">
        <f t="shared" ca="1" si="4"/>
        <v>2.5</v>
      </c>
      <c r="D10" s="659" t="s">
        <v>273</v>
      </c>
      <c r="E10" s="210">
        <v>31</v>
      </c>
      <c r="F10" s="211">
        <f ca="1">69-41471+$D$1-112-112-112-112-112-112-112-112-112-112-112-112-112-112-112</f>
        <v>56</v>
      </c>
      <c r="G10" s="262"/>
      <c r="H10" s="371">
        <v>3</v>
      </c>
      <c r="I10" s="214">
        <v>9.5</v>
      </c>
      <c r="J10" s="487">
        <f t="shared" si="5"/>
        <v>1.3615857320932507</v>
      </c>
      <c r="K10" s="303">
        <f t="shared" si="6"/>
        <v>85.5</v>
      </c>
      <c r="L10" s="303">
        <f t="shared" si="7"/>
        <v>152</v>
      </c>
      <c r="M10" s="296">
        <v>7.1</v>
      </c>
      <c r="N10" s="446">
        <f t="shared" si="8"/>
        <v>90</v>
      </c>
      <c r="O10" s="446" t="s">
        <v>557</v>
      </c>
      <c r="P10" s="679">
        <v>1.5</v>
      </c>
      <c r="Q10" s="447">
        <v>6</v>
      </c>
      <c r="R10" s="501">
        <f t="shared" si="9"/>
        <v>0.92582009977255142</v>
      </c>
      <c r="S10" s="501">
        <f t="shared" si="10"/>
        <v>0.99928545900129484</v>
      </c>
      <c r="T10" s="324">
        <v>39620</v>
      </c>
      <c r="U10" s="627">
        <f t="shared" si="2"/>
        <v>-110</v>
      </c>
      <c r="V10" s="628">
        <v>5350</v>
      </c>
      <c r="W10" s="316">
        <f t="shared" si="3"/>
        <v>7.405607476635514</v>
      </c>
      <c r="X10" s="486">
        <v>0</v>
      </c>
      <c r="Y10" s="487">
        <f>9.15+0.15+0.15+0.15+0.15+0.15+0.15+0.15+0.15+0.15+0.12+0.12+0.12+0.12+0.12+0.1+0.1+0.1+0.1+0.1+0.1+0.1+0.1+0.1</f>
        <v>11.999999999999996</v>
      </c>
      <c r="Z10" s="486">
        <f>5.99+0.04+0.04+(0.04/90*75)+(0.25*15/90)+0.03+0.03+(0.03*20/90)+0.03+0.03+(0.22*0.5*30/90)+(0.22/16*60/90)+0.03+0.03+0.22*0.5+0.2*0.5+0.03+0.22*0.5+0.03+0.03+0.03+0.01+0.01+0.01+0.01+0.01+1/8*0.5+0.01+1/8*0.5+0.01+0.01</f>
        <v>7.0225000000000017</v>
      </c>
      <c r="AA10" s="487">
        <f>6.18+0.2+0.2+0.2+0.15*0.5+0.15*0.5+0.15*0.5+0.15*0.5+0.14*0.5+0.14*0.5+0.14+0.14*0.5+0.14*0.5</f>
        <v>7.5000000000000018</v>
      </c>
      <c r="AB10" s="486">
        <f>4.3+0.35+0.35+0.35+0.33+0.32+0.3+0.27+0.27+0.26+0.2+0.2+0.2+0.2+0.15+0.15+0.14+0.12+0.12+0.11+0.11+0.08+0.07+0.07</f>
        <v>9.0199999999999978</v>
      </c>
      <c r="AC10" s="487">
        <f>4.06+0.06+0.06+0.06+0.06+0.06*75/90+0.05+0.05+0.05+0.02+0.2*0.5</f>
        <v>4.6199999999999966</v>
      </c>
      <c r="AD10" s="486">
        <f>8.4+0.67+0.67+0.67+0.67+0.67+0.5+0.45+0.35+0.35+0.35+0.3+0.3+0.3+0.25+0.25+0.25+0.2+0.2</f>
        <v>15.799999999999999</v>
      </c>
      <c r="AE10" s="324">
        <v>1404</v>
      </c>
      <c r="AF10" s="604">
        <f t="shared" si="11"/>
        <v>9.1508852386470245</v>
      </c>
      <c r="AG10" s="604">
        <f t="shared" si="12"/>
        <v>9.8840857320932507</v>
      </c>
      <c r="AH10" s="316">
        <f t="shared" si="13"/>
        <v>4.4699470701437862</v>
      </c>
      <c r="AI10" s="316">
        <f t="shared" si="14"/>
        <v>13.964426447395093</v>
      </c>
      <c r="AJ10" s="316">
        <f t="shared" si="15"/>
        <v>14.172070549763458</v>
      </c>
      <c r="AK10" s="316">
        <f t="shared" si="16"/>
        <v>0.93392685856745972</v>
      </c>
      <c r="AL10" s="316">
        <f t="shared" si="17"/>
        <v>1.1543110012465274</v>
      </c>
      <c r="AM10" s="311">
        <f t="shared" si="18"/>
        <v>17.223615947129804</v>
      </c>
      <c r="AN10" s="311">
        <f t="shared" si="19"/>
        <v>18.603631473718462</v>
      </c>
      <c r="AO10" s="447">
        <v>3</v>
      </c>
      <c r="AP10" s="447">
        <v>2</v>
      </c>
      <c r="AQ10" s="591">
        <f t="shared" si="20"/>
        <v>0.1158</v>
      </c>
      <c r="AR10" s="247">
        <v>39730</v>
      </c>
      <c r="AS10">
        <v>40220</v>
      </c>
      <c r="AT10" s="390">
        <f t="shared" si="21"/>
        <v>600</v>
      </c>
    </row>
    <row r="11" spans="1:46" s="264" customFormat="1" x14ac:dyDescent="0.25">
      <c r="A11" s="304" t="s">
        <v>495</v>
      </c>
      <c r="B11" s="260" t="s">
        <v>2</v>
      </c>
      <c r="C11" s="385">
        <f t="shared" ca="1" si="4"/>
        <v>6.2946428571428568</v>
      </c>
      <c r="D11" s="659" t="s">
        <v>567</v>
      </c>
      <c r="E11" s="210">
        <v>27</v>
      </c>
      <c r="F11" s="211">
        <f ca="1">75-41471+$D$1-24-112-10-112-112+6-112-112-112+45-112-112-112-112-112-112-112-112-112</f>
        <v>79</v>
      </c>
      <c r="G11" s="262"/>
      <c r="H11" s="394">
        <v>4</v>
      </c>
      <c r="I11" s="214">
        <v>4.9000000000000004</v>
      </c>
      <c r="J11" s="487">
        <f t="shared" si="5"/>
        <v>1.0278026821895256</v>
      </c>
      <c r="K11" s="303">
        <f t="shared" si="6"/>
        <v>78.400000000000006</v>
      </c>
      <c r="L11" s="303">
        <f t="shared" si="7"/>
        <v>122.50000000000001</v>
      </c>
      <c r="M11" s="296">
        <v>7.3</v>
      </c>
      <c r="N11" s="446">
        <f t="shared" si="8"/>
        <v>92</v>
      </c>
      <c r="O11" s="446" t="s">
        <v>557</v>
      </c>
      <c r="P11" s="679">
        <v>1.5</v>
      </c>
      <c r="Q11" s="447">
        <v>5</v>
      </c>
      <c r="R11" s="501">
        <f t="shared" si="9"/>
        <v>0.84515425472851657</v>
      </c>
      <c r="S11" s="501">
        <f t="shared" si="10"/>
        <v>0.92504826128926143</v>
      </c>
      <c r="T11" s="628">
        <v>34750</v>
      </c>
      <c r="U11" s="627">
        <f t="shared" si="2"/>
        <v>2350</v>
      </c>
      <c r="V11" s="628">
        <v>2510</v>
      </c>
      <c r="W11" s="316">
        <f t="shared" si="3"/>
        <v>13.844621513944222</v>
      </c>
      <c r="X11" s="486">
        <v>0</v>
      </c>
      <c r="Y11" s="487">
        <f>6.51+0.25+0.25+0.25+0.2+0.2+0.2+0.2+0.19+0.19+0.17+0.16+0.16+0.03+0.16+0.15*33/90+0.14+0.13+0.13*36/90+0.02+0.12*32/90+0.02+0.02+0.15*3/90</f>
        <v>9.6046666666666667</v>
      </c>
      <c r="Z11" s="486">
        <f>6.92+0.04+0.04+0.04+0.13+0.04+0.03+0.03+(0.25*30/90*0.5)+(0.25*60/90*0.16)+0.03+0.03+0.25*0.5*1/90+0.026+0.03+0.03+0.03+0.03+0.25*0.5+0.02+0.02+0.02+0.01+0.01+0.01</f>
        <v>7.7607222222222223</v>
      </c>
      <c r="AA11" s="487">
        <f>5.8+0.05+0.05+0.05+0.05+0.04+0.04+0.03+0.02+0.02+0.01</f>
        <v>6.1599999999999984</v>
      </c>
      <c r="AB11" s="486">
        <f>4.28+(0.4/3)+0.4+0.4+0.35+0.35+0.35+0.35+0.3+0.3+0.25+0.25+0.25+0.2+0.04+0.17+0.16+0.03+0.15+0.13+0.02</f>
        <v>8.8633333333333315</v>
      </c>
      <c r="AC11" s="487">
        <f>2.7+0.08+0.08+0.08+0.08+0.08+0.06+0.06+0.06*10/90+0.03</f>
        <v>3.2566666666666673</v>
      </c>
      <c r="AD11" s="486">
        <f>9+1*5/90+0.85+0.85*30/90+0.65+0.55+0.5+0.4+0.35+0.35+0.25</f>
        <v>13.238888888888889</v>
      </c>
      <c r="AE11" s="324">
        <v>1011</v>
      </c>
      <c r="AF11" s="604">
        <f t="shared" si="11"/>
        <v>8.6953905978438932</v>
      </c>
      <c r="AG11" s="604">
        <f t="shared" si="12"/>
        <v>9.525323153514865</v>
      </c>
      <c r="AH11" s="316">
        <f t="shared" si="13"/>
        <v>3.6885427787462368</v>
      </c>
      <c r="AI11" s="316">
        <f t="shared" si="14"/>
        <v>9.0210915627662693</v>
      </c>
      <c r="AJ11" s="316">
        <f t="shared" si="15"/>
        <v>10.794331189462163</v>
      </c>
      <c r="AK11" s="316">
        <f t="shared" si="16"/>
        <v>0.7622242145751621</v>
      </c>
      <c r="AL11" s="316">
        <f t="shared" si="17"/>
        <v>0.95829952108660021</v>
      </c>
      <c r="AM11" s="311">
        <f t="shared" si="18"/>
        <v>13.234397525926026</v>
      </c>
      <c r="AN11" s="311">
        <f t="shared" si="19"/>
        <v>14.497556119880491</v>
      </c>
      <c r="AO11" s="447">
        <v>3</v>
      </c>
      <c r="AP11" s="447">
        <v>2</v>
      </c>
      <c r="AQ11" s="591">
        <f t="shared" si="20"/>
        <v>0.1158</v>
      </c>
      <c r="AR11" s="264">
        <v>32400</v>
      </c>
      <c r="AS11">
        <v>38480</v>
      </c>
      <c r="AT11" s="390">
        <f t="shared" si="21"/>
        <v>3730</v>
      </c>
    </row>
    <row r="12" spans="1:46" s="264" customFormat="1" x14ac:dyDescent="0.25">
      <c r="A12" s="384" t="s">
        <v>408</v>
      </c>
      <c r="B12" s="384" t="s">
        <v>65</v>
      </c>
      <c r="C12" s="385">
        <f t="shared" ca="1" si="4"/>
        <v>2.7053571428571428</v>
      </c>
      <c r="D12" s="658" t="s">
        <v>816</v>
      </c>
      <c r="E12" s="387">
        <v>31</v>
      </c>
      <c r="F12" s="211">
        <f ca="1">46-41471+$D$1-112-112-112-112-112-112-112-112-112-112-112-112-112-112-112</f>
        <v>33</v>
      </c>
      <c r="G12" s="388" t="s">
        <v>271</v>
      </c>
      <c r="H12" s="371">
        <v>0</v>
      </c>
      <c r="I12" s="308">
        <v>12.6</v>
      </c>
      <c r="J12" s="487">
        <f t="shared" si="5"/>
        <v>1.5113852111602899</v>
      </c>
      <c r="K12" s="303">
        <f t="shared" si="6"/>
        <v>0</v>
      </c>
      <c r="L12" s="303">
        <f t="shared" si="7"/>
        <v>12.6</v>
      </c>
      <c r="M12" s="389">
        <v>7.4</v>
      </c>
      <c r="N12" s="446">
        <f t="shared" si="8"/>
        <v>93</v>
      </c>
      <c r="O12" s="446" t="s">
        <v>557</v>
      </c>
      <c r="P12" s="679">
        <v>1.5</v>
      </c>
      <c r="Q12" s="446">
        <v>7</v>
      </c>
      <c r="R12" s="501">
        <f t="shared" si="9"/>
        <v>1</v>
      </c>
      <c r="S12" s="501">
        <f t="shared" si="10"/>
        <v>1</v>
      </c>
      <c r="T12" s="324">
        <v>205480</v>
      </c>
      <c r="U12" s="627">
        <f t="shared" si="2"/>
        <v>-940</v>
      </c>
      <c r="V12" s="324">
        <v>14850</v>
      </c>
      <c r="W12" s="316">
        <f t="shared" si="3"/>
        <v>13.837037037037037</v>
      </c>
      <c r="X12" s="486">
        <v>0</v>
      </c>
      <c r="Y12" s="487">
        <f>11.95+1/18+1/18</f>
        <v>12.06111111111111</v>
      </c>
      <c r="Z12" s="486">
        <f>9.9+0.17+(0.17/90*26)+0.17+0.15+0.15+0.15+0.13+0.13+(1/8)+0.13+0.13+0.13*0.5+0.11+0.11+0.11*0.5+0.11*0.5+0.1*0.5+0.1*0.5+0.1+0.1+0.1*0.5+0.09+0.09*0.5+0.09*0.5+0.09*0.5+0.09*0.5+0.09*0.5+0.09*0.5+0.09*0.5+0.09*0.5+0.07*0.5</f>
        <v>12.614111111111114</v>
      </c>
      <c r="AA12" s="487">
        <f>13.05+1/12+1/12</f>
        <v>13.216666666666669</v>
      </c>
      <c r="AB12" s="486">
        <f>10.7+0.07+0.07+0.07</f>
        <v>10.91</v>
      </c>
      <c r="AC12" s="487">
        <f>5.71+0.29+0.29+0.29+0.25+0.25+0.2+0.2+0.2+0.015+0.15*0.5</f>
        <v>7.7700000000000005</v>
      </c>
      <c r="AD12" s="486">
        <f>10.8+0.67+0.55+0.55+0.45+0.45+0.4+0.4+0.35+0.35+0.33+0.33+0.3+0.3+0.25+0.25+0.2+0.2+0.2</f>
        <v>17.329999999999998</v>
      </c>
      <c r="AE12" s="324">
        <v>2204</v>
      </c>
      <c r="AF12" s="604">
        <f t="shared" si="11"/>
        <v>15.625496322271404</v>
      </c>
      <c r="AG12" s="604">
        <f t="shared" si="12"/>
        <v>15.625496322271404</v>
      </c>
      <c r="AH12" s="316">
        <f t="shared" si="13"/>
        <v>5.3644083430739977</v>
      </c>
      <c r="AI12" s="316">
        <f t="shared" si="14"/>
        <v>21.484861316664237</v>
      </c>
      <c r="AJ12" s="316">
        <f t="shared" si="15"/>
        <v>17.473385211160288</v>
      </c>
      <c r="AK12" s="316">
        <f t="shared" si="16"/>
        <v>1.149310816892823</v>
      </c>
      <c r="AL12" s="316">
        <f t="shared" si="17"/>
        <v>1.2131414092256647</v>
      </c>
      <c r="AM12" s="311">
        <f t="shared" si="18"/>
        <v>20.297160726823414</v>
      </c>
      <c r="AN12" s="311">
        <f t="shared" si="19"/>
        <v>20.297160726823414</v>
      </c>
      <c r="AO12" s="446">
        <v>1</v>
      </c>
      <c r="AP12" s="446">
        <v>2</v>
      </c>
      <c r="AQ12" s="591">
        <f t="shared" si="20"/>
        <v>4.9399999999999999E-2</v>
      </c>
      <c r="AR12" s="264">
        <v>206420</v>
      </c>
      <c r="AS12">
        <v>201940</v>
      </c>
      <c r="AT12" s="390">
        <f t="shared" si="21"/>
        <v>-3540</v>
      </c>
    </row>
    <row r="13" spans="1:46" s="254" customFormat="1" x14ac:dyDescent="0.25">
      <c r="A13" s="384" t="s">
        <v>410</v>
      </c>
      <c r="B13" s="384" t="s">
        <v>65</v>
      </c>
      <c r="C13" s="385">
        <f t="shared" ca="1" si="4"/>
        <v>3.1785714285714284</v>
      </c>
      <c r="D13" s="658" t="s">
        <v>298</v>
      </c>
      <c r="E13" s="387">
        <v>30</v>
      </c>
      <c r="F13" s="395">
        <f ca="1">75-41471+$D$1-24-112-10-112-40-8-112-112-112-112-112-112-112-112-112-112-112-112</f>
        <v>92</v>
      </c>
      <c r="G13" s="388" t="s">
        <v>268</v>
      </c>
      <c r="H13" s="371">
        <v>2</v>
      </c>
      <c r="I13" s="308">
        <v>10.4</v>
      </c>
      <c r="J13" s="487">
        <f t="shared" si="5"/>
        <v>1.4092064684486303</v>
      </c>
      <c r="K13" s="303">
        <f t="shared" si="6"/>
        <v>41.6</v>
      </c>
      <c r="L13" s="303">
        <f t="shared" si="7"/>
        <v>93.600000000000009</v>
      </c>
      <c r="M13" s="389">
        <v>7.5</v>
      </c>
      <c r="N13" s="446">
        <f t="shared" si="8"/>
        <v>94</v>
      </c>
      <c r="O13" s="446" t="s">
        <v>557</v>
      </c>
      <c r="P13" s="679">
        <v>1.5</v>
      </c>
      <c r="Q13" s="446">
        <v>5</v>
      </c>
      <c r="R13" s="501">
        <f t="shared" si="9"/>
        <v>0.84515425472851657</v>
      </c>
      <c r="S13" s="501">
        <f t="shared" si="10"/>
        <v>0.92504826128926143</v>
      </c>
      <c r="T13" s="324">
        <v>102560</v>
      </c>
      <c r="U13" s="627">
        <f t="shared" si="2"/>
        <v>-1340</v>
      </c>
      <c r="V13" s="324">
        <v>10060</v>
      </c>
      <c r="W13" s="316">
        <f t="shared" si="3"/>
        <v>10.194831013916501</v>
      </c>
      <c r="X13" s="486">
        <v>0</v>
      </c>
      <c r="Y13" s="487">
        <f>7+0.11+0.11+1/33</f>
        <v>7.2503030303030309</v>
      </c>
      <c r="Z13" s="486">
        <f>10+0.1*0.5+0.1*0.5+0.1*0.5+0.1*0.5+0.1*0.5+0.1+0.1+0.1*0.5+0.1*0.5+0.1*0.5</f>
        <v>10.600000000000005</v>
      </c>
      <c r="AA13" s="487">
        <f>12+0.165+0.15+0.15+0.15+0.13+0.13+0.12+0.11+0.1+0.1+1/12+1/12</f>
        <v>13.471666666666668</v>
      </c>
      <c r="AB13" s="486">
        <f>6.1+0.33+0.3+0.3+0.25+0.25+0.25+0.25+0.25+0.2+0.2+0.2+0.2+0.15+0.13+0.13+0.13+0.12+0.12+0.11+0.1+0.08+0.07+0.07+0.07</f>
        <v>10.359999999999998</v>
      </c>
      <c r="AC13" s="487">
        <f>2.7+0.06+0.33+0.33+0.33+0.33+0.33+0.33+0.33+0.25+0.17*0.5</f>
        <v>5.4050000000000002</v>
      </c>
      <c r="AD13" s="486">
        <f>11.48+0.6+0.6*1.25+0.5+0.5+0.39+0.39+0.39+0.3+0.3+0.3+0.25+0.25+0.25+0.25+0.2+0.2+0.2</f>
        <v>17.500000000000004</v>
      </c>
      <c r="AE13" s="324">
        <v>1615</v>
      </c>
      <c r="AF13" s="604">
        <f t="shared" si="11"/>
        <v>11.417363324815362</v>
      </c>
      <c r="AG13" s="604">
        <f t="shared" si="12"/>
        <v>12.507094880467113</v>
      </c>
      <c r="AH13" s="316">
        <f t="shared" si="13"/>
        <v>3.8769256607732214</v>
      </c>
      <c r="AI13" s="316">
        <f t="shared" si="14"/>
        <v>14.728204262097627</v>
      </c>
      <c r="AJ13" s="316">
        <f t="shared" si="15"/>
        <v>14.1822854691597</v>
      </c>
      <c r="AK13" s="316">
        <f t="shared" si="16"/>
        <v>1.0279865174758906</v>
      </c>
      <c r="AL13" s="316">
        <f t="shared" si="17"/>
        <v>1.0186565740035254</v>
      </c>
      <c r="AM13" s="311">
        <f t="shared" si="18"/>
        <v>17.203997578387305</v>
      </c>
      <c r="AN13" s="311">
        <f t="shared" si="19"/>
        <v>18.846035105893961</v>
      </c>
      <c r="AO13" s="446">
        <v>4</v>
      </c>
      <c r="AP13" s="446">
        <v>4</v>
      </c>
      <c r="AQ13" s="591">
        <f t="shared" si="20"/>
        <v>0.157</v>
      </c>
      <c r="AR13" s="254">
        <v>103900</v>
      </c>
      <c r="AS13">
        <v>105190</v>
      </c>
      <c r="AT13" s="390">
        <f t="shared" si="21"/>
        <v>2630</v>
      </c>
    </row>
    <row r="14" spans="1:46" s="263" customFormat="1" x14ac:dyDescent="0.25">
      <c r="A14" s="384" t="s">
        <v>409</v>
      </c>
      <c r="B14" s="384" t="s">
        <v>65</v>
      </c>
      <c r="C14" s="385">
        <f t="shared" ca="1" si="4"/>
        <v>6.0446428571428568</v>
      </c>
      <c r="D14" s="658" t="s">
        <v>507</v>
      </c>
      <c r="E14" s="387">
        <v>27</v>
      </c>
      <c r="F14" s="211">
        <f ca="1">7-41471+$D$1-112-111-112+4-112-116-112-112-112-112-112-112-112-112-112</f>
        <v>107</v>
      </c>
      <c r="G14" s="388" t="s">
        <v>502</v>
      </c>
      <c r="H14" s="371">
        <v>2</v>
      </c>
      <c r="I14" s="308">
        <v>9</v>
      </c>
      <c r="J14" s="487">
        <f t="shared" si="5"/>
        <v>1.3333333333333333</v>
      </c>
      <c r="K14" s="303">
        <f t="shared" si="6"/>
        <v>36</v>
      </c>
      <c r="L14" s="303">
        <f t="shared" si="7"/>
        <v>81</v>
      </c>
      <c r="M14" s="389">
        <v>8.1</v>
      </c>
      <c r="N14" s="446">
        <f t="shared" si="8"/>
        <v>100</v>
      </c>
      <c r="O14" s="446" t="s">
        <v>557</v>
      </c>
      <c r="P14" s="679">
        <v>1.5</v>
      </c>
      <c r="Q14" s="446">
        <v>6</v>
      </c>
      <c r="R14" s="501">
        <f t="shared" si="9"/>
        <v>0.92582009977255142</v>
      </c>
      <c r="S14" s="501">
        <f t="shared" si="10"/>
        <v>0.99928545900129484</v>
      </c>
      <c r="T14" s="324">
        <v>232960</v>
      </c>
      <c r="U14" s="627">
        <f t="shared" si="2"/>
        <v>3030</v>
      </c>
      <c r="V14" s="324">
        <v>12550</v>
      </c>
      <c r="W14" s="316">
        <f t="shared" si="3"/>
        <v>18.562549800796813</v>
      </c>
      <c r="X14" s="486">
        <v>0</v>
      </c>
      <c r="Y14" s="487">
        <f>8+0.12+0.12+0.12</f>
        <v>8.3599999999999977</v>
      </c>
      <c r="Z14" s="486">
        <f>8.4+0.22+0.22+(0.22*75/90)+(0.05*15/90)+0.17+0.17+0.17+0.17+0.17+1/7+0.16+0.16+0.16+0.125+0.16+0.16+0.14+0.14+0.05*61/90+0.11+0.11*0.5+0.11+0.11+0.11+0.1+0.1+0.1*0.5+0.1*0.5+0.1+0.1*0.5+0.09*0.5</f>
        <v>12.253412698412699</v>
      </c>
      <c r="AA14" s="487">
        <f>10.6+0.21+0.2+0.18+0.17+0.17+0.03+0.15+0.15+0.14+0.13+0.12+0.11</f>
        <v>12.36</v>
      </c>
      <c r="AB14" s="486">
        <f>6+0.33+0.33+0.33+0.3+0.25+0.25+0.24+0.24+0.23+0.2+0.2+0.18+0.15+0.15+0.15+0.15+0.13+0.13+0.12+0.1+0.08</f>
        <v>10.24</v>
      </c>
      <c r="AC14" s="487">
        <f>4.7+0.33+0.33+(0.33*85/90)+0.33+0.32+0.3+0.3+0.27+0.21+0.15*0.5</f>
        <v>7.4766666666666666</v>
      </c>
      <c r="AD14" s="486">
        <f>9+0.67+0.67+0.67+0.55+0.55+0.45+0.45*70/90+0.4+0.35+0.35+0.3+0.25+0.25+0.25+0.21+0.2</f>
        <v>15.47</v>
      </c>
      <c r="AE14" s="324">
        <v>1775</v>
      </c>
      <c r="AF14" s="604">
        <f t="shared" si="11"/>
        <v>13.967612716354257</v>
      </c>
      <c r="AG14" s="604">
        <f t="shared" si="12"/>
        <v>15.086746031746033</v>
      </c>
      <c r="AH14" s="316">
        <f t="shared" si="13"/>
        <v>4.3212653156883842</v>
      </c>
      <c r="AI14" s="316">
        <f t="shared" si="14"/>
        <v>18.128884562356234</v>
      </c>
      <c r="AJ14" s="316">
        <f t="shared" si="15"/>
        <v>14.725477293582355</v>
      </c>
      <c r="AK14" s="316">
        <f t="shared" si="16"/>
        <v>1.0646</v>
      </c>
      <c r="AL14" s="316">
        <f t="shared" si="17"/>
        <v>0.99683333333333324</v>
      </c>
      <c r="AM14" s="311">
        <f t="shared" si="18"/>
        <v>16.889109620201964</v>
      </c>
      <c r="AN14" s="311">
        <f t="shared" si="19"/>
        <v>18.2423233459191</v>
      </c>
      <c r="AO14" s="446">
        <v>3</v>
      </c>
      <c r="AP14" s="446">
        <v>2</v>
      </c>
      <c r="AQ14" s="591">
        <f t="shared" si="20"/>
        <v>0.1158</v>
      </c>
      <c r="AR14" s="263">
        <v>229930</v>
      </c>
      <c r="AS14">
        <v>213360</v>
      </c>
      <c r="AT14" s="390">
        <f t="shared" si="21"/>
        <v>-19600</v>
      </c>
    </row>
    <row r="15" spans="1:46" s="264" customFormat="1" x14ac:dyDescent="0.25">
      <c r="A15" s="384" t="s">
        <v>406</v>
      </c>
      <c r="B15" s="260" t="s">
        <v>64</v>
      </c>
      <c r="C15" s="385">
        <f t="shared" ca="1" si="4"/>
        <v>4.0714285714285712</v>
      </c>
      <c r="D15" s="659" t="s">
        <v>618</v>
      </c>
      <c r="E15" s="210">
        <v>29</v>
      </c>
      <c r="F15" s="211">
        <f ca="1">7-41471+$D$1-112-111-3-112-112-112-112-112-112-112-112-112-112-112-112</f>
        <v>104</v>
      </c>
      <c r="G15" s="388" t="s">
        <v>268</v>
      </c>
      <c r="H15" s="371">
        <v>3</v>
      </c>
      <c r="I15" s="214">
        <v>10.8</v>
      </c>
      <c r="J15" s="487">
        <f t="shared" si="5"/>
        <v>1.4291760097415007</v>
      </c>
      <c r="K15" s="303">
        <f t="shared" si="6"/>
        <v>97.2</v>
      </c>
      <c r="L15" s="303">
        <f t="shared" si="7"/>
        <v>172.8</v>
      </c>
      <c r="M15" s="296">
        <v>7.8</v>
      </c>
      <c r="N15" s="446">
        <f t="shared" si="8"/>
        <v>97</v>
      </c>
      <c r="O15" s="446" t="s">
        <v>557</v>
      </c>
      <c r="P15" s="679">
        <v>1.5</v>
      </c>
      <c r="Q15" s="447">
        <v>7</v>
      </c>
      <c r="R15" s="501">
        <f t="shared" si="9"/>
        <v>1</v>
      </c>
      <c r="S15" s="501">
        <f t="shared" si="10"/>
        <v>1</v>
      </c>
      <c r="T15" s="324">
        <v>237610</v>
      </c>
      <c r="U15" s="627">
        <f t="shared" si="2"/>
        <v>-160</v>
      </c>
      <c r="V15" s="628">
        <v>21080</v>
      </c>
      <c r="W15" s="316">
        <f t="shared" si="3"/>
        <v>11.271821631878558</v>
      </c>
      <c r="X15" s="486">
        <v>0</v>
      </c>
      <c r="Y15" s="487">
        <f>5.6+0.26+0.26+0.26+(0.26*23/90)+(0.05*(90-23)/90)+0.26+0.26+0.23+0.23+0.22+0.15+0.15+0.14+0.13+0.13+0.13+0.12+0.12+0.12+0.02+0.1+0.1+0.1+0.01+0.1</f>
        <v>9.3036666666666648</v>
      </c>
      <c r="Z15" s="486">
        <f>13+0.1+0.1+0.1+0.1+0.1+0.1+0.08+0.08+0.08+0.07</f>
        <v>13.909999999999998</v>
      </c>
      <c r="AA15" s="487">
        <f>11.58+0.17+(0.17/2)+0.17+0.15+0.03+0.15+0.14+0.13+0.12+0.11+0.11</f>
        <v>12.945</v>
      </c>
      <c r="AB15" s="486">
        <f>5.21+0.4+0.4+0.33+0.33+0.33+0.33+0.3+0.3+0.23+0.23+0.22*30/90+0.15+0.15+0.15+0.13+0.12+0.11+0.11+0.08+0.07+0.07+0.07</f>
        <v>9.6733333333333356</v>
      </c>
      <c r="AC15" s="487">
        <f>2.9+0.33+(0.33*46/90)+0.03+0.07+0.07+(0.33*33/90)+0.33+0.33+0.33+0.25+0.2*0.5</f>
        <v>5.0296666666666656</v>
      </c>
      <c r="AD15" s="486">
        <f>15+0.2+0.2</f>
        <v>15.399999999999999</v>
      </c>
      <c r="AE15" s="324">
        <v>1791</v>
      </c>
      <c r="AF15" s="604">
        <f t="shared" si="11"/>
        <v>16.8391760097415</v>
      </c>
      <c r="AG15" s="604">
        <f t="shared" si="12"/>
        <v>16.8391760097415</v>
      </c>
      <c r="AH15" s="316">
        <f t="shared" si="13"/>
        <v>4.6797326703197299</v>
      </c>
      <c r="AI15" s="316">
        <f t="shared" si="14"/>
        <v>15.692725648195379</v>
      </c>
      <c r="AJ15" s="316">
        <f t="shared" si="15"/>
        <v>15.218076009741498</v>
      </c>
      <c r="AK15" s="316">
        <f t="shared" si="16"/>
        <v>0.94781741411265319</v>
      </c>
      <c r="AL15" s="316">
        <f t="shared" si="17"/>
        <v>1.0391889873485716</v>
      </c>
      <c r="AM15" s="311">
        <f t="shared" si="18"/>
        <v>18.277898340649266</v>
      </c>
      <c r="AN15" s="311">
        <f t="shared" si="19"/>
        <v>18.277898340649266</v>
      </c>
      <c r="AO15" s="447">
        <v>3</v>
      </c>
      <c r="AP15" s="447">
        <v>3</v>
      </c>
      <c r="AQ15" s="591">
        <f t="shared" si="20"/>
        <v>0.1158</v>
      </c>
      <c r="AR15" s="264">
        <v>237770</v>
      </c>
      <c r="AS15">
        <v>231150</v>
      </c>
      <c r="AT15" s="390">
        <f t="shared" si="21"/>
        <v>-6460</v>
      </c>
    </row>
    <row r="16" spans="1:46" x14ac:dyDescent="0.25">
      <c r="A16" s="305" t="s">
        <v>407</v>
      </c>
      <c r="B16" s="384" t="s">
        <v>64</v>
      </c>
      <c r="C16" s="385">
        <f t="shared" ca="1" si="4"/>
        <v>1.7678571428571428</v>
      </c>
      <c r="D16" s="658" t="s">
        <v>285</v>
      </c>
      <c r="E16" s="387">
        <v>32</v>
      </c>
      <c r="F16" s="395">
        <f ca="1">33-41471+$D$1-112+6-112-112-112-112-112-112-112-112-112-112-112-112-112-112</f>
        <v>26</v>
      </c>
      <c r="G16" s="388" t="s">
        <v>268</v>
      </c>
      <c r="H16" s="394">
        <v>4</v>
      </c>
      <c r="I16" s="308">
        <v>11.3</v>
      </c>
      <c r="J16" s="487">
        <f t="shared" si="5"/>
        <v>1.4532068152525308</v>
      </c>
      <c r="K16" s="303">
        <f t="shared" si="6"/>
        <v>180.8</v>
      </c>
      <c r="L16" s="303">
        <f t="shared" si="7"/>
        <v>282.5</v>
      </c>
      <c r="M16" s="389">
        <v>7.1</v>
      </c>
      <c r="N16" s="446">
        <f t="shared" si="8"/>
        <v>90</v>
      </c>
      <c r="O16" s="446" t="s">
        <v>557</v>
      </c>
      <c r="P16" s="679">
        <v>1.5</v>
      </c>
      <c r="Q16" s="446">
        <v>4</v>
      </c>
      <c r="R16" s="501">
        <f t="shared" si="9"/>
        <v>0.7559289460184544</v>
      </c>
      <c r="S16" s="501">
        <f t="shared" si="10"/>
        <v>0.84430867747355465</v>
      </c>
      <c r="T16" s="324">
        <v>68770</v>
      </c>
      <c r="U16" s="627">
        <f t="shared" si="2"/>
        <v>-970</v>
      </c>
      <c r="V16" s="324">
        <v>16210</v>
      </c>
      <c r="W16" s="316">
        <f t="shared" si="3"/>
        <v>4.2424429364589757</v>
      </c>
      <c r="X16" s="486">
        <v>0</v>
      </c>
      <c r="Y16" s="487">
        <f>5.25+0.25+0.25+0.25+0.24+0.24+0.24+0.24+0.23+0.22+0.17+(0.17*25/90)+0.16+0.16+0.03+0.15+0.14+0.14+0.13+0.02+0.11*33/90+0.01+0.01+0.01</f>
        <v>8.6275555555555581</v>
      </c>
      <c r="Z16" s="486">
        <f>11.65+0.13+0.13+0.13+0.11+0.11+0.11+0.1+0.1+0.1+0.1+0.1+0.1+0.1+0.1+0.1+0.1+0.091*83/90+0.091+0.091+0.091+0.091+0.091+0.091+1/21+1/21+1/21+1/21+1/21+1/21+1/21</f>
        <v>14.333255555555548</v>
      </c>
      <c r="AA16" s="487">
        <v>9.99</v>
      </c>
      <c r="AB16" s="486">
        <f>6.01+0.25+0.25+0.25+0.25+0.25+0.25+0.25+0.25+0.24+0.21+0.2+0.2+0.15+0.13+0.13+0.12+0.11+0.11+0.11+0.1+0.08+0.07+0.06+0.06</f>
        <v>10.09</v>
      </c>
      <c r="AC16" s="487">
        <f>3.79+0.04+0.04+0.03+0.03+0.21+0.03+0.03+0.2*45/90+0.2*0.5</f>
        <v>4.3999999999999995</v>
      </c>
      <c r="AD16" s="486">
        <f>10.7+0.5+0.5*80/90+0.5+0.45+0.45+0.45+0.45+0.35+0.3+0.3+0.25+0.25+0.25+0.25+0.25+0.2+0.2+0.2</f>
        <v>16.74444444444444</v>
      </c>
      <c r="AE16" s="324">
        <v>1735</v>
      </c>
      <c r="AF16" s="604">
        <f t="shared" si="11"/>
        <v>13.067337280352623</v>
      </c>
      <c r="AG16" s="604">
        <f t="shared" si="12"/>
        <v>14.609727221892847</v>
      </c>
      <c r="AH16" s="316">
        <f t="shared" si="13"/>
        <v>3.5592135817705337</v>
      </c>
      <c r="AI16" s="316">
        <f t="shared" si="14"/>
        <v>11.671566742937614</v>
      </c>
      <c r="AJ16" s="316">
        <f t="shared" si="15"/>
        <v>12.090567892360136</v>
      </c>
      <c r="AK16" s="316">
        <f t="shared" si="16"/>
        <v>0.95858987855353561</v>
      </c>
      <c r="AL16" s="316">
        <f t="shared" si="17"/>
        <v>1.0541600326232328</v>
      </c>
      <c r="AM16" s="311">
        <f t="shared" si="18"/>
        <v>14.8529069633907</v>
      </c>
      <c r="AN16" s="311">
        <f t="shared" si="19"/>
        <v>16.606054816810794</v>
      </c>
      <c r="AO16" s="446">
        <v>2</v>
      </c>
      <c r="AP16" s="446">
        <v>2</v>
      </c>
      <c r="AQ16" s="591">
        <f t="shared" si="20"/>
        <v>6.1499999999999999E-2</v>
      </c>
      <c r="AR16">
        <v>69740</v>
      </c>
      <c r="AS16">
        <v>63900</v>
      </c>
      <c r="AT16" s="390">
        <f t="shared" si="21"/>
        <v>-4870</v>
      </c>
    </row>
    <row r="17" spans="1:46" s="4" customFormat="1" x14ac:dyDescent="0.25">
      <c r="A17" s="384" t="s">
        <v>404</v>
      </c>
      <c r="B17" s="384" t="s">
        <v>64</v>
      </c>
      <c r="C17" s="385">
        <f t="shared" ca="1" si="4"/>
        <v>2.8214285714285716</v>
      </c>
      <c r="D17" s="658" t="s">
        <v>272</v>
      </c>
      <c r="E17" s="387">
        <v>31</v>
      </c>
      <c r="F17" s="395">
        <f ca="1">33-41471+$D$1-112-112-112-112-112-112-112-112-112-112-112-112-112-112-112</f>
        <v>20</v>
      </c>
      <c r="G17" s="388"/>
      <c r="H17" s="371">
        <v>3</v>
      </c>
      <c r="I17" s="308">
        <v>9.3000000000000007</v>
      </c>
      <c r="J17" s="487">
        <f t="shared" si="5"/>
        <v>1.3504496329402296</v>
      </c>
      <c r="K17" s="303">
        <f t="shared" si="6"/>
        <v>83.7</v>
      </c>
      <c r="L17" s="303">
        <f t="shared" si="7"/>
        <v>148.80000000000001</v>
      </c>
      <c r="M17" s="389">
        <v>7.4</v>
      </c>
      <c r="N17" s="446">
        <f t="shared" si="8"/>
        <v>93</v>
      </c>
      <c r="O17" s="446" t="s">
        <v>557</v>
      </c>
      <c r="P17" s="679">
        <v>1.5</v>
      </c>
      <c r="Q17" s="446">
        <v>7</v>
      </c>
      <c r="R17" s="501">
        <f t="shared" si="9"/>
        <v>1</v>
      </c>
      <c r="S17" s="501">
        <f t="shared" si="10"/>
        <v>1</v>
      </c>
      <c r="T17" s="324">
        <v>71640</v>
      </c>
      <c r="U17" s="627">
        <f t="shared" si="2"/>
        <v>-360</v>
      </c>
      <c r="V17" s="324">
        <v>11380</v>
      </c>
      <c r="W17" s="316">
        <f t="shared" si="3"/>
        <v>6.2952548330404214</v>
      </c>
      <c r="X17" s="486">
        <v>0</v>
      </c>
      <c r="Y17" s="487">
        <f>7.5+0.2+0.2+0.2+0.2+0.2+0.16+0.16+0.14+0.14+0.13+0.13+0.12+0.12+0.12+0.12+0.11+0.1+0.1+0.1+0.1+0.1+0.1</f>
        <v>10.549999999999995</v>
      </c>
      <c r="Z17" s="486">
        <f>10.7+0.08+(0.16*77/90)+0.08+0.07+((0.07*37/90)+0.14*53/90)+(0.07*23/90)+0.06+0.06+0.06+0.06+0.06+0.12+0.1+0.1+0.1*0.5*32/90+0.1*0.5+0.1+0.1+0.1+0.1*0.16+0.1*0.5+0.1+0.1+0.1+0.1+0.1+0.01+0.01+0.1+0.07</f>
        <v>12.939777777777776</v>
      </c>
      <c r="AA17" s="487">
        <f>4.85+0.05+0.05+0.05+0.03+0.03+0.02+0.02+0.02+0.01+0.01</f>
        <v>5.1399999999999979</v>
      </c>
      <c r="AB17" s="486">
        <f>8.95+0.08+0.07+0.07+0.07</f>
        <v>9.24</v>
      </c>
      <c r="AC17" s="487">
        <v>2.98</v>
      </c>
      <c r="AD17" s="486">
        <f>11+0.5+0.5+0.5+0.45+0.4+0.4+0.4+0.35+0.33+0.33+0.3+0.3+0.3+0.2+0.2+0.2+0.2+0.2</f>
        <v>17.059999999999999</v>
      </c>
      <c r="AE17" s="324">
        <v>1482</v>
      </c>
      <c r="AF17" s="604">
        <f t="shared" si="11"/>
        <v>15.790227410718005</v>
      </c>
      <c r="AG17" s="604">
        <f t="shared" si="12"/>
        <v>15.790227410718005</v>
      </c>
      <c r="AH17" s="316">
        <f t="shared" si="13"/>
        <v>4.6976686123525857</v>
      </c>
      <c r="AI17" s="316">
        <f t="shared" si="14"/>
        <v>13.029293688797909</v>
      </c>
      <c r="AJ17" s="316">
        <f t="shared" si="15"/>
        <v>15.686449632940228</v>
      </c>
      <c r="AK17" s="316">
        <f t="shared" si="16"/>
        <v>0.88883597063521835</v>
      </c>
      <c r="AL17" s="316">
        <f t="shared" si="17"/>
        <v>1.1333314743058158</v>
      </c>
      <c r="AM17" s="311">
        <f t="shared" si="18"/>
        <v>19.851310598071912</v>
      </c>
      <c r="AN17" s="311">
        <f t="shared" si="19"/>
        <v>19.851310598071912</v>
      </c>
      <c r="AO17" s="446">
        <v>4</v>
      </c>
      <c r="AP17" s="446">
        <v>1</v>
      </c>
      <c r="AQ17" s="591">
        <f t="shared" si="20"/>
        <v>0.157</v>
      </c>
      <c r="AR17" s="4">
        <v>72000</v>
      </c>
      <c r="AS17">
        <v>71310</v>
      </c>
      <c r="AT17" s="390">
        <f t="shared" si="21"/>
        <v>-330</v>
      </c>
    </row>
    <row r="18" spans="1:46" s="263" customFormat="1" x14ac:dyDescent="0.25">
      <c r="A18" s="305" t="s">
        <v>411</v>
      </c>
      <c r="B18" s="260" t="s">
        <v>64</v>
      </c>
      <c r="C18" s="385">
        <f t="shared" ca="1" si="4"/>
        <v>3.0446428571428572</v>
      </c>
      <c r="D18" s="659" t="s">
        <v>400</v>
      </c>
      <c r="E18" s="210">
        <v>30</v>
      </c>
      <c r="F18" s="211">
        <f ca="1">7-41471+$D$1-112-111-112-112-112-112-112-112-112-112-112-112-112-112</f>
        <v>107</v>
      </c>
      <c r="G18" s="262"/>
      <c r="H18" s="371">
        <v>0</v>
      </c>
      <c r="I18" s="214">
        <v>8.1999999999999993</v>
      </c>
      <c r="J18" s="487">
        <f t="shared" si="5"/>
        <v>1.2850504364607402</v>
      </c>
      <c r="K18" s="303">
        <f t="shared" si="6"/>
        <v>0</v>
      </c>
      <c r="L18" s="303">
        <f t="shared" si="7"/>
        <v>8.1999999999999993</v>
      </c>
      <c r="M18" s="296">
        <v>7.5</v>
      </c>
      <c r="N18" s="446">
        <f t="shared" si="8"/>
        <v>94</v>
      </c>
      <c r="O18" s="446" t="s">
        <v>557</v>
      </c>
      <c r="P18" s="679">
        <v>1.5</v>
      </c>
      <c r="Q18" s="447">
        <v>4</v>
      </c>
      <c r="R18" s="501">
        <f t="shared" si="9"/>
        <v>0.7559289460184544</v>
      </c>
      <c r="S18" s="501">
        <f t="shared" si="10"/>
        <v>0.84430867747355465</v>
      </c>
      <c r="T18" s="324">
        <v>76010</v>
      </c>
      <c r="U18" s="627">
        <f t="shared" si="2"/>
        <v>-4440</v>
      </c>
      <c r="V18" s="628">
        <v>20790</v>
      </c>
      <c r="W18" s="316">
        <f t="shared" si="3"/>
        <v>3.6560846560846563</v>
      </c>
      <c r="X18" s="486">
        <v>0</v>
      </c>
      <c r="Y18" s="487">
        <f>3.4+0.06+0.06+0.06+0.06+0.06+0.06+0.06+0.06+(0.06*40/90)+(0.25*35/90)+0.06+(0.25*35/90)+0.05+0.25+0.05+0.05+0.22+0.2+0.15+0.15+0.15+1/30</f>
        <v>5.4644444444444451</v>
      </c>
      <c r="Z18" s="486">
        <f>11.7+0.13+0.13+0.13+0.12+0.12+0.12+0.1+0.1+0.1+0.1+0.1+0.1+0.091+0.091*33/90+0.1+0.091+0.091+0.091+0.091+0.091+0.091+0.091+0.092+1/21+1/21+1/21+1/21+1/21*80/90+1/21+1/21+1/21+1/21</f>
        <v>14.42664708994708</v>
      </c>
      <c r="AA18" s="487">
        <f>3.0625+0.06+0.06+0.06+0.05+0.05+0.05+0.04+0.03+0.03+0.02</f>
        <v>3.5124999999999993</v>
      </c>
      <c r="AB18" s="486">
        <f>4.21+0.4+0.4+0.4+0.33+0.33+0.33+0.15+0.33+0.3+0.25+0.2+0.22+0.15+0.15+0.15+0.02+0.15+0.14+0.13+0.11+0.08+0.07+0.07+0.07</f>
        <v>9.1400000000000041</v>
      </c>
      <c r="AC18" s="487">
        <f>5.75+0.28+(0.28*44/90)+0.28+0.28+0.28+0.04+0.04+0.25+0.02+0.15*0.5</f>
        <v>7.4318888888888894</v>
      </c>
      <c r="AD18" s="486">
        <f>11+0.67+0.5+0.5+0.5+0.45+0.35+0.3+0.3+0.3+0.3+0.25+0.25+0.2+0.2+0.2</f>
        <v>16.27</v>
      </c>
      <c r="AE18" s="324">
        <v>1497</v>
      </c>
      <c r="AF18" s="604">
        <f t="shared" si="11"/>
        <v>13.010820370325902</v>
      </c>
      <c r="AG18" s="604">
        <f t="shared" si="12"/>
        <v>14.546539395543855</v>
      </c>
      <c r="AH18" s="316">
        <f t="shared" si="13"/>
        <v>3.0331266982260816</v>
      </c>
      <c r="AI18" s="316">
        <f t="shared" si="14"/>
        <v>14.997930408017421</v>
      </c>
      <c r="AJ18" s="316">
        <f t="shared" si="15"/>
        <v>12.399968987657392</v>
      </c>
      <c r="AK18" s="316">
        <f t="shared" si="16"/>
        <v>1.0824984793613035</v>
      </c>
      <c r="AL18" s="316">
        <f t="shared" si="17"/>
        <v>0.90163130833002969</v>
      </c>
      <c r="AM18" s="311">
        <f t="shared" si="18"/>
        <v>14.35389516046725</v>
      </c>
      <c r="AN18" s="311">
        <f t="shared" si="19"/>
        <v>16.048142660355012</v>
      </c>
      <c r="AO18" s="447">
        <v>2</v>
      </c>
      <c r="AP18" s="447">
        <v>1</v>
      </c>
      <c r="AQ18" s="591">
        <f t="shared" si="20"/>
        <v>6.1499999999999999E-2</v>
      </c>
      <c r="AR18" s="263">
        <v>80450</v>
      </c>
      <c r="AS18">
        <v>80080</v>
      </c>
      <c r="AT18" s="390">
        <f t="shared" si="21"/>
        <v>4070</v>
      </c>
    </row>
    <row r="19" spans="1:46" s="264" customFormat="1" ht="14.25" customHeight="1" x14ac:dyDescent="0.25">
      <c r="A19" s="305" t="s">
        <v>505</v>
      </c>
      <c r="B19" s="260" t="s">
        <v>64</v>
      </c>
      <c r="C19" s="385">
        <f t="shared" ca="1" si="4"/>
        <v>4.4910714285714288</v>
      </c>
      <c r="D19" s="659" t="s">
        <v>414</v>
      </c>
      <c r="E19" s="210">
        <v>29</v>
      </c>
      <c r="F19" s="211">
        <f ca="1">59-41471+$D$1-325-112-112-112-112-112-112-112-112-112-112-112-112</f>
        <v>57</v>
      </c>
      <c r="G19" s="262"/>
      <c r="H19" s="371">
        <v>2</v>
      </c>
      <c r="I19" s="214">
        <v>4</v>
      </c>
      <c r="J19" s="487">
        <f t="shared" si="5"/>
        <v>0.93196000578135851</v>
      </c>
      <c r="K19" s="303">
        <f t="shared" si="6"/>
        <v>16</v>
      </c>
      <c r="L19" s="303">
        <f t="shared" si="7"/>
        <v>36</v>
      </c>
      <c r="M19" s="296">
        <v>6.8</v>
      </c>
      <c r="N19" s="446">
        <f t="shared" si="8"/>
        <v>87</v>
      </c>
      <c r="O19" s="446" t="s">
        <v>557</v>
      </c>
      <c r="P19" s="679">
        <v>1.5</v>
      </c>
      <c r="Q19" s="447">
        <v>3</v>
      </c>
      <c r="R19" s="501">
        <f t="shared" si="9"/>
        <v>0.65465367070797709</v>
      </c>
      <c r="S19" s="501">
        <f t="shared" si="10"/>
        <v>0.75498344352707503</v>
      </c>
      <c r="T19" s="324">
        <v>21000</v>
      </c>
      <c r="U19" s="627">
        <f t="shared" si="2"/>
        <v>-1270</v>
      </c>
      <c r="V19" s="628">
        <v>3310</v>
      </c>
      <c r="W19" s="316">
        <f t="shared" si="3"/>
        <v>6.3444108761329305</v>
      </c>
      <c r="X19" s="486">
        <v>0</v>
      </c>
      <c r="Y19" s="487">
        <f>4.45+0.06+0.2+0.06+0.06+(0.06*68/90)+0.06+0.06+0.06+0.04+(0.22*35/90)+0.04+0.04+0.04+0.04+0.04+0.04*0.5+0.2*66/90+0.02+0.12*33/90+0.02+0.02</f>
        <v>5.6515555555555519</v>
      </c>
      <c r="Z19" s="486">
        <f>8.7+0.13+0.13+0.13+0.08+(0.08*53/90)+0.02+0.01+0.02+(0.13*30/90)+(0.13*60/90*0.16)+0.02+0.02+0.143*0.5+0.143*57/90+0.143*61/90*0.5+0.02+0.143*0.5+0.14+0.01+0.01+0.12*12/90+0.01+0.01+0.01</f>
        <v>9.872338888888887</v>
      </c>
      <c r="AA19" s="487">
        <f>6.8+0.04+0.04+0.04+0.03+0.03+0.03*17/90+0.18*33/90+0.03*3/90+0.02</f>
        <v>7.0726666666666667</v>
      </c>
      <c r="AB19" s="486">
        <f>5.2+0.38+0.38+0.33+0.3+0.3+0.3+0.3+0.28+0.25+0.2+0.2+0.15+0.15*40/90+0.14+0.13+0.12+0.12+0.11+0.01</f>
        <v>9.2666666666666639</v>
      </c>
      <c r="AC19" s="487">
        <f>3.07+0.07+0.07+0.07+0.07+0.07+(0.07*28/90)+0.07+0.03</f>
        <v>3.5417777777777766</v>
      </c>
      <c r="AD19" s="486">
        <f>10+0.65+0.65+0.5+0.4+0.25</f>
        <v>12.450000000000001</v>
      </c>
      <c r="AE19" s="324">
        <v>962</v>
      </c>
      <c r="AF19" s="604">
        <f t="shared" si="11"/>
        <v>8.0550544368839816</v>
      </c>
      <c r="AG19" s="604">
        <f t="shared" si="12"/>
        <v>9.3011756949441118</v>
      </c>
      <c r="AH19" s="316">
        <f t="shared" si="13"/>
        <v>2.5761251151468691</v>
      </c>
      <c r="AI19" s="316">
        <f t="shared" si="14"/>
        <v>6.8748342130696276</v>
      </c>
      <c r="AJ19" s="316">
        <f t="shared" si="15"/>
        <v>7.9929896319360276</v>
      </c>
      <c r="AK19" s="316">
        <f t="shared" si="16"/>
        <v>0.74514568935139747</v>
      </c>
      <c r="AL19" s="316">
        <f t="shared" si="17"/>
        <v>0.76979942262691714</v>
      </c>
      <c r="AM19" s="311">
        <f t="shared" si="18"/>
        <v>9.657939750788632</v>
      </c>
      <c r="AN19" s="311">
        <f t="shared" si="19"/>
        <v>11.152028229870009</v>
      </c>
      <c r="AO19" s="447">
        <v>1</v>
      </c>
      <c r="AP19" s="447">
        <v>2</v>
      </c>
      <c r="AQ19" s="591">
        <f t="shared" si="20"/>
        <v>4.9399999999999999E-2</v>
      </c>
      <c r="AR19" s="264">
        <v>22270</v>
      </c>
      <c r="AS19">
        <v>24440</v>
      </c>
      <c r="AT19" s="390">
        <f t="shared" si="21"/>
        <v>3440</v>
      </c>
    </row>
    <row r="20" spans="1:46" s="263" customFormat="1" x14ac:dyDescent="0.25">
      <c r="A20" s="304" t="s">
        <v>623</v>
      </c>
      <c r="B20" s="384" t="s">
        <v>66</v>
      </c>
      <c r="C20" s="385">
        <f t="shared" ca="1" si="4"/>
        <v>4.8035714285714288</v>
      </c>
      <c r="D20" s="659" t="s">
        <v>871</v>
      </c>
      <c r="E20" s="210">
        <v>29</v>
      </c>
      <c r="F20" s="211">
        <f ca="1">64-41471+$D$1-112-112-29-112-112-112-112-112-112-112-112-112-112-112-112-112</f>
        <v>22</v>
      </c>
      <c r="G20" s="262" t="s">
        <v>502</v>
      </c>
      <c r="H20" s="394">
        <v>1</v>
      </c>
      <c r="I20" s="214">
        <v>9</v>
      </c>
      <c r="J20" s="487">
        <f t="shared" si="5"/>
        <v>1.3333333333333333</v>
      </c>
      <c r="K20" s="303">
        <f t="shared" si="6"/>
        <v>9</v>
      </c>
      <c r="L20" s="303">
        <f t="shared" si="7"/>
        <v>36</v>
      </c>
      <c r="M20" s="296">
        <v>7.4</v>
      </c>
      <c r="N20" s="446">
        <f t="shared" si="8"/>
        <v>93</v>
      </c>
      <c r="O20" s="678">
        <v>43060</v>
      </c>
      <c r="P20" s="679">
        <f ca="1">IF((TODAY()-O20)&gt;335,1,((TODAY()-O20)^0.64)/(336^0.64))</f>
        <v>0.39272035185262583</v>
      </c>
      <c r="Q20" s="447">
        <v>4</v>
      </c>
      <c r="R20" s="501">
        <f t="shared" si="9"/>
        <v>0.7559289460184544</v>
      </c>
      <c r="S20" s="501">
        <f t="shared" si="10"/>
        <v>0.84430867747355465</v>
      </c>
      <c r="T20" s="628">
        <v>270920</v>
      </c>
      <c r="U20" s="627">
        <f t="shared" si="2"/>
        <v>1960</v>
      </c>
      <c r="V20" s="628">
        <v>40752</v>
      </c>
      <c r="W20" s="316">
        <f t="shared" si="3"/>
        <v>6.6480172752257554</v>
      </c>
      <c r="X20" s="486">
        <v>0</v>
      </c>
      <c r="Y20" s="487">
        <v>3</v>
      </c>
      <c r="Z20" s="486">
        <f>15+0.01+0.06</f>
        <v>15.07</v>
      </c>
      <c r="AA20" s="487">
        <f>12+0.01+0.01</f>
        <v>12.02</v>
      </c>
      <c r="AB20" s="486">
        <v>12</v>
      </c>
      <c r="AC20" s="487">
        <v>8</v>
      </c>
      <c r="AD20" s="486">
        <v>3</v>
      </c>
      <c r="AE20" s="324">
        <v>1925</v>
      </c>
      <c r="AF20" s="604">
        <f t="shared" ca="1" si="11"/>
        <v>12.696623159511999</v>
      </c>
      <c r="AG20" s="604">
        <f t="shared" ca="1" si="12"/>
        <v>14.195256234683495</v>
      </c>
      <c r="AH20" s="316">
        <f t="shared" ca="1" si="13"/>
        <v>3.040550421442493</v>
      </c>
      <c r="AI20" s="316">
        <f t="shared" ca="1" si="14"/>
        <v>8.4245095883759706</v>
      </c>
      <c r="AJ20" s="316">
        <f t="shared" ca="1" si="15"/>
        <v>4.7064542000969354</v>
      </c>
      <c r="AK20" s="316">
        <f t="shared" ca="1" si="16"/>
        <v>0.62808429481487671</v>
      </c>
      <c r="AL20" s="316">
        <f t="shared" ca="1" si="17"/>
        <v>0.33082375796301716</v>
      </c>
      <c r="AM20" s="311">
        <f t="shared" ca="1" si="18"/>
        <v>3.5264415655866137</v>
      </c>
      <c r="AN20" s="311">
        <f t="shared" ca="1" si="19"/>
        <v>3.9426815296662259</v>
      </c>
      <c r="AO20" s="447">
        <v>3</v>
      </c>
      <c r="AP20" s="447">
        <v>3</v>
      </c>
      <c r="AQ20" s="591">
        <f t="shared" si="20"/>
        <v>0.1158</v>
      </c>
      <c r="AR20" s="263">
        <v>268960</v>
      </c>
      <c r="AS20">
        <v>263760</v>
      </c>
      <c r="AT20" s="390">
        <f t="shared" si="21"/>
        <v>-7160</v>
      </c>
    </row>
    <row r="21" spans="1:46" s="254" customFormat="1" x14ac:dyDescent="0.25">
      <c r="A21" s="384" t="s">
        <v>506</v>
      </c>
      <c r="B21" s="384" t="s">
        <v>66</v>
      </c>
      <c r="C21" s="385">
        <f t="shared" ca="1" si="4"/>
        <v>3.7142857142857144</v>
      </c>
      <c r="D21" s="658" t="s">
        <v>287</v>
      </c>
      <c r="E21" s="387">
        <v>30</v>
      </c>
      <c r="F21" s="395">
        <f ca="1">74-41471+$D$1-112-112-29-112-112-112-112-112-112-112-112-112-112-112-112-112</f>
        <v>32</v>
      </c>
      <c r="G21" s="388" t="s">
        <v>296</v>
      </c>
      <c r="H21" s="371">
        <v>3</v>
      </c>
      <c r="I21" s="308">
        <v>10.3</v>
      </c>
      <c r="J21" s="487">
        <f t="shared" si="5"/>
        <v>1.4041045913112262</v>
      </c>
      <c r="K21" s="303">
        <f t="shared" si="6"/>
        <v>92.7</v>
      </c>
      <c r="L21" s="303">
        <f t="shared" si="7"/>
        <v>164.8</v>
      </c>
      <c r="M21" s="389">
        <v>7.7</v>
      </c>
      <c r="N21" s="446">
        <f t="shared" si="8"/>
        <v>96</v>
      </c>
      <c r="O21" s="446" t="s">
        <v>557</v>
      </c>
      <c r="P21" s="679">
        <v>1.5</v>
      </c>
      <c r="Q21" s="446">
        <v>7</v>
      </c>
      <c r="R21" s="501">
        <f t="shared" si="9"/>
        <v>1</v>
      </c>
      <c r="S21" s="501">
        <f t="shared" si="10"/>
        <v>1</v>
      </c>
      <c r="T21" s="324">
        <v>44630</v>
      </c>
      <c r="U21" s="627">
        <f t="shared" si="2"/>
        <v>-170</v>
      </c>
      <c r="V21" s="324">
        <v>2310</v>
      </c>
      <c r="W21" s="316">
        <f t="shared" si="3"/>
        <v>19.320346320346321</v>
      </c>
      <c r="X21" s="486">
        <v>0</v>
      </c>
      <c r="Y21" s="487">
        <f>5+(5/7)+0.07+0.21+0.07+0.07+0.07+0.07+0.07+0.07+0.06+0.03+0.03+0.03+0.03+0.03+0.2*33/90+0.03+0.03+0.02+0.02+0.01+0.01+0.01+0.01</f>
        <v>6.8376190476190493</v>
      </c>
      <c r="Z21" s="486">
        <f>8+1/8*0.5+1/8*0.5+1/8+1/8*0.5+1/8*0.5+1/8+1/8+0.01+0.01</f>
        <v>8.6449999999999996</v>
      </c>
      <c r="AA21" s="487">
        <f>7.9+0.165+0.165+0.21+0.13+0.03+0.03+0.03+0.02+0.02+0.02+0.01+0.01</f>
        <v>8.7399999999999967</v>
      </c>
      <c r="AB21" s="486">
        <f>5.1+0.33+0.33+0.33+0.3+0.29+0.04+0.28+0.28+0.27+0.27+0.27+0.22+0.22+0.15+0.15+0.15+0.14+0.13+0.12+0.11+0.1+0.08+0.01+0.01+0.01</f>
        <v>9.6900000000000013</v>
      </c>
      <c r="AC21" s="487">
        <f>6.48+0.25+0.25+0.23+0.21+0.21+0.2+0.19+0.17+0.16+0.15+1/16</f>
        <v>8.5625000000000018</v>
      </c>
      <c r="AD21" s="486">
        <f>17.99+0.2+0.15+0.15+0.15+0.15</f>
        <v>18.789999999999992</v>
      </c>
      <c r="AE21" s="324">
        <v>1314</v>
      </c>
      <c r="AF21" s="604">
        <f t="shared" si="11"/>
        <v>11.549104591311226</v>
      </c>
      <c r="AG21" s="604">
        <f t="shared" si="12"/>
        <v>11.549104591311226</v>
      </c>
      <c r="AH21" s="316">
        <f t="shared" si="13"/>
        <v>4.3662416026940916</v>
      </c>
      <c r="AI21" s="316">
        <f t="shared" si="14"/>
        <v>23.366321146797809</v>
      </c>
      <c r="AJ21" s="316">
        <f t="shared" si="15"/>
        <v>18.625854591311221</v>
      </c>
      <c r="AK21" s="316">
        <f t="shared" si="16"/>
        <v>1.2241533673048981</v>
      </c>
      <c r="AL21" s="316">
        <f t="shared" si="17"/>
        <v>1.0404920832965476</v>
      </c>
      <c r="AM21" s="311">
        <f t="shared" si="18"/>
        <v>21.640449632940221</v>
      </c>
      <c r="AN21" s="311">
        <f t="shared" si="19"/>
        <v>21.640449632940221</v>
      </c>
      <c r="AO21" s="446">
        <v>4</v>
      </c>
      <c r="AP21" s="446">
        <v>2</v>
      </c>
      <c r="AQ21" s="591">
        <f t="shared" si="20"/>
        <v>0.157</v>
      </c>
      <c r="AR21" s="254">
        <v>44800</v>
      </c>
      <c r="AS21">
        <v>44880</v>
      </c>
      <c r="AT21" s="390">
        <f t="shared" si="21"/>
        <v>250</v>
      </c>
    </row>
    <row r="22" spans="1:46" s="259" customFormat="1" x14ac:dyDescent="0.25">
      <c r="A22" s="384" t="s">
        <v>568</v>
      </c>
      <c r="B22" s="384" t="s">
        <v>66</v>
      </c>
      <c r="C22" s="385">
        <f t="shared" ca="1" si="4"/>
        <v>3.0982142857142856</v>
      </c>
      <c r="D22" s="658" t="s">
        <v>861</v>
      </c>
      <c r="E22" s="387">
        <v>30</v>
      </c>
      <c r="F22" s="211">
        <f ca="1">-41471+$D$1-748-112-112-12-112-112-112-22-112-112</f>
        <v>101</v>
      </c>
      <c r="G22" s="388" t="s">
        <v>268</v>
      </c>
      <c r="H22" s="371">
        <v>3</v>
      </c>
      <c r="I22" s="308">
        <v>10.5</v>
      </c>
      <c r="J22" s="487">
        <f t="shared" si="5"/>
        <v>1.4142637871381487</v>
      </c>
      <c r="K22" s="303">
        <f t="shared" si="6"/>
        <v>94.5</v>
      </c>
      <c r="L22" s="303">
        <f t="shared" si="7"/>
        <v>168</v>
      </c>
      <c r="M22" s="389">
        <v>7.5</v>
      </c>
      <c r="N22" s="446">
        <f t="shared" si="8"/>
        <v>94</v>
      </c>
      <c r="O22" s="678">
        <v>42869</v>
      </c>
      <c r="P22" s="679">
        <f ca="1">IF((TODAY()-O22)&gt;335,1,((TODAY()-O22)^0.64)/(336^0.64))</f>
        <v>0.86732990663318621</v>
      </c>
      <c r="Q22" s="446">
        <v>6</v>
      </c>
      <c r="R22" s="501">
        <f t="shared" si="9"/>
        <v>0.92582009977255142</v>
      </c>
      <c r="S22" s="501">
        <f t="shared" si="10"/>
        <v>0.99928545900129484</v>
      </c>
      <c r="T22" s="324">
        <v>275100</v>
      </c>
      <c r="U22" s="627">
        <f t="shared" si="2"/>
        <v>-12240</v>
      </c>
      <c r="V22" s="324">
        <v>34128</v>
      </c>
      <c r="W22" s="316">
        <f t="shared" si="3"/>
        <v>8.0608298171589308</v>
      </c>
      <c r="X22" s="486">
        <v>0</v>
      </c>
      <c r="Y22" s="487">
        <f>2.98+0.02+0.02</f>
        <v>3.02</v>
      </c>
      <c r="Z22" s="486">
        <f>14+0.09*0.16+0.09*0.5+0.09*0.16+0.01+0.01+0.01+1/21*0.5+0.01+0.07+0.07</f>
        <v>14.277609523809524</v>
      </c>
      <c r="AA22" s="487">
        <f>3+0.02+0.02</f>
        <v>3.04</v>
      </c>
      <c r="AB22" s="486">
        <f>15+0.01+0.01</f>
        <v>15.02</v>
      </c>
      <c r="AC22" s="487">
        <v>10</v>
      </c>
      <c r="AD22" s="486">
        <f>9+0.3+0.3</f>
        <v>9.6000000000000014</v>
      </c>
      <c r="AE22" s="324">
        <v>1941</v>
      </c>
      <c r="AF22" s="604">
        <f t="shared" ca="1" si="11"/>
        <v>15.330843175054664</v>
      </c>
      <c r="AG22" s="604">
        <f t="shared" ca="1" si="12"/>
        <v>16.559203217580858</v>
      </c>
      <c r="AH22" s="316">
        <f t="shared" ca="1" si="13"/>
        <v>4.6180810502629948</v>
      </c>
      <c r="AI22" s="316">
        <f t="shared" ca="1" si="14"/>
        <v>17.888994140421275</v>
      </c>
      <c r="AJ22" s="316">
        <f t="shared" ca="1" si="15"/>
        <v>11.111316670997001</v>
      </c>
      <c r="AK22" s="316">
        <f t="shared" ca="1" si="16"/>
        <v>0.97052749550170669</v>
      </c>
      <c r="AL22" s="316">
        <f t="shared" ca="1" si="17"/>
        <v>0.56851155856399349</v>
      </c>
      <c r="AM22" s="311">
        <f t="shared" ca="1" si="18"/>
        <v>10.951447856846805</v>
      </c>
      <c r="AN22" s="311">
        <f t="shared" ca="1" si="19"/>
        <v>11.828915638726439</v>
      </c>
      <c r="AO22" s="446">
        <v>1</v>
      </c>
      <c r="AP22" s="446">
        <v>3</v>
      </c>
      <c r="AQ22" s="591">
        <f t="shared" si="20"/>
        <v>4.9399999999999999E-2</v>
      </c>
      <c r="AR22" s="259">
        <v>287340</v>
      </c>
      <c r="AS22">
        <v>281010</v>
      </c>
      <c r="AT22" s="390">
        <f t="shared" si="21"/>
        <v>5910</v>
      </c>
    </row>
    <row r="23" spans="1:46" s="264" customFormat="1" x14ac:dyDescent="0.25">
      <c r="A23" s="384" t="s">
        <v>540</v>
      </c>
      <c r="B23" s="384" t="s">
        <v>66</v>
      </c>
      <c r="C23" s="385">
        <f t="shared" ca="1" si="4"/>
        <v>6.4375</v>
      </c>
      <c r="D23" s="659" t="s">
        <v>541</v>
      </c>
      <c r="E23" s="210">
        <v>27</v>
      </c>
      <c r="F23" s="211">
        <f ca="1">7-41471+$D$1-112-111-43-112-112-1-112-112-112-112-112-112-112-112-112-112</f>
        <v>63</v>
      </c>
      <c r="G23" s="262"/>
      <c r="H23" s="396">
        <v>5</v>
      </c>
      <c r="I23" s="214">
        <v>5.5</v>
      </c>
      <c r="J23" s="487">
        <f t="shared" si="5"/>
        <v>1.0838844755238075</v>
      </c>
      <c r="K23" s="303">
        <f t="shared" si="6"/>
        <v>137.5</v>
      </c>
      <c r="L23" s="303">
        <f t="shared" si="7"/>
        <v>198</v>
      </c>
      <c r="M23" s="296">
        <v>8</v>
      </c>
      <c r="N23" s="446">
        <f t="shared" si="8"/>
        <v>99</v>
      </c>
      <c r="O23" s="446" t="s">
        <v>557</v>
      </c>
      <c r="P23" s="679">
        <v>1.5</v>
      </c>
      <c r="Q23" s="447">
        <v>6</v>
      </c>
      <c r="R23" s="501">
        <f t="shared" si="9"/>
        <v>0.92582009977255142</v>
      </c>
      <c r="S23" s="501">
        <f t="shared" si="10"/>
        <v>0.99928545900129484</v>
      </c>
      <c r="T23" s="628">
        <v>37070</v>
      </c>
      <c r="U23" s="627">
        <f t="shared" si="2"/>
        <v>-960</v>
      </c>
      <c r="V23" s="628">
        <v>3090</v>
      </c>
      <c r="W23" s="316">
        <f t="shared" si="3"/>
        <v>11.996763754045308</v>
      </c>
      <c r="X23" s="486">
        <v>0</v>
      </c>
      <c r="Y23" s="487">
        <f>4+0.01+0.01</f>
        <v>4.0199999999999996</v>
      </c>
      <c r="Z23" s="486">
        <f>4.6+0.05+0.05+0.05+0.04+0.04+0.16+(0.16*30/90)+(0.16*60/90*0.16)+0.04+0.04+0.04+0.25/8+0.04+0.04+0.04+0.04+0.04+0.04+0.02+0.02*10/90+0.02+0.02+0.02+0.01+0.01+0.01+0.01</f>
        <v>5.5738722222222199</v>
      </c>
      <c r="AA23" s="487">
        <f>4.9+0.25+0.05+0.05+0.05+0.04+0.03+0.03+0.03+0.02+0.02+0.02+0.02</f>
        <v>5.5099999999999989</v>
      </c>
      <c r="AB23" s="486">
        <f>7.1+0.31+0.31+0.31+0.25+0.25+0.25+0.23+0.2+0.2+0.2+0.17+0.15+0.15+0.13+0.13+0.13+0.11+0.1+0.1+0.01+0.01</f>
        <v>10.799999999999999</v>
      </c>
      <c r="AC23" s="487">
        <f>6.5+0.25+0.25+0.25+0.24+0.24+0.22+0.21+0.18*1/90+0.16+1/16</f>
        <v>8.384500000000001</v>
      </c>
      <c r="AD23" s="486">
        <f>9+1*5/90+0.65+0.65*61/90+0.65*52/90+0.55+0.55*27/90+0.55+0.5+0.5+0.3+0.25*0.6+0.25+(0.2*36/90)</f>
        <v>13.566666666666668</v>
      </c>
      <c r="AE23" s="324">
        <v>962</v>
      </c>
      <c r="AF23" s="604">
        <f t="shared" si="11"/>
        <v>7.5526151198274265</v>
      </c>
      <c r="AG23" s="604">
        <f t="shared" si="12"/>
        <v>8.1577566977460272</v>
      </c>
      <c r="AH23" s="316">
        <f t="shared" si="13"/>
        <v>3.8620184381204199</v>
      </c>
      <c r="AI23" s="316">
        <f t="shared" si="14"/>
        <v>18.044531263868517</v>
      </c>
      <c r="AJ23" s="316">
        <f t="shared" si="15"/>
        <v>13.513178651733083</v>
      </c>
      <c r="AK23" s="316">
        <f t="shared" si="16"/>
        <v>1.0329357580419045</v>
      </c>
      <c r="AL23" s="316">
        <f t="shared" si="17"/>
        <v>0.74867191328666649</v>
      </c>
      <c r="AM23" s="311">
        <f t="shared" si="18"/>
        <v>14.862946381980356</v>
      </c>
      <c r="AN23" s="311">
        <f t="shared" si="19"/>
        <v>16.053816919325659</v>
      </c>
      <c r="AO23" s="447">
        <v>2</v>
      </c>
      <c r="AP23" s="447">
        <v>1</v>
      </c>
      <c r="AQ23" s="591">
        <f t="shared" si="20"/>
        <v>6.1499999999999999E-2</v>
      </c>
      <c r="AR23" s="264">
        <v>38030</v>
      </c>
      <c r="AS23">
        <v>38670</v>
      </c>
      <c r="AT23" s="390">
        <f>AS23-T23</f>
        <v>1600</v>
      </c>
    </row>
    <row r="24" spans="1:46" x14ac:dyDescent="0.25">
      <c r="G24" s="4"/>
      <c r="H24"/>
      <c r="I24" s="284"/>
      <c r="J24" s="488"/>
      <c r="K24"/>
      <c r="T24" s="244">
        <f>SUM(T5:T23)+T3</f>
        <v>2198170</v>
      </c>
      <c r="U24" s="244">
        <f>SUM(U5:U23)</f>
        <v>-32010</v>
      </c>
      <c r="V24" s="244">
        <f>SUM(V5:V23)+V3</f>
        <v>288860</v>
      </c>
      <c r="W24" s="315">
        <f t="shared" si="3"/>
        <v>7.6098109810981098</v>
      </c>
      <c r="X24"/>
      <c r="AD24" s="312"/>
      <c r="AE24" s="244">
        <f>AVERAGE(AE5:AE23)</f>
        <v>1529.2631578947369</v>
      </c>
      <c r="AH24" s="244"/>
      <c r="AI24" s="244"/>
      <c r="AJ24" s="244"/>
      <c r="AK24" s="244"/>
      <c r="AL24" s="244"/>
      <c r="AM24" s="244"/>
      <c r="AN24" s="244"/>
    </row>
    <row r="25" spans="1:46" x14ac:dyDescent="0.25">
      <c r="G25" s="456"/>
      <c r="K25" s="456"/>
      <c r="M25" s="456"/>
      <c r="N25" s="456"/>
      <c r="Q25" s="456"/>
      <c r="T25" s="313"/>
      <c r="U25" s="313"/>
      <c r="V25" s="313">
        <f>V24-V3</f>
        <v>288536</v>
      </c>
      <c r="W25" s="293"/>
      <c r="AE25" s="293"/>
      <c r="AH25" s="293"/>
      <c r="AI25" s="293"/>
      <c r="AJ25" s="293"/>
      <c r="AK25" s="293"/>
      <c r="AL25" s="293"/>
      <c r="AM25" s="293"/>
      <c r="AN25" s="293"/>
    </row>
    <row r="26" spans="1:46" x14ac:dyDescent="0.25">
      <c r="I26" s="265"/>
      <c r="Y26" s="159"/>
    </row>
    <row r="27" spans="1:46" x14ac:dyDescent="0.25">
      <c r="D27" s="606"/>
      <c r="I27" s="265"/>
      <c r="Y27" s="159"/>
      <c r="AE27" s="661"/>
    </row>
    <row r="28" spans="1:46" x14ac:dyDescent="0.25">
      <c r="D28" s="606"/>
      <c r="I28" s="265"/>
      <c r="V28" s="675"/>
      <c r="Y28" s="159"/>
    </row>
    <row r="29" spans="1:46" x14ac:dyDescent="0.25">
      <c r="D29" s="607"/>
      <c r="I29" s="265"/>
      <c r="V29" s="675"/>
      <c r="Y29" s="159"/>
    </row>
    <row r="30" spans="1:46" x14ac:dyDescent="0.25">
      <c r="I30" s="265"/>
      <c r="Y30" s="159"/>
    </row>
    <row r="31" spans="1:46" x14ac:dyDescent="0.25">
      <c r="I31" s="265"/>
      <c r="V31" s="675"/>
      <c r="Y31" s="159"/>
    </row>
    <row r="32" spans="1:46" x14ac:dyDescent="0.25">
      <c r="I32" s="265"/>
      <c r="Y32" s="159"/>
    </row>
    <row r="33" spans="3:40" x14ac:dyDescent="0.25">
      <c r="I33" s="265"/>
      <c r="Y33" s="159"/>
    </row>
    <row r="34" spans="3:40" x14ac:dyDescent="0.25">
      <c r="C34"/>
      <c r="D34"/>
      <c r="G34"/>
      <c r="H34"/>
      <c r="I34" s="265"/>
      <c r="K34"/>
      <c r="M34"/>
      <c r="N34"/>
      <c r="O34"/>
      <c r="P34"/>
      <c r="Q34"/>
      <c r="R34"/>
      <c r="S34"/>
      <c r="V34"/>
      <c r="W34"/>
      <c r="X34"/>
      <c r="AE34"/>
      <c r="AH34"/>
      <c r="AI34"/>
      <c r="AK34"/>
      <c r="AL34"/>
      <c r="AM34"/>
      <c r="AN34"/>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sheetData>
  <sortState ref="A6:AR28">
    <sortCondition descending="1" ref="B6:B28"/>
  </sortState>
  <mergeCells count="1">
    <mergeCell ref="E1:G1"/>
  </mergeCells>
  <conditionalFormatting sqref="N6:N23">
    <cfRule type="cellIs" dxfId="361" priority="451" operator="greaterThan">
      <formula>82</formula>
    </cfRule>
    <cfRule type="cellIs" dxfId="360" priority="452" operator="lessThan">
      <formula>79</formula>
    </cfRule>
  </conditionalFormatting>
  <conditionalFormatting sqref="Q6:Q23">
    <cfRule type="cellIs" dxfId="359" priority="425" operator="greaterThan">
      <formula>6</formula>
    </cfRule>
    <cfRule type="cellIs" dxfId="358" priority="426" operator="lessThan">
      <formula>5</formula>
    </cfRule>
  </conditionalFormatting>
  <conditionalFormatting sqref="R6:S23">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3">
    <cfRule type="cellIs" dxfId="349" priority="30" operator="lessThan">
      <formula>3.6</formula>
    </cfRule>
    <cfRule type="cellIs" dxfId="348" priority="31" operator="greaterThan">
      <formula>3.6</formula>
    </cfRule>
  </conditionalFormatting>
  <conditionalFormatting sqref="AI5:AI23">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3">
    <cfRule type="cellIs" dxfId="344" priority="25" operator="lessThan">
      <formula>7.5</formula>
    </cfRule>
    <cfRule type="cellIs" dxfId="343" priority="26" operator="greaterThan">
      <formula>10</formula>
    </cfRule>
  </conditionalFormatting>
  <conditionalFormatting sqref="AK5:AL23">
    <cfRule type="cellIs" dxfId="342" priority="23" operator="lessThan">
      <formula>0.7</formula>
    </cfRule>
    <cfRule type="cellIs" dxfId="341" priority="24" operator="greaterThan">
      <formula>0.8</formula>
    </cfRule>
  </conditionalFormatting>
  <conditionalFormatting sqref="AM5:AN23">
    <cfRule type="cellIs" dxfId="340" priority="21" operator="lessThan">
      <formula>10</formula>
    </cfRule>
    <cfRule type="cellIs" dxfId="339" priority="22" operator="greaterThan">
      <formula>14</formula>
    </cfRule>
  </conditionalFormatting>
  <conditionalFormatting sqref="AQ5:AQ23">
    <cfRule type="cellIs" dxfId="338" priority="14" operator="lessThan">
      <formula>0.07</formula>
    </cfRule>
    <cfRule type="cellIs" dxfId="337" priority="15" operator="greaterThan">
      <formula>0.1</formula>
    </cfRule>
  </conditionalFormatting>
  <conditionalFormatting sqref="AF5:AG23">
    <cfRule type="cellIs" dxfId="336" priority="13" operator="greaterThan">
      <formula>12</formula>
    </cfRule>
  </conditionalFormatting>
  <conditionalFormatting sqref="I5:I23">
    <cfRule type="cellIs" dxfId="335" priority="8" operator="lessThan">
      <formula>3</formula>
    </cfRule>
    <cfRule type="cellIs" dxfId="334" priority="9" operator="greaterThan">
      <formula>7</formula>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V5:V23">
    <cfRule type="dataBar" priority="3058">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3">
    <cfRule type="dataBar" priority="3060">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3">
    <cfRule type="colorScale" priority="3062">
      <colorScale>
        <cfvo type="min"/>
        <cfvo type="max"/>
        <color rgb="FFFFEF9C"/>
        <color rgb="FF63BE7B"/>
      </colorScale>
    </cfRule>
  </conditionalFormatting>
  <conditionalFormatting sqref="T5:T23">
    <cfRule type="dataBar" priority="3064">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3">
    <cfRule type="dataBar" priority="3066">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3">
    <cfRule type="colorScale" priority="3068">
      <colorScale>
        <cfvo type="min"/>
        <cfvo type="max"/>
        <color rgb="FFFFEF9C"/>
        <color rgb="FF63BE7B"/>
      </colorScale>
    </cfRule>
  </conditionalFormatting>
  <conditionalFormatting sqref="AE5:AE23">
    <cfRule type="dataBar" priority="3070">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3">
    <cfRule type="colorScale" priority="3072">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V5:V23</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W5:W23</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T5:T23</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U5:U23</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6" sqref="R16"/>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8"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8"/>
      <c r="X1" t="s">
        <v>682</v>
      </c>
      <c r="AA1" t="s">
        <v>683</v>
      </c>
      <c r="AE1" t="s">
        <v>684</v>
      </c>
      <c r="AI1" t="s">
        <v>685</v>
      </c>
      <c r="AM1" t="s">
        <v>686</v>
      </c>
      <c r="AQ1" t="s">
        <v>681</v>
      </c>
      <c r="AX1" t="s">
        <v>687</v>
      </c>
      <c r="BE1" t="s">
        <v>503</v>
      </c>
      <c r="BJ1" t="s">
        <v>688</v>
      </c>
      <c r="BO1" t="s">
        <v>631</v>
      </c>
      <c r="BT1" t="s">
        <v>806</v>
      </c>
      <c r="BY1" t="s">
        <v>625</v>
      </c>
      <c r="CD1" t="s">
        <v>602</v>
      </c>
      <c r="CH1" t="s">
        <v>66</v>
      </c>
    </row>
    <row r="2" spans="1:89" x14ac:dyDescent="0.25">
      <c r="A2" s="489" t="s">
        <v>179</v>
      </c>
      <c r="B2" s="489" t="s">
        <v>689</v>
      </c>
      <c r="C2" s="489" t="s">
        <v>62</v>
      </c>
      <c r="D2" s="490" t="s">
        <v>690</v>
      </c>
      <c r="E2" s="489" t="s">
        <v>691</v>
      </c>
      <c r="F2" s="491" t="s">
        <v>692</v>
      </c>
      <c r="G2" s="491" t="s">
        <v>693</v>
      </c>
      <c r="H2" s="491" t="s">
        <v>694</v>
      </c>
      <c r="I2" s="492" t="s">
        <v>695</v>
      </c>
      <c r="J2" s="493" t="s">
        <v>696</v>
      </c>
      <c r="K2" s="493" t="s">
        <v>1</v>
      </c>
      <c r="L2" s="493" t="s">
        <v>2</v>
      </c>
      <c r="M2" s="493" t="s">
        <v>697</v>
      </c>
      <c r="N2" s="493" t="s">
        <v>65</v>
      </c>
      <c r="O2" s="493" t="s">
        <v>578</v>
      </c>
      <c r="P2" s="493" t="s">
        <v>698</v>
      </c>
      <c r="Q2" s="493" t="s">
        <v>0</v>
      </c>
      <c r="R2" s="494" t="s">
        <v>565</v>
      </c>
      <c r="S2" s="494" t="s">
        <v>828</v>
      </c>
      <c r="T2" s="494" t="s">
        <v>699</v>
      </c>
      <c r="U2" s="494" t="s">
        <v>700</v>
      </c>
      <c r="V2" s="494" t="s">
        <v>588</v>
      </c>
      <c r="W2" s="494" t="s">
        <v>589</v>
      </c>
      <c r="X2" s="495" t="s">
        <v>701</v>
      </c>
      <c r="Y2" s="495" t="s">
        <v>702</v>
      </c>
      <c r="Z2" s="495" t="s">
        <v>701</v>
      </c>
      <c r="AA2" s="496" t="s">
        <v>701</v>
      </c>
      <c r="AB2" s="496" t="s">
        <v>702</v>
      </c>
      <c r="AC2" s="496" t="s">
        <v>701</v>
      </c>
      <c r="AD2" s="496" t="s">
        <v>64</v>
      </c>
      <c r="AE2" s="496" t="s">
        <v>701</v>
      </c>
      <c r="AF2" s="496" t="s">
        <v>702</v>
      </c>
      <c r="AG2" s="496" t="s">
        <v>701</v>
      </c>
      <c r="AH2" s="496" t="s">
        <v>64</v>
      </c>
      <c r="AI2" s="495" t="s">
        <v>701</v>
      </c>
      <c r="AJ2" s="495" t="s">
        <v>702</v>
      </c>
      <c r="AK2" s="495" t="s">
        <v>64</v>
      </c>
      <c r="AL2" s="495" t="s">
        <v>703</v>
      </c>
      <c r="AM2" s="495" t="s">
        <v>701</v>
      </c>
      <c r="AN2" s="495" t="s">
        <v>702</v>
      </c>
      <c r="AO2" s="495" t="s">
        <v>64</v>
      </c>
      <c r="AP2" s="495" t="s">
        <v>703</v>
      </c>
      <c r="AQ2" s="495" t="s">
        <v>701</v>
      </c>
      <c r="AR2" s="495" t="s">
        <v>702</v>
      </c>
      <c r="AS2" s="495" t="s">
        <v>701</v>
      </c>
      <c r="AT2" s="495" t="s">
        <v>64</v>
      </c>
      <c r="AU2" s="495" t="s">
        <v>703</v>
      </c>
      <c r="AV2" s="495" t="s">
        <v>704</v>
      </c>
      <c r="AW2" s="495" t="s">
        <v>703</v>
      </c>
      <c r="AX2" s="495" t="s">
        <v>701</v>
      </c>
      <c r="AY2" s="495" t="s">
        <v>702</v>
      </c>
      <c r="AZ2" s="495" t="s">
        <v>701</v>
      </c>
      <c r="BA2" s="495" t="s">
        <v>64</v>
      </c>
      <c r="BB2" s="495" t="s">
        <v>703</v>
      </c>
      <c r="BC2" s="495" t="s">
        <v>704</v>
      </c>
      <c r="BD2" s="495" t="s">
        <v>703</v>
      </c>
      <c r="BE2" s="496" t="s">
        <v>701</v>
      </c>
      <c r="BF2" s="496" t="s">
        <v>702</v>
      </c>
      <c r="BG2" s="496" t="s">
        <v>64</v>
      </c>
      <c r="BH2" s="496" t="s">
        <v>703</v>
      </c>
      <c r="BI2" s="496" t="s">
        <v>704</v>
      </c>
      <c r="BJ2" s="496" t="s">
        <v>701</v>
      </c>
      <c r="BK2" s="496" t="s">
        <v>702</v>
      </c>
      <c r="BL2" s="496" t="s">
        <v>64</v>
      </c>
      <c r="BM2" s="496" t="s">
        <v>703</v>
      </c>
      <c r="BN2" s="496" t="s">
        <v>704</v>
      </c>
      <c r="BO2" s="495" t="s">
        <v>701</v>
      </c>
      <c r="BP2" s="495" t="s">
        <v>702</v>
      </c>
      <c r="BQ2" s="495" t="s">
        <v>64</v>
      </c>
      <c r="BR2" s="495" t="s">
        <v>703</v>
      </c>
      <c r="BS2" s="495" t="s">
        <v>704</v>
      </c>
      <c r="BT2" s="495" t="s">
        <v>701</v>
      </c>
      <c r="BU2" s="495" t="s">
        <v>702</v>
      </c>
      <c r="BV2" s="495" t="s">
        <v>64</v>
      </c>
      <c r="BW2" s="495" t="s">
        <v>703</v>
      </c>
      <c r="BX2" s="495" t="s">
        <v>704</v>
      </c>
      <c r="BY2" s="495" t="s">
        <v>701</v>
      </c>
      <c r="BZ2" s="495" t="s">
        <v>702</v>
      </c>
      <c r="CA2" s="495" t="s">
        <v>64</v>
      </c>
      <c r="CB2" s="495" t="s">
        <v>703</v>
      </c>
      <c r="CC2" s="495" t="s">
        <v>704</v>
      </c>
      <c r="CD2" s="496" t="s">
        <v>64</v>
      </c>
      <c r="CE2" s="496" t="s">
        <v>703</v>
      </c>
      <c r="CF2" s="496" t="s">
        <v>704</v>
      </c>
      <c r="CG2" s="496" t="s">
        <v>703</v>
      </c>
      <c r="CH2" s="495" t="s">
        <v>703</v>
      </c>
      <c r="CI2" s="495" t="s">
        <v>704</v>
      </c>
      <c r="CJ2" s="495" t="s">
        <v>703</v>
      </c>
      <c r="CK2" s="495" t="s">
        <v>64</v>
      </c>
    </row>
    <row r="3" spans="1:89" x14ac:dyDescent="0.25">
      <c r="A3" t="str">
        <f>PLANTILLA!D5</f>
        <v>D. Gehmacher</v>
      </c>
      <c r="B3" s="488">
        <f>PLANTILLA!E5</f>
        <v>30</v>
      </c>
      <c r="C3" s="341">
        <f ca="1">PLANTILLA!F5</f>
        <v>60</v>
      </c>
      <c r="D3" s="488"/>
      <c r="E3" s="290">
        <v>42468</v>
      </c>
      <c r="F3" s="341">
        <f>PLANTILLA!Q5</f>
        <v>5</v>
      </c>
      <c r="G3" s="407">
        <f>(F3/7)^0.5</f>
        <v>0.84515425472851657</v>
      </c>
      <c r="H3" s="407">
        <f>IF(F3=7,1,((F3+0.99)/7)^0.5)</f>
        <v>0.92504826128926143</v>
      </c>
      <c r="I3" s="497">
        <v>1</v>
      </c>
      <c r="J3" s="498">
        <f>PLANTILLA!I5</f>
        <v>18.5</v>
      </c>
      <c r="K3" s="163">
        <f>PLANTILLA!X5</f>
        <v>16.666666666666668</v>
      </c>
      <c r="L3" s="163">
        <f>PLANTILLA!Y5</f>
        <v>12.080559440559444</v>
      </c>
      <c r="M3" s="163">
        <f>PLANTILLA!Z5</f>
        <v>2.0699999999999985</v>
      </c>
      <c r="N3" s="163">
        <f>PLANTILLA!AA5</f>
        <v>2.149999999999999</v>
      </c>
      <c r="O3" s="163">
        <f>PLANTILLA!AB5</f>
        <v>1.0400000000000003</v>
      </c>
      <c r="P3" s="163">
        <f>PLANTILLA!AC5</f>
        <v>0.14055555555555557</v>
      </c>
      <c r="Q3" s="163">
        <f>PLANTILLA!AD5</f>
        <v>17.949999999999996</v>
      </c>
      <c r="R3" s="163">
        <f>((2*(O3+1))+(L3+1))/8</f>
        <v>2.1450699300699307</v>
      </c>
      <c r="S3" s="163">
        <f>1.66*(P3+(LOG(J3)*4/3)+I3)+0.55*(Q3+(LOG(J3)*4/3)+I3)-7.6</f>
        <v>8.449754915249768</v>
      </c>
      <c r="T3" s="163">
        <f>(0.5*P3+ 0.3*Q3)/10</f>
        <v>0.54552777777777772</v>
      </c>
      <c r="U3" s="163">
        <f>(0.4*L3+0.3*Q3)/10</f>
        <v>1.0217223776223776</v>
      </c>
      <c r="V3" s="163">
        <f ca="1">IF(TODAY()-E3&gt;335,(Q3+1+(LOG(J3)*4/3))*(F3/7)^0.5,(Q3+((TODAY()-E3)^0.5)/(336^0.5)+(LOG(J3)*4/3))*(F3/7)^0.5)</f>
        <v>17.443613897414046</v>
      </c>
      <c r="W3" s="163">
        <f ca="1">IF(F3=7,V3,IF(TODAY()-E3&gt;335,(Q3+1+(LOG(J3)*4/3))*((F3+0.99)/7)^0.5,(Q3+((TODAY()-E3)^0.5)/(336^0.5)+(LOG(J3)*4/3))*((F3+0.99)/7)^0.5))</f>
        <v>19.092591223583653</v>
      </c>
      <c r="X3" s="159">
        <f>((K3+I3+(LOG(J3)*4/3))*0.597)+((L3+I3+(LOG(J3)*4/3))*0.276)</f>
        <v>15.632222297455513</v>
      </c>
      <c r="Y3" s="159">
        <f>((K3+I3+(LOG(J3)*4/3))*0.866)+((L3+I3+(LOG(J3)*4/3))*0.425)</f>
        <v>23.039796030728816</v>
      </c>
      <c r="Z3" s="159">
        <f>X3</f>
        <v>15.632222297455513</v>
      </c>
      <c r="AA3" s="159">
        <f>((L3+I3+(LOG(J3)*4/3))*0.516)</f>
        <v>7.6213828204699468</v>
      </c>
      <c r="AB3" s="159">
        <f>(L3+I3+(LOG(J3)*4/3))*1</f>
        <v>14.770121745096796</v>
      </c>
      <c r="AC3" s="159">
        <f>AA3/2</f>
        <v>3.8106914102349734</v>
      </c>
      <c r="AD3" s="159">
        <f>(M3+I3+(LOG(J3)*4/3))*0.238</f>
        <v>1.1327758284798892</v>
      </c>
      <c r="AE3" s="159">
        <f>((L3+I3+(LOG(J3)*4/3))*0.378)</f>
        <v>5.5831060196465891</v>
      </c>
      <c r="AF3" s="159">
        <f>(L3+I3+(LOG(J3)*4/3))*0.723</f>
        <v>10.678798021704983</v>
      </c>
      <c r="AG3" s="159">
        <f>AE3/2</f>
        <v>2.7915530098232946</v>
      </c>
      <c r="AH3" s="159">
        <f>(M3+I3+(LOG(J3)*4/3))*0.385</f>
        <v>1.8324314872468797</v>
      </c>
      <c r="AI3" s="159">
        <f>((L3+I3+(LOG(J3)*4/3))*0.92)</f>
        <v>13.588512005489052</v>
      </c>
      <c r="AJ3" s="159">
        <f>(L3+I3+(LOG(J3)*4/3))*0.414</f>
        <v>6.1148304024700737</v>
      </c>
      <c r="AK3" s="159">
        <f>((M3+I3+(LOG(J3)*4/3))*0.167)</f>
        <v>0.79484690485773746</v>
      </c>
      <c r="AL3" s="159">
        <f>(N3+I3+(LOG(J3)*4/3))*0.588</f>
        <v>2.8456626350679621</v>
      </c>
      <c r="AM3" s="159">
        <f>((L3+I3+(LOG(J3)*4/3))*0.754)</f>
        <v>11.136671795802984</v>
      </c>
      <c r="AN3" s="159">
        <f>((L3+I3+(LOG(J3)*4/3))*0.708)</f>
        <v>10.457246195528532</v>
      </c>
      <c r="AO3" s="159">
        <f>((Q3+I3+(LOG(J3)*4/3))*0.167)</f>
        <v>3.4468069048577372</v>
      </c>
      <c r="AP3" s="159">
        <f>((R3+I3+(LOG(J3)*4/3))*0.288)</f>
        <v>1.3923740835668972</v>
      </c>
      <c r="AQ3" s="159">
        <f>((L3+I3+(LOG(J3)*4/3))*0.27)</f>
        <v>3.9879328711761355</v>
      </c>
      <c r="AR3" s="159">
        <f>((L3+I3+(LOG(J3)*4/3))*0.594)</f>
        <v>8.7734523165874965</v>
      </c>
      <c r="AS3" s="159">
        <f>AQ3/2</f>
        <v>1.9939664355880677</v>
      </c>
      <c r="AT3" s="159">
        <f>((M3+I3+(LOG(J3)*4/3))*0.944)</f>
        <v>4.4930268154832582</v>
      </c>
      <c r="AU3" s="159">
        <f>((O3+I3+(LOG(J3)*4/3))*0.13)</f>
        <v>0.48484309958985572</v>
      </c>
      <c r="AV3" s="159">
        <f>((P3+I3+(LOG(J3)*4/3))*0.173)+((O3+I3+(LOG(J3)*4/3))*0.12)</f>
        <v>0.93715786634055509</v>
      </c>
      <c r="AW3" s="159">
        <f>AU3/2</f>
        <v>0.24242154979492786</v>
      </c>
      <c r="AX3" s="159">
        <f>((L3+I3+(LOG(J3)*4/3))*0.189)</f>
        <v>2.7915530098232946</v>
      </c>
      <c r="AY3" s="159">
        <f>((L3+I3+(LOG(J3)*4/3))*0.4)</f>
        <v>5.9080486980387192</v>
      </c>
      <c r="AZ3" s="159">
        <f>AX3/2</f>
        <v>1.3957765049116473</v>
      </c>
      <c r="BA3" s="159">
        <f>((M3+I3+(LOG(J3)*4/3))*1)</f>
        <v>4.7595623045373499</v>
      </c>
      <c r="BB3" s="159">
        <f>((O3+I3+(LOG(J3)*4/3))*0.253)</f>
        <v>0.94357926304794992</v>
      </c>
      <c r="BC3" s="159">
        <f>((P3+I3+(LOG(J3)*4/3))*0.21)+((O3+I3+(LOG(J3)*4/3))*0.341)</f>
        <v>1.8661054964667474</v>
      </c>
      <c r="BD3" s="159">
        <f>BB3/2</f>
        <v>0.47178963152397496</v>
      </c>
      <c r="BE3" s="159">
        <f>((L3+I3+(LOG(J3)*4/3))*0.291)</f>
        <v>4.2981054278231676</v>
      </c>
      <c r="BF3" s="159">
        <f>((L3+I3+(LOG(J3)*4/3))*0.348)</f>
        <v>5.1400023672936852</v>
      </c>
      <c r="BG3" s="159">
        <f>((M3+I3+(LOG(J3)*4/3))*0.881)</f>
        <v>4.193174390297405</v>
      </c>
      <c r="BH3" s="159">
        <f>((N3+I3+(LOG(J3)*4/3))*0.574)+((O3+I3+(LOG(J3)*4/3))*0.315)</f>
        <v>3.9527208887337046</v>
      </c>
      <c r="BI3" s="159">
        <f>((O3+I3+(LOG(J3)*4/3))*0.241)</f>
        <v>0.89882451539350161</v>
      </c>
      <c r="BJ3" s="159">
        <f>((L3+I3+(LOG(J3)*4/3))*0.485)</f>
        <v>7.1635090463719457</v>
      </c>
      <c r="BK3" s="159">
        <f>((L3+I3+(LOG(J3)*4/3))*0.264)</f>
        <v>3.8993121407055544</v>
      </c>
      <c r="BL3" s="159">
        <f>((M3+I3+(LOG(J3)*4/3))*0.381)</f>
        <v>1.8133932380287303</v>
      </c>
      <c r="BM3" s="159">
        <f>((N3+I3+(LOG(J3)*4/3))*0.673)+((O3+I3+(LOG(J3)*4/3))*0.201)</f>
        <v>4.0066674541656448</v>
      </c>
      <c r="BN3" s="159">
        <f>((O3+I3+(LOG(J3)*4/3))*0.052)</f>
        <v>0.19393723983594227</v>
      </c>
      <c r="BO3" s="159">
        <f>((L3+I3+(LOG(J3)*4/3))*0.18)</f>
        <v>2.6586219141174232</v>
      </c>
      <c r="BP3" s="159">
        <f>(L3+I3+(LOG(J3)*4/3))*0.068</f>
        <v>1.0043682786665822</v>
      </c>
      <c r="BQ3" s="159">
        <f>((M3+I3+(LOG(J3)*4/3))*0.305)</f>
        <v>1.4516665028838918</v>
      </c>
      <c r="BR3" s="159">
        <f>((N3+I3+(LOG(J3)*4/3))*1)+((O3+I3+(LOG(J3)*4/3))*0.286)</f>
        <v>5.9062171236350327</v>
      </c>
      <c r="BS3" s="159">
        <f>((O3+I3+(LOG(J3)*4/3))*0.135)</f>
        <v>0.50349091111254252</v>
      </c>
      <c r="BT3" s="159">
        <f>((L3+I3+(LOG(J3)*4/3))*0.284)</f>
        <v>4.1947145756074899</v>
      </c>
      <c r="BU3" s="159">
        <f>(L3+I3+(LOG(J3)*4/3))*0.244</f>
        <v>3.603909705803618</v>
      </c>
      <c r="BV3" s="159">
        <f>((M3+I3+(LOG(J3)*4/3))*0.455)</f>
        <v>2.1656008485644942</v>
      </c>
      <c r="BW3" s="159">
        <f>((N3+I3+(LOG(J3)*4/3))*0.864)+((O3+I3+(LOG(J3)*4/3))*0.244)</f>
        <v>5.0913950334273848</v>
      </c>
      <c r="BX3" s="159">
        <f>((O3+I3+(LOG(J3)*4/3))*0.121)</f>
        <v>0.45127703884901949</v>
      </c>
      <c r="BY3" s="159">
        <f>((L3+I3+(LOG(J3)*4/3))*0.284)</f>
        <v>4.1947145756074899</v>
      </c>
      <c r="BZ3" s="159">
        <f>((L3+I3+(LOG(J3)*4/3))*0.244)</f>
        <v>3.603909705803618</v>
      </c>
      <c r="CA3" s="159">
        <f>((M3+I3+(LOG(J3)*4/3))*0.631)</f>
        <v>3.0032838141630678</v>
      </c>
      <c r="CB3" s="159">
        <f>((N3+I3+(LOG(J3)*4/3))*0.702)+((O3+I3+(LOG(J3)*4/3))*0.193)</f>
        <v>4.1171782625609286</v>
      </c>
      <c r="CC3" s="159">
        <f>((O3+I3+(LOG(J3)*4/3))*0.148)</f>
        <v>0.55197522107152797</v>
      </c>
      <c r="CD3" s="159">
        <f>((M3+I3+(LOG(J3)*4/3))*0.406)</f>
        <v>1.9323822956421641</v>
      </c>
      <c r="CE3" s="159">
        <f>IF(D3="TEC",((N3+I3+(LOG(J3)*4/3))*0.15)+((O3+I3+(LOG(J3)*4/3))*0.324)+((P3+I3+(LOG(J3)*4/3))*0.127),(((N3+I3+(LOG(J3)*4/3))*0.144)+((O3+I3+(LOG(J3)*4/3))*0.25)+((P3+I3+(LOG(J3)*4/3))*0.127)))</f>
        <v>1.9887125162195154</v>
      </c>
      <c r="CF3" s="159">
        <f>((O3+I3+(LOG(J3)*4/3))*0.543)+((P3+I3+(LOG(J3)*4/3))*0.583)</f>
        <v>3.6751110437979468</v>
      </c>
      <c r="CG3" s="159">
        <f>CE3</f>
        <v>1.9887125162195154</v>
      </c>
      <c r="CH3" s="159">
        <f>((P3+1+(LOG(J3)*4/3))*0.26)+((N3+I3+(LOG(J3)*4/3))*0.221)+((O3+I3+(LOG(J3)*4/3))*0.142)</f>
        <v>2.3349717601712143</v>
      </c>
      <c r="CI3" s="159">
        <f>((P3+I3+(LOG(J3)*4/3))*1)+((O3+I3+(LOG(J3)*4/3))*0.369)</f>
        <v>4.2063263504671902</v>
      </c>
      <c r="CJ3" s="159">
        <f>CH3</f>
        <v>2.3349717601712143</v>
      </c>
      <c r="CK3" s="159">
        <f>((M3+I3+(LOG(J3)*4/3))*0.25)</f>
        <v>1.1898905761343375</v>
      </c>
    </row>
    <row r="4" spans="1:89" x14ac:dyDescent="0.25">
      <c r="A4" t="str">
        <f>PLANTILLA!D6</f>
        <v>T. Hammond</v>
      </c>
      <c r="B4" s="488">
        <f>PLANTILLA!E6</f>
        <v>34</v>
      </c>
      <c r="C4" s="488">
        <f ca="1">PLANTILLA!F6</f>
        <v>69</v>
      </c>
      <c r="D4" s="488" t="str">
        <f>PLANTILLA!G6</f>
        <v>CAB</v>
      </c>
      <c r="E4" s="290">
        <v>41400</v>
      </c>
      <c r="F4" s="341">
        <f>PLANTILLA!Q6</f>
        <v>6</v>
      </c>
      <c r="G4" s="407">
        <f t="shared" ref="G4:G5" si="0">(F4/7)^0.5</f>
        <v>0.92582009977255142</v>
      </c>
      <c r="H4" s="407">
        <f t="shared" ref="H4:H5" si="1">IF(F4=7,1,((F4+0.99)/7)^0.5)</f>
        <v>0.99928545900129484</v>
      </c>
      <c r="I4" s="497">
        <v>1.5</v>
      </c>
      <c r="J4" s="498">
        <f>PLANTILLA!I6</f>
        <v>7.9</v>
      </c>
      <c r="K4" s="163">
        <f>PLANTILLA!X6</f>
        <v>10.3</v>
      </c>
      <c r="L4" s="163">
        <f>PLANTILLA!Y6</f>
        <v>10.814999999999998</v>
      </c>
      <c r="M4" s="163">
        <f>PLANTILLA!Z6</f>
        <v>3.99</v>
      </c>
      <c r="N4" s="163">
        <f>PLANTILLA!AA6</f>
        <v>4.95</v>
      </c>
      <c r="O4" s="163">
        <f>PLANTILLA!AB6</f>
        <v>5.99</v>
      </c>
      <c r="P4" s="163">
        <f>PLANTILLA!AC6</f>
        <v>3.99</v>
      </c>
      <c r="Q4" s="163">
        <f>PLANTILLA!AD6</f>
        <v>15.778888888888888</v>
      </c>
      <c r="R4" s="163">
        <f t="shared" ref="R4:R21" si="2">((2*(O4+1))+(L4+1))/8</f>
        <v>3.2243749999999998</v>
      </c>
      <c r="S4" s="163">
        <f t="shared" ref="S4:S21" si="3">1.66*(P4+(LOG(J4)*4/3)+I4)+0.55*(Q4+(LOG(J4)*4/3)+I4)-7.6</f>
        <v>13.66179671789139</v>
      </c>
      <c r="T4" s="163">
        <f t="shared" ref="T4:T21" si="4">(0.5*P4+ 0.3*Q4)/10</f>
        <v>0.67286666666666661</v>
      </c>
      <c r="U4" s="163">
        <f t="shared" ref="U4:U21" si="5">(0.4*L4+0.3*Q4)/10</f>
        <v>0.90596666666666648</v>
      </c>
      <c r="V4" s="163">
        <f t="shared" ref="V4:V21" ca="1" si="6">IF(TODAY()-E4&gt;335,(Q4+1+(LOG(J4)*4/3))*(F4/7)^0.5,(Q4+((TODAY()-E4)^0.5)/(336^0.5)+(LOG(J4)*4/3))*(F4/7)^0.5)</f>
        <v>16.642287522806413</v>
      </c>
      <c r="W4" s="163">
        <f t="shared" ref="W4:W21" ca="1" si="7">IF(F4=7,V4,IF(TODAY()-E4&gt;335,(Q4+1+(LOG(J4)*4/3))*((F4+0.99)/7)^0.5,(Q4+((TODAY()-E4)^0.5)/(336^0.5)+(LOG(J4)*4/3))*((F4+0.99)/7)^0.5))</f>
        <v>17.962880618107945</v>
      </c>
      <c r="X4" s="159">
        <f t="shared" ref="X4:X21" si="8">((K4+I4+(LOG(J4)*4/3))*0.597)+((L4+I4+(LOG(J4)*4/3))*0.276)</f>
        <v>11.488377934262074</v>
      </c>
      <c r="Y4" s="159">
        <f t="shared" ref="Y4:Y21" si="9">((K4+I4+(LOG(J4)*4/3))*0.866)+((L4+I4+(LOG(J4)*4/3))*0.425)</f>
        <v>16.997790433141279</v>
      </c>
      <c r="Z4" s="159">
        <f t="shared" ref="Z4:Z21" si="10">X4</f>
        <v>11.488377934262074</v>
      </c>
      <c r="AA4" s="159">
        <f t="shared" ref="AA4:AA21" si="11">((L4+I4+(LOG(J4)*4/3))*0.516)</f>
        <v>6.9721074388078224</v>
      </c>
      <c r="AB4" s="159">
        <f t="shared" ref="AB4:AB21" si="12">(L4+I4+(LOG(J4)*4/3))*1</f>
        <v>13.511836121720586</v>
      </c>
      <c r="AC4" s="159">
        <f t="shared" ref="AC4:AC21" si="13">AA4/2</f>
        <v>3.4860537194039112</v>
      </c>
      <c r="AD4" s="159">
        <f t="shared" ref="AD4:AD21" si="14">(M4+I4+(LOG(J4)*4/3))*0.238</f>
        <v>1.5914669969695001</v>
      </c>
      <c r="AE4" s="159">
        <f t="shared" ref="AE4:AE21" si="15">((L4+I4+(LOG(J4)*4/3))*0.378)</f>
        <v>5.1074740540103818</v>
      </c>
      <c r="AF4" s="159">
        <f t="shared" ref="AF4:AF21" si="16">(L4+I4+(LOG(J4)*4/3))*0.723</f>
        <v>9.7690575160039828</v>
      </c>
      <c r="AG4" s="159">
        <f t="shared" ref="AG4:AG21" si="17">AE4/2</f>
        <v>2.5537370270051909</v>
      </c>
      <c r="AH4" s="159">
        <f t="shared" ref="AH4:AH21" si="18">(M4+I4+(LOG(J4)*4/3))*0.385</f>
        <v>2.5744319068624266</v>
      </c>
      <c r="AI4" s="159">
        <f t="shared" ref="AI4:AI21" si="19">((L4+I4+(LOG(J4)*4/3))*0.92)</f>
        <v>12.43088923198294</v>
      </c>
      <c r="AJ4" s="159">
        <f t="shared" ref="AJ4:AJ21" si="20">(L4+I4+(LOG(J4)*4/3))*0.414</f>
        <v>5.5939001543923226</v>
      </c>
      <c r="AK4" s="159">
        <f t="shared" ref="AK4:AK21" si="21">((M4+I4+(LOG(J4)*4/3))*0.167)</f>
        <v>1.1167016323273384</v>
      </c>
      <c r="AL4" s="159">
        <f t="shared" ref="AL4:AL21" si="22">(N4+I4+(LOG(J4)*4/3))*0.588</f>
        <v>4.4963396395717057</v>
      </c>
      <c r="AM4" s="159">
        <f t="shared" ref="AM4:AM21" si="23">((L4+I4+(LOG(J4)*4/3))*0.754)</f>
        <v>10.187924435777322</v>
      </c>
      <c r="AN4" s="159">
        <f t="shared" ref="AN4:AN21" si="24">((L4+I4+(LOG(J4)*4/3))*0.708)</f>
        <v>9.5663799741781741</v>
      </c>
      <c r="AO4" s="159">
        <f t="shared" ref="AO4:AO21" si="25">((Q4+I4+(LOG(J4)*4/3))*0.167)</f>
        <v>3.0854460767717828</v>
      </c>
      <c r="AP4" s="159">
        <f t="shared" ref="AP4:AP21" si="26">((R4+I4+(LOG(J4)*4/3))*0.288)</f>
        <v>1.7053088030555295</v>
      </c>
      <c r="AQ4" s="159">
        <f t="shared" ref="AQ4:AQ21" si="27">((L4+I4+(LOG(J4)*4/3))*0.27)</f>
        <v>3.6481957528645585</v>
      </c>
      <c r="AR4" s="159">
        <f t="shared" ref="AR4:AR21" si="28">((L4+I4+(LOG(J4)*4/3))*0.594)</f>
        <v>8.0260306563020283</v>
      </c>
      <c r="AS4" s="159">
        <f t="shared" ref="AS4:AS21" si="29">AQ4/2</f>
        <v>1.8240978764322793</v>
      </c>
      <c r="AT4" s="159">
        <f t="shared" ref="AT4:AT21" si="30">((M4+I4+(LOG(J4)*4/3))*0.944)</f>
        <v>6.3123732989042356</v>
      </c>
      <c r="AU4" s="159">
        <f t="shared" ref="AU4:AU21" si="31">((O4+I4+(LOG(J4)*4/3))*0.13)</f>
        <v>1.1292886958236765</v>
      </c>
      <c r="AV4" s="159">
        <f t="shared" ref="AV4:AV21" si="32">((P4+I4+(LOG(J4)*4/3))*0.173)+((O4+I4+(LOG(J4)*4/3))*0.12)</f>
        <v>2.1992429836641323</v>
      </c>
      <c r="AW4" s="159">
        <f t="shared" ref="AW4:AW21" si="33">AU4/2</f>
        <v>0.56464434791183826</v>
      </c>
      <c r="AX4" s="159">
        <f t="shared" ref="AX4:AX21" si="34">((L4+I4+(LOG(J4)*4/3))*0.189)</f>
        <v>2.5537370270051909</v>
      </c>
      <c r="AY4" s="159">
        <f t="shared" ref="AY4:AY21" si="35">((L4+I4+(LOG(J4)*4/3))*0.4)</f>
        <v>5.4047344486882345</v>
      </c>
      <c r="AZ4" s="159">
        <f t="shared" ref="AZ4:AZ21" si="36">AX4/2</f>
        <v>1.2768685135025954</v>
      </c>
      <c r="BA4" s="159">
        <f t="shared" ref="BA4:BA21" si="37">((M4+I4+(LOG(J4)*4/3))*1)</f>
        <v>6.6868361217205887</v>
      </c>
      <c r="BB4" s="159">
        <f t="shared" ref="BB4:BB21" si="38">((O4+I4+(LOG(J4)*4/3))*0.253)</f>
        <v>2.1977695387953089</v>
      </c>
      <c r="BC4" s="159">
        <f t="shared" ref="BC4:BC21" si="39">((P4+I4+(LOG(J4)*4/3))*0.21)+((O4+I4+(LOG(J4)*4/3))*0.341)</f>
        <v>4.3664467030680445</v>
      </c>
      <c r="BD4" s="159">
        <f t="shared" ref="BD4:BD21" si="40">BB4/2</f>
        <v>1.0988847693976544</v>
      </c>
      <c r="BE4" s="159">
        <f t="shared" ref="BE4:BE21" si="41">((L4+I4+(LOG(J4)*4/3))*0.291)</f>
        <v>3.9319443114206902</v>
      </c>
      <c r="BF4" s="159">
        <f t="shared" ref="BF4:BF21" si="42">((L4+I4+(LOG(J4)*4/3))*0.348)</f>
        <v>4.7021189703587636</v>
      </c>
      <c r="BG4" s="159">
        <f t="shared" ref="BG4:BG21" si="43">((M4+I4+(LOG(J4)*4/3))*0.881)</f>
        <v>5.891102623235839</v>
      </c>
      <c r="BH4" s="159">
        <f t="shared" ref="BH4:BH21" si="44">((N4+I4+(LOG(J4)*4/3))*0.574)+((O4+I4+(LOG(J4)*4/3))*0.315)</f>
        <v>7.1256373122096033</v>
      </c>
      <c r="BI4" s="159">
        <f t="shared" ref="BI4:BI21" si="45">((O4+I4+(LOG(J4)*4/3))*0.241)</f>
        <v>2.093527505334662</v>
      </c>
      <c r="BJ4" s="159">
        <f t="shared" ref="BJ4:BJ21" si="46">((L4+I4+(LOG(J4)*4/3))*0.485)</f>
        <v>6.5532405190344845</v>
      </c>
      <c r="BK4" s="159">
        <f t="shared" ref="BK4:BK21" si="47">((L4+I4+(LOG(J4)*4/3))*0.264)</f>
        <v>3.5671247361342351</v>
      </c>
      <c r="BL4" s="159">
        <f t="shared" ref="BL4:BL21" si="48">((M4+I4+(LOG(J4)*4/3))*0.381)</f>
        <v>2.5476845623755442</v>
      </c>
      <c r="BM4" s="159">
        <f t="shared" ref="BM4:BM21" si="49">((N4+I4+(LOG(J4)*4/3))*0.673)+((O4+I4+(LOG(J4)*4/3))*0.201)</f>
        <v>6.8923747703837952</v>
      </c>
      <c r="BN4" s="159">
        <f t="shared" ref="BN4:BN21" si="50">((O4+I4+(LOG(J4)*4/3))*0.052)</f>
        <v>0.45171547832947057</v>
      </c>
      <c r="BO4" s="159">
        <f t="shared" ref="BO4:BO21" si="51">((L4+I4+(LOG(J4)*4/3))*0.18)</f>
        <v>2.4321305019097053</v>
      </c>
      <c r="BP4" s="159">
        <f t="shared" ref="BP4:BP21" si="52">(L4+I4+(LOG(J4)*4/3))*0.068</f>
        <v>0.91880485627699993</v>
      </c>
      <c r="BQ4" s="159">
        <f t="shared" ref="BQ4:BQ21" si="53">((M4+I4+(LOG(J4)*4/3))*0.305)</f>
        <v>2.0394850171247794</v>
      </c>
      <c r="BR4" s="159">
        <f t="shared" ref="BR4:BR21" si="54">((N4+I4+(LOG(J4)*4/3))*1)+((O4+I4+(LOG(J4)*4/3))*0.286)</f>
        <v>10.131271252532677</v>
      </c>
      <c r="BS4" s="159">
        <f t="shared" ref="BS4:BS21" si="55">((O4+I4+(LOG(J4)*4/3))*0.135)</f>
        <v>1.1727228764322795</v>
      </c>
      <c r="BT4" s="159">
        <f t="shared" ref="BT4:BT21" si="56">((L4+I4+(LOG(J4)*4/3))*0.284)</f>
        <v>3.8373614585686462</v>
      </c>
      <c r="BU4" s="159">
        <f t="shared" ref="BU4:BU21" si="57">(L4+I4+(LOG(J4)*4/3))*0.244</f>
        <v>3.2968880136998231</v>
      </c>
      <c r="BV4" s="159">
        <f t="shared" ref="BV4:BV21" si="58">((M4+I4+(LOG(J4)*4/3))*0.455)</f>
        <v>3.042510435382868</v>
      </c>
      <c r="BW4" s="159">
        <f t="shared" ref="BW4:BW21" si="59">((N4+I4+(LOG(J4)*4/3))*0.864)+((O4+I4+(LOG(J4)*4/3))*0.244)</f>
        <v>8.7264544228664125</v>
      </c>
      <c r="BX4" s="159">
        <f t="shared" ref="BX4:BX21" si="60">((O4+I4+(LOG(J4)*4/3))*0.121)</f>
        <v>1.0511071707281912</v>
      </c>
      <c r="BY4" s="159">
        <f t="shared" ref="BY4:BY21" si="61">((L4+I4+(LOG(J4)*4/3))*0.284)</f>
        <v>3.8373614585686462</v>
      </c>
      <c r="BZ4" s="159">
        <f t="shared" ref="BZ4:BZ21" si="62">((L4+I4+(LOG(J4)*4/3))*0.244)</f>
        <v>3.2968880136998231</v>
      </c>
      <c r="CA4" s="159">
        <f t="shared" ref="CA4:CA21" si="63">((M4+I4+(LOG(J4)*4/3))*0.631)</f>
        <v>4.2193935928056918</v>
      </c>
      <c r="CB4" s="159">
        <f t="shared" ref="CB4:CB21" si="64">((N4+I4+(LOG(J4)*4/3))*0.702)+((O4+I4+(LOG(J4)*4/3))*0.193)</f>
        <v>7.0446383289399268</v>
      </c>
      <c r="CC4" s="159">
        <f t="shared" ref="CC4:CC21" si="65">((O4+I4+(LOG(J4)*4/3))*0.148)</f>
        <v>1.285651746014647</v>
      </c>
      <c r="CD4" s="159">
        <f t="shared" ref="CD4:CD21" si="66">((M4+I4+(LOG(J4)*4/3))*0.406)</f>
        <v>2.7148554654185593</v>
      </c>
      <c r="CE4" s="159">
        <f t="shared" ref="CE4:CE21" si="67">IF(D4="TEC",((N4+I4+(LOG(J4)*4/3))*0.15)+((O4+I4+(LOG(J4)*4/3))*0.324)+((P4+I4+(LOG(J4)*4/3))*0.127),(((N4+I4+(LOG(J4)*4/3))*0.144)+((O4+I4+(LOG(J4)*4/3))*0.25)+((P4+I4+(LOG(J4)*4/3))*0.127)))</f>
        <v>4.1220816194164263</v>
      </c>
      <c r="CF4" s="159">
        <f t="shared" ref="CF4:CF21" si="68">((O4+I4+(LOG(J4)*4/3))*0.543)+((P4+I4+(LOG(J4)*4/3))*0.583)</f>
        <v>8.615377473057384</v>
      </c>
      <c r="CG4" s="159">
        <f t="shared" ref="CG4:CG21" si="69">CE4</f>
        <v>4.1220816194164263</v>
      </c>
      <c r="CH4" s="159">
        <f t="shared" ref="CH4:CH21" si="70">((P4+1+(LOG(J4)*4/3))*0.26)+((N4+I4+(LOG(J4)*4/3))*0.221)+((O4+I4+(LOG(J4)*4/3))*0.142)</f>
        <v>4.5320589038319268</v>
      </c>
      <c r="CI4" s="159">
        <f t="shared" ref="CI4:CI21" si="71">((P4+I4+(LOG(J4)*4/3))*1)+((O4+I4+(LOG(J4)*4/3))*0.369)</f>
        <v>9.8922786506354861</v>
      </c>
      <c r="CJ4" s="159">
        <f t="shared" ref="CJ4:CJ21" si="72">CH4</f>
        <v>4.5320589038319268</v>
      </c>
      <c r="CK4" s="159">
        <f t="shared" ref="CK4:CK21" si="73">((M4+I4+(LOG(J4)*4/3))*0.25)</f>
        <v>1.6717090304301472</v>
      </c>
    </row>
    <row r="5" spans="1:89" x14ac:dyDescent="0.25">
      <c r="A5" t="str">
        <f>PLANTILLA!D8</f>
        <v>D. Toh</v>
      </c>
      <c r="B5" s="488">
        <f>PLANTILLA!E8</f>
        <v>32</v>
      </c>
      <c r="C5" s="488">
        <f ca="1">PLANTILLA!F8</f>
        <v>5</v>
      </c>
      <c r="D5" s="488" t="str">
        <f>PLANTILLA!G8</f>
        <v>CAB</v>
      </c>
      <c r="E5" s="290">
        <v>41519</v>
      </c>
      <c r="F5" s="341">
        <f>PLANTILLA!Q8</f>
        <v>5</v>
      </c>
      <c r="G5" s="407">
        <f t="shared" si="0"/>
        <v>0.84515425472851657</v>
      </c>
      <c r="H5" s="407">
        <f t="shared" si="1"/>
        <v>0.92504826128926143</v>
      </c>
      <c r="I5" s="497">
        <v>1.5</v>
      </c>
      <c r="J5" s="498">
        <f>PLANTILLA!I8</f>
        <v>7.6</v>
      </c>
      <c r="K5" s="163">
        <f>PLANTILLA!X8</f>
        <v>0</v>
      </c>
      <c r="L5" s="163">
        <f>PLANTILLA!Y8</f>
        <v>11.077333333333334</v>
      </c>
      <c r="M5" s="163">
        <f>PLANTILLA!Z8</f>
        <v>6.2194444444444406</v>
      </c>
      <c r="N5" s="163">
        <f>PLANTILLA!AA8</f>
        <v>6.1</v>
      </c>
      <c r="O5" s="163">
        <f>PLANTILLA!AB8</f>
        <v>7.7227777777777789</v>
      </c>
      <c r="P5" s="163">
        <f>PLANTILLA!AC8</f>
        <v>3.9933333333333318</v>
      </c>
      <c r="Q5" s="163">
        <f>PLANTILLA!AD8</f>
        <v>15.387777777777776</v>
      </c>
      <c r="R5" s="163">
        <f t="shared" si="2"/>
        <v>3.6903611111111116</v>
      </c>
      <c r="S5" s="163">
        <f t="shared" si="3"/>
        <v>13.402675163031839</v>
      </c>
      <c r="T5" s="163">
        <f t="shared" si="4"/>
        <v>0.66129999999999989</v>
      </c>
      <c r="U5" s="163">
        <f t="shared" si="5"/>
        <v>0.90472666666666657</v>
      </c>
      <c r="V5" s="163">
        <f t="shared" ca="1" si="6"/>
        <v>14.842764587952749</v>
      </c>
      <c r="W5" s="163">
        <f t="shared" ca="1" si="7"/>
        <v>16.245878782473856</v>
      </c>
      <c r="X5" s="159">
        <f t="shared" si="8"/>
        <v>5.3921110214148413</v>
      </c>
      <c r="Y5" s="159">
        <f t="shared" si="9"/>
        <v>8.1605404635126693</v>
      </c>
      <c r="Z5" s="159">
        <f t="shared" si="10"/>
        <v>5.3921110214148413</v>
      </c>
      <c r="AA5" s="159">
        <f t="shared" si="11"/>
        <v>7.0959037514891854</v>
      </c>
      <c r="AB5" s="159">
        <f t="shared" si="12"/>
        <v>13.751751456374389</v>
      </c>
      <c r="AC5" s="159">
        <f t="shared" si="13"/>
        <v>3.5479518757445927</v>
      </c>
      <c r="AD5" s="159">
        <f t="shared" si="14"/>
        <v>2.1167392910615477</v>
      </c>
      <c r="AE5" s="159">
        <f t="shared" si="15"/>
        <v>5.1981620505095192</v>
      </c>
      <c r="AF5" s="159">
        <f t="shared" si="16"/>
        <v>9.9425163029586834</v>
      </c>
      <c r="AG5" s="159">
        <f t="shared" si="17"/>
        <v>2.5990810252547596</v>
      </c>
      <c r="AH5" s="159">
        <f t="shared" si="18"/>
        <v>3.424137088481916</v>
      </c>
      <c r="AI5" s="159">
        <f t="shared" si="19"/>
        <v>12.65161133986444</v>
      </c>
      <c r="AJ5" s="159">
        <f t="shared" si="20"/>
        <v>5.6932251029389969</v>
      </c>
      <c r="AK5" s="159">
        <f t="shared" si="21"/>
        <v>1.4852750487700779</v>
      </c>
      <c r="AL5" s="159">
        <f t="shared" si="22"/>
        <v>5.1593578563481399</v>
      </c>
      <c r="AM5" s="159">
        <f t="shared" si="23"/>
        <v>10.368820598106289</v>
      </c>
      <c r="AN5" s="159">
        <f t="shared" si="24"/>
        <v>9.7362400311130664</v>
      </c>
      <c r="AO5" s="159">
        <f t="shared" si="25"/>
        <v>3.0163867154367452</v>
      </c>
      <c r="AP5" s="159">
        <f t="shared" si="26"/>
        <v>1.8330564194358239</v>
      </c>
      <c r="AQ5" s="159">
        <f t="shared" si="27"/>
        <v>3.7129728932210853</v>
      </c>
      <c r="AR5" s="159">
        <f t="shared" si="28"/>
        <v>8.1685403650863861</v>
      </c>
      <c r="AS5" s="159">
        <f t="shared" si="29"/>
        <v>1.8564864466105426</v>
      </c>
      <c r="AT5" s="159">
        <f t="shared" si="30"/>
        <v>8.3958062637063069</v>
      </c>
      <c r="AU5" s="159">
        <f t="shared" si="31"/>
        <v>1.3516354671064486</v>
      </c>
      <c r="AV5" s="159">
        <f t="shared" si="32"/>
        <v>2.4011845100510287</v>
      </c>
      <c r="AW5" s="159">
        <f t="shared" si="33"/>
        <v>0.67581773355322428</v>
      </c>
      <c r="AX5" s="159">
        <f t="shared" si="34"/>
        <v>2.5990810252547596</v>
      </c>
      <c r="AY5" s="159">
        <f t="shared" si="35"/>
        <v>5.5007005825497561</v>
      </c>
      <c r="AZ5" s="159">
        <f t="shared" si="36"/>
        <v>1.2995405126273798</v>
      </c>
      <c r="BA5" s="159">
        <f t="shared" si="37"/>
        <v>8.8938625674854954</v>
      </c>
      <c r="BB5" s="159">
        <f t="shared" si="38"/>
        <v>2.6304905629071653</v>
      </c>
      <c r="BC5" s="159">
        <f t="shared" si="39"/>
        <v>4.945671608017844</v>
      </c>
      <c r="BD5" s="159">
        <f t="shared" si="40"/>
        <v>1.3152452814535827</v>
      </c>
      <c r="BE5" s="159">
        <f t="shared" si="41"/>
        <v>4.0017596738049468</v>
      </c>
      <c r="BF5" s="159">
        <f t="shared" si="42"/>
        <v>4.7856095068182869</v>
      </c>
      <c r="BG5" s="159">
        <f t="shared" si="43"/>
        <v>7.8354929219547218</v>
      </c>
      <c r="BH5" s="159">
        <f t="shared" si="44"/>
        <v>8.3116327113834991</v>
      </c>
      <c r="BI5" s="159">
        <f t="shared" si="45"/>
        <v>2.5057242120973391</v>
      </c>
      <c r="BJ5" s="159">
        <f t="shared" si="46"/>
        <v>6.6695994563415786</v>
      </c>
      <c r="BK5" s="159">
        <f t="shared" si="47"/>
        <v>3.630462384482839</v>
      </c>
      <c r="BL5" s="159">
        <f t="shared" si="48"/>
        <v>3.3885616382119736</v>
      </c>
      <c r="BM5" s="159">
        <f t="shared" si="49"/>
        <v>7.995019772871216</v>
      </c>
      <c r="BN5" s="159">
        <f t="shared" si="50"/>
        <v>0.54065418684257938</v>
      </c>
      <c r="BO5" s="159">
        <f t="shared" si="51"/>
        <v>2.4753152621473902</v>
      </c>
      <c r="BP5" s="159">
        <f t="shared" si="52"/>
        <v>0.93511909903345858</v>
      </c>
      <c r="BQ5" s="159">
        <f t="shared" si="53"/>
        <v>2.712628083083076</v>
      </c>
      <c r="BR5" s="159">
        <f t="shared" si="54"/>
        <v>11.748016150675241</v>
      </c>
      <c r="BS5" s="159">
        <f t="shared" si="55"/>
        <v>1.4036214466105428</v>
      </c>
      <c r="BT5" s="159">
        <f t="shared" si="56"/>
        <v>3.9054974136103264</v>
      </c>
      <c r="BU5" s="159">
        <f t="shared" si="57"/>
        <v>3.3554273553553511</v>
      </c>
      <c r="BV5" s="159">
        <f t="shared" si="58"/>
        <v>4.0467074682059003</v>
      </c>
      <c r="BW5" s="159">
        <f t="shared" si="59"/>
        <v>10.118013058107268</v>
      </c>
      <c r="BX5" s="159">
        <f t="shared" si="60"/>
        <v>1.258060703999079</v>
      </c>
      <c r="BY5" s="159">
        <f t="shared" si="61"/>
        <v>3.9054974136103264</v>
      </c>
      <c r="BZ5" s="159">
        <f t="shared" si="62"/>
        <v>3.3554273553553511</v>
      </c>
      <c r="CA5" s="159">
        <f t="shared" si="63"/>
        <v>5.6120272800833479</v>
      </c>
      <c r="CB5" s="159">
        <f t="shared" si="64"/>
        <v>8.1663003312328559</v>
      </c>
      <c r="CC5" s="159">
        <f t="shared" si="65"/>
        <v>1.5387849933211875</v>
      </c>
      <c r="CD5" s="159">
        <f t="shared" si="66"/>
        <v>3.6109082023991115</v>
      </c>
      <c r="CE5" s="159">
        <f t="shared" si="67"/>
        <v>4.7096196198821678</v>
      </c>
      <c r="CF5" s="159">
        <f t="shared" si="68"/>
        <v>9.5329764732108941</v>
      </c>
      <c r="CG5" s="159">
        <f t="shared" si="69"/>
        <v>4.7096196198821678</v>
      </c>
      <c r="CH5" s="159">
        <f t="shared" si="70"/>
        <v>5.0191636017656887</v>
      </c>
      <c r="CI5" s="159">
        <f t="shared" si="71"/>
        <v>10.504316743776537</v>
      </c>
      <c r="CJ5" s="159">
        <f t="shared" si="72"/>
        <v>5.0191636017656887</v>
      </c>
      <c r="CK5" s="159">
        <f t="shared" si="73"/>
        <v>2.2234656418713739</v>
      </c>
    </row>
    <row r="6" spans="1:89" x14ac:dyDescent="0.25">
      <c r="A6" t="str">
        <f>PLANTILLA!D9</f>
        <v>E. Toney</v>
      </c>
      <c r="B6" s="488">
        <f>PLANTILLA!E9</f>
        <v>31</v>
      </c>
      <c r="C6" s="488">
        <f ca="1">PLANTILLA!F9</f>
        <v>71</v>
      </c>
      <c r="D6" s="488"/>
      <c r="E6" s="290">
        <v>41539</v>
      </c>
      <c r="F6" s="341">
        <f>PLANTILLA!Q9</f>
        <v>5</v>
      </c>
      <c r="G6" s="407">
        <f t="shared" ref="G6:G10" si="74">(F6/7)^0.5</f>
        <v>0.84515425472851657</v>
      </c>
      <c r="H6" s="407">
        <f>IF(F6=7,1,((F6+0.99)/7)^0.5)</f>
        <v>0.92504826128926143</v>
      </c>
      <c r="I6" s="497">
        <v>1.5</v>
      </c>
      <c r="J6" s="498">
        <f>PLANTILLA!I9</f>
        <v>12.4</v>
      </c>
      <c r="K6" s="163">
        <f>PLANTILLA!X9</f>
        <v>0</v>
      </c>
      <c r="L6" s="163">
        <f>PLANTILLA!Y9</f>
        <v>12.200000000000005</v>
      </c>
      <c r="M6" s="163">
        <f>PLANTILLA!Z9</f>
        <v>13.261555555555553</v>
      </c>
      <c r="N6" s="163">
        <f>PLANTILLA!AA9</f>
        <v>9.8750000000000053</v>
      </c>
      <c r="O6" s="163">
        <f>PLANTILLA!AB9</f>
        <v>9.6</v>
      </c>
      <c r="P6" s="163">
        <f>PLANTILLA!AC9</f>
        <v>3.6816666666666658</v>
      </c>
      <c r="Q6" s="163">
        <f>PLANTILLA!AD9</f>
        <v>16.827777777777772</v>
      </c>
      <c r="R6" s="163">
        <f t="shared" si="2"/>
        <v>4.3000000000000007</v>
      </c>
      <c r="S6" s="163">
        <f t="shared" si="3"/>
        <v>14.303793676722494</v>
      </c>
      <c r="T6" s="163">
        <f t="shared" si="4"/>
        <v>0.6889166666666664</v>
      </c>
      <c r="U6" s="163">
        <f t="shared" si="5"/>
        <v>0.99283333333333346</v>
      </c>
      <c r="V6" s="163">
        <f t="shared" ca="1" si="6"/>
        <v>16.299368893813099</v>
      </c>
      <c r="W6" s="163">
        <f t="shared" ca="1" si="7"/>
        <v>17.840178607605061</v>
      </c>
      <c r="X6" s="159">
        <f t="shared" si="8"/>
        <v>5.9494428415288434</v>
      </c>
      <c r="Y6" s="159">
        <f t="shared" si="9"/>
        <v>9.0036431940592632</v>
      </c>
      <c r="Z6" s="159">
        <f t="shared" si="10"/>
        <v>5.9494428415288434</v>
      </c>
      <c r="AA6" s="159">
        <f t="shared" si="11"/>
        <v>7.8214741193916204</v>
      </c>
      <c r="AB6" s="159">
        <f t="shared" si="12"/>
        <v>15.157895580216318</v>
      </c>
      <c r="AC6" s="159">
        <f t="shared" si="13"/>
        <v>3.9107370596958102</v>
      </c>
      <c r="AD6" s="159">
        <f t="shared" si="14"/>
        <v>3.8602293703137041</v>
      </c>
      <c r="AE6" s="159">
        <f t="shared" si="15"/>
        <v>5.7296845293217684</v>
      </c>
      <c r="AF6" s="159">
        <f t="shared" si="16"/>
        <v>10.959158504496397</v>
      </c>
      <c r="AG6" s="159">
        <f t="shared" si="17"/>
        <v>2.8648422646608842</v>
      </c>
      <c r="AH6" s="159">
        <f t="shared" si="18"/>
        <v>6.2444886872721685</v>
      </c>
      <c r="AI6" s="159">
        <f t="shared" si="19"/>
        <v>13.945263933799012</v>
      </c>
      <c r="AJ6" s="159">
        <f t="shared" si="20"/>
        <v>6.2753687702095551</v>
      </c>
      <c r="AK6" s="159">
        <f t="shared" si="21"/>
        <v>2.7086483396739016</v>
      </c>
      <c r="AL6" s="159">
        <f t="shared" si="22"/>
        <v>7.5457426011671949</v>
      </c>
      <c r="AM6" s="159">
        <f t="shared" si="23"/>
        <v>11.429053267483104</v>
      </c>
      <c r="AN6" s="159">
        <f t="shared" si="24"/>
        <v>10.731790070793153</v>
      </c>
      <c r="AO6" s="159">
        <f t="shared" si="25"/>
        <v>3.3042074507850123</v>
      </c>
      <c r="AP6" s="159">
        <f t="shared" si="26"/>
        <v>2.0902739271022983</v>
      </c>
      <c r="AQ6" s="159">
        <f t="shared" si="27"/>
        <v>4.0926318066584058</v>
      </c>
      <c r="AR6" s="159">
        <f t="shared" si="28"/>
        <v>9.0037899746484928</v>
      </c>
      <c r="AS6" s="159">
        <f t="shared" si="29"/>
        <v>2.0463159033292029</v>
      </c>
      <c r="AT6" s="159">
        <f t="shared" si="30"/>
        <v>15.311161872168642</v>
      </c>
      <c r="AU6" s="159">
        <f t="shared" si="31"/>
        <v>1.6325264254281207</v>
      </c>
      <c r="AV6" s="159">
        <f t="shared" si="32"/>
        <v>2.6555917383367129</v>
      </c>
      <c r="AW6" s="159">
        <f t="shared" si="33"/>
        <v>0.81626321271406033</v>
      </c>
      <c r="AX6" s="159">
        <f t="shared" si="34"/>
        <v>2.8648422646608842</v>
      </c>
      <c r="AY6" s="159">
        <f t="shared" si="35"/>
        <v>6.0631582320865274</v>
      </c>
      <c r="AZ6" s="159">
        <f t="shared" si="36"/>
        <v>1.4324211323304421</v>
      </c>
      <c r="BA6" s="159">
        <f t="shared" si="37"/>
        <v>16.219451135771866</v>
      </c>
      <c r="BB6" s="159">
        <f t="shared" si="38"/>
        <v>3.1771475817947272</v>
      </c>
      <c r="BC6" s="159">
        <f t="shared" si="39"/>
        <v>5.6765504646991882</v>
      </c>
      <c r="BD6" s="159">
        <f t="shared" si="40"/>
        <v>1.5885737908973636</v>
      </c>
      <c r="BE6" s="159">
        <f t="shared" si="41"/>
        <v>4.4109476138429482</v>
      </c>
      <c r="BF6" s="159">
        <f t="shared" si="42"/>
        <v>5.2749476619152782</v>
      </c>
      <c r="BG6" s="159">
        <f t="shared" si="43"/>
        <v>14.289336450615014</v>
      </c>
      <c r="BH6" s="159">
        <f t="shared" si="44"/>
        <v>11.321819170812304</v>
      </c>
      <c r="BI6" s="159">
        <f t="shared" si="45"/>
        <v>3.0264528348321313</v>
      </c>
      <c r="BJ6" s="159">
        <f t="shared" si="46"/>
        <v>7.3515793564049137</v>
      </c>
      <c r="BK6" s="159">
        <f t="shared" si="47"/>
        <v>4.0016844331771084</v>
      </c>
      <c r="BL6" s="159">
        <f t="shared" si="48"/>
        <v>6.1796108827290812</v>
      </c>
      <c r="BM6" s="159">
        <f t="shared" si="49"/>
        <v>11.160675737109061</v>
      </c>
      <c r="BN6" s="159">
        <f t="shared" si="50"/>
        <v>0.65301057017124819</v>
      </c>
      <c r="BO6" s="159">
        <f t="shared" si="51"/>
        <v>2.7284212044389369</v>
      </c>
      <c r="BP6" s="159">
        <f t="shared" si="52"/>
        <v>1.0307368994547097</v>
      </c>
      <c r="BQ6" s="159">
        <f t="shared" si="53"/>
        <v>4.9469325964104192</v>
      </c>
      <c r="BR6" s="159">
        <f t="shared" si="54"/>
        <v>16.424453716158183</v>
      </c>
      <c r="BS6" s="159">
        <f t="shared" si="55"/>
        <v>1.6953159033292022</v>
      </c>
      <c r="BT6" s="159">
        <f t="shared" si="56"/>
        <v>4.3048423447814335</v>
      </c>
      <c r="BU6" s="159">
        <f t="shared" si="57"/>
        <v>3.6985265215727816</v>
      </c>
      <c r="BV6" s="159">
        <f t="shared" si="58"/>
        <v>7.3798502667761996</v>
      </c>
      <c r="BW6" s="159">
        <f t="shared" si="59"/>
        <v>14.151748302879678</v>
      </c>
      <c r="BX6" s="159">
        <f t="shared" si="60"/>
        <v>1.5195053652061739</v>
      </c>
      <c r="BY6" s="159">
        <f t="shared" si="61"/>
        <v>4.3048423447814335</v>
      </c>
      <c r="BZ6" s="159">
        <f t="shared" si="62"/>
        <v>3.6985265215727816</v>
      </c>
      <c r="CA6" s="159">
        <f t="shared" si="63"/>
        <v>10.234473666672047</v>
      </c>
      <c r="CB6" s="159">
        <f t="shared" si="64"/>
        <v>11.432366544293602</v>
      </c>
      <c r="CC6" s="159">
        <f t="shared" si="65"/>
        <v>1.8585685458720143</v>
      </c>
      <c r="CD6" s="159">
        <f t="shared" si="66"/>
        <v>6.585097161123378</v>
      </c>
      <c r="CE6" s="159">
        <f t="shared" si="67"/>
        <v>5.8306352639593673</v>
      </c>
      <c r="CF6" s="159">
        <f t="shared" si="68"/>
        <v>10.689802089990234</v>
      </c>
      <c r="CG6" s="159">
        <f t="shared" si="69"/>
        <v>5.8306352639593673</v>
      </c>
      <c r="CH6" s="159">
        <f t="shared" si="70"/>
        <v>6.2155772798080973</v>
      </c>
      <c r="CI6" s="159">
        <f t="shared" si="71"/>
        <v>11.2734257159828</v>
      </c>
      <c r="CJ6" s="159">
        <f t="shared" si="72"/>
        <v>6.2155772798080973</v>
      </c>
      <c r="CK6" s="159">
        <f t="shared" si="73"/>
        <v>4.0548627839429665</v>
      </c>
    </row>
    <row r="7" spans="1:89" x14ac:dyDescent="0.25">
      <c r="A7" t="str">
        <f>PLANTILLA!D10</f>
        <v>B. Bartolache</v>
      </c>
      <c r="B7" s="488">
        <f>PLANTILLA!E10</f>
        <v>31</v>
      </c>
      <c r="C7" s="488">
        <f ca="1">PLANTILLA!F10</f>
        <v>56</v>
      </c>
      <c r="D7" s="488"/>
      <c r="E7" s="290">
        <v>41527</v>
      </c>
      <c r="F7" s="341">
        <f>PLANTILLA!Q10</f>
        <v>6</v>
      </c>
      <c r="G7" s="407">
        <f t="shared" si="74"/>
        <v>0.92582009977255142</v>
      </c>
      <c r="H7" s="407">
        <f t="shared" ref="H7:H21" si="75">IF(F7=7,1,((F7+0.99)/7)^0.5)</f>
        <v>0.99928545900129484</v>
      </c>
      <c r="I7" s="497">
        <v>1.5</v>
      </c>
      <c r="J7" s="498">
        <f>PLANTILLA!I10</f>
        <v>9.5</v>
      </c>
      <c r="K7" s="163">
        <f>PLANTILLA!X10</f>
        <v>0</v>
      </c>
      <c r="L7" s="163">
        <f>PLANTILLA!Y10</f>
        <v>11.999999999999996</v>
      </c>
      <c r="M7" s="163">
        <f>PLANTILLA!Z10</f>
        <v>7.0225000000000017</v>
      </c>
      <c r="N7" s="163">
        <f>PLANTILLA!AA10</f>
        <v>7.5000000000000018</v>
      </c>
      <c r="O7" s="163">
        <f>PLANTILLA!AB10</f>
        <v>9.0199999999999978</v>
      </c>
      <c r="P7" s="163">
        <f>PLANTILLA!AC10</f>
        <v>4.6199999999999966</v>
      </c>
      <c r="Q7" s="163">
        <f>PLANTILLA!AD10</f>
        <v>15.799999999999999</v>
      </c>
      <c r="R7" s="163">
        <f t="shared" si="2"/>
        <v>4.129999999999999</v>
      </c>
      <c r="S7" s="163">
        <f t="shared" si="3"/>
        <v>14.955225556917798</v>
      </c>
      <c r="T7" s="163">
        <f t="shared" si="4"/>
        <v>0.70499999999999974</v>
      </c>
      <c r="U7" s="163">
        <f t="shared" si="5"/>
        <v>0.95399999999999996</v>
      </c>
      <c r="V7" s="163">
        <f t="shared" ca="1" si="6"/>
        <v>16.760705897243529</v>
      </c>
      <c r="W7" s="163">
        <f t="shared" ca="1" si="7"/>
        <v>18.090695686805041</v>
      </c>
      <c r="X7" s="159">
        <f t="shared" si="8"/>
        <v>5.759570276556218</v>
      </c>
      <c r="Y7" s="159">
        <f t="shared" si="9"/>
        <v>8.7194882325705354</v>
      </c>
      <c r="Z7" s="159">
        <f t="shared" si="10"/>
        <v>5.759570276556218</v>
      </c>
      <c r="AA7" s="159">
        <f t="shared" si="11"/>
        <v>7.6386738404387255</v>
      </c>
      <c r="AB7" s="159">
        <f t="shared" si="12"/>
        <v>14.803631473718459</v>
      </c>
      <c r="AC7" s="159">
        <f t="shared" si="13"/>
        <v>3.8193369202193628</v>
      </c>
      <c r="AD7" s="159">
        <f t="shared" si="14"/>
        <v>2.3386192907449943</v>
      </c>
      <c r="AE7" s="159">
        <f t="shared" si="15"/>
        <v>5.5957726970655779</v>
      </c>
      <c r="AF7" s="159">
        <f t="shared" si="16"/>
        <v>10.703025555498446</v>
      </c>
      <c r="AG7" s="159">
        <f t="shared" si="17"/>
        <v>2.7978863485327889</v>
      </c>
      <c r="AH7" s="159">
        <f t="shared" si="18"/>
        <v>3.7830606173816088</v>
      </c>
      <c r="AI7" s="159">
        <f t="shared" si="19"/>
        <v>13.619340955820983</v>
      </c>
      <c r="AJ7" s="159">
        <f t="shared" si="20"/>
        <v>6.1287034301194421</v>
      </c>
      <c r="AK7" s="159">
        <f t="shared" si="21"/>
        <v>1.6409639561109834</v>
      </c>
      <c r="AL7" s="159">
        <f t="shared" si="22"/>
        <v>6.0585353065464567</v>
      </c>
      <c r="AM7" s="159">
        <f t="shared" si="23"/>
        <v>11.161938131183719</v>
      </c>
      <c r="AN7" s="159">
        <f t="shared" si="24"/>
        <v>10.480971083392669</v>
      </c>
      <c r="AO7" s="159">
        <f t="shared" si="25"/>
        <v>3.1068064561109834</v>
      </c>
      <c r="AP7" s="159">
        <f t="shared" si="26"/>
        <v>1.9968858644309171</v>
      </c>
      <c r="AQ7" s="159">
        <f t="shared" si="27"/>
        <v>3.9969804979039845</v>
      </c>
      <c r="AR7" s="159">
        <f t="shared" si="28"/>
        <v>8.7933570953887639</v>
      </c>
      <c r="AS7" s="159">
        <f t="shared" si="29"/>
        <v>1.9984902489519922</v>
      </c>
      <c r="AT7" s="159">
        <f t="shared" si="30"/>
        <v>9.2758681111902295</v>
      </c>
      <c r="AU7" s="159">
        <f t="shared" si="31"/>
        <v>1.5370720915834</v>
      </c>
      <c r="AV7" s="159">
        <f t="shared" si="32"/>
        <v>2.7031240217995087</v>
      </c>
      <c r="AW7" s="159">
        <f t="shared" si="33"/>
        <v>0.76853604579169998</v>
      </c>
      <c r="AX7" s="159">
        <f t="shared" si="34"/>
        <v>2.7978863485327889</v>
      </c>
      <c r="AY7" s="159">
        <f t="shared" si="35"/>
        <v>5.9214525894873837</v>
      </c>
      <c r="AZ7" s="159">
        <f t="shared" si="36"/>
        <v>1.3989431742663945</v>
      </c>
      <c r="BA7" s="159">
        <f t="shared" si="37"/>
        <v>9.8261314737184637</v>
      </c>
      <c r="BB7" s="159">
        <f t="shared" si="38"/>
        <v>2.9913787628507706</v>
      </c>
      <c r="BC7" s="159">
        <f t="shared" si="39"/>
        <v>5.5908209420188717</v>
      </c>
      <c r="BD7" s="159">
        <f t="shared" si="40"/>
        <v>1.4956893814253853</v>
      </c>
      <c r="BE7" s="159">
        <f t="shared" si="41"/>
        <v>4.3078567588520711</v>
      </c>
      <c r="BF7" s="159">
        <f t="shared" si="42"/>
        <v>5.1516637528540237</v>
      </c>
      <c r="BG7" s="159">
        <f t="shared" si="43"/>
        <v>8.6568218283459668</v>
      </c>
      <c r="BH7" s="159">
        <f t="shared" si="44"/>
        <v>9.6387283801357135</v>
      </c>
      <c r="BI7" s="159">
        <f t="shared" si="45"/>
        <v>2.8494951851661487</v>
      </c>
      <c r="BJ7" s="159">
        <f t="shared" si="46"/>
        <v>7.179761264753453</v>
      </c>
      <c r="BK7" s="159">
        <f t="shared" si="47"/>
        <v>3.9081587090616736</v>
      </c>
      <c r="BL7" s="159">
        <f t="shared" si="48"/>
        <v>3.7437560914867349</v>
      </c>
      <c r="BM7" s="159">
        <f t="shared" si="49"/>
        <v>9.3108939080299375</v>
      </c>
      <c r="BN7" s="159">
        <f t="shared" si="50"/>
        <v>0.61482883663335997</v>
      </c>
      <c r="BO7" s="159">
        <f t="shared" si="51"/>
        <v>2.6646536652693227</v>
      </c>
      <c r="BP7" s="159">
        <f t="shared" si="52"/>
        <v>1.0066469402128553</v>
      </c>
      <c r="BQ7" s="159">
        <f t="shared" si="53"/>
        <v>2.9969700994841313</v>
      </c>
      <c r="BR7" s="159">
        <f t="shared" si="54"/>
        <v>13.685190075201945</v>
      </c>
      <c r="BS7" s="159">
        <f t="shared" si="55"/>
        <v>1.5961902489519924</v>
      </c>
      <c r="BT7" s="159">
        <f t="shared" si="56"/>
        <v>4.2042313385360419</v>
      </c>
      <c r="BU7" s="159">
        <f t="shared" si="57"/>
        <v>3.612086079587304</v>
      </c>
      <c r="BV7" s="159">
        <f t="shared" si="58"/>
        <v>4.4708898205419008</v>
      </c>
      <c r="BW7" s="159">
        <f t="shared" si="59"/>
        <v>11.787303672880057</v>
      </c>
      <c r="BX7" s="159">
        <f t="shared" si="60"/>
        <v>1.4306594083199338</v>
      </c>
      <c r="BY7" s="159">
        <f t="shared" si="61"/>
        <v>4.2042313385360419</v>
      </c>
      <c r="BZ7" s="159">
        <f t="shared" si="62"/>
        <v>3.612086079587304</v>
      </c>
      <c r="CA7" s="159">
        <f t="shared" si="63"/>
        <v>6.2002889599163504</v>
      </c>
      <c r="CB7" s="159">
        <f t="shared" si="64"/>
        <v>9.5151101689780244</v>
      </c>
      <c r="CC7" s="159">
        <f t="shared" si="65"/>
        <v>1.7498974581103321</v>
      </c>
      <c r="CD7" s="159">
        <f t="shared" si="66"/>
        <v>3.9894093783296967</v>
      </c>
      <c r="CE7" s="159">
        <f t="shared" si="67"/>
        <v>5.3824319978073181</v>
      </c>
      <c r="CF7" s="159">
        <f t="shared" si="68"/>
        <v>10.748209039406987</v>
      </c>
      <c r="CG7" s="159">
        <f t="shared" si="69"/>
        <v>5.3824319978073181</v>
      </c>
      <c r="CH7" s="159">
        <f t="shared" si="70"/>
        <v>5.756202408126601</v>
      </c>
      <c r="CI7" s="159">
        <f t="shared" si="71"/>
        <v>11.786551487520573</v>
      </c>
      <c r="CJ7" s="159">
        <f t="shared" si="72"/>
        <v>5.756202408126601</v>
      </c>
      <c r="CK7" s="159">
        <f t="shared" si="73"/>
        <v>2.4565328684296159</v>
      </c>
    </row>
    <row r="8" spans="1:89" x14ac:dyDescent="0.25">
      <c r="A8" t="str">
        <f>PLANTILLA!D11</f>
        <v>F. Lasprilla</v>
      </c>
      <c r="B8" s="488">
        <f>PLANTILLA!E11</f>
        <v>27</v>
      </c>
      <c r="C8" s="488">
        <f ca="1">PLANTILLA!F11</f>
        <v>79</v>
      </c>
      <c r="D8" s="488"/>
      <c r="E8" s="290">
        <v>42106</v>
      </c>
      <c r="F8" s="341">
        <f>PLANTILLA!Q11</f>
        <v>5</v>
      </c>
      <c r="G8" s="407">
        <f t="shared" si="74"/>
        <v>0.84515425472851657</v>
      </c>
      <c r="H8" s="407">
        <f t="shared" si="75"/>
        <v>0.92504826128926143</v>
      </c>
      <c r="I8" s="497">
        <v>1.5</v>
      </c>
      <c r="J8" s="498">
        <f>PLANTILLA!I11</f>
        <v>4.9000000000000004</v>
      </c>
      <c r="K8" s="163">
        <f>PLANTILLA!X11</f>
        <v>0</v>
      </c>
      <c r="L8" s="163">
        <f>PLANTILLA!Y11</f>
        <v>9.6046666666666667</v>
      </c>
      <c r="M8" s="163">
        <f>PLANTILLA!Z11</f>
        <v>7.7607222222222223</v>
      </c>
      <c r="N8" s="163">
        <f>PLANTILLA!AA11</f>
        <v>6.1599999999999984</v>
      </c>
      <c r="O8" s="163">
        <f>PLANTILLA!AB11</f>
        <v>8.8633333333333315</v>
      </c>
      <c r="P8" s="163">
        <f>PLANTILLA!AC11</f>
        <v>3.2566666666666673</v>
      </c>
      <c r="Q8" s="163">
        <f>PLANTILLA!AD11</f>
        <v>13.238888888888889</v>
      </c>
      <c r="R8" s="163">
        <f t="shared" si="2"/>
        <v>3.7914166666666662</v>
      </c>
      <c r="S8" s="163">
        <f t="shared" si="3"/>
        <v>10.436233338039576</v>
      </c>
      <c r="T8" s="163">
        <f t="shared" si="4"/>
        <v>0.56000000000000005</v>
      </c>
      <c r="U8" s="163">
        <f t="shared" si="5"/>
        <v>0.78135333333333334</v>
      </c>
      <c r="V8" s="163">
        <f t="shared" ca="1" si="6"/>
        <v>12.811820398561768</v>
      </c>
      <c r="W8" s="163">
        <f t="shared" ca="1" si="7"/>
        <v>14.022945654396372</v>
      </c>
      <c r="X8" s="159">
        <f t="shared" si="8"/>
        <v>4.7637762371531904</v>
      </c>
      <c r="Y8" s="159">
        <f t="shared" si="9"/>
        <v>7.2065408524224157</v>
      </c>
      <c r="Z8" s="159">
        <f t="shared" si="10"/>
        <v>4.7637762371531904</v>
      </c>
      <c r="AA8" s="159">
        <f t="shared" si="11"/>
        <v>6.2048629030596176</v>
      </c>
      <c r="AB8" s="159">
        <f t="shared" si="12"/>
        <v>12.024928106704685</v>
      </c>
      <c r="AC8" s="159">
        <f t="shared" si="13"/>
        <v>3.1024314515298088</v>
      </c>
      <c r="AD8" s="159">
        <f t="shared" si="14"/>
        <v>2.4230741116179373</v>
      </c>
      <c r="AE8" s="159">
        <f t="shared" si="15"/>
        <v>4.5454228243343708</v>
      </c>
      <c r="AF8" s="159">
        <f t="shared" si="16"/>
        <v>8.6940230211474869</v>
      </c>
      <c r="AG8" s="159">
        <f t="shared" si="17"/>
        <v>2.2727114121671854</v>
      </c>
      <c r="AH8" s="159">
        <f t="shared" si="18"/>
        <v>3.9196787099701926</v>
      </c>
      <c r="AI8" s="159">
        <f t="shared" si="19"/>
        <v>11.062933858168311</v>
      </c>
      <c r="AJ8" s="159">
        <f t="shared" si="20"/>
        <v>4.9783202361757395</v>
      </c>
      <c r="AK8" s="159">
        <f t="shared" si="21"/>
        <v>1.7002242715974603</v>
      </c>
      <c r="AL8" s="159">
        <f t="shared" si="22"/>
        <v>5.0451937267423537</v>
      </c>
      <c r="AM8" s="159">
        <f t="shared" si="23"/>
        <v>9.0667957924553324</v>
      </c>
      <c r="AN8" s="159">
        <f t="shared" si="24"/>
        <v>8.5136490995469174</v>
      </c>
      <c r="AO8" s="159">
        <f t="shared" si="25"/>
        <v>2.6150781049307938</v>
      </c>
      <c r="AP8" s="159">
        <f t="shared" si="26"/>
        <v>1.7889632947309493</v>
      </c>
      <c r="AQ8" s="159">
        <f t="shared" si="27"/>
        <v>3.2467305888102653</v>
      </c>
      <c r="AR8" s="159">
        <f t="shared" si="28"/>
        <v>7.1428072953825827</v>
      </c>
      <c r="AS8" s="159">
        <f t="shared" si="29"/>
        <v>1.6233652944051327</v>
      </c>
      <c r="AT8" s="159">
        <f t="shared" si="30"/>
        <v>9.610848577173666</v>
      </c>
      <c r="AU8" s="159">
        <f t="shared" si="31"/>
        <v>1.4668673205382756</v>
      </c>
      <c r="AV8" s="159">
        <f t="shared" si="32"/>
        <v>2.3361399352644723</v>
      </c>
      <c r="AW8" s="159">
        <f t="shared" si="33"/>
        <v>0.73343366026913781</v>
      </c>
      <c r="AX8" s="159">
        <f t="shared" si="34"/>
        <v>2.2727114121671854</v>
      </c>
      <c r="AY8" s="159">
        <f t="shared" si="35"/>
        <v>4.8099712426818746</v>
      </c>
      <c r="AZ8" s="159">
        <f t="shared" si="36"/>
        <v>1.1363557060835927</v>
      </c>
      <c r="BA8" s="159">
        <f t="shared" si="37"/>
        <v>10.180983662260241</v>
      </c>
      <c r="BB8" s="159">
        <f t="shared" si="38"/>
        <v>2.8547494776629514</v>
      </c>
      <c r="BC8" s="159">
        <f t="shared" si="39"/>
        <v>5.0398607201276144</v>
      </c>
      <c r="BD8" s="159">
        <f t="shared" si="40"/>
        <v>1.4273747388314757</v>
      </c>
      <c r="BE8" s="159">
        <f t="shared" si="41"/>
        <v>3.4992540790510631</v>
      </c>
      <c r="BF8" s="159">
        <f t="shared" si="42"/>
        <v>4.18467498113323</v>
      </c>
      <c r="BG8" s="159">
        <f t="shared" si="43"/>
        <v>8.9694466064512728</v>
      </c>
      <c r="BH8" s="159">
        <f t="shared" si="44"/>
        <v>8.4794024201937965</v>
      </c>
      <c r="BI8" s="159">
        <f t="shared" si="45"/>
        <v>2.7193463403824953</v>
      </c>
      <c r="BJ8" s="159">
        <f t="shared" si="46"/>
        <v>5.8320901317517722</v>
      </c>
      <c r="BK8" s="159">
        <f t="shared" si="47"/>
        <v>3.1745810201700371</v>
      </c>
      <c r="BL8" s="159">
        <f t="shared" si="48"/>
        <v>3.878954775321152</v>
      </c>
      <c r="BM8" s="159">
        <f t="shared" si="49"/>
        <v>8.0425184985932265</v>
      </c>
      <c r="BN8" s="159">
        <f t="shared" si="50"/>
        <v>0.58674692821531016</v>
      </c>
      <c r="BO8" s="159">
        <f t="shared" si="51"/>
        <v>2.1644870592068433</v>
      </c>
      <c r="BP8" s="159">
        <f t="shared" si="52"/>
        <v>0.81769511125591865</v>
      </c>
      <c r="BQ8" s="159">
        <f t="shared" si="53"/>
        <v>3.1052000169893734</v>
      </c>
      <c r="BR8" s="159">
        <f t="shared" si="54"/>
        <v>11.807369545222222</v>
      </c>
      <c r="BS8" s="159">
        <f t="shared" si="55"/>
        <v>1.5232852944051323</v>
      </c>
      <c r="BT8" s="159">
        <f t="shared" si="56"/>
        <v>3.4150795823041302</v>
      </c>
      <c r="BU8" s="159">
        <f t="shared" si="57"/>
        <v>2.934082458035943</v>
      </c>
      <c r="BV8" s="159">
        <f t="shared" si="58"/>
        <v>4.6323475663284093</v>
      </c>
      <c r="BW8" s="159">
        <f t="shared" si="59"/>
        <v>10.166543008895456</v>
      </c>
      <c r="BX8" s="159">
        <f t="shared" si="60"/>
        <v>1.3653149675779332</v>
      </c>
      <c r="BY8" s="159">
        <f t="shared" si="61"/>
        <v>3.4150795823041302</v>
      </c>
      <c r="BZ8" s="159">
        <f t="shared" si="62"/>
        <v>2.934082458035943</v>
      </c>
      <c r="CA8" s="159">
        <f t="shared" si="63"/>
        <v>6.4242006908862122</v>
      </c>
      <c r="CB8" s="159">
        <f t="shared" si="64"/>
        <v>8.2010773221673574</v>
      </c>
      <c r="CC8" s="159">
        <f t="shared" si="65"/>
        <v>1.6699720264589597</v>
      </c>
      <c r="CD8" s="159">
        <f t="shared" si="66"/>
        <v>4.1334793668776584</v>
      </c>
      <c r="CE8" s="159">
        <f t="shared" si="67"/>
        <v>4.7774262102598071</v>
      </c>
      <c r="CF8" s="159">
        <f t="shared" si="68"/>
        <v>9.4366410481494754</v>
      </c>
      <c r="CG8" s="159">
        <f t="shared" si="69"/>
        <v>4.7774262102598071</v>
      </c>
      <c r="CH8" s="159">
        <f t="shared" si="70"/>
        <v>4.8445095438103518</v>
      </c>
      <c r="CI8" s="159">
        <f t="shared" si="71"/>
        <v>9.8405745780787139</v>
      </c>
      <c r="CJ8" s="159">
        <f t="shared" si="72"/>
        <v>4.8445095438103518</v>
      </c>
      <c r="CK8" s="159">
        <f t="shared" si="73"/>
        <v>2.5452459155650602</v>
      </c>
    </row>
    <row r="9" spans="1:89" x14ac:dyDescent="0.25">
      <c r="A9" t="str">
        <f>PLANTILLA!D7</f>
        <v>B. Pinczehelyi</v>
      </c>
      <c r="B9" s="488">
        <f>PLANTILLA!E7</f>
        <v>30</v>
      </c>
      <c r="C9" s="488">
        <f ca="1">PLANTILLA!F7</f>
        <v>72</v>
      </c>
      <c r="D9" s="488" t="str">
        <f>PLANTILLA!G7</f>
        <v>CAB</v>
      </c>
      <c r="E9" s="290">
        <v>42716</v>
      </c>
      <c r="F9" s="341">
        <f>PLANTILLA!Q7</f>
        <v>6</v>
      </c>
      <c r="G9" s="407">
        <f>(F9/7)^0.5</f>
        <v>0.92582009977255142</v>
      </c>
      <c r="H9" s="407">
        <f>IF(F9=7,1,((F9+0.99)/7)^0.5)</f>
        <v>0.99928545900129484</v>
      </c>
      <c r="I9" s="497">
        <v>1</v>
      </c>
      <c r="J9" s="498">
        <f>PLANTILLA!I7</f>
        <v>14.4</v>
      </c>
      <c r="K9" s="163">
        <f>PLANTILLA!X7</f>
        <v>0</v>
      </c>
      <c r="L9" s="163">
        <f>PLANTILLA!Y7</f>
        <v>14.300000000000004</v>
      </c>
      <c r="M9" s="163">
        <f>PLANTILLA!Z7</f>
        <v>9.3793333333333351</v>
      </c>
      <c r="N9" s="163">
        <f>PLANTILLA!AA7</f>
        <v>14.333333333333329</v>
      </c>
      <c r="O9" s="163">
        <f>PLANTILLA!AB7</f>
        <v>9.4199999999999982</v>
      </c>
      <c r="P9" s="163">
        <f>PLANTILLA!AC7</f>
        <v>1.1428571428571428</v>
      </c>
      <c r="Q9" s="163">
        <f>PLANTILLA!AD7</f>
        <v>9.8000000000000007</v>
      </c>
      <c r="R9" s="163">
        <f>((2*(O9+1))+(L9+1))/8</f>
        <v>4.5175000000000001</v>
      </c>
      <c r="S9" s="163">
        <f t="shared" si="3"/>
        <v>5.3104510005168617</v>
      </c>
      <c r="T9" s="163">
        <f>(0.5*P9+ 0.3*Q9)/10</f>
        <v>0.35114285714285715</v>
      </c>
      <c r="U9" s="163">
        <f>(0.4*L9+0.3*Q9)/10</f>
        <v>0.86600000000000021</v>
      </c>
      <c r="V9" s="163">
        <f t="shared" ref="V9" ca="1" si="76">IF(TODAY()-E9&gt;335,(Q9+1+(LOG(J9)*4/3))*(F9/7)^0.5,(Q9+((TODAY()-E9)^0.5)/(336^0.5)+(LOG(J9)*4/3))*(F9/7)^0.5)</f>
        <v>11.42877078154943</v>
      </c>
      <c r="W9" s="163">
        <f t="shared" ref="W9" ca="1" si="77">IF(F9=7,V9,IF(TODAY()-E9&gt;335,(Q9+1+(LOG(J9)*4/3))*((F9+0.99)/7)^0.5,(Q9+((TODAY()-E9)^0.5)/(336^0.5)+(LOG(J9)*4/3))*((F9+0.99)/7)^0.5))</f>
        <v>12.3356626833517</v>
      </c>
      <c r="X9" s="159">
        <f>((K9+I9+(LOG(J9)*4/3))*0.597)+((L9+I9+(LOG(J9)*4/3))*0.276)</f>
        <v>6.1681339407988718</v>
      </c>
      <c r="Y9" s="159">
        <f>((K9+I9+(LOG(J9)*4/3))*0.866)+((L9+I9+(LOG(J9)*4/3))*0.425)</f>
        <v>9.3624279697266246</v>
      </c>
      <c r="Z9" s="159">
        <f>X9</f>
        <v>6.1681339407988718</v>
      </c>
      <c r="AA9" s="159">
        <f>((L9+I9+(LOG(J9)*4/3))*0.516)</f>
        <v>8.691753394561534</v>
      </c>
      <c r="AB9" s="159">
        <f>(L9+I9+(LOG(J9)*4/3))*1</f>
        <v>16.844483322793671</v>
      </c>
      <c r="AC9" s="159">
        <f>AA9/2</f>
        <v>4.345876697280767</v>
      </c>
      <c r="AD9" s="159">
        <f>(M9+I9+(LOG(J9)*4/3))*0.238</f>
        <v>2.8378683641582265</v>
      </c>
      <c r="AE9" s="159">
        <f>((L9+I9+(LOG(J9)*4/3))*0.378)</f>
        <v>6.3672146960160081</v>
      </c>
      <c r="AF9" s="159">
        <f>(L9+I9+(LOG(J9)*4/3))*0.723</f>
        <v>12.178561442379824</v>
      </c>
      <c r="AG9" s="159">
        <f>AE9/2</f>
        <v>3.183607348008004</v>
      </c>
      <c r="AH9" s="159">
        <f>(M9+I9+(LOG(J9)*4/3))*0.385</f>
        <v>4.5906694126088956</v>
      </c>
      <c r="AI9" s="159">
        <f>((L9+I9+(LOG(J9)*4/3))*0.92)</f>
        <v>15.496924656970178</v>
      </c>
      <c r="AJ9" s="159">
        <f>(L9+I9+(LOG(J9)*4/3))*0.414</f>
        <v>6.9736160956365794</v>
      </c>
      <c r="AK9" s="159">
        <f>((M9+I9+(LOG(J9)*4/3))*0.167)</f>
        <v>1.9912773815732094</v>
      </c>
      <c r="AL9" s="159">
        <f>(N9+I9+(LOG(J9)*4/3))*0.588</f>
        <v>9.9241561938026734</v>
      </c>
      <c r="AM9" s="159">
        <f>((L9+I9+(LOG(J9)*4/3))*0.754)</f>
        <v>12.700740425386428</v>
      </c>
      <c r="AN9" s="159">
        <f>((L9+I9+(LOG(J9)*4/3))*0.708)</f>
        <v>11.925894192537919</v>
      </c>
      <c r="AO9" s="159">
        <f>((Q9+I9+(LOG(J9)*4/3))*0.167)</f>
        <v>2.0615287149065424</v>
      </c>
      <c r="AP9" s="159">
        <f>((R9+I9+(LOG(J9)*4/3))*0.288)</f>
        <v>2.0338511969645756</v>
      </c>
      <c r="AQ9" s="159">
        <f>((L9+I9+(LOG(J9)*4/3))*0.27)</f>
        <v>4.5480104971542916</v>
      </c>
      <c r="AR9" s="159">
        <f>((L9+I9+(LOG(J9)*4/3))*0.594)</f>
        <v>10.005623093739441</v>
      </c>
      <c r="AS9" s="159">
        <f>AQ9/2</f>
        <v>2.2740052485771458</v>
      </c>
      <c r="AT9" s="159">
        <f>((M9+I9+(LOG(J9)*4/3))*0.944)</f>
        <v>11.256082923383889</v>
      </c>
      <c r="AU9" s="159">
        <f>((O9+I9+(LOG(J9)*4/3))*0.13)</f>
        <v>1.5553828319631766</v>
      </c>
      <c r="AV9" s="159">
        <f>((P9+I9+(LOG(J9)*4/3))*0.173)+((O9+I9+(LOG(J9)*4/3))*0.12)</f>
        <v>2.0736478992928298</v>
      </c>
      <c r="AW9" s="159">
        <f>AU9/2</f>
        <v>0.77769141598158831</v>
      </c>
      <c r="AX9" s="159">
        <f>((L9+I9+(LOG(J9)*4/3))*0.189)</f>
        <v>3.183607348008004</v>
      </c>
      <c r="AY9" s="159">
        <f>((L9+I9+(LOG(J9)*4/3))*0.4)</f>
        <v>6.7377933291174692</v>
      </c>
      <c r="AZ9" s="159">
        <f>AX9/2</f>
        <v>1.591803674004002</v>
      </c>
      <c r="BA9" s="159">
        <f>((M9+I9+(LOG(J9)*4/3))*1)</f>
        <v>11.923816656127002</v>
      </c>
      <c r="BB9" s="159">
        <f>((O9+I9+(LOG(J9)*4/3))*0.253)</f>
        <v>3.0270142806667972</v>
      </c>
      <c r="BC9" s="159">
        <f>((P9+I9+(LOG(J9)*4/3))*0.21)+((O9+I9+(LOG(J9)*4/3))*0.341)</f>
        <v>4.8542303108593101</v>
      </c>
      <c r="BD9" s="159">
        <f>BB9/2</f>
        <v>1.5135071403333986</v>
      </c>
      <c r="BE9" s="159">
        <f>((L9+I9+(LOG(J9)*4/3))*0.291)</f>
        <v>4.9017446469329577</v>
      </c>
      <c r="BF9" s="159">
        <f>((L9+I9+(LOG(J9)*4/3))*0.348)</f>
        <v>5.8618801963321969</v>
      </c>
      <c r="BG9" s="159">
        <f>((M9+I9+(LOG(J9)*4/3))*0.881)</f>
        <v>10.504882474047889</v>
      </c>
      <c r="BH9" s="159">
        <f>((N9+I9+(LOG(J9)*4/3))*0.574)+((O9+I9+(LOG(J9)*4/3))*0.315)</f>
        <v>13.4566790072969</v>
      </c>
      <c r="BI9" s="159">
        <f>((O9+I9+(LOG(J9)*4/3))*0.241)</f>
        <v>2.883440480793273</v>
      </c>
      <c r="BJ9" s="159">
        <f>((L9+I9+(LOG(J9)*4/3))*0.485)</f>
        <v>8.1695744115549296</v>
      </c>
      <c r="BK9" s="159">
        <f>((L9+I9+(LOG(J9)*4/3))*0.264)</f>
        <v>4.4469435972175297</v>
      </c>
      <c r="BL9" s="159">
        <f>((M9+I9+(LOG(J9)*4/3))*0.381)</f>
        <v>4.5429741459843882</v>
      </c>
      <c r="BM9" s="159">
        <f>((N9+I9+(LOG(J9)*4/3))*0.673)+((O9+I9+(LOG(J9)*4/3))*0.201)</f>
        <v>13.763631757454995</v>
      </c>
      <c r="BN9" s="159">
        <f>((O9+I9+(LOG(J9)*4/3))*0.052)</f>
        <v>0.62215313278527051</v>
      </c>
      <c r="BO9" s="159">
        <f>((L9+I9+(LOG(J9)*4/3))*0.18)</f>
        <v>3.0320069981028608</v>
      </c>
      <c r="BP9" s="159">
        <f>(L9+I9+(LOG(J9)*4/3))*0.068</f>
        <v>1.1454248659499697</v>
      </c>
      <c r="BQ9" s="159">
        <f>((M9+I9+(LOG(J9)*4/3))*0.305)</f>
        <v>3.6367640801187355</v>
      </c>
      <c r="BR9" s="159">
        <f>((N9+I9+(LOG(J9)*4/3))*1)+((O9+I9+(LOG(J9)*4/3))*0.286)</f>
        <v>20.299658886445982</v>
      </c>
      <c r="BS9" s="159">
        <f>((O9+I9+(LOG(J9)*4/3))*0.135)</f>
        <v>1.6152052485771449</v>
      </c>
      <c r="BT9" s="159">
        <f t="shared" si="56"/>
        <v>4.7838332636734018</v>
      </c>
      <c r="BU9" s="159">
        <f t="shared" si="57"/>
        <v>4.1100539307616559</v>
      </c>
      <c r="BV9" s="159">
        <f t="shared" si="58"/>
        <v>5.4253365785377863</v>
      </c>
      <c r="BW9" s="159">
        <f t="shared" si="59"/>
        <v>17.501767521655378</v>
      </c>
      <c r="BX9" s="159">
        <f t="shared" si="60"/>
        <v>1.4477024820580335</v>
      </c>
      <c r="BY9" s="159">
        <f>((L9+I9+(LOG(J9)*4/3))*0.284)</f>
        <v>4.7838332636734018</v>
      </c>
      <c r="BZ9" s="159">
        <f>((L9+I9+(LOG(J9)*4/3))*0.244)</f>
        <v>4.1100539307616559</v>
      </c>
      <c r="CA9" s="159">
        <f>((M9+I9+(LOG(J9)*4/3))*0.631)</f>
        <v>7.5239283100161387</v>
      </c>
      <c r="CB9" s="159">
        <f>((N9+I9+(LOG(J9)*4/3))*0.702)+((O9+I9+(LOG(J9)*4/3))*0.193)</f>
        <v>14.157372573900327</v>
      </c>
      <c r="CC9" s="159">
        <f>((O9+I9+(LOG(J9)*4/3))*0.148)</f>
        <v>1.7707435317734623</v>
      </c>
      <c r="CD9" s="159">
        <f>((M9+I9+(LOG(J9)*4/3))*0.406)</f>
        <v>4.8410695623875633</v>
      </c>
      <c r="CE9" s="159">
        <f>IF(D9="TEC",((N9+I9+(LOG(J9)*4/3))*0.15)+((O9+I9+(LOG(J9)*4/3))*0.324)+((P9+I9+(LOG(J9)*4/3))*0.127),(((N9+I9+(LOG(J9)*4/3))*0.144)+((O9+I9+(LOG(J9)*4/3))*0.25)+((P9+I9+(LOG(J9)*4/3))*0.127)))</f>
        <v>5.8898186683183562</v>
      </c>
      <c r="CF9" s="159">
        <f>((O9+I9+(LOG(J9)*4/3))*0.543)+((P9+I9+(LOG(J9)*4/3))*0.583)</f>
        <v>8.6464339357513822</v>
      </c>
      <c r="CG9" s="159">
        <f>CE9</f>
        <v>5.8898186683183562</v>
      </c>
      <c r="CH9" s="159">
        <f>((P9+1+(LOG(J9)*4/3))*0.26)+((N9+I9+(LOG(J9)*4/3))*0.221)+((O9+I9+(LOG(J9)*4/3))*0.142)</f>
        <v>6.3876626339099767</v>
      </c>
      <c r="CI9" s="159">
        <f>((P9+I9+(LOG(J9)*4/3))*1)+((O9+I9+(LOG(J9)*4/3))*0.369)</f>
        <v>8.1022348117616723</v>
      </c>
      <c r="CJ9" s="159">
        <f>CH9</f>
        <v>6.3876626339099767</v>
      </c>
      <c r="CK9" s="159">
        <f>((M9+I9+(LOG(J9)*4/3))*0.25)</f>
        <v>2.9809541640317505</v>
      </c>
    </row>
    <row r="10" spans="1:89" x14ac:dyDescent="0.25">
      <c r="A10" t="str">
        <f>PLANTILLA!D12</f>
        <v>E. Romweber</v>
      </c>
      <c r="B10" s="488">
        <f>PLANTILLA!E12</f>
        <v>31</v>
      </c>
      <c r="C10" s="488">
        <f ca="1">PLANTILLA!F12</f>
        <v>33</v>
      </c>
      <c r="D10" s="488" t="str">
        <f>PLANTILLA!G12</f>
        <v>IMP</v>
      </c>
      <c r="E10" s="290">
        <v>41583</v>
      </c>
      <c r="F10" s="341">
        <f>PLANTILLA!Q12</f>
        <v>7</v>
      </c>
      <c r="G10" s="407">
        <f t="shared" si="74"/>
        <v>1</v>
      </c>
      <c r="H10" s="407">
        <f t="shared" si="75"/>
        <v>1</v>
      </c>
      <c r="I10" s="497">
        <v>1.5</v>
      </c>
      <c r="J10" s="498">
        <f>PLANTILLA!I12</f>
        <v>12.6</v>
      </c>
      <c r="K10" s="163">
        <f>PLANTILLA!X12</f>
        <v>0</v>
      </c>
      <c r="L10" s="163">
        <f>PLANTILLA!Y12</f>
        <v>12.06111111111111</v>
      </c>
      <c r="M10" s="163">
        <f>PLANTILLA!Z12</f>
        <v>12.614111111111114</v>
      </c>
      <c r="N10" s="163">
        <f>PLANTILLA!AA12</f>
        <v>13.216666666666669</v>
      </c>
      <c r="O10" s="163">
        <f>PLANTILLA!AB12</f>
        <v>10.91</v>
      </c>
      <c r="P10" s="163">
        <f>PLANTILLA!AC12</f>
        <v>7.7700000000000005</v>
      </c>
      <c r="Q10" s="163">
        <f>PLANTILLA!AD12</f>
        <v>17.329999999999998</v>
      </c>
      <c r="R10" s="163">
        <f t="shared" si="2"/>
        <v>4.6101388888888888</v>
      </c>
      <c r="S10" s="163">
        <f t="shared" si="3"/>
        <v>21.387125206279748</v>
      </c>
      <c r="T10" s="163">
        <f t="shared" si="4"/>
        <v>0.90839999999999999</v>
      </c>
      <c r="U10" s="163">
        <f t="shared" si="5"/>
        <v>1.0023444444444443</v>
      </c>
      <c r="V10" s="163">
        <f t="shared" ca="1" si="6"/>
        <v>19.797160726823414</v>
      </c>
      <c r="W10" s="163">
        <f t="shared" ca="1" si="7"/>
        <v>19.797160726823414</v>
      </c>
      <c r="X10" s="159">
        <f t="shared" si="8"/>
        <v>5.91919798118351</v>
      </c>
      <c r="Y10" s="159">
        <f t="shared" si="9"/>
        <v>8.9565767205512525</v>
      </c>
      <c r="Z10" s="159">
        <f t="shared" si="10"/>
        <v>5.91919798118351</v>
      </c>
      <c r="AA10" s="159">
        <f t="shared" si="11"/>
        <v>7.7545882683742162</v>
      </c>
      <c r="AB10" s="159">
        <f t="shared" si="12"/>
        <v>15.028271837934527</v>
      </c>
      <c r="AC10" s="159">
        <f t="shared" si="13"/>
        <v>3.8772941341871081</v>
      </c>
      <c r="AD10" s="159">
        <f t="shared" si="14"/>
        <v>3.7083426974284182</v>
      </c>
      <c r="AE10" s="159">
        <f t="shared" si="15"/>
        <v>5.6806867547392512</v>
      </c>
      <c r="AF10" s="159">
        <f t="shared" si="16"/>
        <v>10.865440538826663</v>
      </c>
      <c r="AG10" s="159">
        <f t="shared" si="17"/>
        <v>2.8403433773696256</v>
      </c>
      <c r="AH10" s="159">
        <f t="shared" si="18"/>
        <v>5.998789657604795</v>
      </c>
      <c r="AI10" s="159">
        <f t="shared" si="19"/>
        <v>13.826010090899766</v>
      </c>
      <c r="AJ10" s="159">
        <f t="shared" si="20"/>
        <v>6.2217045409048941</v>
      </c>
      <c r="AK10" s="159">
        <f t="shared" si="21"/>
        <v>2.6020723969350668</v>
      </c>
      <c r="AL10" s="159">
        <f t="shared" si="22"/>
        <v>9.5160905073721693</v>
      </c>
      <c r="AM10" s="159">
        <f t="shared" si="23"/>
        <v>11.331316965802634</v>
      </c>
      <c r="AN10" s="159">
        <f t="shared" si="24"/>
        <v>10.640016461257645</v>
      </c>
      <c r="AO10" s="159">
        <f t="shared" si="25"/>
        <v>3.3896258413795102</v>
      </c>
      <c r="AP10" s="159">
        <f t="shared" si="26"/>
        <v>2.182262289325144</v>
      </c>
      <c r="AQ10" s="159">
        <f t="shared" si="27"/>
        <v>4.0576333962423226</v>
      </c>
      <c r="AR10" s="159">
        <f t="shared" si="28"/>
        <v>8.9267934717331094</v>
      </c>
      <c r="AS10" s="159">
        <f t="shared" si="29"/>
        <v>2.0288166981211613</v>
      </c>
      <c r="AT10" s="159">
        <f t="shared" si="30"/>
        <v>14.708720615010197</v>
      </c>
      <c r="AU10" s="159">
        <f t="shared" si="31"/>
        <v>1.8040308944870442</v>
      </c>
      <c r="AV10" s="159">
        <f t="shared" si="32"/>
        <v>3.522788092959261</v>
      </c>
      <c r="AW10" s="159">
        <f t="shared" si="33"/>
        <v>0.90201544724352212</v>
      </c>
      <c r="AX10" s="159">
        <f t="shared" si="34"/>
        <v>2.8403433773696256</v>
      </c>
      <c r="AY10" s="159">
        <f t="shared" si="35"/>
        <v>6.0113087351738113</v>
      </c>
      <c r="AZ10" s="159">
        <f t="shared" si="36"/>
        <v>1.4201716886848128</v>
      </c>
      <c r="BA10" s="159">
        <f t="shared" si="37"/>
        <v>15.581271837934532</v>
      </c>
      <c r="BB10" s="159">
        <f t="shared" si="38"/>
        <v>3.5109216638863248</v>
      </c>
      <c r="BC10" s="159">
        <f t="shared" si="39"/>
        <v>6.9869155604797033</v>
      </c>
      <c r="BD10" s="159">
        <f t="shared" si="40"/>
        <v>1.7554608319431624</v>
      </c>
      <c r="BE10" s="159">
        <f t="shared" si="41"/>
        <v>4.3732271048389473</v>
      </c>
      <c r="BF10" s="159">
        <f t="shared" si="42"/>
        <v>5.2298385996012149</v>
      </c>
      <c r="BG10" s="159">
        <f t="shared" si="43"/>
        <v>13.727100489220323</v>
      </c>
      <c r="BH10" s="159">
        <f t="shared" si="44"/>
        <v>13.660822552812682</v>
      </c>
      <c r="BI10" s="159">
        <f t="shared" si="45"/>
        <v>3.3443957351644436</v>
      </c>
      <c r="BJ10" s="159">
        <f t="shared" si="46"/>
        <v>7.2887118413982455</v>
      </c>
      <c r="BK10" s="159">
        <f t="shared" si="47"/>
        <v>3.9674637652147156</v>
      </c>
      <c r="BL10" s="159">
        <f t="shared" si="48"/>
        <v>5.9364645702530563</v>
      </c>
      <c r="BM10" s="159">
        <f t="shared" si="49"/>
        <v>13.681025141910334</v>
      </c>
      <c r="BN10" s="159">
        <f t="shared" si="50"/>
        <v>0.72161235779481769</v>
      </c>
      <c r="BO10" s="159">
        <f t="shared" si="51"/>
        <v>2.7050889308282149</v>
      </c>
      <c r="BP10" s="159">
        <f t="shared" si="52"/>
        <v>1.0219224849795479</v>
      </c>
      <c r="BQ10" s="159">
        <f t="shared" si="53"/>
        <v>4.7522879105700317</v>
      </c>
      <c r="BR10" s="159">
        <f t="shared" si="54"/>
        <v>20.15269536136158</v>
      </c>
      <c r="BS10" s="159">
        <f t="shared" si="55"/>
        <v>1.8734166981211615</v>
      </c>
      <c r="BT10" s="159">
        <f t="shared" si="56"/>
        <v>4.2680292019734054</v>
      </c>
      <c r="BU10" s="159">
        <f t="shared" si="57"/>
        <v>3.6668983284560244</v>
      </c>
      <c r="BV10" s="159">
        <f t="shared" si="58"/>
        <v>7.0894786862602119</v>
      </c>
      <c r="BW10" s="159">
        <f t="shared" si="59"/>
        <v>17.368854085320347</v>
      </c>
      <c r="BX10" s="159">
        <f t="shared" si="60"/>
        <v>1.6791364479456334</v>
      </c>
      <c r="BY10" s="159">
        <f t="shared" si="61"/>
        <v>4.2680292019734054</v>
      </c>
      <c r="BZ10" s="159">
        <f t="shared" si="62"/>
        <v>3.6668983284560244</v>
      </c>
      <c r="CA10" s="159">
        <f t="shared" si="63"/>
        <v>9.8317825297366888</v>
      </c>
      <c r="CB10" s="159">
        <f t="shared" si="64"/>
        <v>14.039338850506958</v>
      </c>
      <c r="CC10" s="159">
        <f t="shared" si="65"/>
        <v>2.0538197875698656</v>
      </c>
      <c r="CD10" s="159">
        <f t="shared" si="66"/>
        <v>6.3259963662014203</v>
      </c>
      <c r="CE10" s="159">
        <f t="shared" si="67"/>
        <v>7.1633807386749995</v>
      </c>
      <c r="CF10" s="159">
        <f t="shared" si="68"/>
        <v>13.795062978403168</v>
      </c>
      <c r="CG10" s="159">
        <f t="shared" si="69"/>
        <v>7.1633807386749995</v>
      </c>
      <c r="CH10" s="159">
        <f t="shared" si="70"/>
        <v>8.2088444661443223</v>
      </c>
      <c r="CI10" s="159">
        <f t="shared" si="71"/>
        <v>15.857833035021258</v>
      </c>
      <c r="CJ10" s="159">
        <f t="shared" si="72"/>
        <v>8.2088444661443223</v>
      </c>
      <c r="CK10" s="159">
        <f t="shared" si="73"/>
        <v>3.8953179594836329</v>
      </c>
    </row>
    <row r="11" spans="1:89" x14ac:dyDescent="0.25">
      <c r="A11" t="str">
        <f>PLANTILLA!D13</f>
        <v>K. Helms</v>
      </c>
      <c r="B11" s="488">
        <f>PLANTILLA!E13</f>
        <v>30</v>
      </c>
      <c r="C11" s="488">
        <f ca="1">PLANTILLA!F13</f>
        <v>92</v>
      </c>
      <c r="D11" s="488" t="str">
        <f>PLANTILLA!G13</f>
        <v>TEC</v>
      </c>
      <c r="E11" s="290">
        <v>41722</v>
      </c>
      <c r="F11" s="341">
        <f>PLANTILLA!Q13</f>
        <v>5</v>
      </c>
      <c r="G11" s="407">
        <f t="shared" ref="G11:G21" si="78">(F11/7)^0.5</f>
        <v>0.84515425472851657</v>
      </c>
      <c r="H11" s="407">
        <f t="shared" si="75"/>
        <v>0.92504826128926143</v>
      </c>
      <c r="I11" s="497">
        <v>1.5</v>
      </c>
      <c r="J11" s="498">
        <f>PLANTILLA!I13</f>
        <v>10.4</v>
      </c>
      <c r="K11" s="163">
        <f>PLANTILLA!X13</f>
        <v>0</v>
      </c>
      <c r="L11" s="163">
        <f>PLANTILLA!Y13</f>
        <v>7.2503030303030309</v>
      </c>
      <c r="M11" s="163">
        <f>PLANTILLA!Z13</f>
        <v>10.600000000000005</v>
      </c>
      <c r="N11" s="163">
        <f>PLANTILLA!AA13</f>
        <v>13.471666666666668</v>
      </c>
      <c r="O11" s="163">
        <f>PLANTILLA!AB13</f>
        <v>10.359999999999998</v>
      </c>
      <c r="P11" s="163">
        <f>PLANTILLA!AC13</f>
        <v>5.4050000000000002</v>
      </c>
      <c r="Q11" s="163">
        <f>PLANTILLA!AD13</f>
        <v>17.500000000000004</v>
      </c>
      <c r="R11" s="163">
        <f t="shared" si="2"/>
        <v>3.8712878787878782</v>
      </c>
      <c r="S11" s="163">
        <f t="shared" si="3"/>
        <v>17.309158239800411</v>
      </c>
      <c r="T11" s="163">
        <f t="shared" si="4"/>
        <v>0.79525000000000001</v>
      </c>
      <c r="U11" s="163">
        <f t="shared" si="5"/>
        <v>0.8150121212121213</v>
      </c>
      <c r="V11" s="163">
        <f t="shared" ca="1" si="6"/>
        <v>16.781420451023049</v>
      </c>
      <c r="W11" s="163">
        <f t="shared" ca="1" si="7"/>
        <v>18.367799396773407</v>
      </c>
      <c r="X11" s="159">
        <f t="shared" si="8"/>
        <v>4.4944104433074168</v>
      </c>
      <c r="Y11" s="159">
        <f t="shared" si="9"/>
        <v>6.7685321759250883</v>
      </c>
      <c r="Z11" s="159">
        <f t="shared" si="10"/>
        <v>4.4944104433074168</v>
      </c>
      <c r="AA11" s="159">
        <f t="shared" si="11"/>
        <v>5.2148753010739242</v>
      </c>
      <c r="AB11" s="159">
        <f t="shared" si="12"/>
        <v>10.106347482701404</v>
      </c>
      <c r="AC11" s="159">
        <f t="shared" si="13"/>
        <v>2.6074376505369621</v>
      </c>
      <c r="AD11" s="159">
        <f t="shared" si="14"/>
        <v>3.2025385796708141</v>
      </c>
      <c r="AE11" s="159">
        <f t="shared" si="15"/>
        <v>3.8201993484611307</v>
      </c>
      <c r="AF11" s="159">
        <f t="shared" si="16"/>
        <v>7.3068892299931143</v>
      </c>
      <c r="AG11" s="159">
        <f t="shared" si="17"/>
        <v>1.9100996742305654</v>
      </c>
      <c r="AH11" s="159">
        <f t="shared" si="18"/>
        <v>5.1805771141733761</v>
      </c>
      <c r="AI11" s="159">
        <f t="shared" si="19"/>
        <v>9.2978396840852913</v>
      </c>
      <c r="AJ11" s="159">
        <f t="shared" si="20"/>
        <v>4.1840278578383812</v>
      </c>
      <c r="AK11" s="159">
        <f t="shared" si="21"/>
        <v>2.2471594235505292</v>
      </c>
      <c r="AL11" s="159">
        <f t="shared" si="22"/>
        <v>9.600694138010244</v>
      </c>
      <c r="AM11" s="159">
        <f t="shared" si="23"/>
        <v>7.6201860019568581</v>
      </c>
      <c r="AN11" s="159">
        <f t="shared" si="24"/>
        <v>7.1552940177525937</v>
      </c>
      <c r="AO11" s="159">
        <f t="shared" si="25"/>
        <v>3.3994594235505295</v>
      </c>
      <c r="AP11" s="159">
        <f t="shared" si="26"/>
        <v>1.9374717113816404</v>
      </c>
      <c r="AQ11" s="159">
        <f t="shared" si="27"/>
        <v>2.728713820329379</v>
      </c>
      <c r="AR11" s="159">
        <f t="shared" si="28"/>
        <v>6.0031704047246333</v>
      </c>
      <c r="AS11" s="159">
        <f t="shared" si="29"/>
        <v>1.3643569101646895</v>
      </c>
      <c r="AT11" s="159">
        <f t="shared" si="30"/>
        <v>12.702505963064068</v>
      </c>
      <c r="AU11" s="159">
        <f t="shared" si="31"/>
        <v>1.7180857788117883</v>
      </c>
      <c r="AV11" s="159">
        <f t="shared" si="32"/>
        <v>3.0150860245527227</v>
      </c>
      <c r="AW11" s="159">
        <f t="shared" si="33"/>
        <v>0.85904288940589413</v>
      </c>
      <c r="AX11" s="159">
        <f t="shared" si="34"/>
        <v>1.9100996742305654</v>
      </c>
      <c r="AY11" s="159">
        <f t="shared" si="35"/>
        <v>4.0425389930805613</v>
      </c>
      <c r="AZ11" s="159">
        <f t="shared" si="36"/>
        <v>0.95504983711528268</v>
      </c>
      <c r="BA11" s="159">
        <f t="shared" si="37"/>
        <v>13.456044452398379</v>
      </c>
      <c r="BB11" s="159">
        <f t="shared" si="38"/>
        <v>3.343659246456788</v>
      </c>
      <c r="BC11" s="159">
        <f t="shared" si="39"/>
        <v>6.2414904932715034</v>
      </c>
      <c r="BD11" s="159">
        <f t="shared" si="40"/>
        <v>1.671829623228394</v>
      </c>
      <c r="BE11" s="159">
        <f t="shared" si="41"/>
        <v>2.9409471174661084</v>
      </c>
      <c r="BF11" s="159">
        <f t="shared" si="42"/>
        <v>3.5170089239800881</v>
      </c>
      <c r="BG11" s="159">
        <f t="shared" si="43"/>
        <v>11.854775162562971</v>
      </c>
      <c r="BH11" s="159">
        <f t="shared" si="44"/>
        <v>13.53516018484882</v>
      </c>
      <c r="BI11" s="159">
        <f t="shared" si="45"/>
        <v>3.1850667130280073</v>
      </c>
      <c r="BJ11" s="159">
        <f t="shared" si="46"/>
        <v>4.9015785291101803</v>
      </c>
      <c r="BK11" s="159">
        <f t="shared" si="47"/>
        <v>2.6680757354331708</v>
      </c>
      <c r="BL11" s="159">
        <f t="shared" si="48"/>
        <v>5.1267529363637827</v>
      </c>
      <c r="BM11" s="159">
        <f t="shared" si="49"/>
        <v>13.644974518062847</v>
      </c>
      <c r="BN11" s="159">
        <f t="shared" si="50"/>
        <v>0.68723431152471526</v>
      </c>
      <c r="BO11" s="159">
        <f t="shared" si="51"/>
        <v>1.8191425468862525</v>
      </c>
      <c r="BP11" s="159">
        <f t="shared" si="52"/>
        <v>0.68723162882369548</v>
      </c>
      <c r="BQ11" s="159">
        <f t="shared" si="53"/>
        <v>4.1040935579815052</v>
      </c>
      <c r="BR11" s="159">
        <f t="shared" si="54"/>
        <v>20.107499832450976</v>
      </c>
      <c r="BS11" s="159">
        <f t="shared" si="55"/>
        <v>1.7841660010737803</v>
      </c>
      <c r="BT11" s="159">
        <f t="shared" si="56"/>
        <v>2.8702026850871984</v>
      </c>
      <c r="BU11" s="159">
        <f t="shared" si="57"/>
        <v>2.4659487857791427</v>
      </c>
      <c r="BV11" s="159">
        <f t="shared" si="58"/>
        <v>6.1225002258412626</v>
      </c>
      <c r="BW11" s="159">
        <f t="shared" si="59"/>
        <v>17.3318572532574</v>
      </c>
      <c r="BX11" s="159">
        <f t="shared" si="60"/>
        <v>1.5991413787402029</v>
      </c>
      <c r="BY11" s="159">
        <f t="shared" si="61"/>
        <v>2.8702026850871984</v>
      </c>
      <c r="BZ11" s="159">
        <f t="shared" si="62"/>
        <v>2.4659487857791427</v>
      </c>
      <c r="CA11" s="159">
        <f t="shared" si="63"/>
        <v>8.4907640494633778</v>
      </c>
      <c r="CB11" s="159">
        <f t="shared" si="64"/>
        <v>14.012749784896545</v>
      </c>
      <c r="CC11" s="159">
        <f t="shared" si="65"/>
        <v>1.955974578954959</v>
      </c>
      <c r="CD11" s="159">
        <f t="shared" si="66"/>
        <v>5.4631540476737417</v>
      </c>
      <c r="CE11" s="159">
        <f t="shared" si="67"/>
        <v>7.7803077158914222</v>
      </c>
      <c r="CF11" s="159">
        <f t="shared" si="68"/>
        <v>11.992501053400566</v>
      </c>
      <c r="CG11" s="159">
        <f t="shared" si="69"/>
        <v>7.7803077158914222</v>
      </c>
      <c r="CH11" s="159">
        <f t="shared" si="70"/>
        <v>7.5029740271775207</v>
      </c>
      <c r="CI11" s="159">
        <f t="shared" si="71"/>
        <v>13.137764855333373</v>
      </c>
      <c r="CJ11" s="159">
        <f t="shared" si="72"/>
        <v>7.5029740271775207</v>
      </c>
      <c r="CK11" s="159">
        <f t="shared" si="73"/>
        <v>3.3640111130995947</v>
      </c>
    </row>
    <row r="12" spans="1:89" x14ac:dyDescent="0.25">
      <c r="A12" t="str">
        <f>PLANTILLA!D14</f>
        <v>S. Zobbe</v>
      </c>
      <c r="B12" s="488">
        <f>PLANTILLA!E14</f>
        <v>27</v>
      </c>
      <c r="C12" s="488">
        <f ca="1">PLANTILLA!F14</f>
        <v>107</v>
      </c>
      <c r="D12" s="488" t="str">
        <f>PLANTILLA!G14</f>
        <v>CAB</v>
      </c>
      <c r="E12" s="290">
        <v>41911</v>
      </c>
      <c r="F12" s="341">
        <f>PLANTILLA!Q14</f>
        <v>6</v>
      </c>
      <c r="G12" s="407">
        <f t="shared" si="78"/>
        <v>0.92582009977255142</v>
      </c>
      <c r="H12" s="407">
        <f t="shared" si="75"/>
        <v>0.99928545900129484</v>
      </c>
      <c r="I12" s="497">
        <v>1.5</v>
      </c>
      <c r="J12" s="498">
        <f>PLANTILLA!I14</f>
        <v>9</v>
      </c>
      <c r="K12" s="163">
        <f>PLANTILLA!X14</f>
        <v>0</v>
      </c>
      <c r="L12" s="163">
        <f>PLANTILLA!Y14</f>
        <v>8.3599999999999977</v>
      </c>
      <c r="M12" s="163">
        <f>PLANTILLA!Z14</f>
        <v>12.253412698412699</v>
      </c>
      <c r="N12" s="163">
        <f>PLANTILLA!AA14</f>
        <v>12.36</v>
      </c>
      <c r="O12" s="163">
        <f>PLANTILLA!AB14</f>
        <v>10.24</v>
      </c>
      <c r="P12" s="163">
        <f>PLANTILLA!AC14</f>
        <v>7.4766666666666666</v>
      </c>
      <c r="Q12" s="163">
        <f>PLANTILLA!AD14</f>
        <v>15.47</v>
      </c>
      <c r="R12" s="163">
        <f t="shared" si="2"/>
        <v>3.9799999999999995</v>
      </c>
      <c r="S12" s="163">
        <f t="shared" si="3"/>
        <v>19.446601261147876</v>
      </c>
      <c r="T12" s="163">
        <f t="shared" si="4"/>
        <v>0.83793333333333331</v>
      </c>
      <c r="U12" s="163">
        <f t="shared" si="5"/>
        <v>0.79849999999999999</v>
      </c>
      <c r="V12" s="163">
        <f t="shared" ca="1" si="6"/>
        <v>16.426199570315688</v>
      </c>
      <c r="W12" s="163">
        <f t="shared" ca="1" si="7"/>
        <v>17.729645728476157</v>
      </c>
      <c r="X12" s="159">
        <f t="shared" si="8"/>
        <v>4.7275982809873733</v>
      </c>
      <c r="Y12" s="159">
        <f t="shared" si="9"/>
        <v>7.1320694395815565</v>
      </c>
      <c r="Z12" s="159">
        <f t="shared" si="10"/>
        <v>4.7275982809873733</v>
      </c>
      <c r="AA12" s="159">
        <f t="shared" si="11"/>
        <v>5.7442788464942547</v>
      </c>
      <c r="AB12" s="159">
        <f t="shared" si="12"/>
        <v>11.132323345919097</v>
      </c>
      <c r="AC12" s="159">
        <f t="shared" si="13"/>
        <v>2.8721394232471273</v>
      </c>
      <c r="AD12" s="159">
        <f t="shared" si="14"/>
        <v>3.576125178550968</v>
      </c>
      <c r="AE12" s="159">
        <f t="shared" si="15"/>
        <v>4.2080182247574189</v>
      </c>
      <c r="AF12" s="159">
        <f t="shared" si="16"/>
        <v>8.048669779099507</v>
      </c>
      <c r="AG12" s="159">
        <f t="shared" si="17"/>
        <v>2.1040091123787095</v>
      </c>
      <c r="AH12" s="159">
        <f t="shared" si="18"/>
        <v>5.784908377067743</v>
      </c>
      <c r="AI12" s="159">
        <f t="shared" si="19"/>
        <v>10.24173747824557</v>
      </c>
      <c r="AJ12" s="159">
        <f t="shared" si="20"/>
        <v>4.6087818652105064</v>
      </c>
      <c r="AK12" s="159">
        <f t="shared" si="21"/>
        <v>2.5092979194034104</v>
      </c>
      <c r="AL12" s="159">
        <f t="shared" si="22"/>
        <v>8.897806127400429</v>
      </c>
      <c r="AM12" s="159">
        <f t="shared" si="23"/>
        <v>8.3937718028230002</v>
      </c>
      <c r="AN12" s="159">
        <f t="shared" si="24"/>
        <v>7.8816849289107207</v>
      </c>
      <c r="AO12" s="159">
        <f t="shared" si="25"/>
        <v>3.0464679987684899</v>
      </c>
      <c r="AP12" s="159">
        <f t="shared" si="26"/>
        <v>1.9446691236247005</v>
      </c>
      <c r="AQ12" s="159">
        <f t="shared" si="27"/>
        <v>3.0057273033981566</v>
      </c>
      <c r="AR12" s="159">
        <f t="shared" si="28"/>
        <v>6.6126000674759435</v>
      </c>
      <c r="AS12" s="159">
        <f t="shared" si="29"/>
        <v>1.5028636516990783</v>
      </c>
      <c r="AT12" s="159">
        <f t="shared" si="30"/>
        <v>14.184294825849218</v>
      </c>
      <c r="AU12" s="159">
        <f t="shared" si="31"/>
        <v>1.6916020349694831</v>
      </c>
      <c r="AV12" s="159">
        <f t="shared" si="32"/>
        <v>3.3345540736876291</v>
      </c>
      <c r="AW12" s="159">
        <f t="shared" si="33"/>
        <v>0.84580101748474157</v>
      </c>
      <c r="AX12" s="159">
        <f t="shared" si="34"/>
        <v>2.1040091123787095</v>
      </c>
      <c r="AY12" s="159">
        <f t="shared" si="35"/>
        <v>4.4529293383676389</v>
      </c>
      <c r="AZ12" s="159">
        <f t="shared" si="36"/>
        <v>1.0520045561893547</v>
      </c>
      <c r="BA12" s="159">
        <f t="shared" si="37"/>
        <v>15.025736044331799</v>
      </c>
      <c r="BB12" s="159">
        <f t="shared" si="38"/>
        <v>3.2921178065175325</v>
      </c>
      <c r="BC12" s="159">
        <f t="shared" si="39"/>
        <v>6.5894901636014236</v>
      </c>
      <c r="BD12" s="159">
        <f t="shared" si="40"/>
        <v>1.6460589032587662</v>
      </c>
      <c r="BE12" s="159">
        <f t="shared" si="41"/>
        <v>3.2395060936624569</v>
      </c>
      <c r="BF12" s="159">
        <f t="shared" si="42"/>
        <v>3.8740485243798455</v>
      </c>
      <c r="BG12" s="159">
        <f t="shared" si="43"/>
        <v>13.237673455056315</v>
      </c>
      <c r="BH12" s="159">
        <f t="shared" si="44"/>
        <v>12.784835454522078</v>
      </c>
      <c r="BI12" s="159">
        <f t="shared" si="45"/>
        <v>3.1359699263665028</v>
      </c>
      <c r="BJ12" s="159">
        <f t="shared" si="46"/>
        <v>5.3991768227707624</v>
      </c>
      <c r="BK12" s="159">
        <f t="shared" si="47"/>
        <v>2.9389333633226418</v>
      </c>
      <c r="BL12" s="159">
        <f t="shared" si="48"/>
        <v>5.7248054328904159</v>
      </c>
      <c r="BM12" s="159">
        <f t="shared" si="49"/>
        <v>12.799530604333293</v>
      </c>
      <c r="BN12" s="159">
        <f t="shared" si="50"/>
        <v>0.67664081398779319</v>
      </c>
      <c r="BO12" s="159">
        <f t="shared" si="51"/>
        <v>2.0038182022654376</v>
      </c>
      <c r="BP12" s="159">
        <f t="shared" si="52"/>
        <v>0.75699798752249869</v>
      </c>
      <c r="BQ12" s="159">
        <f t="shared" si="53"/>
        <v>4.5828494935211985</v>
      </c>
      <c r="BR12" s="159">
        <f t="shared" si="54"/>
        <v>18.853847822851961</v>
      </c>
      <c r="BS12" s="159">
        <f t="shared" si="55"/>
        <v>1.7566636516990786</v>
      </c>
      <c r="BT12" s="159">
        <f t="shared" si="56"/>
        <v>3.1615798302410232</v>
      </c>
      <c r="BU12" s="159">
        <f t="shared" si="57"/>
        <v>2.7162868964042599</v>
      </c>
      <c r="BV12" s="159">
        <f t="shared" si="58"/>
        <v>6.8367099001709688</v>
      </c>
      <c r="BW12" s="159">
        <f t="shared" si="59"/>
        <v>16.24933426727836</v>
      </c>
      <c r="BX12" s="159">
        <f t="shared" si="60"/>
        <v>1.574491124856211</v>
      </c>
      <c r="BY12" s="159">
        <f t="shared" si="61"/>
        <v>3.1615798302410232</v>
      </c>
      <c r="BZ12" s="159">
        <f t="shared" si="62"/>
        <v>2.7162868964042599</v>
      </c>
      <c r="CA12" s="159">
        <f t="shared" si="63"/>
        <v>9.4812394439733652</v>
      </c>
      <c r="CB12" s="159">
        <f t="shared" si="64"/>
        <v>13.134269394597593</v>
      </c>
      <c r="CC12" s="159">
        <f t="shared" si="65"/>
        <v>1.9258238551960267</v>
      </c>
      <c r="CD12" s="159">
        <f t="shared" si="66"/>
        <v>6.1004488339987111</v>
      </c>
      <c r="CE12" s="159">
        <f t="shared" si="67"/>
        <v>6.7337571298905177</v>
      </c>
      <c r="CF12" s="159">
        <f t="shared" si="68"/>
        <v>13.040852754171572</v>
      </c>
      <c r="CG12" s="159">
        <f t="shared" si="69"/>
        <v>6.7337571298905177</v>
      </c>
      <c r="CH12" s="159">
        <f t="shared" si="70"/>
        <v>7.726730777840932</v>
      </c>
      <c r="CI12" s="159">
        <f t="shared" si="71"/>
        <v>15.050537327229915</v>
      </c>
      <c r="CJ12" s="159">
        <f t="shared" si="72"/>
        <v>7.726730777840932</v>
      </c>
      <c r="CK12" s="159">
        <f t="shared" si="73"/>
        <v>3.7564340110829497</v>
      </c>
    </row>
    <row r="13" spans="1:89" x14ac:dyDescent="0.25">
      <c r="A13" t="str">
        <f>PLANTILLA!D15</f>
        <v>S. Buschelman</v>
      </c>
      <c r="B13" s="488">
        <f>PLANTILLA!E15</f>
        <v>29</v>
      </c>
      <c r="C13" s="488">
        <f ca="1">PLANTILLA!F15</f>
        <v>104</v>
      </c>
      <c r="D13" s="488" t="str">
        <f>PLANTILLA!G15</f>
        <v>TEC</v>
      </c>
      <c r="E13" s="290">
        <v>41747</v>
      </c>
      <c r="F13" s="341">
        <f>PLANTILLA!Q15</f>
        <v>7</v>
      </c>
      <c r="G13" s="407">
        <f t="shared" si="78"/>
        <v>1</v>
      </c>
      <c r="H13" s="407">
        <f t="shared" si="75"/>
        <v>1</v>
      </c>
      <c r="I13" s="497">
        <v>1.5</v>
      </c>
      <c r="J13" s="498">
        <f>PLANTILLA!I15</f>
        <v>10.8</v>
      </c>
      <c r="K13" s="163">
        <f>PLANTILLA!X15</f>
        <v>0</v>
      </c>
      <c r="L13" s="163">
        <f>PLANTILLA!Y15</f>
        <v>9.3036666666666648</v>
      </c>
      <c r="M13" s="163">
        <f>PLANTILLA!Z15</f>
        <v>13.909999999999998</v>
      </c>
      <c r="N13" s="163">
        <f>PLANTILLA!AA15</f>
        <v>12.945</v>
      </c>
      <c r="O13" s="163">
        <f>PLANTILLA!AB15</f>
        <v>9.6733333333333356</v>
      </c>
      <c r="P13" s="163">
        <f>PLANTILLA!AC15</f>
        <v>5.0296666666666656</v>
      </c>
      <c r="Q13" s="163">
        <f>PLANTILLA!AD15</f>
        <v>15.399999999999999</v>
      </c>
      <c r="R13" s="163">
        <f t="shared" si="2"/>
        <v>3.956291666666667</v>
      </c>
      <c r="S13" s="163">
        <f t="shared" si="3"/>
        <v>15.579401999501544</v>
      </c>
      <c r="T13" s="163">
        <f t="shared" si="4"/>
        <v>0.71348333333333325</v>
      </c>
      <c r="U13" s="163">
        <f t="shared" si="5"/>
        <v>0.83414666666666659</v>
      </c>
      <c r="V13" s="163">
        <f t="shared" ca="1" si="6"/>
        <v>17.777898340649266</v>
      </c>
      <c r="W13" s="163">
        <f t="shared" ca="1" si="7"/>
        <v>17.777898340649266</v>
      </c>
      <c r="X13" s="159">
        <f t="shared" si="8"/>
        <v>5.0802172513868094</v>
      </c>
      <c r="Y13" s="159">
        <f t="shared" si="9"/>
        <v>7.6694250911115356</v>
      </c>
      <c r="Z13" s="159">
        <f t="shared" si="10"/>
        <v>5.0802172513868094</v>
      </c>
      <c r="AA13" s="159">
        <f t="shared" si="11"/>
        <v>6.2856875437750208</v>
      </c>
      <c r="AB13" s="159">
        <f t="shared" si="12"/>
        <v>12.181565007315932</v>
      </c>
      <c r="AC13" s="159">
        <f t="shared" si="13"/>
        <v>3.1428437718875104</v>
      </c>
      <c r="AD13" s="159">
        <f t="shared" si="14"/>
        <v>3.9955198050745246</v>
      </c>
      <c r="AE13" s="159">
        <f t="shared" si="15"/>
        <v>4.6046315727654221</v>
      </c>
      <c r="AF13" s="159">
        <f t="shared" si="16"/>
        <v>8.8072715002894189</v>
      </c>
      <c r="AG13" s="159">
        <f t="shared" si="17"/>
        <v>2.3023157863827111</v>
      </c>
      <c r="AH13" s="159">
        <f t="shared" si="18"/>
        <v>6.463340861149967</v>
      </c>
      <c r="AI13" s="159">
        <f t="shared" si="19"/>
        <v>11.207039806730657</v>
      </c>
      <c r="AJ13" s="159">
        <f t="shared" si="20"/>
        <v>5.0431679130287952</v>
      </c>
      <c r="AK13" s="159">
        <f t="shared" si="21"/>
        <v>2.8035790228884272</v>
      </c>
      <c r="AL13" s="159">
        <f t="shared" si="22"/>
        <v>9.3038642243017691</v>
      </c>
      <c r="AM13" s="159">
        <f t="shared" si="23"/>
        <v>9.184900015516213</v>
      </c>
      <c r="AN13" s="159">
        <f t="shared" si="24"/>
        <v>8.6245480251796796</v>
      </c>
      <c r="AO13" s="159">
        <f t="shared" si="25"/>
        <v>3.0524090228884275</v>
      </c>
      <c r="AP13" s="159">
        <f t="shared" si="26"/>
        <v>1.9682467221069886</v>
      </c>
      <c r="AQ13" s="159">
        <f t="shared" si="27"/>
        <v>3.289022551975302</v>
      </c>
      <c r="AR13" s="159">
        <f t="shared" si="28"/>
        <v>7.2358496143456632</v>
      </c>
      <c r="AS13" s="159">
        <f t="shared" si="29"/>
        <v>1.644511275987651</v>
      </c>
      <c r="AT13" s="159">
        <f t="shared" si="30"/>
        <v>15.847776033572904</v>
      </c>
      <c r="AU13" s="159">
        <f t="shared" si="31"/>
        <v>1.6316601176177383</v>
      </c>
      <c r="AV13" s="159">
        <f t="shared" si="32"/>
        <v>2.8741565471435684</v>
      </c>
      <c r="AW13" s="159">
        <f t="shared" si="33"/>
        <v>0.81583005880886916</v>
      </c>
      <c r="AX13" s="159">
        <f t="shared" si="34"/>
        <v>2.3023157863827111</v>
      </c>
      <c r="AY13" s="159">
        <f t="shared" si="35"/>
        <v>4.8726260029263733</v>
      </c>
      <c r="AZ13" s="159">
        <f t="shared" si="36"/>
        <v>1.1511578931913555</v>
      </c>
      <c r="BA13" s="159">
        <f t="shared" si="37"/>
        <v>16.787898340649264</v>
      </c>
      <c r="BB13" s="159">
        <f t="shared" si="38"/>
        <v>3.1754616135175984</v>
      </c>
      <c r="BC13" s="159">
        <f t="shared" si="39"/>
        <v>5.9405586523644134</v>
      </c>
      <c r="BD13" s="159">
        <f t="shared" si="40"/>
        <v>1.5877308067587992</v>
      </c>
      <c r="BE13" s="159">
        <f t="shared" si="41"/>
        <v>3.5448354171289358</v>
      </c>
      <c r="BF13" s="159">
        <f t="shared" si="42"/>
        <v>4.2391846225459444</v>
      </c>
      <c r="BG13" s="159">
        <f t="shared" si="43"/>
        <v>14.790138438112001</v>
      </c>
      <c r="BH13" s="159">
        <f t="shared" si="44"/>
        <v>13.035981624837198</v>
      </c>
      <c r="BI13" s="159">
        <f t="shared" si="45"/>
        <v>3.0248468334298071</v>
      </c>
      <c r="BJ13" s="159">
        <f t="shared" si="46"/>
        <v>5.9080590285482266</v>
      </c>
      <c r="BK13" s="159">
        <f t="shared" si="47"/>
        <v>3.2159331619314062</v>
      </c>
      <c r="BL13" s="159">
        <f t="shared" si="48"/>
        <v>6.3961892677873697</v>
      </c>
      <c r="BM13" s="159">
        <f t="shared" si="49"/>
        <v>13.171608149727462</v>
      </c>
      <c r="BN13" s="159">
        <f t="shared" si="50"/>
        <v>0.65266404704709535</v>
      </c>
      <c r="BO13" s="159">
        <f t="shared" si="51"/>
        <v>2.1926817013168676</v>
      </c>
      <c r="BP13" s="159">
        <f t="shared" si="52"/>
        <v>0.82834642049748342</v>
      </c>
      <c r="BQ13" s="159">
        <f t="shared" si="53"/>
        <v>5.1203089938980257</v>
      </c>
      <c r="BR13" s="159">
        <f t="shared" si="54"/>
        <v>19.412550599408291</v>
      </c>
      <c r="BS13" s="159">
        <f t="shared" si="55"/>
        <v>1.6944162759876515</v>
      </c>
      <c r="BT13" s="159">
        <f t="shared" si="56"/>
        <v>3.4595644620777244</v>
      </c>
      <c r="BU13" s="159">
        <f t="shared" si="57"/>
        <v>2.9723018617850872</v>
      </c>
      <c r="BV13" s="159">
        <f t="shared" si="58"/>
        <v>7.6384937449954151</v>
      </c>
      <c r="BW13" s="159">
        <f t="shared" si="59"/>
        <v>16.73348469477272</v>
      </c>
      <c r="BX13" s="159">
        <f t="shared" si="60"/>
        <v>1.518699032551895</v>
      </c>
      <c r="BY13" s="159">
        <f t="shared" si="61"/>
        <v>3.4595644620777244</v>
      </c>
      <c r="BZ13" s="159">
        <f t="shared" si="62"/>
        <v>2.9723018617850872</v>
      </c>
      <c r="CA13" s="159">
        <f t="shared" si="63"/>
        <v>10.593163852949685</v>
      </c>
      <c r="CB13" s="159">
        <f t="shared" si="64"/>
        <v>13.530062348214427</v>
      </c>
      <c r="CC13" s="159">
        <f t="shared" si="65"/>
        <v>1.857582287749425</v>
      </c>
      <c r="CD13" s="159">
        <f t="shared" si="66"/>
        <v>6.8158867263036012</v>
      </c>
      <c r="CE13" s="159">
        <f t="shared" si="67"/>
        <v>7.4442945693968765</v>
      </c>
      <c r="CF13" s="159">
        <f t="shared" si="68"/>
        <v>11.42542919823774</v>
      </c>
      <c r="CG13" s="159">
        <f t="shared" si="69"/>
        <v>7.4442945693968765</v>
      </c>
      <c r="CH13" s="159">
        <f t="shared" si="70"/>
        <v>7.2051023328911601</v>
      </c>
      <c r="CI13" s="159">
        <f t="shared" si="71"/>
        <v>12.538969495015511</v>
      </c>
      <c r="CJ13" s="159">
        <f t="shared" si="72"/>
        <v>7.2051023328911601</v>
      </c>
      <c r="CK13" s="159">
        <f t="shared" si="73"/>
        <v>4.1969745851623159</v>
      </c>
    </row>
    <row r="14" spans="1:89" x14ac:dyDescent="0.25">
      <c r="A14" t="str">
        <f>PLANTILLA!D16</f>
        <v>C. Rojas</v>
      </c>
      <c r="B14" s="488">
        <f>PLANTILLA!E16</f>
        <v>32</v>
      </c>
      <c r="C14" s="488">
        <f ca="1">PLANTILLA!F16</f>
        <v>26</v>
      </c>
      <c r="D14" s="488" t="str">
        <f>PLANTILLA!G16</f>
        <v>TEC</v>
      </c>
      <c r="E14" s="290">
        <v>41653</v>
      </c>
      <c r="F14" s="341">
        <f>PLANTILLA!Q16</f>
        <v>4</v>
      </c>
      <c r="G14" s="407">
        <f t="shared" si="78"/>
        <v>0.7559289460184544</v>
      </c>
      <c r="H14" s="407">
        <f t="shared" si="75"/>
        <v>0.84430867747355465</v>
      </c>
      <c r="I14" s="497">
        <v>1.5</v>
      </c>
      <c r="J14" s="498">
        <f>PLANTILLA!I16</f>
        <v>11.3</v>
      </c>
      <c r="K14" s="163">
        <f>PLANTILLA!X16</f>
        <v>0</v>
      </c>
      <c r="L14" s="163">
        <f>PLANTILLA!Y16</f>
        <v>8.6275555555555581</v>
      </c>
      <c r="M14" s="163">
        <f>PLANTILLA!Z16</f>
        <v>14.333255555555548</v>
      </c>
      <c r="N14" s="163">
        <f>PLANTILLA!AA16</f>
        <v>9.99</v>
      </c>
      <c r="O14" s="163">
        <f>PLANTILLA!AB16</f>
        <v>10.09</v>
      </c>
      <c r="P14" s="163">
        <f>PLANTILLA!AC16</f>
        <v>4.3999999999999995</v>
      </c>
      <c r="Q14" s="163">
        <f>PLANTILLA!AD16</f>
        <v>16.74444444444444</v>
      </c>
      <c r="R14" s="163">
        <f t="shared" si="2"/>
        <v>3.9759444444444449</v>
      </c>
      <c r="S14" s="163">
        <f t="shared" si="3"/>
        <v>15.331515591242253</v>
      </c>
      <c r="T14" s="163">
        <f t="shared" si="4"/>
        <v>0.72233333333333305</v>
      </c>
      <c r="U14" s="163">
        <f t="shared" si="5"/>
        <v>0.8474355555555555</v>
      </c>
      <c r="V14" s="163">
        <f t="shared" ca="1" si="6"/>
        <v>14.474942490381473</v>
      </c>
      <c r="W14" s="163">
        <f t="shared" ca="1" si="7"/>
        <v>16.167286111916379</v>
      </c>
      <c r="X14" s="159">
        <f t="shared" si="8"/>
        <v>4.9164886415480344</v>
      </c>
      <c r="Y14" s="159">
        <f t="shared" si="9"/>
        <v>7.4159101384939046</v>
      </c>
      <c r="Z14" s="159">
        <f t="shared" si="10"/>
        <v>4.9164886415480344</v>
      </c>
      <c r="AA14" s="159">
        <f t="shared" si="11"/>
        <v>5.9503366357832608</v>
      </c>
      <c r="AB14" s="159">
        <f t="shared" si="12"/>
        <v>11.531660146866784</v>
      </c>
      <c r="AC14" s="159">
        <f t="shared" si="13"/>
        <v>2.9751683178916304</v>
      </c>
      <c r="AD14" s="159">
        <f t="shared" si="14"/>
        <v>4.1024917149542919</v>
      </c>
      <c r="AE14" s="159">
        <f t="shared" si="15"/>
        <v>4.3589675355156441</v>
      </c>
      <c r="AF14" s="159">
        <f t="shared" si="16"/>
        <v>8.337390286184684</v>
      </c>
      <c r="AG14" s="159">
        <f t="shared" si="17"/>
        <v>2.179483767757822</v>
      </c>
      <c r="AH14" s="159">
        <f t="shared" si="18"/>
        <v>6.6363836565437078</v>
      </c>
      <c r="AI14" s="159">
        <f t="shared" si="19"/>
        <v>10.609127335117442</v>
      </c>
      <c r="AJ14" s="159">
        <f t="shared" si="20"/>
        <v>4.7741073008028483</v>
      </c>
      <c r="AK14" s="159">
        <f t="shared" si="21"/>
        <v>2.8786391445267512</v>
      </c>
      <c r="AL14" s="159">
        <f t="shared" si="22"/>
        <v>7.5817334996910004</v>
      </c>
      <c r="AM14" s="159">
        <f t="shared" si="23"/>
        <v>8.6948717507375548</v>
      </c>
      <c r="AN14" s="159">
        <f t="shared" si="24"/>
        <v>8.164415383981682</v>
      </c>
      <c r="AO14" s="159">
        <f t="shared" si="25"/>
        <v>3.2813076889711965</v>
      </c>
      <c r="AP14" s="159">
        <f t="shared" si="26"/>
        <v>1.9814541222976332</v>
      </c>
      <c r="AQ14" s="159">
        <f t="shared" si="27"/>
        <v>3.1135482396540319</v>
      </c>
      <c r="AR14" s="159">
        <f t="shared" si="28"/>
        <v>6.8498061272388693</v>
      </c>
      <c r="AS14" s="159">
        <f t="shared" si="29"/>
        <v>1.556774119827016</v>
      </c>
      <c r="AT14" s="159">
        <f t="shared" si="30"/>
        <v>16.272067978642234</v>
      </c>
      <c r="AU14" s="159">
        <f t="shared" si="31"/>
        <v>1.6892335968704595</v>
      </c>
      <c r="AV14" s="159">
        <f t="shared" si="32"/>
        <v>2.8229026452541888</v>
      </c>
      <c r="AW14" s="159">
        <f t="shared" si="33"/>
        <v>0.84461679843522974</v>
      </c>
      <c r="AX14" s="159">
        <f t="shared" si="34"/>
        <v>2.179483767757822</v>
      </c>
      <c r="AY14" s="159">
        <f t="shared" si="35"/>
        <v>4.6126640587467138</v>
      </c>
      <c r="AZ14" s="159">
        <f t="shared" si="36"/>
        <v>1.089741883878911</v>
      </c>
      <c r="BA14" s="159">
        <f t="shared" si="37"/>
        <v>17.237360146866774</v>
      </c>
      <c r="BB14" s="159">
        <f t="shared" si="38"/>
        <v>3.2875084616017403</v>
      </c>
      <c r="BC14" s="159">
        <f t="shared" si="39"/>
        <v>5.9648516298124852</v>
      </c>
      <c r="BD14" s="159">
        <f t="shared" si="40"/>
        <v>1.6437542308008701</v>
      </c>
      <c r="BE14" s="159">
        <f t="shared" si="41"/>
        <v>3.3557131027382341</v>
      </c>
      <c r="BF14" s="159">
        <f t="shared" si="42"/>
        <v>4.0130177311096409</v>
      </c>
      <c r="BG14" s="159">
        <f t="shared" si="43"/>
        <v>15.186114289389627</v>
      </c>
      <c r="BH14" s="159">
        <f t="shared" si="44"/>
        <v>11.494358981675679</v>
      </c>
      <c r="BI14" s="159">
        <f t="shared" si="45"/>
        <v>3.1315792065060055</v>
      </c>
      <c r="BJ14" s="159">
        <f t="shared" si="46"/>
        <v>5.59285517123039</v>
      </c>
      <c r="BK14" s="159">
        <f t="shared" si="47"/>
        <v>3.0443582787728309</v>
      </c>
      <c r="BL14" s="159">
        <f t="shared" si="48"/>
        <v>6.5674342159562409</v>
      </c>
      <c r="BM14" s="159">
        <f t="shared" si="49"/>
        <v>11.289547412806012</v>
      </c>
      <c r="BN14" s="159">
        <f t="shared" si="50"/>
        <v>0.67569343874818366</v>
      </c>
      <c r="BO14" s="159">
        <f t="shared" si="51"/>
        <v>2.075698826436021</v>
      </c>
      <c r="BP14" s="159">
        <f t="shared" si="52"/>
        <v>0.78415288998694133</v>
      </c>
      <c r="BQ14" s="159">
        <f t="shared" si="53"/>
        <v>5.2573948447943657</v>
      </c>
      <c r="BR14" s="159">
        <f t="shared" si="54"/>
        <v>16.610418504426235</v>
      </c>
      <c r="BS14" s="159">
        <f t="shared" si="55"/>
        <v>1.7542041198270155</v>
      </c>
      <c r="BT14" s="159">
        <f t="shared" si="56"/>
        <v>3.2749914817101664</v>
      </c>
      <c r="BU14" s="159">
        <f t="shared" si="57"/>
        <v>2.8137250758354955</v>
      </c>
      <c r="BV14" s="159">
        <f t="shared" si="58"/>
        <v>7.8429988668243826</v>
      </c>
      <c r="BW14" s="159">
        <f t="shared" si="59"/>
        <v>14.311067887172838</v>
      </c>
      <c r="BX14" s="159">
        <f t="shared" si="60"/>
        <v>1.5722866555486583</v>
      </c>
      <c r="BY14" s="159">
        <f t="shared" si="61"/>
        <v>3.2749914817101664</v>
      </c>
      <c r="BZ14" s="159">
        <f t="shared" si="62"/>
        <v>2.8137250758354955</v>
      </c>
      <c r="CA14" s="159">
        <f t="shared" si="63"/>
        <v>10.876774252672934</v>
      </c>
      <c r="CB14" s="159">
        <f t="shared" si="64"/>
        <v>11.559523609223547</v>
      </c>
      <c r="CC14" s="159">
        <f t="shared" si="65"/>
        <v>1.9231274795140614</v>
      </c>
      <c r="CD14" s="159">
        <f t="shared" si="66"/>
        <v>6.9983682196279107</v>
      </c>
      <c r="CE14" s="159">
        <f t="shared" si="67"/>
        <v>7.0718268593780476</v>
      </c>
      <c r="CF14" s="159">
        <f t="shared" si="68"/>
        <v>11.314091769816439</v>
      </c>
      <c r="CG14" s="159">
        <f t="shared" si="69"/>
        <v>7.0718268593780476</v>
      </c>
      <c r="CH14" s="159">
        <f t="shared" si="70"/>
        <v>6.4638271603868933</v>
      </c>
      <c r="CI14" s="159">
        <f t="shared" si="71"/>
        <v>12.098929185505067</v>
      </c>
      <c r="CJ14" s="159">
        <f t="shared" si="72"/>
        <v>6.4638271603868933</v>
      </c>
      <c r="CK14" s="159">
        <f t="shared" si="73"/>
        <v>4.3093400367166934</v>
      </c>
    </row>
    <row r="15" spans="1:89" x14ac:dyDescent="0.25">
      <c r="A15" t="str">
        <f>PLANTILLA!D17</f>
        <v>E. Gross</v>
      </c>
      <c r="B15" s="488">
        <f>PLANTILLA!E17</f>
        <v>31</v>
      </c>
      <c r="C15" s="488">
        <f ca="1">PLANTILLA!F17</f>
        <v>20</v>
      </c>
      <c r="D15" s="488"/>
      <c r="E15" s="290">
        <v>41552</v>
      </c>
      <c r="F15" s="341">
        <f>PLANTILLA!Q17</f>
        <v>7</v>
      </c>
      <c r="G15" s="407">
        <f t="shared" si="78"/>
        <v>1</v>
      </c>
      <c r="H15" s="407">
        <f t="shared" si="75"/>
        <v>1</v>
      </c>
      <c r="I15" s="497">
        <v>1.5</v>
      </c>
      <c r="J15" s="498">
        <f>PLANTILLA!I17</f>
        <v>9.3000000000000007</v>
      </c>
      <c r="K15" s="163">
        <f>PLANTILLA!X17</f>
        <v>0</v>
      </c>
      <c r="L15" s="163">
        <f>PLANTILLA!Y17</f>
        <v>10.549999999999995</v>
      </c>
      <c r="M15" s="163">
        <f>PLANTILLA!Z17</f>
        <v>12.939777777777776</v>
      </c>
      <c r="N15" s="163">
        <f>PLANTILLA!AA17</f>
        <v>5.1399999999999979</v>
      </c>
      <c r="O15" s="163">
        <f>PLANTILLA!AB17</f>
        <v>9.24</v>
      </c>
      <c r="P15" s="163">
        <f>PLANTILLA!AC17</f>
        <v>2.98</v>
      </c>
      <c r="Q15" s="163">
        <f>PLANTILLA!AD17</f>
        <v>17.059999999999999</v>
      </c>
      <c r="R15" s="163">
        <f t="shared" si="2"/>
        <v>4.0037499999999993</v>
      </c>
      <c r="S15" s="163">
        <f t="shared" si="3"/>
        <v>12.898596421738928</v>
      </c>
      <c r="T15" s="163">
        <f t="shared" si="4"/>
        <v>0.66079999999999994</v>
      </c>
      <c r="U15" s="163">
        <f t="shared" si="5"/>
        <v>0.93379999999999974</v>
      </c>
      <c r="V15" s="163">
        <f t="shared" ca="1" si="6"/>
        <v>19.351310598071912</v>
      </c>
      <c r="W15" s="163">
        <f t="shared" ca="1" si="7"/>
        <v>19.351310598071912</v>
      </c>
      <c r="X15" s="159">
        <f t="shared" si="8"/>
        <v>5.3486141521167792</v>
      </c>
      <c r="Y15" s="159">
        <f t="shared" si="9"/>
        <v>8.0873319821108378</v>
      </c>
      <c r="Z15" s="159">
        <f t="shared" si="10"/>
        <v>5.3486141521167792</v>
      </c>
      <c r="AA15" s="159">
        <f t="shared" si="11"/>
        <v>6.8841162686051049</v>
      </c>
      <c r="AB15" s="159">
        <f t="shared" si="12"/>
        <v>13.341310598071908</v>
      </c>
      <c r="AC15" s="159">
        <f t="shared" si="13"/>
        <v>3.4420581343025525</v>
      </c>
      <c r="AD15" s="159">
        <f t="shared" si="14"/>
        <v>3.743999033452226</v>
      </c>
      <c r="AE15" s="159">
        <f t="shared" si="15"/>
        <v>5.0430154060711816</v>
      </c>
      <c r="AF15" s="159">
        <f t="shared" si="16"/>
        <v>9.6457675624059895</v>
      </c>
      <c r="AG15" s="159">
        <f t="shared" si="17"/>
        <v>2.5215077030355908</v>
      </c>
      <c r="AH15" s="159">
        <f t="shared" si="18"/>
        <v>6.05646902470213</v>
      </c>
      <c r="AI15" s="159">
        <f t="shared" si="19"/>
        <v>12.274005750226156</v>
      </c>
      <c r="AJ15" s="159">
        <f t="shared" si="20"/>
        <v>5.5233025876017701</v>
      </c>
      <c r="AK15" s="159">
        <f t="shared" si="21"/>
        <v>2.6270917587668983</v>
      </c>
      <c r="AL15" s="159">
        <f t="shared" si="22"/>
        <v>4.663610631666284</v>
      </c>
      <c r="AM15" s="159">
        <f t="shared" si="23"/>
        <v>10.059348190946219</v>
      </c>
      <c r="AN15" s="159">
        <f t="shared" si="24"/>
        <v>9.4456479034349101</v>
      </c>
      <c r="AO15" s="159">
        <f t="shared" si="25"/>
        <v>3.3151688698780095</v>
      </c>
      <c r="AP15" s="159">
        <f t="shared" si="26"/>
        <v>1.9569774522447108</v>
      </c>
      <c r="AQ15" s="159">
        <f t="shared" si="27"/>
        <v>3.6021538614794153</v>
      </c>
      <c r="AR15" s="159">
        <f t="shared" si="28"/>
        <v>7.9247384952547133</v>
      </c>
      <c r="AS15" s="159">
        <f t="shared" si="29"/>
        <v>1.8010769307397076</v>
      </c>
      <c r="AT15" s="159">
        <f t="shared" si="30"/>
        <v>14.850147426802106</v>
      </c>
      <c r="AU15" s="159">
        <f t="shared" si="31"/>
        <v>1.5640703777493488</v>
      </c>
      <c r="AV15" s="159">
        <f t="shared" si="32"/>
        <v>2.4421940052350704</v>
      </c>
      <c r="AW15" s="159">
        <f t="shared" si="33"/>
        <v>0.78203518887467438</v>
      </c>
      <c r="AX15" s="159">
        <f t="shared" si="34"/>
        <v>2.5215077030355908</v>
      </c>
      <c r="AY15" s="159">
        <f t="shared" si="35"/>
        <v>5.3365242392287637</v>
      </c>
      <c r="AZ15" s="159">
        <f t="shared" si="36"/>
        <v>1.2607538515177954</v>
      </c>
      <c r="BA15" s="159">
        <f t="shared" si="37"/>
        <v>15.731088375849689</v>
      </c>
      <c r="BB15" s="159">
        <f t="shared" si="38"/>
        <v>3.043921581312194</v>
      </c>
      <c r="BC15" s="159">
        <f t="shared" si="39"/>
        <v>5.3146521395376238</v>
      </c>
      <c r="BD15" s="159">
        <f t="shared" si="40"/>
        <v>1.521960790656097</v>
      </c>
      <c r="BE15" s="159">
        <f t="shared" si="41"/>
        <v>3.8823213840389252</v>
      </c>
      <c r="BF15" s="159">
        <f t="shared" si="42"/>
        <v>4.6427760881290236</v>
      </c>
      <c r="BG15" s="159">
        <f t="shared" si="43"/>
        <v>13.859088859123576</v>
      </c>
      <c r="BH15" s="159">
        <f t="shared" si="44"/>
        <v>8.3424351216859307</v>
      </c>
      <c r="BI15" s="159">
        <f t="shared" si="45"/>
        <v>2.8995458541353312</v>
      </c>
      <c r="BJ15" s="159">
        <f t="shared" si="46"/>
        <v>6.4705356400648757</v>
      </c>
      <c r="BK15" s="159">
        <f t="shared" si="47"/>
        <v>3.5221059978909839</v>
      </c>
      <c r="BL15" s="159">
        <f t="shared" si="48"/>
        <v>5.9935446711987312</v>
      </c>
      <c r="BM15" s="159">
        <f t="shared" si="49"/>
        <v>7.7560654627148526</v>
      </c>
      <c r="BN15" s="159">
        <f t="shared" si="50"/>
        <v>0.62562815109973946</v>
      </c>
      <c r="BO15" s="159">
        <f t="shared" si="51"/>
        <v>2.4014359076529432</v>
      </c>
      <c r="BP15" s="159">
        <f t="shared" si="52"/>
        <v>0.90720912066888981</v>
      </c>
      <c r="BQ15" s="159">
        <f t="shared" si="53"/>
        <v>4.7979819546341549</v>
      </c>
      <c r="BR15" s="159">
        <f t="shared" si="54"/>
        <v>11.372265429120478</v>
      </c>
      <c r="BS15" s="159">
        <f t="shared" si="55"/>
        <v>1.6242269307397084</v>
      </c>
      <c r="BT15" s="159">
        <f t="shared" si="56"/>
        <v>3.7889322098524216</v>
      </c>
      <c r="BU15" s="159">
        <f t="shared" si="57"/>
        <v>3.2552797859295457</v>
      </c>
      <c r="BV15" s="159">
        <f t="shared" si="58"/>
        <v>7.1576452110116087</v>
      </c>
      <c r="BW15" s="159">
        <f t="shared" si="59"/>
        <v>9.7882921426636784</v>
      </c>
      <c r="BX15" s="159">
        <f t="shared" si="60"/>
        <v>1.4557885823667014</v>
      </c>
      <c r="BY15" s="159">
        <f t="shared" si="61"/>
        <v>3.7889322098524216</v>
      </c>
      <c r="BZ15" s="159">
        <f t="shared" si="62"/>
        <v>3.2552797859295457</v>
      </c>
      <c r="CA15" s="159">
        <f t="shared" si="63"/>
        <v>9.9263167651611539</v>
      </c>
      <c r="CB15" s="159">
        <f t="shared" si="64"/>
        <v>7.8898229852743604</v>
      </c>
      <c r="CC15" s="159">
        <f t="shared" si="65"/>
        <v>1.7806339685146431</v>
      </c>
      <c r="CD15" s="159">
        <f t="shared" si="66"/>
        <v>6.3868218805949741</v>
      </c>
      <c r="CE15" s="159">
        <f t="shared" si="67"/>
        <v>4.8828928215954663</v>
      </c>
      <c r="CF15" s="159">
        <f t="shared" si="68"/>
        <v>9.8976757334289758</v>
      </c>
      <c r="CG15" s="159">
        <f t="shared" si="69"/>
        <v>4.8828928215954663</v>
      </c>
      <c r="CH15" s="159">
        <f t="shared" si="70"/>
        <v>4.831806502598802</v>
      </c>
      <c r="CI15" s="159">
        <f t="shared" si="71"/>
        <v>10.21086420876045</v>
      </c>
      <c r="CJ15" s="159">
        <f t="shared" si="72"/>
        <v>4.831806502598802</v>
      </c>
      <c r="CK15" s="159">
        <f t="shared" si="73"/>
        <v>3.9327720939624222</v>
      </c>
    </row>
    <row r="16" spans="1:89" x14ac:dyDescent="0.25">
      <c r="A16" t="str">
        <f>PLANTILLA!D18</f>
        <v>L. Bauman</v>
      </c>
      <c r="B16" s="488">
        <f>PLANTILLA!E18</f>
        <v>30</v>
      </c>
      <c r="C16" s="488">
        <f ca="1">PLANTILLA!F18</f>
        <v>107</v>
      </c>
      <c r="D16" s="488"/>
      <c r="E16" s="290">
        <v>41686</v>
      </c>
      <c r="F16" s="341">
        <f>PLANTILLA!Q18</f>
        <v>4</v>
      </c>
      <c r="G16" s="407">
        <f t="shared" si="78"/>
        <v>0.7559289460184544</v>
      </c>
      <c r="H16" s="407">
        <f t="shared" si="75"/>
        <v>0.84430867747355465</v>
      </c>
      <c r="I16" s="497">
        <v>1.5</v>
      </c>
      <c r="J16" s="498">
        <f>PLANTILLA!I18</f>
        <v>8.1999999999999993</v>
      </c>
      <c r="K16" s="163">
        <f>PLANTILLA!X18</f>
        <v>0</v>
      </c>
      <c r="L16" s="163">
        <f>PLANTILLA!Y18</f>
        <v>5.4644444444444451</v>
      </c>
      <c r="M16" s="163">
        <f>PLANTILLA!Z18</f>
        <v>14.42664708994708</v>
      </c>
      <c r="N16" s="163">
        <f>PLANTILLA!AA18</f>
        <v>3.5124999999999993</v>
      </c>
      <c r="O16" s="163">
        <f>PLANTILLA!AB18</f>
        <v>9.1400000000000041</v>
      </c>
      <c r="P16" s="163">
        <f>PLANTILLA!AC18</f>
        <v>7.4318888888888894</v>
      </c>
      <c r="Q16" s="163">
        <f>PLANTILLA!AD18</f>
        <v>16.27</v>
      </c>
      <c r="R16" s="163">
        <f t="shared" si="2"/>
        <v>3.3430555555555568</v>
      </c>
      <c r="S16" s="163">
        <f t="shared" si="3"/>
        <v>19.693140373912904</v>
      </c>
      <c r="T16" s="163">
        <f t="shared" si="4"/>
        <v>0.85969444444444443</v>
      </c>
      <c r="U16" s="163">
        <f t="shared" si="5"/>
        <v>0.70667777777777774</v>
      </c>
      <c r="V16" s="163">
        <f t="shared" ca="1" si="6"/>
        <v>13.975930687458023</v>
      </c>
      <c r="W16" s="163">
        <f t="shared" ca="1" si="7"/>
        <v>15.609932146852435</v>
      </c>
      <c r="X16" s="159">
        <f t="shared" si="8"/>
        <v>3.8813659908413136</v>
      </c>
      <c r="Y16" s="159">
        <f t="shared" si="9"/>
        <v>5.8318671334587275</v>
      </c>
      <c r="Z16" s="159">
        <f t="shared" si="10"/>
        <v>3.8813659908413136</v>
      </c>
      <c r="AA16" s="159">
        <f t="shared" si="11"/>
        <v>4.2223572637733318</v>
      </c>
      <c r="AB16" s="159">
        <f t="shared" si="12"/>
        <v>8.1828629142894016</v>
      </c>
      <c r="AC16" s="159">
        <f t="shared" si="13"/>
        <v>2.1111786318866659</v>
      </c>
      <c r="AD16" s="159">
        <f t="shared" si="14"/>
        <v>4.0805256032305044</v>
      </c>
      <c r="AE16" s="159">
        <f t="shared" si="15"/>
        <v>3.0931221816013936</v>
      </c>
      <c r="AF16" s="159">
        <f t="shared" si="16"/>
        <v>5.9162098870312372</v>
      </c>
      <c r="AG16" s="159">
        <f t="shared" si="17"/>
        <v>1.5465610908006968</v>
      </c>
      <c r="AH16" s="159">
        <f t="shared" si="18"/>
        <v>6.600850240519935</v>
      </c>
      <c r="AI16" s="159">
        <f t="shared" si="19"/>
        <v>7.5282338811462495</v>
      </c>
      <c r="AJ16" s="159">
        <f t="shared" si="20"/>
        <v>3.3877052465158122</v>
      </c>
      <c r="AK16" s="159">
        <f t="shared" si="21"/>
        <v>2.8632259484852702</v>
      </c>
      <c r="AL16" s="159">
        <f t="shared" si="22"/>
        <v>3.6637800602688331</v>
      </c>
      <c r="AM16" s="159">
        <f t="shared" si="23"/>
        <v>6.1698786373742092</v>
      </c>
      <c r="AN16" s="159">
        <f t="shared" si="24"/>
        <v>5.7934669433168962</v>
      </c>
      <c r="AO16" s="159">
        <f t="shared" si="25"/>
        <v>3.1710658844641078</v>
      </c>
      <c r="AP16" s="159">
        <f t="shared" si="26"/>
        <v>1.7457045193153475</v>
      </c>
      <c r="AQ16" s="159">
        <f t="shared" si="27"/>
        <v>2.2093729868581384</v>
      </c>
      <c r="AR16" s="159">
        <f t="shared" si="28"/>
        <v>4.860620571087904</v>
      </c>
      <c r="AS16" s="159">
        <f t="shared" si="29"/>
        <v>1.1046864934290692</v>
      </c>
      <c r="AT16" s="159">
        <f t="shared" si="30"/>
        <v>16.184941888443682</v>
      </c>
      <c r="AU16" s="159">
        <f t="shared" si="31"/>
        <v>1.5415944010798448</v>
      </c>
      <c r="AV16" s="159">
        <f t="shared" si="32"/>
        <v>3.1790133894423498</v>
      </c>
      <c r="AW16" s="159">
        <f t="shared" si="33"/>
        <v>0.7707972005399224</v>
      </c>
      <c r="AX16" s="159">
        <f t="shared" si="34"/>
        <v>1.5465610908006968</v>
      </c>
      <c r="AY16" s="159">
        <f t="shared" si="35"/>
        <v>3.2731451657157606</v>
      </c>
      <c r="AZ16" s="159">
        <f t="shared" si="36"/>
        <v>0.77328054540034841</v>
      </c>
      <c r="BA16" s="159">
        <f t="shared" si="37"/>
        <v>17.145065559792037</v>
      </c>
      <c r="BB16" s="159">
        <f t="shared" si="38"/>
        <v>3.0001798728707749</v>
      </c>
      <c r="BC16" s="159">
        <f t="shared" si="39"/>
        <v>6.1752852435512384</v>
      </c>
      <c r="BD16" s="159">
        <f t="shared" si="40"/>
        <v>1.5000899364353875</v>
      </c>
      <c r="BE16" s="159">
        <f t="shared" si="41"/>
        <v>2.3812131080582155</v>
      </c>
      <c r="BF16" s="159">
        <f t="shared" si="42"/>
        <v>2.8476362941727116</v>
      </c>
      <c r="BG16" s="159">
        <f t="shared" si="43"/>
        <v>15.104802758176785</v>
      </c>
      <c r="BH16" s="159">
        <f t="shared" si="44"/>
        <v>7.3119490196921664</v>
      </c>
      <c r="BI16" s="159">
        <f t="shared" si="45"/>
        <v>2.8578788512326354</v>
      </c>
      <c r="BJ16" s="159">
        <f t="shared" si="46"/>
        <v>3.9686885134303598</v>
      </c>
      <c r="BK16" s="159">
        <f t="shared" si="47"/>
        <v>2.1602758093724019</v>
      </c>
      <c r="BL16" s="159">
        <f t="shared" si="48"/>
        <v>6.5322699782807661</v>
      </c>
      <c r="BM16" s="159">
        <f t="shared" si="49"/>
        <v>6.5769502426444921</v>
      </c>
      <c r="BN16" s="159">
        <f t="shared" si="50"/>
        <v>0.61663776043193785</v>
      </c>
      <c r="BO16" s="159">
        <f t="shared" si="51"/>
        <v>1.4729153245720923</v>
      </c>
      <c r="BP16" s="159">
        <f t="shared" si="52"/>
        <v>0.55643467817167935</v>
      </c>
      <c r="BQ16" s="159">
        <f t="shared" si="53"/>
        <v>5.229244995736571</v>
      </c>
      <c r="BR16" s="159">
        <f t="shared" si="54"/>
        <v>9.622426152220612</v>
      </c>
      <c r="BS16" s="159">
        <f t="shared" si="55"/>
        <v>1.6008864934290696</v>
      </c>
      <c r="BT16" s="159">
        <f t="shared" si="56"/>
        <v>2.32393306765819</v>
      </c>
      <c r="BU16" s="159">
        <f t="shared" si="57"/>
        <v>1.9966185510866139</v>
      </c>
      <c r="BV16" s="159">
        <f t="shared" si="58"/>
        <v>7.8010048297053771</v>
      </c>
      <c r="BW16" s="159">
        <f t="shared" si="59"/>
        <v>8.2769676645882111</v>
      </c>
      <c r="BX16" s="159">
        <f t="shared" si="60"/>
        <v>1.4348686348512401</v>
      </c>
      <c r="BY16" s="159">
        <f t="shared" si="61"/>
        <v>2.32393306765819</v>
      </c>
      <c r="BZ16" s="159">
        <f t="shared" si="62"/>
        <v>1.9966185510866139</v>
      </c>
      <c r="CA16" s="159">
        <f t="shared" si="63"/>
        <v>10.818536368228775</v>
      </c>
      <c r="CB16" s="159">
        <f t="shared" si="64"/>
        <v>6.6627795305112354</v>
      </c>
      <c r="CC16" s="159">
        <f t="shared" si="65"/>
        <v>1.7550459335370538</v>
      </c>
      <c r="CD16" s="159">
        <f t="shared" si="66"/>
        <v>6.9608966172755675</v>
      </c>
      <c r="CE16" s="159">
        <f t="shared" si="67"/>
        <v>5.1509459116781118</v>
      </c>
      <c r="CF16" s="159">
        <f t="shared" si="68"/>
        <v>12.356750419267645</v>
      </c>
      <c r="CG16" s="159">
        <f t="shared" si="69"/>
        <v>5.1509459116781118</v>
      </c>
      <c r="CH16" s="159">
        <f t="shared" si="70"/>
        <v>5.5700083178245183</v>
      </c>
      <c r="CI16" s="159">
        <f t="shared" si="71"/>
        <v>14.526063774106635</v>
      </c>
      <c r="CJ16" s="159">
        <f t="shared" si="72"/>
        <v>5.5700083178245183</v>
      </c>
      <c r="CK16" s="159">
        <f t="shared" si="73"/>
        <v>4.2862663899480093</v>
      </c>
    </row>
    <row r="17" spans="1:89" x14ac:dyDescent="0.25">
      <c r="A17" t="str">
        <f>PLANTILLA!D19</f>
        <v>W. Gelifini</v>
      </c>
      <c r="B17" s="488">
        <f>PLANTILLA!E19</f>
        <v>29</v>
      </c>
      <c r="C17" s="488">
        <f ca="1">PLANTILLA!F19</f>
        <v>57</v>
      </c>
      <c r="D17" s="488"/>
      <c r="E17" s="290">
        <v>41737</v>
      </c>
      <c r="F17" s="341">
        <f>PLANTILLA!Q19</f>
        <v>3</v>
      </c>
      <c r="G17" s="407">
        <f t="shared" si="78"/>
        <v>0.65465367070797709</v>
      </c>
      <c r="H17" s="407">
        <f t="shared" si="75"/>
        <v>0.75498344352707503</v>
      </c>
      <c r="I17" s="497">
        <v>1.5</v>
      </c>
      <c r="J17" s="498">
        <f>PLANTILLA!I19</f>
        <v>4</v>
      </c>
      <c r="K17" s="163">
        <f>PLANTILLA!X19</f>
        <v>0</v>
      </c>
      <c r="L17" s="163">
        <f>PLANTILLA!Y19</f>
        <v>5.6515555555555519</v>
      </c>
      <c r="M17" s="163">
        <f>PLANTILLA!Z19</f>
        <v>9.872338888888887</v>
      </c>
      <c r="N17" s="163">
        <f>PLANTILLA!AA19</f>
        <v>7.0726666666666667</v>
      </c>
      <c r="O17" s="163">
        <f>PLANTILLA!AB19</f>
        <v>9.2666666666666639</v>
      </c>
      <c r="P17" s="163">
        <f>PLANTILLA!AC19</f>
        <v>3.5417777777777766</v>
      </c>
      <c r="Q17" s="163">
        <f>PLANTILLA!AD19</f>
        <v>12.450000000000001</v>
      </c>
      <c r="R17" s="163">
        <f t="shared" si="2"/>
        <v>3.3981111111111098</v>
      </c>
      <c r="S17" s="163">
        <f t="shared" si="3"/>
        <v>10.215921218890843</v>
      </c>
      <c r="T17" s="163">
        <f t="shared" si="4"/>
        <v>0.55058888888888879</v>
      </c>
      <c r="U17" s="163">
        <f t="shared" si="5"/>
        <v>0.59956222222222211</v>
      </c>
      <c r="V17" s="163">
        <f t="shared" ca="1" si="6"/>
        <v>9.330612915434644</v>
      </c>
      <c r="W17" s="163">
        <f t="shared" ca="1" si="7"/>
        <v>10.760587749389382</v>
      </c>
      <c r="X17" s="159">
        <f t="shared" si="8"/>
        <v>3.5701271632390807</v>
      </c>
      <c r="Y17" s="159">
        <f t="shared" si="9"/>
        <v>5.3747570428503089</v>
      </c>
      <c r="Z17" s="159">
        <f t="shared" si="10"/>
        <v>3.5701271632390807</v>
      </c>
      <c r="AA17" s="159">
        <f t="shared" si="11"/>
        <v>4.1044199407003026</v>
      </c>
      <c r="AB17" s="159">
        <f t="shared" si="12"/>
        <v>7.9543022106595016</v>
      </c>
      <c r="AC17" s="159">
        <f t="shared" si="13"/>
        <v>2.0522099703501513</v>
      </c>
      <c r="AD17" s="159">
        <f t="shared" si="14"/>
        <v>2.8976703594702951</v>
      </c>
      <c r="AE17" s="159">
        <f t="shared" si="15"/>
        <v>3.0067262356292916</v>
      </c>
      <c r="AF17" s="159">
        <f t="shared" si="16"/>
        <v>5.7509604983068199</v>
      </c>
      <c r="AG17" s="159">
        <f t="shared" si="17"/>
        <v>1.5033631178146458</v>
      </c>
      <c r="AH17" s="159">
        <f t="shared" si="18"/>
        <v>4.6874079344372426</v>
      </c>
      <c r="AI17" s="159">
        <f t="shared" si="19"/>
        <v>7.3179580338067414</v>
      </c>
      <c r="AJ17" s="159">
        <f t="shared" si="20"/>
        <v>3.2930811152130337</v>
      </c>
      <c r="AK17" s="159">
        <f t="shared" si="21"/>
        <v>2.033239285846804</v>
      </c>
      <c r="AL17" s="159">
        <f t="shared" si="22"/>
        <v>5.5127430332011222</v>
      </c>
      <c r="AM17" s="159">
        <f t="shared" si="23"/>
        <v>5.9975438668372645</v>
      </c>
      <c r="AN17" s="159">
        <f t="shared" si="24"/>
        <v>5.6316459651469266</v>
      </c>
      <c r="AO17" s="159">
        <f t="shared" si="25"/>
        <v>2.4637086914023603</v>
      </c>
      <c r="AP17" s="159">
        <f t="shared" si="26"/>
        <v>1.6418470366699369</v>
      </c>
      <c r="AQ17" s="159">
        <f t="shared" si="27"/>
        <v>2.1476615968780655</v>
      </c>
      <c r="AR17" s="159">
        <f t="shared" si="28"/>
        <v>4.724855513131744</v>
      </c>
      <c r="AS17" s="159">
        <f t="shared" si="29"/>
        <v>1.0738307984390327</v>
      </c>
      <c r="AT17" s="159">
        <f t="shared" si="30"/>
        <v>11.493280753529238</v>
      </c>
      <c r="AU17" s="159">
        <f t="shared" si="31"/>
        <v>1.5040237318301799</v>
      </c>
      <c r="AV17" s="159">
        <f t="shared" si="32"/>
        <v>2.3994323255010119</v>
      </c>
      <c r="AW17" s="159">
        <f t="shared" si="33"/>
        <v>0.75201186591508995</v>
      </c>
      <c r="AX17" s="159">
        <f t="shared" si="34"/>
        <v>1.5033631178146458</v>
      </c>
      <c r="AY17" s="159">
        <f t="shared" si="35"/>
        <v>3.1817208842638007</v>
      </c>
      <c r="AZ17" s="159">
        <f t="shared" si="36"/>
        <v>0.75168155890732291</v>
      </c>
      <c r="BA17" s="159">
        <f t="shared" si="37"/>
        <v>12.175085543992838</v>
      </c>
      <c r="BB17" s="159">
        <f t="shared" si="38"/>
        <v>2.9270615704079654</v>
      </c>
      <c r="BC17" s="159">
        <f t="shared" si="39"/>
        <v>5.1725200736289425</v>
      </c>
      <c r="BD17" s="159">
        <f t="shared" si="40"/>
        <v>1.4635307852039827</v>
      </c>
      <c r="BE17" s="159">
        <f t="shared" si="41"/>
        <v>2.3147019433019147</v>
      </c>
      <c r="BF17" s="159">
        <f t="shared" si="42"/>
        <v>2.7680971693095064</v>
      </c>
      <c r="BG17" s="159">
        <f t="shared" si="43"/>
        <v>10.726250364257689</v>
      </c>
      <c r="BH17" s="159">
        <f t="shared" si="44"/>
        <v>9.0258524430540774</v>
      </c>
      <c r="BI17" s="159">
        <f t="shared" si="45"/>
        <v>2.7882286105467182</v>
      </c>
      <c r="BJ17" s="159">
        <f t="shared" si="46"/>
        <v>3.857836572169858</v>
      </c>
      <c r="BK17" s="159">
        <f t="shared" si="47"/>
        <v>2.0999357836141086</v>
      </c>
      <c r="BL17" s="159">
        <f t="shared" si="48"/>
        <v>4.6387075922612713</v>
      </c>
      <c r="BM17" s="159">
        <f t="shared" si="49"/>
        <v>8.6351052432275193</v>
      </c>
      <c r="BN17" s="159">
        <f t="shared" si="50"/>
        <v>0.60160949273207198</v>
      </c>
      <c r="BO17" s="159">
        <f t="shared" si="51"/>
        <v>1.4317743979187103</v>
      </c>
      <c r="BP17" s="159">
        <f t="shared" si="52"/>
        <v>0.54089255032484618</v>
      </c>
      <c r="BQ17" s="159">
        <f t="shared" si="53"/>
        <v>3.7134010909178152</v>
      </c>
      <c r="BR17" s="159">
        <f t="shared" si="54"/>
        <v>12.684265531797013</v>
      </c>
      <c r="BS17" s="159">
        <f t="shared" si="55"/>
        <v>1.561870798439033</v>
      </c>
      <c r="BT17" s="159">
        <f t="shared" si="56"/>
        <v>2.2590218278272984</v>
      </c>
      <c r="BU17" s="159">
        <f t="shared" si="57"/>
        <v>1.9408497394009183</v>
      </c>
      <c r="BV17" s="159">
        <f t="shared" si="58"/>
        <v>5.5396639225167412</v>
      </c>
      <c r="BW17" s="159">
        <f t="shared" si="59"/>
        <v>10.923293960521843</v>
      </c>
      <c r="BX17" s="159">
        <f t="shared" si="60"/>
        <v>1.3998990119342443</v>
      </c>
      <c r="BY17" s="159">
        <f t="shared" si="61"/>
        <v>2.2590218278272984</v>
      </c>
      <c r="BZ17" s="159">
        <f t="shared" si="62"/>
        <v>1.9408497394009183</v>
      </c>
      <c r="CA17" s="159">
        <f t="shared" si="63"/>
        <v>7.6824789782594802</v>
      </c>
      <c r="CB17" s="159">
        <f t="shared" si="64"/>
        <v>8.8144369229847008</v>
      </c>
      <c r="CC17" s="159">
        <f t="shared" si="65"/>
        <v>1.7122731716220509</v>
      </c>
      <c r="CD17" s="159">
        <f t="shared" si="66"/>
        <v>4.9430847308610923</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3.0437713859982094</v>
      </c>
    </row>
    <row r="18" spans="1:89" x14ac:dyDescent="0.25">
      <c r="A18" t="e">
        <f>PLANTILLA!#REF!</f>
        <v>#REF!</v>
      </c>
      <c r="B18" s="488" t="e">
        <f>PLANTILLA!#REF!</f>
        <v>#REF!</v>
      </c>
      <c r="C18" s="488" t="e">
        <f>PLANTILLA!#REF!</f>
        <v>#REF!</v>
      </c>
      <c r="D18" s="488" t="e">
        <f>PLANTILLA!#REF!</f>
        <v>#REF!</v>
      </c>
      <c r="E18" s="290">
        <v>41730</v>
      </c>
      <c r="F18" s="341" t="e">
        <f>PLANTILLA!#REF!</f>
        <v>#REF!</v>
      </c>
      <c r="G18" s="407" t="e">
        <f t="shared" si="78"/>
        <v>#REF!</v>
      </c>
      <c r="H18" s="407" t="e">
        <f t="shared" si="75"/>
        <v>#REF!</v>
      </c>
      <c r="I18" s="497">
        <v>1.5</v>
      </c>
      <c r="J18" s="498" t="e">
        <f>PLANTILLA!#REF!</f>
        <v>#REF!</v>
      </c>
      <c r="K18" s="163" t="e">
        <f>PLANTILLA!#REF!</f>
        <v>#REF!</v>
      </c>
      <c r="L18" s="163" t="e">
        <f>PLANTILLA!#REF!</f>
        <v>#REF!</v>
      </c>
      <c r="M18" s="163" t="e">
        <f>PLANTILLA!#REF!</f>
        <v>#REF!</v>
      </c>
      <c r="N18" s="163" t="e">
        <f>PLANTILLA!#REF!</f>
        <v>#REF!</v>
      </c>
      <c r="O18" s="163" t="e">
        <f>PLANTILLA!#REF!</f>
        <v>#REF!</v>
      </c>
      <c r="P18" s="163" t="e">
        <f>PLANTILLA!#REF!</f>
        <v>#REF!</v>
      </c>
      <c r="Q18" s="163" t="e">
        <f>PLANTILLA!#REF!</f>
        <v>#REF!</v>
      </c>
      <c r="R18" s="163" t="e">
        <f t="shared" si="2"/>
        <v>#REF!</v>
      </c>
      <c r="S18" s="163" t="e">
        <f t="shared" si="3"/>
        <v>#REF!</v>
      </c>
      <c r="T18" s="163" t="e">
        <f t="shared" si="4"/>
        <v>#REF!</v>
      </c>
      <c r="U18" s="163" t="e">
        <f t="shared" si="5"/>
        <v>#REF!</v>
      </c>
      <c r="V18" s="163" t="e">
        <f t="shared" ca="1" si="6"/>
        <v>#REF!</v>
      </c>
      <c r="W18" s="163" t="e">
        <f t="shared" ca="1" si="7"/>
        <v>#REF!</v>
      </c>
      <c r="X18" s="159" t="e">
        <f t="shared" si="8"/>
        <v>#REF!</v>
      </c>
      <c r="Y18" s="159" t="e">
        <f t="shared" si="9"/>
        <v>#REF!</v>
      </c>
      <c r="Z18" s="159" t="e">
        <f t="shared" si="10"/>
        <v>#REF!</v>
      </c>
      <c r="AA18" s="159" t="e">
        <f t="shared" si="11"/>
        <v>#REF!</v>
      </c>
      <c r="AB18" s="159" t="e">
        <f t="shared" si="12"/>
        <v>#REF!</v>
      </c>
      <c r="AC18" s="159" t="e">
        <f t="shared" si="13"/>
        <v>#REF!</v>
      </c>
      <c r="AD18" s="159" t="e">
        <f t="shared" si="14"/>
        <v>#REF!</v>
      </c>
      <c r="AE18" s="159" t="e">
        <f t="shared" si="15"/>
        <v>#REF!</v>
      </c>
      <c r="AF18" s="159" t="e">
        <f t="shared" si="16"/>
        <v>#REF!</v>
      </c>
      <c r="AG18" s="159" t="e">
        <f t="shared" si="17"/>
        <v>#REF!</v>
      </c>
      <c r="AH18" s="159" t="e">
        <f t="shared" si="18"/>
        <v>#REF!</v>
      </c>
      <c r="AI18" s="159" t="e">
        <f t="shared" si="19"/>
        <v>#REF!</v>
      </c>
      <c r="AJ18" s="159" t="e">
        <f t="shared" si="20"/>
        <v>#REF!</v>
      </c>
      <c r="AK18" s="159" t="e">
        <f t="shared" si="21"/>
        <v>#REF!</v>
      </c>
      <c r="AL18" s="159" t="e">
        <f t="shared" si="22"/>
        <v>#REF!</v>
      </c>
      <c r="AM18" s="159" t="e">
        <f t="shared" si="23"/>
        <v>#REF!</v>
      </c>
      <c r="AN18" s="159" t="e">
        <f t="shared" si="24"/>
        <v>#REF!</v>
      </c>
      <c r="AO18" s="159" t="e">
        <f t="shared" si="25"/>
        <v>#REF!</v>
      </c>
      <c r="AP18" s="159" t="e">
        <f t="shared" si="26"/>
        <v>#REF!</v>
      </c>
      <c r="AQ18" s="159" t="e">
        <f t="shared" si="27"/>
        <v>#REF!</v>
      </c>
      <c r="AR18" s="159" t="e">
        <f t="shared" si="28"/>
        <v>#REF!</v>
      </c>
      <c r="AS18" s="159" t="e">
        <f t="shared" si="29"/>
        <v>#REF!</v>
      </c>
      <c r="AT18" s="159" t="e">
        <f t="shared" si="30"/>
        <v>#REF!</v>
      </c>
      <c r="AU18" s="159" t="e">
        <f t="shared" si="31"/>
        <v>#REF!</v>
      </c>
      <c r="AV18" s="159" t="e">
        <f t="shared" si="32"/>
        <v>#REF!</v>
      </c>
      <c r="AW18" s="159" t="e">
        <f t="shared" si="33"/>
        <v>#REF!</v>
      </c>
      <c r="AX18" s="159" t="e">
        <f t="shared" si="34"/>
        <v>#REF!</v>
      </c>
      <c r="AY18" s="159" t="e">
        <f t="shared" si="35"/>
        <v>#REF!</v>
      </c>
      <c r="AZ18" s="159" t="e">
        <f t="shared" si="36"/>
        <v>#REF!</v>
      </c>
      <c r="BA18" s="159" t="e">
        <f t="shared" si="37"/>
        <v>#REF!</v>
      </c>
      <c r="BB18" s="159" t="e">
        <f t="shared" si="38"/>
        <v>#REF!</v>
      </c>
      <c r="BC18" s="159" t="e">
        <f t="shared" si="39"/>
        <v>#REF!</v>
      </c>
      <c r="BD18" s="159" t="e">
        <f t="shared" si="40"/>
        <v>#REF!</v>
      </c>
      <c r="BE18" s="159" t="e">
        <f t="shared" si="41"/>
        <v>#REF!</v>
      </c>
      <c r="BF18" s="159" t="e">
        <f t="shared" si="42"/>
        <v>#REF!</v>
      </c>
      <c r="BG18" s="159" t="e">
        <f t="shared" si="43"/>
        <v>#REF!</v>
      </c>
      <c r="BH18" s="159" t="e">
        <f t="shared" si="44"/>
        <v>#REF!</v>
      </c>
      <c r="BI18" s="159" t="e">
        <f t="shared" si="45"/>
        <v>#REF!</v>
      </c>
      <c r="BJ18" s="159" t="e">
        <f t="shared" si="46"/>
        <v>#REF!</v>
      </c>
      <c r="BK18" s="159" t="e">
        <f t="shared" si="47"/>
        <v>#REF!</v>
      </c>
      <c r="BL18" s="159" t="e">
        <f t="shared" si="48"/>
        <v>#REF!</v>
      </c>
      <c r="BM18" s="159" t="e">
        <f t="shared" si="49"/>
        <v>#REF!</v>
      </c>
      <c r="BN18" s="159" t="e">
        <f t="shared" si="50"/>
        <v>#REF!</v>
      </c>
      <c r="BO18" s="159" t="e">
        <f t="shared" si="51"/>
        <v>#REF!</v>
      </c>
      <c r="BP18" s="159" t="e">
        <f t="shared" si="52"/>
        <v>#REF!</v>
      </c>
      <c r="BQ18" s="159" t="e">
        <f t="shared" si="53"/>
        <v>#REF!</v>
      </c>
      <c r="BR18" s="159" t="e">
        <f t="shared" si="54"/>
        <v>#REF!</v>
      </c>
      <c r="BS18" s="159" t="e">
        <f t="shared" si="55"/>
        <v>#REF!</v>
      </c>
      <c r="BT18" s="159" t="e">
        <f t="shared" si="56"/>
        <v>#REF!</v>
      </c>
      <c r="BU18" s="159" t="e">
        <f t="shared" si="57"/>
        <v>#REF!</v>
      </c>
      <c r="BV18" s="159" t="e">
        <f t="shared" si="58"/>
        <v>#REF!</v>
      </c>
      <c r="BW18" s="159" t="e">
        <f t="shared" si="59"/>
        <v>#REF!</v>
      </c>
      <c r="BX18" s="159" t="e">
        <f t="shared" si="60"/>
        <v>#REF!</v>
      </c>
      <c r="BY18" s="159" t="e">
        <f t="shared" si="61"/>
        <v>#REF!</v>
      </c>
      <c r="BZ18" s="159" t="e">
        <f t="shared" si="62"/>
        <v>#REF!</v>
      </c>
      <c r="CA18" s="159" t="e">
        <f t="shared" si="63"/>
        <v>#REF!</v>
      </c>
      <c r="CB18" s="159" t="e">
        <f t="shared" si="64"/>
        <v>#REF!</v>
      </c>
      <c r="CC18" s="159" t="e">
        <f t="shared" si="65"/>
        <v>#REF!</v>
      </c>
      <c r="CD18" s="159" t="e">
        <f t="shared" si="66"/>
        <v>#REF!</v>
      </c>
      <c r="CE18" s="159" t="e">
        <f t="shared" si="67"/>
        <v>#REF!</v>
      </c>
      <c r="CF18" s="159" t="e">
        <f t="shared" si="68"/>
        <v>#REF!</v>
      </c>
      <c r="CG18" s="159" t="e">
        <f t="shared" si="69"/>
        <v>#REF!</v>
      </c>
      <c r="CH18" s="159" t="e">
        <f t="shared" si="70"/>
        <v>#REF!</v>
      </c>
      <c r="CI18" s="159" t="e">
        <f t="shared" si="71"/>
        <v>#REF!</v>
      </c>
      <c r="CJ18" s="159" t="e">
        <f t="shared" si="72"/>
        <v>#REF!</v>
      </c>
      <c r="CK18" s="159" t="e">
        <f t="shared" si="73"/>
        <v>#REF!</v>
      </c>
    </row>
    <row r="19" spans="1:89" x14ac:dyDescent="0.25">
      <c r="A19" t="str">
        <f>PLANTILLA!D21</f>
        <v>J. Limon</v>
      </c>
      <c r="B19" s="488">
        <f>PLANTILLA!E21</f>
        <v>30</v>
      </c>
      <c r="C19" s="488">
        <f ca="1">PLANTILLA!F21</f>
        <v>32</v>
      </c>
      <c r="D19" s="488" t="str">
        <f>PLANTILLA!G21</f>
        <v>RAP</v>
      </c>
      <c r="E19" s="290">
        <v>41664</v>
      </c>
      <c r="F19" s="341">
        <f>PLANTILLA!Q21</f>
        <v>7</v>
      </c>
      <c r="G19" s="407">
        <f t="shared" si="78"/>
        <v>1</v>
      </c>
      <c r="H19" s="407">
        <f t="shared" si="75"/>
        <v>1</v>
      </c>
      <c r="I19" s="497">
        <v>1.5</v>
      </c>
      <c r="J19" s="498">
        <f>PLANTILLA!I21</f>
        <v>10.3</v>
      </c>
      <c r="K19" s="163">
        <f>PLANTILLA!X21</f>
        <v>0</v>
      </c>
      <c r="L19" s="163">
        <f>PLANTILLA!Y21</f>
        <v>6.8376190476190493</v>
      </c>
      <c r="M19" s="163">
        <f>PLANTILLA!Z21</f>
        <v>8.6449999999999996</v>
      </c>
      <c r="N19" s="163">
        <f>PLANTILLA!AA21</f>
        <v>8.7399999999999967</v>
      </c>
      <c r="O19" s="163">
        <f>PLANTILLA!AB21</f>
        <v>9.6900000000000013</v>
      </c>
      <c r="P19" s="163">
        <f>PLANTILLA!AC21</f>
        <v>8.5625000000000018</v>
      </c>
      <c r="Q19" s="163">
        <f>PLANTILLA!AD21</f>
        <v>18.789999999999992</v>
      </c>
      <c r="R19" s="163">
        <f t="shared" si="2"/>
        <v>3.6522023809523816</v>
      </c>
      <c r="S19" s="163">
        <f t="shared" si="3"/>
        <v>23.247743688797904</v>
      </c>
      <c r="T19" s="163">
        <f t="shared" si="4"/>
        <v>0.99182499999999985</v>
      </c>
      <c r="U19" s="163">
        <f t="shared" si="5"/>
        <v>0.83720476190476167</v>
      </c>
      <c r="V19" s="163">
        <f t="shared" ca="1" si="6"/>
        <v>21.140449632940221</v>
      </c>
      <c r="W19" s="163">
        <f t="shared" ca="1" si="7"/>
        <v>21.140449632940221</v>
      </c>
      <c r="X19" s="159">
        <f t="shared" si="8"/>
        <v>4.3756253866996779</v>
      </c>
      <c r="Y19" s="159">
        <f t="shared" si="9"/>
        <v>6.5859185713639317</v>
      </c>
      <c r="Z19" s="159">
        <f t="shared" si="10"/>
        <v>4.3756253866996779</v>
      </c>
      <c r="AA19" s="159">
        <f t="shared" si="11"/>
        <v>4.9990434391685881</v>
      </c>
      <c r="AB19" s="159">
        <f t="shared" si="12"/>
        <v>9.6880686805592795</v>
      </c>
      <c r="AC19" s="159">
        <f t="shared" si="13"/>
        <v>2.499521719584294</v>
      </c>
      <c r="AD19" s="159">
        <f t="shared" si="14"/>
        <v>2.7359170126397743</v>
      </c>
      <c r="AE19" s="159">
        <f t="shared" si="15"/>
        <v>3.6620899612514077</v>
      </c>
      <c r="AF19" s="159">
        <f t="shared" si="16"/>
        <v>7.0044736560443592</v>
      </c>
      <c r="AG19" s="159">
        <f t="shared" si="17"/>
        <v>1.8310449806257039</v>
      </c>
      <c r="AH19" s="159">
        <f t="shared" si="18"/>
        <v>4.4257481086819883</v>
      </c>
      <c r="AI19" s="159">
        <f t="shared" si="19"/>
        <v>8.9130231861145379</v>
      </c>
      <c r="AJ19" s="159">
        <f t="shared" si="20"/>
        <v>4.0108604337515414</v>
      </c>
      <c r="AK19" s="159">
        <f t="shared" si="21"/>
        <v>1.9197400887010183</v>
      </c>
      <c r="AL19" s="159">
        <f t="shared" si="22"/>
        <v>6.8151843841688526</v>
      </c>
      <c r="AM19" s="159">
        <f t="shared" si="23"/>
        <v>7.3048037851416971</v>
      </c>
      <c r="AN19" s="159">
        <f t="shared" si="24"/>
        <v>6.8591526258359696</v>
      </c>
      <c r="AO19" s="159">
        <f t="shared" si="25"/>
        <v>3.613955088701017</v>
      </c>
      <c r="AP19" s="159">
        <f t="shared" si="26"/>
        <v>1.8727637800010719</v>
      </c>
      <c r="AQ19" s="159">
        <f t="shared" si="27"/>
        <v>2.6157785437510057</v>
      </c>
      <c r="AR19" s="159">
        <f t="shared" si="28"/>
        <v>5.7547127962522113</v>
      </c>
      <c r="AS19" s="159">
        <f t="shared" si="29"/>
        <v>1.3078892718755029</v>
      </c>
      <c r="AT19" s="159">
        <f t="shared" si="30"/>
        <v>10.851704453495575</v>
      </c>
      <c r="AU19" s="159">
        <f t="shared" si="31"/>
        <v>1.6302584522822301</v>
      </c>
      <c r="AV19" s="159">
        <f t="shared" si="32"/>
        <v>3.4792942424514877</v>
      </c>
      <c r="AW19" s="159">
        <f t="shared" si="33"/>
        <v>0.81512922614111505</v>
      </c>
      <c r="AX19" s="159">
        <f t="shared" si="34"/>
        <v>1.8310449806257039</v>
      </c>
      <c r="AY19" s="159">
        <f t="shared" si="35"/>
        <v>3.8752274722237119</v>
      </c>
      <c r="AZ19" s="159">
        <f t="shared" si="36"/>
        <v>0.91552249031285193</v>
      </c>
      <c r="BA19" s="159">
        <f t="shared" si="37"/>
        <v>11.495449632940229</v>
      </c>
      <c r="BB19" s="159">
        <f t="shared" si="38"/>
        <v>3.1727337571338783</v>
      </c>
      <c r="BC19" s="159">
        <f t="shared" si="39"/>
        <v>6.673012747750068</v>
      </c>
      <c r="BD19" s="159">
        <f t="shared" si="40"/>
        <v>1.5863668785669391</v>
      </c>
      <c r="BE19" s="159">
        <f t="shared" si="41"/>
        <v>2.8192279860427503</v>
      </c>
      <c r="BF19" s="159">
        <f t="shared" si="42"/>
        <v>3.371447900834629</v>
      </c>
      <c r="BG19" s="159">
        <f t="shared" si="43"/>
        <v>10.127491126620342</v>
      </c>
      <c r="BH19" s="159">
        <f t="shared" si="44"/>
        <v>10.603159723683861</v>
      </c>
      <c r="BI19" s="159">
        <f t="shared" si="45"/>
        <v>3.0222483615385953</v>
      </c>
      <c r="BJ19" s="159">
        <f t="shared" si="46"/>
        <v>4.6987133100712501</v>
      </c>
      <c r="BK19" s="159">
        <f t="shared" si="47"/>
        <v>2.5576501316676499</v>
      </c>
      <c r="BL19" s="159">
        <f t="shared" si="48"/>
        <v>4.3797663101502273</v>
      </c>
      <c r="BM19" s="159">
        <f t="shared" si="49"/>
        <v>10.32100297918976</v>
      </c>
      <c r="BN19" s="159">
        <f t="shared" si="50"/>
        <v>0.65210338091289199</v>
      </c>
      <c r="BO19" s="159">
        <f t="shared" si="51"/>
        <v>1.7438523625006703</v>
      </c>
      <c r="BP19" s="159">
        <f t="shared" si="52"/>
        <v>0.65878867027803101</v>
      </c>
      <c r="BQ19" s="159">
        <f t="shared" si="53"/>
        <v>3.5061121380467699</v>
      </c>
      <c r="BR19" s="159">
        <f t="shared" si="54"/>
        <v>15.177018227961131</v>
      </c>
      <c r="BS19" s="159">
        <f t="shared" si="55"/>
        <v>1.6929607004469311</v>
      </c>
      <c r="BT19" s="159">
        <f t="shared" si="56"/>
        <v>2.7514115052788353</v>
      </c>
      <c r="BU19" s="159">
        <f t="shared" si="57"/>
        <v>2.363888758056464</v>
      </c>
      <c r="BV19" s="159">
        <f t="shared" si="58"/>
        <v>5.2304295829878047</v>
      </c>
      <c r="BW19" s="159">
        <f t="shared" si="59"/>
        <v>13.074018193297771</v>
      </c>
      <c r="BX19" s="159">
        <f t="shared" si="60"/>
        <v>1.5173944055857678</v>
      </c>
      <c r="BY19" s="159">
        <f t="shared" si="61"/>
        <v>2.7514115052788353</v>
      </c>
      <c r="BZ19" s="159">
        <f t="shared" si="62"/>
        <v>2.363888758056464</v>
      </c>
      <c r="CA19" s="159">
        <f t="shared" si="63"/>
        <v>7.2536287183852846</v>
      </c>
      <c r="CB19" s="159">
        <f t="shared" si="64"/>
        <v>10.556802421481501</v>
      </c>
      <c r="CC19" s="159">
        <f t="shared" si="65"/>
        <v>1.8559865456751541</v>
      </c>
      <c r="CD19" s="159">
        <f t="shared" si="66"/>
        <v>4.667152550973733</v>
      </c>
      <c r="CE19" s="159">
        <f t="shared" si="67"/>
        <v>6.2535817587618601</v>
      </c>
      <c r="CF19" s="159">
        <f t="shared" si="68"/>
        <v>13.463213786690702</v>
      </c>
      <c r="CG19" s="159">
        <f t="shared" si="69"/>
        <v>6.2535817587618601</v>
      </c>
      <c r="CH19" s="159">
        <f t="shared" si="70"/>
        <v>7.1796001213217631</v>
      </c>
      <c r="CI19" s="159">
        <f t="shared" si="71"/>
        <v>16.040375547495177</v>
      </c>
      <c r="CJ19" s="159">
        <f t="shared" si="72"/>
        <v>7.1796001213217631</v>
      </c>
      <c r="CK19" s="159">
        <f t="shared" si="73"/>
        <v>2.8738624082350572</v>
      </c>
    </row>
    <row r="20" spans="1:89" x14ac:dyDescent="0.25">
      <c r="A20" t="str">
        <f>PLANTILLA!D22</f>
        <v>L. Calosso</v>
      </c>
      <c r="B20" s="488">
        <f>PLANTILLA!E22</f>
        <v>30</v>
      </c>
      <c r="C20" s="488">
        <f ca="1">PLANTILLA!F22</f>
        <v>101</v>
      </c>
      <c r="D20" s="488" t="str">
        <f>PLANTILLA!G22</f>
        <v>TEC</v>
      </c>
      <c r="E20" s="290">
        <v>41890</v>
      </c>
      <c r="F20" s="341">
        <f>PLANTILLA!Q22</f>
        <v>6</v>
      </c>
      <c r="G20" s="407">
        <f t="shared" si="78"/>
        <v>0.92582009977255142</v>
      </c>
      <c r="H20" s="407">
        <f t="shared" si="75"/>
        <v>0.99928545900129484</v>
      </c>
      <c r="I20" s="497">
        <v>1.5</v>
      </c>
      <c r="J20" s="498">
        <f>PLANTILLA!I22</f>
        <v>10.5</v>
      </c>
      <c r="K20" s="163">
        <f>PLANTILLA!X22</f>
        <v>0</v>
      </c>
      <c r="L20" s="163">
        <f>PLANTILLA!Y22</f>
        <v>3.02</v>
      </c>
      <c r="M20" s="163">
        <f>PLANTILLA!Z22</f>
        <v>14.277609523809524</v>
      </c>
      <c r="N20" s="163">
        <f>PLANTILLA!AA22</f>
        <v>3.04</v>
      </c>
      <c r="O20" s="163">
        <f>PLANTILLA!AB22</f>
        <v>15.02</v>
      </c>
      <c r="P20" s="163">
        <f>PLANTILLA!AC22</f>
        <v>10</v>
      </c>
      <c r="Q20" s="163">
        <f>PLANTILLA!AD22</f>
        <v>9.6000000000000014</v>
      </c>
      <c r="R20" s="163">
        <f t="shared" si="2"/>
        <v>4.5075000000000003</v>
      </c>
      <c r="S20" s="163">
        <f t="shared" si="3"/>
        <v>20.604104467926085</v>
      </c>
      <c r="T20" s="163">
        <f t="shared" si="4"/>
        <v>0.78800000000000003</v>
      </c>
      <c r="U20" s="163">
        <f t="shared" si="5"/>
        <v>0.40880000000000011</v>
      </c>
      <c r="V20" s="163">
        <f t="shared" ca="1" si="6"/>
        <v>11.074276495924501</v>
      </c>
      <c r="W20" s="163">
        <f t="shared" ca="1" si="7"/>
        <v>11.953038688678143</v>
      </c>
      <c r="X20" s="159">
        <f t="shared" si="8"/>
        <v>3.3316843441174075</v>
      </c>
      <c r="Y20" s="159">
        <f t="shared" si="9"/>
        <v>4.9778071801323858</v>
      </c>
      <c r="Z20" s="159">
        <f t="shared" si="10"/>
        <v>3.3316843441174075</v>
      </c>
      <c r="AA20" s="159">
        <f t="shared" si="11"/>
        <v>3.034898237760117</v>
      </c>
      <c r="AB20" s="159">
        <f t="shared" si="12"/>
        <v>5.8815857320932503</v>
      </c>
      <c r="AC20" s="159">
        <f t="shared" si="13"/>
        <v>1.5174491188800585</v>
      </c>
      <c r="AD20" s="159">
        <f t="shared" si="14"/>
        <v>4.0791284709048599</v>
      </c>
      <c r="AE20" s="159">
        <f t="shared" si="15"/>
        <v>2.2232394067312486</v>
      </c>
      <c r="AF20" s="159">
        <f t="shared" si="16"/>
        <v>4.25238648430342</v>
      </c>
      <c r="AG20" s="159">
        <f t="shared" si="17"/>
        <v>1.1116197033656243</v>
      </c>
      <c r="AH20" s="159">
        <f t="shared" si="18"/>
        <v>6.5985901735225676</v>
      </c>
      <c r="AI20" s="159">
        <f t="shared" si="19"/>
        <v>5.411058873525791</v>
      </c>
      <c r="AJ20" s="159">
        <f t="shared" si="20"/>
        <v>2.4349764930866056</v>
      </c>
      <c r="AK20" s="159">
        <f t="shared" si="21"/>
        <v>2.8622456077357632</v>
      </c>
      <c r="AL20" s="159">
        <f t="shared" si="22"/>
        <v>3.4701324104708311</v>
      </c>
      <c r="AM20" s="159">
        <f t="shared" si="23"/>
        <v>4.4347156419983111</v>
      </c>
      <c r="AN20" s="159">
        <f t="shared" si="24"/>
        <v>4.1641626983220208</v>
      </c>
      <c r="AO20" s="159">
        <f t="shared" si="25"/>
        <v>2.0810848172595731</v>
      </c>
      <c r="AP20" s="159">
        <f t="shared" si="26"/>
        <v>2.1222966908428562</v>
      </c>
      <c r="AQ20" s="159">
        <f t="shared" si="27"/>
        <v>1.5880281476651776</v>
      </c>
      <c r="AR20" s="159">
        <f t="shared" si="28"/>
        <v>3.4936619248633907</v>
      </c>
      <c r="AS20" s="159">
        <f t="shared" si="29"/>
        <v>0.79401407383258882</v>
      </c>
      <c r="AT20" s="159">
        <f t="shared" si="30"/>
        <v>16.179400321572217</v>
      </c>
      <c r="AU20" s="159">
        <f t="shared" si="31"/>
        <v>2.3246061451721225</v>
      </c>
      <c r="AV20" s="159">
        <f t="shared" si="32"/>
        <v>4.3708446195033215</v>
      </c>
      <c r="AW20" s="159">
        <f t="shared" si="33"/>
        <v>1.1623030725860612</v>
      </c>
      <c r="AX20" s="159">
        <f t="shared" si="34"/>
        <v>1.1116197033656243</v>
      </c>
      <c r="AY20" s="159">
        <f t="shared" si="35"/>
        <v>2.3526342928373003</v>
      </c>
      <c r="AZ20" s="159">
        <f t="shared" si="36"/>
        <v>0.55580985168281216</v>
      </c>
      <c r="BA20" s="159">
        <f t="shared" si="37"/>
        <v>17.139195255902774</v>
      </c>
      <c r="BB20" s="159">
        <f t="shared" si="38"/>
        <v>4.5240411902195925</v>
      </c>
      <c r="BC20" s="159">
        <f t="shared" si="39"/>
        <v>8.7985537383833812</v>
      </c>
      <c r="BD20" s="159">
        <f t="shared" si="40"/>
        <v>2.2620205951097963</v>
      </c>
      <c r="BE20" s="159">
        <f t="shared" si="41"/>
        <v>1.7115414480391358</v>
      </c>
      <c r="BF20" s="159">
        <f t="shared" si="42"/>
        <v>2.0467918347684511</v>
      </c>
      <c r="BG20" s="159">
        <f t="shared" si="43"/>
        <v>15.099631020450344</v>
      </c>
      <c r="BH20" s="159">
        <f t="shared" si="44"/>
        <v>9.0202097158308998</v>
      </c>
      <c r="BI20" s="159">
        <f t="shared" si="45"/>
        <v>4.3094621614344728</v>
      </c>
      <c r="BJ20" s="159">
        <f t="shared" si="46"/>
        <v>2.8525690800652264</v>
      </c>
      <c r="BK20" s="159">
        <f t="shared" si="47"/>
        <v>1.5527386332726181</v>
      </c>
      <c r="BL20" s="159">
        <f t="shared" si="48"/>
        <v>6.5300333924989564</v>
      </c>
      <c r="BM20" s="159">
        <f t="shared" si="49"/>
        <v>7.5659659298495008</v>
      </c>
      <c r="BN20" s="159">
        <f t="shared" si="50"/>
        <v>0.92984245806884891</v>
      </c>
      <c r="BO20" s="159">
        <f t="shared" si="51"/>
        <v>1.0586854317767851</v>
      </c>
      <c r="BP20" s="159">
        <f t="shared" si="52"/>
        <v>0.39994782978234106</v>
      </c>
      <c r="BQ20" s="159">
        <f t="shared" si="53"/>
        <v>5.2274545530503458</v>
      </c>
      <c r="BR20" s="159">
        <f t="shared" si="54"/>
        <v>11.01571925147192</v>
      </c>
      <c r="BS20" s="159">
        <f t="shared" si="55"/>
        <v>2.4140140738325888</v>
      </c>
      <c r="BT20" s="159">
        <f t="shared" si="56"/>
        <v>1.6703703479144829</v>
      </c>
      <c r="BU20" s="159">
        <f t="shared" si="57"/>
        <v>1.435106918630753</v>
      </c>
      <c r="BV20" s="159">
        <f t="shared" si="58"/>
        <v>7.7983338414357624</v>
      </c>
      <c r="BW20" s="159">
        <f t="shared" si="59"/>
        <v>9.4620769911593214</v>
      </c>
      <c r="BX20" s="159">
        <f t="shared" si="60"/>
        <v>2.1636718735832829</v>
      </c>
      <c r="BY20" s="159">
        <f t="shared" si="61"/>
        <v>1.6703703479144829</v>
      </c>
      <c r="BZ20" s="159">
        <f t="shared" si="62"/>
        <v>1.435106918630753</v>
      </c>
      <c r="CA20" s="159">
        <f t="shared" si="63"/>
        <v>10.81483220647465</v>
      </c>
      <c r="CB20" s="159">
        <f t="shared" si="64"/>
        <v>7.5940592302234595</v>
      </c>
      <c r="CC20" s="159">
        <f t="shared" si="65"/>
        <v>2.6464746883498007</v>
      </c>
      <c r="CD20" s="159">
        <f t="shared" si="66"/>
        <v>6.9585132738965267</v>
      </c>
      <c r="CE20" s="159">
        <f t="shared" si="67"/>
        <v>8.312293024988044</v>
      </c>
      <c r="CF20" s="159">
        <f t="shared" si="68"/>
        <v>17.208005534336998</v>
      </c>
      <c r="CG20" s="159">
        <f t="shared" si="69"/>
        <v>8.312293024988044</v>
      </c>
      <c r="CH20" s="159">
        <f t="shared" si="70"/>
        <v>7.0574479110940942</v>
      </c>
      <c r="CI20" s="159">
        <f t="shared" si="71"/>
        <v>19.459890867235657</v>
      </c>
      <c r="CJ20" s="159">
        <f t="shared" si="72"/>
        <v>7.0574479110940942</v>
      </c>
      <c r="CK20" s="159">
        <f t="shared" si="73"/>
        <v>4.2847988139756934</v>
      </c>
    </row>
    <row r="21" spans="1:89" x14ac:dyDescent="0.25">
      <c r="A21" t="str">
        <f>PLANTILLA!D23</f>
        <v>P .Trivadi</v>
      </c>
      <c r="B21" s="488">
        <f>PLANTILLA!E23</f>
        <v>27</v>
      </c>
      <c r="C21" s="488">
        <f ca="1">PLANTILLA!F23</f>
        <v>63</v>
      </c>
      <c r="D21" s="488"/>
      <c r="E21" s="290">
        <v>41973</v>
      </c>
      <c r="F21" s="341">
        <f>PLANTILLA!Q23</f>
        <v>6</v>
      </c>
      <c r="G21" s="407">
        <f t="shared" si="78"/>
        <v>0.92582009977255142</v>
      </c>
      <c r="H21" s="407">
        <f t="shared" si="75"/>
        <v>0.99928545900129484</v>
      </c>
      <c r="I21" s="497">
        <v>1.5</v>
      </c>
      <c r="J21" s="498">
        <f>PLANTILLA!I23</f>
        <v>5.5</v>
      </c>
      <c r="K21" s="163">
        <f>PLANTILLA!X23</f>
        <v>0</v>
      </c>
      <c r="L21" s="163">
        <f>PLANTILLA!Y23</f>
        <v>4.0199999999999996</v>
      </c>
      <c r="M21" s="163">
        <f>PLANTILLA!Z23</f>
        <v>5.5738722222222199</v>
      </c>
      <c r="N21" s="163">
        <f>PLANTILLA!AA23</f>
        <v>5.5099999999999989</v>
      </c>
      <c r="O21" s="163">
        <f>PLANTILLA!AB23</f>
        <v>10.799999999999999</v>
      </c>
      <c r="P21" s="163">
        <f>PLANTILLA!AC23</f>
        <v>8.384500000000001</v>
      </c>
      <c r="Q21" s="163">
        <f>PLANTILLA!AD23</f>
        <v>13.566666666666668</v>
      </c>
      <c r="R21" s="163">
        <f t="shared" si="2"/>
        <v>3.5774999999999997</v>
      </c>
      <c r="S21" s="163">
        <f t="shared" si="3"/>
        <v>19.276538725043039</v>
      </c>
      <c r="T21" s="163">
        <f t="shared" si="4"/>
        <v>0.82622500000000021</v>
      </c>
      <c r="U21" s="163">
        <f t="shared" si="5"/>
        <v>0.56779999999999997</v>
      </c>
      <c r="V21" s="163">
        <f t="shared" ca="1" si="6"/>
        <v>14.400036332094082</v>
      </c>
      <c r="W21" s="163">
        <f t="shared" ca="1" si="7"/>
        <v>15.542703079450447</v>
      </c>
      <c r="X21" s="159">
        <f t="shared" si="8"/>
        <v>3.2808021705712997</v>
      </c>
      <c r="Y21" s="159">
        <f t="shared" si="9"/>
        <v>4.9194109761827578</v>
      </c>
      <c r="Z21" s="159">
        <f t="shared" si="10"/>
        <v>3.2808021705712997</v>
      </c>
      <c r="AA21" s="159">
        <f t="shared" si="11"/>
        <v>3.3576895303720398</v>
      </c>
      <c r="AB21" s="159">
        <f t="shared" si="12"/>
        <v>6.5071502526589917</v>
      </c>
      <c r="AC21" s="159">
        <f t="shared" si="13"/>
        <v>1.6788447651860199</v>
      </c>
      <c r="AD21" s="159">
        <f t="shared" si="14"/>
        <v>1.9185233490217282</v>
      </c>
      <c r="AE21" s="159">
        <f t="shared" si="15"/>
        <v>2.4597027955050987</v>
      </c>
      <c r="AF21" s="159">
        <f t="shared" si="16"/>
        <v>4.7046696326724504</v>
      </c>
      <c r="AG21" s="159">
        <f t="shared" si="17"/>
        <v>1.2298513977525494</v>
      </c>
      <c r="AH21" s="159">
        <f t="shared" si="18"/>
        <v>3.1034936528292665</v>
      </c>
      <c r="AI21" s="159">
        <f t="shared" si="19"/>
        <v>5.9865782324462726</v>
      </c>
      <c r="AJ21" s="159">
        <f t="shared" si="20"/>
        <v>2.6939602046008226</v>
      </c>
      <c r="AK21" s="159">
        <f t="shared" si="21"/>
        <v>1.3461907533051622</v>
      </c>
      <c r="AL21" s="159">
        <f t="shared" si="22"/>
        <v>4.7023243485634865</v>
      </c>
      <c r="AM21" s="159">
        <f t="shared" si="23"/>
        <v>4.9063912905048799</v>
      </c>
      <c r="AN21" s="159">
        <f t="shared" si="24"/>
        <v>4.6070623788825662</v>
      </c>
      <c r="AO21" s="159">
        <f t="shared" si="25"/>
        <v>2.6809874255273853</v>
      </c>
      <c r="AP21" s="159">
        <f t="shared" si="26"/>
        <v>1.7466192727657894</v>
      </c>
      <c r="AQ21" s="159">
        <f t="shared" si="27"/>
        <v>1.7569305682179279</v>
      </c>
      <c r="AR21" s="159">
        <f t="shared" si="28"/>
        <v>3.8652472500794408</v>
      </c>
      <c r="AS21" s="159">
        <f t="shared" si="29"/>
        <v>0.87846528410896396</v>
      </c>
      <c r="AT21" s="159">
        <f t="shared" si="30"/>
        <v>7.6096052162878633</v>
      </c>
      <c r="AU21" s="159">
        <f t="shared" si="31"/>
        <v>1.7273295328456688</v>
      </c>
      <c r="AV21" s="159">
        <f t="shared" si="32"/>
        <v>3.4752535240290845</v>
      </c>
      <c r="AW21" s="159">
        <f t="shared" si="33"/>
        <v>0.86366476642283441</v>
      </c>
      <c r="AX21" s="159">
        <f t="shared" si="34"/>
        <v>1.2298513977525494</v>
      </c>
      <c r="AY21" s="159">
        <f t="shared" si="35"/>
        <v>2.6028601010635968</v>
      </c>
      <c r="AZ21" s="159">
        <f t="shared" si="36"/>
        <v>0.61492569887627468</v>
      </c>
      <c r="BA21" s="159">
        <f t="shared" si="37"/>
        <v>8.0610224748812112</v>
      </c>
      <c r="BB21" s="159">
        <f t="shared" si="38"/>
        <v>3.3616490139227246</v>
      </c>
      <c r="BC21" s="159">
        <f t="shared" si="39"/>
        <v>6.8139647892151043</v>
      </c>
      <c r="BD21" s="159">
        <f t="shared" si="40"/>
        <v>1.6808245069613623</v>
      </c>
      <c r="BE21" s="159">
        <f t="shared" si="41"/>
        <v>1.8935807235237665</v>
      </c>
      <c r="BF21" s="159">
        <f t="shared" si="42"/>
        <v>2.264488287925329</v>
      </c>
      <c r="BG21" s="159">
        <f t="shared" si="43"/>
        <v>7.1017608003703474</v>
      </c>
      <c r="BH21" s="159">
        <f t="shared" si="44"/>
        <v>8.7758165746138417</v>
      </c>
      <c r="BI21" s="159">
        <f t="shared" si="45"/>
        <v>3.2022032108908167</v>
      </c>
      <c r="BJ21" s="159">
        <f t="shared" si="46"/>
        <v>3.1559678725396108</v>
      </c>
      <c r="BK21" s="159">
        <f t="shared" si="47"/>
        <v>1.7178876667019738</v>
      </c>
      <c r="BL21" s="159">
        <f t="shared" si="48"/>
        <v>3.0712495629297414</v>
      </c>
      <c r="BM21" s="159">
        <f t="shared" si="49"/>
        <v>8.0527993208239579</v>
      </c>
      <c r="BN21" s="159">
        <f t="shared" si="50"/>
        <v>0.69093181313826746</v>
      </c>
      <c r="BO21" s="159">
        <f t="shared" si="51"/>
        <v>1.1712870454786184</v>
      </c>
      <c r="BP21" s="159">
        <f t="shared" si="52"/>
        <v>0.44248621718081149</v>
      </c>
      <c r="BQ21" s="159">
        <f t="shared" si="53"/>
        <v>2.4586118548387694</v>
      </c>
      <c r="BR21" s="159">
        <f t="shared" si="54"/>
        <v>11.797275224919462</v>
      </c>
      <c r="BS21" s="159">
        <f t="shared" si="55"/>
        <v>1.793765284108964</v>
      </c>
      <c r="BT21" s="159">
        <f t="shared" si="56"/>
        <v>1.8480306717551536</v>
      </c>
      <c r="BU21" s="159">
        <f t="shared" si="57"/>
        <v>1.587744661648794</v>
      </c>
      <c r="BV21" s="159">
        <f t="shared" si="58"/>
        <v>3.667765226070951</v>
      </c>
      <c r="BW21" s="159">
        <f t="shared" si="59"/>
        <v>10.151602479946161</v>
      </c>
      <c r="BX21" s="159">
        <f t="shared" si="60"/>
        <v>1.6077451805717378</v>
      </c>
      <c r="BY21" s="159">
        <f t="shared" si="61"/>
        <v>1.8480306717551536</v>
      </c>
      <c r="BZ21" s="159">
        <f t="shared" si="62"/>
        <v>1.587744661648794</v>
      </c>
      <c r="CA21" s="159">
        <f t="shared" si="63"/>
        <v>5.0865051816500442</v>
      </c>
      <c r="CB21" s="159">
        <f t="shared" si="64"/>
        <v>8.1784194761297968</v>
      </c>
      <c r="CC21" s="159">
        <f t="shared" si="65"/>
        <v>1.9664982373935307</v>
      </c>
      <c r="CD21" s="159">
        <f t="shared" si="66"/>
        <v>3.2727751248017718</v>
      </c>
      <c r="CE21" s="159">
        <f t="shared" si="67"/>
        <v>5.8540767816353352</v>
      </c>
      <c r="CF21" s="159">
        <f t="shared" si="68"/>
        <v>13.553094684494026</v>
      </c>
      <c r="CG21" s="159">
        <f t="shared" si="69"/>
        <v>5.8540767816353352</v>
      </c>
      <c r="CH21" s="159">
        <f t="shared" si="70"/>
        <v>6.3507746074065521</v>
      </c>
      <c r="CI21" s="159">
        <f t="shared" si="71"/>
        <v>15.77460869589016</v>
      </c>
      <c r="CJ21" s="159">
        <f t="shared" si="72"/>
        <v>6.3507746074065521</v>
      </c>
      <c r="CK21" s="159">
        <f t="shared" si="73"/>
        <v>2.0152556187203028</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8"/>
      <c r="L25">
        <f>L15*G15</f>
        <v>10.549999999999995</v>
      </c>
      <c r="M25">
        <f>L15*H15</f>
        <v>10.549999999999995</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8"/>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8"/>
      <c r="L27">
        <f>L14*G14</f>
        <v>6.5218189778267739</v>
      </c>
      <c r="M27">
        <f>L14*H14</f>
        <v>7.2843200209407319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8"/>
    </row>
    <row r="29" spans="1:89" x14ac:dyDescent="0.25">
      <c r="D29" s="488"/>
      <c r="L29" s="47">
        <f>(M25-L27)/M25</f>
        <v>0.38181810636713015</v>
      </c>
      <c r="M29" s="47">
        <f>(L25-M27)/M27</f>
        <v>0.44831637952083248</v>
      </c>
    </row>
    <row r="30" spans="1:89" x14ac:dyDescent="0.25">
      <c r="D30" s="488"/>
    </row>
    <row r="31" spans="1:89" ht="18.75" x14ac:dyDescent="0.3">
      <c r="A31" s="439" t="s">
        <v>605</v>
      </c>
      <c r="B31" s="439" t="s">
        <v>176</v>
      </c>
      <c r="C31" s="439"/>
      <c r="D31" s="440"/>
      <c r="L31" s="47"/>
      <c r="M31" s="47"/>
    </row>
    <row r="32" spans="1:89" x14ac:dyDescent="0.25">
      <c r="A32" s="256" t="s">
        <v>610</v>
      </c>
      <c r="B32" s="441">
        <v>1</v>
      </c>
      <c r="C32" s="499">
        <v>0.624</v>
      </c>
      <c r="D32" s="500">
        <v>0.245</v>
      </c>
    </row>
    <row r="33" spans="1:4" x14ac:dyDescent="0.25">
      <c r="A33" s="256" t="s">
        <v>611</v>
      </c>
      <c r="B33" s="441">
        <v>1</v>
      </c>
      <c r="C33" s="499">
        <v>1.002</v>
      </c>
      <c r="D33" s="500">
        <v>0.34</v>
      </c>
    </row>
    <row r="34" spans="1:4" x14ac:dyDescent="0.25">
      <c r="A34" s="256" t="s">
        <v>612</v>
      </c>
      <c r="B34" s="441">
        <v>1</v>
      </c>
      <c r="C34" s="499">
        <v>0.46800000000000003</v>
      </c>
      <c r="D34" s="500">
        <v>0.125</v>
      </c>
    </row>
    <row r="35" spans="1:4" x14ac:dyDescent="0.25">
      <c r="A35" s="256" t="s">
        <v>613</v>
      </c>
      <c r="B35" s="441">
        <v>1</v>
      </c>
      <c r="C35" s="499">
        <v>0.877</v>
      </c>
      <c r="D35" s="500">
        <v>0.25</v>
      </c>
    </row>
    <row r="36" spans="1:4" x14ac:dyDescent="0.25">
      <c r="A36" s="256" t="s">
        <v>614</v>
      </c>
      <c r="B36" s="441">
        <v>1</v>
      </c>
      <c r="C36" s="499">
        <v>0.59299999999999997</v>
      </c>
      <c r="D36" s="500">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3"/>
      <c r="V1" t="s">
        <v>682</v>
      </c>
      <c r="Y1" t="s">
        <v>683</v>
      </c>
      <c r="AC1" t="s">
        <v>684</v>
      </c>
      <c r="AG1" s="4" t="s">
        <v>685</v>
      </c>
      <c r="AK1" t="s">
        <v>686</v>
      </c>
      <c r="AO1" t="s">
        <v>681</v>
      </c>
      <c r="AV1" t="s">
        <v>687</v>
      </c>
      <c r="BC1" t="s">
        <v>503</v>
      </c>
      <c r="BH1" t="s">
        <v>688</v>
      </c>
      <c r="BM1" t="s">
        <v>631</v>
      </c>
      <c r="BR1" t="s">
        <v>806</v>
      </c>
      <c r="BW1" t="s">
        <v>625</v>
      </c>
      <c r="CB1" t="s">
        <v>602</v>
      </c>
      <c r="CF1" t="s">
        <v>66</v>
      </c>
    </row>
    <row r="2" spans="1:87" x14ac:dyDescent="0.25">
      <c r="A2" s="489" t="s">
        <v>179</v>
      </c>
      <c r="B2" s="489" t="s">
        <v>853</v>
      </c>
      <c r="C2" s="489" t="s">
        <v>689</v>
      </c>
      <c r="D2" s="489" t="s">
        <v>62</v>
      </c>
      <c r="E2" s="490" t="s">
        <v>690</v>
      </c>
      <c r="F2" s="489" t="s">
        <v>691</v>
      </c>
      <c r="G2" s="492" t="s">
        <v>695</v>
      </c>
      <c r="H2" s="493" t="s">
        <v>696</v>
      </c>
      <c r="I2" s="493" t="s">
        <v>855</v>
      </c>
      <c r="J2" s="493" t="s">
        <v>1</v>
      </c>
      <c r="K2" s="493" t="s">
        <v>2</v>
      </c>
      <c r="L2" s="493" t="s">
        <v>697</v>
      </c>
      <c r="M2" s="493" t="s">
        <v>65</v>
      </c>
      <c r="N2" s="493" t="s">
        <v>578</v>
      </c>
      <c r="O2" s="493" t="s">
        <v>698</v>
      </c>
      <c r="P2" s="493" t="s">
        <v>0</v>
      </c>
      <c r="Q2" s="494" t="s">
        <v>565</v>
      </c>
      <c r="R2" s="494" t="s">
        <v>828</v>
      </c>
      <c r="S2" s="494" t="s">
        <v>699</v>
      </c>
      <c r="T2" s="494" t="s">
        <v>700</v>
      </c>
      <c r="U2" s="494" t="s">
        <v>588</v>
      </c>
      <c r="V2" s="495" t="s">
        <v>701</v>
      </c>
      <c r="W2" s="495" t="s">
        <v>702</v>
      </c>
      <c r="X2" s="495" t="s">
        <v>701</v>
      </c>
      <c r="Y2" s="496" t="s">
        <v>701</v>
      </c>
      <c r="Z2" s="496" t="s">
        <v>702</v>
      </c>
      <c r="AA2" s="496" t="s">
        <v>701</v>
      </c>
      <c r="AB2" s="496" t="s">
        <v>64</v>
      </c>
      <c r="AC2" s="496" t="s">
        <v>701</v>
      </c>
      <c r="AD2" s="496" t="s">
        <v>702</v>
      </c>
      <c r="AE2" s="496" t="s">
        <v>701</v>
      </c>
      <c r="AF2" s="496" t="s">
        <v>64</v>
      </c>
      <c r="AG2" s="495" t="s">
        <v>701</v>
      </c>
      <c r="AH2" s="495" t="s">
        <v>702</v>
      </c>
      <c r="AI2" s="495" t="s">
        <v>64</v>
      </c>
      <c r="AJ2" s="495" t="s">
        <v>703</v>
      </c>
      <c r="AK2" s="495" t="s">
        <v>701</v>
      </c>
      <c r="AL2" s="495" t="s">
        <v>702</v>
      </c>
      <c r="AM2" s="495" t="s">
        <v>64</v>
      </c>
      <c r="AN2" s="495" t="s">
        <v>703</v>
      </c>
      <c r="AO2" s="495" t="s">
        <v>701</v>
      </c>
      <c r="AP2" s="495" t="s">
        <v>702</v>
      </c>
      <c r="AQ2" s="495" t="s">
        <v>701</v>
      </c>
      <c r="AR2" s="495" t="s">
        <v>64</v>
      </c>
      <c r="AS2" s="495" t="s">
        <v>703</v>
      </c>
      <c r="AT2" s="495" t="s">
        <v>704</v>
      </c>
      <c r="AU2" s="495" t="s">
        <v>703</v>
      </c>
      <c r="AV2" s="495" t="s">
        <v>701</v>
      </c>
      <c r="AW2" s="495" t="s">
        <v>702</v>
      </c>
      <c r="AX2" s="495" t="s">
        <v>701</v>
      </c>
      <c r="AY2" s="495" t="s">
        <v>64</v>
      </c>
      <c r="AZ2" s="495" t="s">
        <v>703</v>
      </c>
      <c r="BA2" s="495" t="s">
        <v>704</v>
      </c>
      <c r="BB2" s="495" t="s">
        <v>703</v>
      </c>
      <c r="BC2" s="496" t="s">
        <v>701</v>
      </c>
      <c r="BD2" s="496" t="s">
        <v>702</v>
      </c>
      <c r="BE2" s="496" t="s">
        <v>64</v>
      </c>
      <c r="BF2" s="496" t="s">
        <v>703</v>
      </c>
      <c r="BG2" s="496" t="s">
        <v>704</v>
      </c>
      <c r="BH2" s="496" t="s">
        <v>701</v>
      </c>
      <c r="BI2" s="496" t="s">
        <v>702</v>
      </c>
      <c r="BJ2" s="496" t="s">
        <v>64</v>
      </c>
      <c r="BK2" s="496" t="s">
        <v>703</v>
      </c>
      <c r="BL2" s="496" t="s">
        <v>704</v>
      </c>
      <c r="BM2" s="495" t="s">
        <v>701</v>
      </c>
      <c r="BN2" s="495" t="s">
        <v>702</v>
      </c>
      <c r="BO2" s="495" t="s">
        <v>64</v>
      </c>
      <c r="BP2" s="495" t="s">
        <v>703</v>
      </c>
      <c r="BQ2" s="495" t="s">
        <v>704</v>
      </c>
      <c r="BR2" s="495" t="s">
        <v>701</v>
      </c>
      <c r="BS2" s="495" t="s">
        <v>702</v>
      </c>
      <c r="BT2" s="495" t="s">
        <v>64</v>
      </c>
      <c r="BU2" s="495" t="s">
        <v>703</v>
      </c>
      <c r="BV2" s="495" t="s">
        <v>704</v>
      </c>
      <c r="BW2" s="495" t="s">
        <v>701</v>
      </c>
      <c r="BX2" s="495" t="s">
        <v>702</v>
      </c>
      <c r="BY2" s="495" t="s">
        <v>64</v>
      </c>
      <c r="BZ2" s="495" t="s">
        <v>703</v>
      </c>
      <c r="CA2" s="495" t="s">
        <v>704</v>
      </c>
      <c r="CB2" s="496" t="s">
        <v>64</v>
      </c>
      <c r="CC2" s="496" t="s">
        <v>703</v>
      </c>
      <c r="CD2" s="496" t="s">
        <v>704</v>
      </c>
      <c r="CE2" s="496" t="s">
        <v>703</v>
      </c>
      <c r="CF2" s="495" t="s">
        <v>703</v>
      </c>
      <c r="CG2" s="495" t="s">
        <v>704</v>
      </c>
      <c r="CH2" s="495" t="s">
        <v>703</v>
      </c>
      <c r="CI2" s="495" t="s">
        <v>64</v>
      </c>
    </row>
    <row r="3" spans="1:87" x14ac:dyDescent="0.25">
      <c r="A3" t="str">
        <f>PLANTILLA!D5</f>
        <v>D. Gehmacher</v>
      </c>
      <c r="C3" s="633">
        <f>PLANTILLA!E5</f>
        <v>30</v>
      </c>
      <c r="D3" s="341">
        <f ca="1">PLANTILLA!F5</f>
        <v>60</v>
      </c>
      <c r="E3" s="633"/>
      <c r="F3" s="290">
        <v>42468</v>
      </c>
      <c r="G3" s="497">
        <v>1</v>
      </c>
      <c r="H3" s="498">
        <f>PLANTILLA!I5</f>
        <v>18.5</v>
      </c>
      <c r="I3" s="498"/>
      <c r="J3" s="163">
        <f>PLANTILLA!X5</f>
        <v>16.666666666666668</v>
      </c>
      <c r="K3" s="163">
        <f>PLANTILLA!Y5</f>
        <v>12.080559440559444</v>
      </c>
      <c r="L3" s="163">
        <f>PLANTILLA!Z5</f>
        <v>2.0699999999999985</v>
      </c>
      <c r="M3" s="163">
        <f>PLANTILLA!AA5</f>
        <v>2.149999999999999</v>
      </c>
      <c r="N3" s="163">
        <f>PLANTILLA!AB5</f>
        <v>1.0400000000000003</v>
      </c>
      <c r="O3" s="163">
        <f>PLANTILLA!AC5</f>
        <v>0.14055555555555557</v>
      </c>
      <c r="P3" s="163">
        <f>PLANTILLA!AD5</f>
        <v>17.949999999999996</v>
      </c>
      <c r="Q3" s="163">
        <f>((2*(N3+1))+(K3+1))/8</f>
        <v>2.1450699300699307</v>
      </c>
      <c r="R3" s="163">
        <f>1.66*(O3+(LOG(H3)*4/3)+G3)+0.55*(P3+(LOG(H3)*4/3)+G3)-7.6</f>
        <v>8.449754915249768</v>
      </c>
      <c r="S3" s="163">
        <f>(0.5*O3+ 0.3*P3)/10</f>
        <v>0.54552777777777772</v>
      </c>
      <c r="T3" s="163">
        <f>(0.4*K3+0.3*P3)/10</f>
        <v>1.0217223776223776</v>
      </c>
      <c r="U3" s="163">
        <f t="shared" ref="U3:U22" ca="1" si="0">IF(TODAY()-F3&gt;335,(P3+1+(LOG(H3)*4/3)),(P3+((TODAY()-F3)^0.5)/(336^0.5)+(LOG(H3)*4/3)))</f>
        <v>20.639562304537346</v>
      </c>
      <c r="V3" s="159">
        <f t="shared" ref="V3:V22" si="1">((J3+G3+(LOG(H3)*4/3))*0.597)+((K3+G3+(LOG(H3)*4/3))*0.276)</f>
        <v>15.632222297455513</v>
      </c>
      <c r="W3" s="159">
        <f t="shared" ref="W3:W22" si="2">((J3+G3+(LOG(H3)*4/3))*0.866)+((K3+G3+(LOG(H3)*4/3))*0.425)</f>
        <v>23.039796030728816</v>
      </c>
      <c r="X3" s="159">
        <f>V3</f>
        <v>15.632222297455513</v>
      </c>
      <c r="Y3" s="159">
        <f t="shared" ref="Y3:Y22" si="3">((K3+G3+(LOG(H3)*4/3))*0.516)</f>
        <v>7.6213828204699468</v>
      </c>
      <c r="Z3" s="159">
        <f t="shared" ref="Z3:Z22" si="4">(K3+G3+(LOG(H3)*4/3))*1</f>
        <v>14.770121745096796</v>
      </c>
      <c r="AA3" s="159">
        <f>Y3/2</f>
        <v>3.8106914102349734</v>
      </c>
      <c r="AB3" s="159">
        <f t="shared" ref="AB3:AB22" si="5">(L3+G3+(LOG(H3)*4/3))*0.238</f>
        <v>1.1327758284798892</v>
      </c>
      <c r="AC3" s="159">
        <f t="shared" ref="AC3:AC22" si="6">((K3+G3+(LOG(H3)*4/3))*0.378)</f>
        <v>5.5831060196465891</v>
      </c>
      <c r="AD3" s="159">
        <f t="shared" ref="AD3:AD22" si="7">(K3+G3+(LOG(H3)*4/3))*0.723</f>
        <v>10.678798021704983</v>
      </c>
      <c r="AE3" s="159">
        <f>AC3/2</f>
        <v>2.7915530098232946</v>
      </c>
      <c r="AF3" s="159">
        <f t="shared" ref="AF3:AF22" si="8">(L3+G3+(LOG(H3)*4/3))*0.385</f>
        <v>1.8324314872468797</v>
      </c>
      <c r="AG3" s="357">
        <f t="shared" ref="AG3:AG22" si="9">((K3+G3+(LOG(H3)*4/3))*0.92)</f>
        <v>13.588512005489052</v>
      </c>
      <c r="AH3" s="159">
        <f t="shared" ref="AH3:AH22" si="10">(K3+G3+(LOG(H3)*4/3))*0.414</f>
        <v>6.1148304024700737</v>
      </c>
      <c r="AI3" s="159">
        <f t="shared" ref="AI3:AI22" si="11">((L3+G3+(LOG(H3)*4/3))*0.167)</f>
        <v>0.79484690485773746</v>
      </c>
      <c r="AJ3" s="357">
        <f t="shared" ref="AJ3:AJ22" si="12">(M3+G3+(LOG(H3)*4/3))*0.588</f>
        <v>2.8456626350679621</v>
      </c>
      <c r="AK3" s="159">
        <f t="shared" ref="AK3:AK22" si="13">((K3+G3+(LOG(H3)*4/3))*0.754)</f>
        <v>11.136671795802984</v>
      </c>
      <c r="AL3" s="159">
        <f t="shared" ref="AL3:AL22" si="14">((K3+G3+(LOG(H3)*4/3))*0.708)</f>
        <v>10.457246195528532</v>
      </c>
      <c r="AM3" s="159">
        <f t="shared" ref="AM3:AM22" si="15">((P3+G3+(LOG(H3)*4/3))*0.167)</f>
        <v>3.4468069048577372</v>
      </c>
      <c r="AN3" s="159">
        <f t="shared" ref="AN3:AN22" si="16">((Q3+G3+(LOG(H3)*4/3))*0.288)</f>
        <v>1.3923740835668972</v>
      </c>
      <c r="AO3" s="159">
        <f t="shared" ref="AO3:AO22" si="17">((K3+G3+(LOG(H3)*4/3))*0.27)</f>
        <v>3.9879328711761355</v>
      </c>
      <c r="AP3" s="159">
        <f t="shared" ref="AP3:AP22" si="18">((K3+G3+(LOG(H3)*4/3))*0.594)</f>
        <v>8.7734523165874965</v>
      </c>
      <c r="AQ3" s="159">
        <f>AO3/2</f>
        <v>1.9939664355880677</v>
      </c>
      <c r="AR3" s="159">
        <f t="shared" ref="AR3:AR22" si="19">((L3+G3+(LOG(H3)*4/3))*0.944)</f>
        <v>4.4930268154832582</v>
      </c>
      <c r="AS3" s="159">
        <f t="shared" ref="AS3:AS22" si="20">((N3+G3+(LOG(H3)*4/3))*0.13)</f>
        <v>0.48484309958985572</v>
      </c>
      <c r="AT3" s="159">
        <f t="shared" ref="AT3:AT22" si="21">((O3+G3+(LOG(H3)*4/3))*0.173)+((N3+G3+(LOG(H3)*4/3))*0.12)</f>
        <v>0.93715786634055509</v>
      </c>
      <c r="AU3" s="159">
        <f>AS3/2</f>
        <v>0.24242154979492786</v>
      </c>
      <c r="AV3" s="159">
        <f t="shared" ref="AV3:AV22" si="22">((K3+G3+(LOG(H3)*4/3))*0.189)</f>
        <v>2.7915530098232946</v>
      </c>
      <c r="AW3" s="159">
        <f t="shared" ref="AW3:AW22" si="23">((K3+G3+(LOG(H3)*4/3))*0.4)</f>
        <v>5.9080486980387192</v>
      </c>
      <c r="AX3" s="159">
        <f>AV3/2</f>
        <v>1.3957765049116473</v>
      </c>
      <c r="AY3" s="159">
        <f t="shared" ref="AY3:AY22" si="24">((L3+G3+(LOG(H3)*4/3))*1)</f>
        <v>4.7595623045373499</v>
      </c>
      <c r="AZ3" s="159">
        <f t="shared" ref="AZ3:AZ22" si="25">((N3+G3+(LOG(H3)*4/3))*0.253)</f>
        <v>0.94357926304794992</v>
      </c>
      <c r="BA3" s="159">
        <f t="shared" ref="BA3:BA22" si="26">((O3+G3+(LOG(H3)*4/3))*0.21)+((N3+G3+(LOG(H3)*4/3))*0.341)</f>
        <v>1.8661054964667474</v>
      </c>
      <c r="BB3" s="159">
        <f>AZ3/2</f>
        <v>0.47178963152397496</v>
      </c>
      <c r="BC3" s="159">
        <f t="shared" ref="BC3:BC22" si="27">((K3+G3+(LOG(H3)*4/3))*0.291)</f>
        <v>4.2981054278231676</v>
      </c>
      <c r="BD3" s="159">
        <f t="shared" ref="BD3:BD22" si="28">((K3+G3+(LOG(H3)*4/3))*0.348)</f>
        <v>5.1400023672936852</v>
      </c>
      <c r="BE3" s="159">
        <f t="shared" ref="BE3:BE22" si="29">((L3+G3+(LOG(H3)*4/3))*0.881)</f>
        <v>4.193174390297405</v>
      </c>
      <c r="BF3" s="159">
        <f t="shared" ref="BF3:BF22" si="30">((M3+G3+(LOG(H3)*4/3))*0.574)+((N3+G3+(LOG(H3)*4/3))*0.315)</f>
        <v>3.9527208887337046</v>
      </c>
      <c r="BG3" s="159">
        <f t="shared" ref="BG3:BG22" si="31">((N3+G3+(LOG(H3)*4/3))*0.241)</f>
        <v>0.89882451539350161</v>
      </c>
      <c r="BH3" s="159">
        <f t="shared" ref="BH3:BH22" si="32">((K3+G3+(LOG(H3)*4/3))*0.485)</f>
        <v>7.1635090463719457</v>
      </c>
      <c r="BI3" s="159">
        <f t="shared" ref="BI3:BI22" si="33">((K3+G3+(LOG(H3)*4/3))*0.264)</f>
        <v>3.8993121407055544</v>
      </c>
      <c r="BJ3" s="159">
        <f t="shared" ref="BJ3:BJ22" si="34">((L3+G3+(LOG(H3)*4/3))*0.381)</f>
        <v>1.8133932380287303</v>
      </c>
      <c r="BK3" s="159">
        <f t="shared" ref="BK3:BK22" si="35">((M3+G3+(LOG(H3)*4/3))*0.673)+((N3+G3+(LOG(H3)*4/3))*0.201)</f>
        <v>4.0066674541656448</v>
      </c>
      <c r="BL3" s="159">
        <f t="shared" ref="BL3:BL22" si="36">((N3+G3+(LOG(H3)*4/3))*0.052)</f>
        <v>0.19393723983594227</v>
      </c>
      <c r="BM3" s="159">
        <f t="shared" ref="BM3:BM22" si="37">((K3+G3+(LOG(H3)*4/3))*0.18)</f>
        <v>2.6586219141174232</v>
      </c>
      <c r="BN3" s="159">
        <f t="shared" ref="BN3:BN22" si="38">(K3+G3+(LOG(H3)*4/3))*0.068</f>
        <v>1.0043682786665822</v>
      </c>
      <c r="BO3" s="159">
        <f t="shared" ref="BO3:BO22" si="39">((L3+G3+(LOG(H3)*4/3))*0.305)</f>
        <v>1.4516665028838918</v>
      </c>
      <c r="BP3" s="159">
        <f t="shared" ref="BP3:BP22" si="40">((M3+G3+(LOG(H3)*4/3))*1)+((N3+G3+(LOG(H3)*4/3))*0.286)</f>
        <v>5.9062171236350327</v>
      </c>
      <c r="BQ3" s="159">
        <f t="shared" ref="BQ3:BQ22" si="41">((N3+G3+(LOG(H3)*4/3))*0.135)</f>
        <v>0.50349091111254252</v>
      </c>
      <c r="BR3" s="159">
        <f t="shared" ref="BR3:BR22" si="42">((K3+G3+(LOG(H3)*4/3))*0.284)</f>
        <v>4.1947145756074899</v>
      </c>
      <c r="BS3" s="159">
        <f t="shared" ref="BS3:BS22" si="43">(K3+G3+(LOG(H3)*4/3))*0.244</f>
        <v>3.603909705803618</v>
      </c>
      <c r="BT3" s="159">
        <f t="shared" ref="BT3:BT22" si="44">((L3+G3+(LOG(H3)*4/3))*0.455)</f>
        <v>2.1656008485644942</v>
      </c>
      <c r="BU3" s="159">
        <f t="shared" ref="BU3:BU22" si="45">((M3+G3+(LOG(H3)*4/3))*0.864)+((N3+G3+(LOG(H3)*4/3))*0.244)</f>
        <v>5.0913950334273848</v>
      </c>
      <c r="BV3" s="159">
        <f t="shared" ref="BV3:BV22" si="46">((N3+G3+(LOG(H3)*4/3))*0.121)</f>
        <v>0.45127703884901949</v>
      </c>
      <c r="BW3" s="159">
        <f t="shared" ref="BW3:BW22" si="47">((K3+G3+(LOG(H3)*4/3))*0.284)</f>
        <v>4.1947145756074899</v>
      </c>
      <c r="BX3" s="159">
        <f t="shared" ref="BX3:BX22" si="48">((K3+G3+(LOG(H3)*4/3))*0.244)</f>
        <v>3.603909705803618</v>
      </c>
      <c r="BY3" s="159">
        <f t="shared" ref="BY3:BY22" si="49">((L3+G3+(LOG(H3)*4/3))*0.631)</f>
        <v>3.0032838141630678</v>
      </c>
      <c r="BZ3" s="159">
        <f t="shared" ref="BZ3:BZ22" si="50">((M3+G3+(LOG(H3)*4/3))*0.702)+((N3+G3+(LOG(H3)*4/3))*0.193)</f>
        <v>4.1171782625609286</v>
      </c>
      <c r="CA3" s="159">
        <f t="shared" ref="CA3:CA22" si="51">((N3+G3+(LOG(H3)*4/3))*0.148)</f>
        <v>0.55197522107152797</v>
      </c>
      <c r="CB3" s="159">
        <f t="shared" ref="CB3:CB22" si="52">((L3+G3+(LOG(H3)*4/3))*0.406)</f>
        <v>1.9323822956421641</v>
      </c>
      <c r="CC3" s="159">
        <f t="shared" ref="CC3:CC22" si="53">IF(E3="TEC",((M3+G3+(LOG(H3)*4/3))*0.15)+((N3+G3+(LOG(H3)*4/3))*0.324)+((O3+G3+(LOG(H3)*4/3))*0.127),(((M3+G3+(LOG(H3)*4/3))*0.144)+((N3+G3+(LOG(H3)*4/3))*0.25)+((O3+G3+(LOG(H3)*4/3))*0.127)))</f>
        <v>1.9887125162195154</v>
      </c>
      <c r="CD3" s="159">
        <f t="shared" ref="CD3:CD22" si="54">((N3+G3+(LOG(H3)*4/3))*0.543)+((O3+G3+(LOG(H3)*4/3))*0.583)</f>
        <v>3.6751110437979468</v>
      </c>
      <c r="CE3" s="159">
        <f>CC3</f>
        <v>1.9887125162195154</v>
      </c>
      <c r="CF3" s="159">
        <f t="shared" ref="CF3:CF22" si="55">((O3+1+(LOG(H3)*4/3))*0.26)+((M3+G3+(LOG(H3)*4/3))*0.221)+((N3+G3+(LOG(H3)*4/3))*0.142)</f>
        <v>2.3349717601712143</v>
      </c>
      <c r="CG3" s="159">
        <f t="shared" ref="CG3:CG22" si="56">((O3+G3+(LOG(H3)*4/3))*1)+((N3+G3+(LOG(H3)*4/3))*0.369)</f>
        <v>4.2063263504671902</v>
      </c>
      <c r="CH3" s="159">
        <f>CF3</f>
        <v>2.3349717601712143</v>
      </c>
      <c r="CI3" s="159">
        <f>((L3+G3+(LOG(H3)*4/3))*0.25)</f>
        <v>1.1898905761343375</v>
      </c>
    </row>
    <row r="4" spans="1:87" x14ac:dyDescent="0.25">
      <c r="A4" t="str">
        <f>PLANTILLA!D6</f>
        <v>T. Hammond</v>
      </c>
      <c r="B4" t="s">
        <v>854</v>
      </c>
      <c r="C4" s="633">
        <f>PLANTILLA!E6</f>
        <v>34</v>
      </c>
      <c r="D4" s="633">
        <f ca="1">PLANTILLA!F6</f>
        <v>69</v>
      </c>
      <c r="E4" s="633" t="str">
        <f>PLANTILLA!G6</f>
        <v>CAB</v>
      </c>
      <c r="F4" s="290">
        <v>41400</v>
      </c>
      <c r="G4" s="497">
        <v>1.5</v>
      </c>
      <c r="H4" s="498">
        <f>PLANTILLA!I6</f>
        <v>7.9</v>
      </c>
      <c r="I4" s="498"/>
      <c r="J4" s="163">
        <f>PLANTILLA!X6</f>
        <v>10.3</v>
      </c>
      <c r="K4" s="163">
        <f>PLANTILLA!Y6</f>
        <v>10.814999999999998</v>
      </c>
      <c r="L4" s="163">
        <f>PLANTILLA!Z6</f>
        <v>3.99</v>
      </c>
      <c r="M4" s="163">
        <f>PLANTILLA!AA6</f>
        <v>4.95</v>
      </c>
      <c r="N4" s="163">
        <f>PLANTILLA!AB6</f>
        <v>5.99</v>
      </c>
      <c r="O4" s="163">
        <f>PLANTILLA!AC6</f>
        <v>3.99</v>
      </c>
      <c r="P4" s="163">
        <f>PLANTILLA!AD6</f>
        <v>15.778888888888888</v>
      </c>
      <c r="Q4" s="163">
        <f t="shared" ref="Q4:Q22" si="57">((2*(N4+1))+(K4+1))/8</f>
        <v>3.2243749999999998</v>
      </c>
      <c r="R4" s="163">
        <f t="shared" ref="R4:R22" si="58">1.66*(O4+(LOG(H4)*4/3)+G4)+0.55*(P4+(LOG(H4)*4/3)+G4)-7.6</f>
        <v>13.66179671789139</v>
      </c>
      <c r="S4" s="163">
        <f t="shared" ref="S4:S22" si="59">(0.5*O4+ 0.3*P4)/10</f>
        <v>0.67286666666666661</v>
      </c>
      <c r="T4" s="163">
        <f t="shared" ref="T4:T22" si="60">(0.4*K4+0.3*P4)/10</f>
        <v>0.90596666666666648</v>
      </c>
      <c r="U4" s="163">
        <f t="shared" ca="1" si="0"/>
        <v>17.975725010609477</v>
      </c>
      <c r="V4" s="159">
        <f t="shared" si="1"/>
        <v>11.488377934262074</v>
      </c>
      <c r="W4" s="159">
        <f t="shared" si="2"/>
        <v>16.997790433141279</v>
      </c>
      <c r="X4" s="159">
        <f t="shared" ref="X4:X22" si="61">V4</f>
        <v>11.488377934262074</v>
      </c>
      <c r="Y4" s="159">
        <f t="shared" si="3"/>
        <v>6.9721074388078224</v>
      </c>
      <c r="Z4" s="159">
        <f t="shared" si="4"/>
        <v>13.511836121720586</v>
      </c>
      <c r="AA4" s="159">
        <f t="shared" ref="AA4:AA22" si="62">Y4/2</f>
        <v>3.4860537194039112</v>
      </c>
      <c r="AB4" s="159">
        <f t="shared" si="5"/>
        <v>1.5914669969695001</v>
      </c>
      <c r="AC4" s="159">
        <f t="shared" si="6"/>
        <v>5.1074740540103818</v>
      </c>
      <c r="AD4" s="159">
        <f t="shared" si="7"/>
        <v>9.7690575160039828</v>
      </c>
      <c r="AE4" s="159">
        <f t="shared" ref="AE4:AE22" si="63">AC4/2</f>
        <v>2.5537370270051909</v>
      </c>
      <c r="AF4" s="159">
        <f t="shared" si="8"/>
        <v>2.5744319068624266</v>
      </c>
      <c r="AG4" s="357">
        <f t="shared" si="9"/>
        <v>12.43088923198294</v>
      </c>
      <c r="AH4" s="159">
        <f t="shared" si="10"/>
        <v>5.5939001543923226</v>
      </c>
      <c r="AI4" s="159">
        <f t="shared" si="11"/>
        <v>1.1167016323273384</v>
      </c>
      <c r="AJ4" s="357">
        <f t="shared" si="12"/>
        <v>4.4963396395717057</v>
      </c>
      <c r="AK4" s="159">
        <f t="shared" si="13"/>
        <v>10.187924435777322</v>
      </c>
      <c r="AL4" s="159">
        <f t="shared" si="14"/>
        <v>9.5663799741781741</v>
      </c>
      <c r="AM4" s="159">
        <f t="shared" si="15"/>
        <v>3.0854460767717828</v>
      </c>
      <c r="AN4" s="159">
        <f t="shared" si="16"/>
        <v>1.7053088030555295</v>
      </c>
      <c r="AO4" s="159">
        <f t="shared" si="17"/>
        <v>3.6481957528645585</v>
      </c>
      <c r="AP4" s="159">
        <f t="shared" si="18"/>
        <v>8.0260306563020283</v>
      </c>
      <c r="AQ4" s="159">
        <f t="shared" ref="AQ4:AQ22" si="64">AO4/2</f>
        <v>1.8240978764322793</v>
      </c>
      <c r="AR4" s="159">
        <f t="shared" si="19"/>
        <v>6.3123732989042356</v>
      </c>
      <c r="AS4" s="159">
        <f t="shared" si="20"/>
        <v>1.1292886958236765</v>
      </c>
      <c r="AT4" s="159">
        <f t="shared" si="21"/>
        <v>2.1992429836641323</v>
      </c>
      <c r="AU4" s="159">
        <f t="shared" ref="AU4:AU22" si="65">AS4/2</f>
        <v>0.56464434791183826</v>
      </c>
      <c r="AV4" s="159">
        <f t="shared" si="22"/>
        <v>2.5537370270051909</v>
      </c>
      <c r="AW4" s="159">
        <f t="shared" si="23"/>
        <v>5.4047344486882345</v>
      </c>
      <c r="AX4" s="159">
        <f t="shared" ref="AX4:AX22" si="66">AV4/2</f>
        <v>1.2768685135025954</v>
      </c>
      <c r="AY4" s="159">
        <f t="shared" si="24"/>
        <v>6.6868361217205887</v>
      </c>
      <c r="AZ4" s="159">
        <f t="shared" si="25"/>
        <v>2.1977695387953089</v>
      </c>
      <c r="BA4" s="159">
        <f t="shared" si="26"/>
        <v>4.3664467030680445</v>
      </c>
      <c r="BB4" s="159">
        <f t="shared" ref="BB4:BB22" si="67">AZ4/2</f>
        <v>1.0988847693976544</v>
      </c>
      <c r="BC4" s="159">
        <f t="shared" si="27"/>
        <v>3.9319443114206902</v>
      </c>
      <c r="BD4" s="159">
        <f t="shared" si="28"/>
        <v>4.7021189703587636</v>
      </c>
      <c r="BE4" s="159">
        <f t="shared" si="29"/>
        <v>5.891102623235839</v>
      </c>
      <c r="BF4" s="159">
        <f t="shared" si="30"/>
        <v>7.1256373122096033</v>
      </c>
      <c r="BG4" s="159">
        <f t="shared" si="31"/>
        <v>2.093527505334662</v>
      </c>
      <c r="BH4" s="159">
        <f t="shared" si="32"/>
        <v>6.5532405190344845</v>
      </c>
      <c r="BI4" s="159">
        <f t="shared" si="33"/>
        <v>3.5671247361342351</v>
      </c>
      <c r="BJ4" s="159">
        <f t="shared" si="34"/>
        <v>2.5476845623755442</v>
      </c>
      <c r="BK4" s="159">
        <f t="shared" si="35"/>
        <v>6.8923747703837952</v>
      </c>
      <c r="BL4" s="159">
        <f t="shared" si="36"/>
        <v>0.45171547832947057</v>
      </c>
      <c r="BM4" s="159">
        <f t="shared" si="37"/>
        <v>2.4321305019097053</v>
      </c>
      <c r="BN4" s="159">
        <f t="shared" si="38"/>
        <v>0.91880485627699993</v>
      </c>
      <c r="BO4" s="159">
        <f t="shared" si="39"/>
        <v>2.0394850171247794</v>
      </c>
      <c r="BP4" s="159">
        <f t="shared" si="40"/>
        <v>10.131271252532677</v>
      </c>
      <c r="BQ4" s="159">
        <f t="shared" si="41"/>
        <v>1.1727228764322795</v>
      </c>
      <c r="BR4" s="159">
        <f t="shared" si="42"/>
        <v>3.8373614585686462</v>
      </c>
      <c r="BS4" s="159">
        <f t="shared" si="43"/>
        <v>3.2968880136998231</v>
      </c>
      <c r="BT4" s="159">
        <f t="shared" si="44"/>
        <v>3.042510435382868</v>
      </c>
      <c r="BU4" s="159">
        <f t="shared" si="45"/>
        <v>8.7264544228664125</v>
      </c>
      <c r="BV4" s="159">
        <f t="shared" si="46"/>
        <v>1.0511071707281912</v>
      </c>
      <c r="BW4" s="159">
        <f t="shared" si="47"/>
        <v>3.8373614585686462</v>
      </c>
      <c r="BX4" s="159">
        <f t="shared" si="48"/>
        <v>3.2968880136998231</v>
      </c>
      <c r="BY4" s="159">
        <f t="shared" si="49"/>
        <v>4.2193935928056918</v>
      </c>
      <c r="BZ4" s="159">
        <f t="shared" si="50"/>
        <v>7.0446383289399268</v>
      </c>
      <c r="CA4" s="159">
        <f t="shared" si="51"/>
        <v>1.285651746014647</v>
      </c>
      <c r="CB4" s="159">
        <f t="shared" si="52"/>
        <v>2.7148554654185593</v>
      </c>
      <c r="CC4" s="159">
        <f t="shared" si="53"/>
        <v>4.1220816194164263</v>
      </c>
      <c r="CD4" s="159">
        <f t="shared" si="54"/>
        <v>8.615377473057384</v>
      </c>
      <c r="CE4" s="159">
        <f t="shared" ref="CE4:CE22" si="68">CC4</f>
        <v>4.1220816194164263</v>
      </c>
      <c r="CF4" s="159">
        <f t="shared" si="55"/>
        <v>4.5320589038319268</v>
      </c>
      <c r="CG4" s="159">
        <f t="shared" si="56"/>
        <v>9.8922786506354861</v>
      </c>
      <c r="CH4" s="159">
        <f t="shared" ref="CH4:CH22" si="69">CF4</f>
        <v>4.5320589038319268</v>
      </c>
      <c r="CI4" s="159">
        <f t="shared" ref="CI4:CI22" si="70">((L4+G4+(LOG(H4)*4/3))*0.25)</f>
        <v>1.6717090304301472</v>
      </c>
    </row>
    <row r="5" spans="1:87" x14ac:dyDescent="0.25">
      <c r="A5" t="str">
        <f>PLANTILLA!D8</f>
        <v>D. Toh</v>
      </c>
      <c r="B5" t="s">
        <v>854</v>
      </c>
      <c r="C5" s="633">
        <f>PLANTILLA!E8</f>
        <v>32</v>
      </c>
      <c r="D5" s="633">
        <f ca="1">PLANTILLA!F8</f>
        <v>5</v>
      </c>
      <c r="E5" s="633" t="str">
        <f>PLANTILLA!G8</f>
        <v>CAB</v>
      </c>
      <c r="F5" s="290">
        <v>41519</v>
      </c>
      <c r="G5" s="497">
        <v>1.5</v>
      </c>
      <c r="H5" s="498">
        <f>PLANTILLA!I8</f>
        <v>7.6</v>
      </c>
      <c r="I5" s="341"/>
      <c r="J5" s="163">
        <f>PLANTILLA!X8</f>
        <v>0</v>
      </c>
      <c r="K5" s="163">
        <f>PLANTILLA!Y8</f>
        <v>11.077333333333334</v>
      </c>
      <c r="L5" s="163">
        <f>PLANTILLA!Z8</f>
        <v>6.2194444444444406</v>
      </c>
      <c r="M5" s="163">
        <f>PLANTILLA!AA8</f>
        <v>6.1</v>
      </c>
      <c r="N5" s="163">
        <f>PLANTILLA!AB8</f>
        <v>7.7227777777777789</v>
      </c>
      <c r="O5" s="163">
        <f>PLANTILLA!AC8</f>
        <v>3.9933333333333318</v>
      </c>
      <c r="P5" s="163">
        <f>PLANTILLA!AD8</f>
        <v>15.387777777777776</v>
      </c>
      <c r="Q5" s="163">
        <f t="shared" si="57"/>
        <v>3.6903611111111116</v>
      </c>
      <c r="R5" s="163">
        <f t="shared" si="58"/>
        <v>13.402675163031839</v>
      </c>
      <c r="S5" s="163">
        <f t="shared" si="59"/>
        <v>0.66129999999999989</v>
      </c>
      <c r="T5" s="163">
        <f t="shared" si="60"/>
        <v>0.90472666666666657</v>
      </c>
      <c r="U5" s="163">
        <f t="shared" ca="1" si="0"/>
        <v>17.562195900818832</v>
      </c>
      <c r="V5" s="159">
        <f t="shared" si="1"/>
        <v>5.3921110214148413</v>
      </c>
      <c r="W5" s="159">
        <f t="shared" si="2"/>
        <v>8.1605404635126693</v>
      </c>
      <c r="X5" s="159">
        <f t="shared" si="61"/>
        <v>5.3921110214148413</v>
      </c>
      <c r="Y5" s="159">
        <f t="shared" si="3"/>
        <v>7.0959037514891854</v>
      </c>
      <c r="Z5" s="159">
        <f t="shared" si="4"/>
        <v>13.751751456374389</v>
      </c>
      <c r="AA5" s="159">
        <f t="shared" si="62"/>
        <v>3.5479518757445927</v>
      </c>
      <c r="AB5" s="159">
        <f t="shared" si="5"/>
        <v>2.1167392910615477</v>
      </c>
      <c r="AC5" s="159">
        <f t="shared" si="6"/>
        <v>5.1981620505095192</v>
      </c>
      <c r="AD5" s="159">
        <f t="shared" si="7"/>
        <v>9.9425163029586834</v>
      </c>
      <c r="AE5" s="159">
        <f t="shared" si="63"/>
        <v>2.5990810252547596</v>
      </c>
      <c r="AF5" s="159">
        <f t="shared" si="8"/>
        <v>3.424137088481916</v>
      </c>
      <c r="AG5" s="357">
        <f t="shared" si="9"/>
        <v>12.65161133986444</v>
      </c>
      <c r="AH5" s="159">
        <f t="shared" si="10"/>
        <v>5.6932251029389969</v>
      </c>
      <c r="AI5" s="159">
        <f t="shared" si="11"/>
        <v>1.4852750487700779</v>
      </c>
      <c r="AJ5" s="357">
        <f t="shared" si="12"/>
        <v>5.1593578563481399</v>
      </c>
      <c r="AK5" s="159">
        <f t="shared" si="13"/>
        <v>10.368820598106289</v>
      </c>
      <c r="AL5" s="159">
        <f t="shared" si="14"/>
        <v>9.7362400311130664</v>
      </c>
      <c r="AM5" s="159">
        <f t="shared" si="15"/>
        <v>3.0163867154367452</v>
      </c>
      <c r="AN5" s="159">
        <f t="shared" si="16"/>
        <v>1.8330564194358239</v>
      </c>
      <c r="AO5" s="159">
        <f t="shared" si="17"/>
        <v>3.7129728932210853</v>
      </c>
      <c r="AP5" s="159">
        <f t="shared" si="18"/>
        <v>8.1685403650863861</v>
      </c>
      <c r="AQ5" s="159">
        <f t="shared" si="64"/>
        <v>1.8564864466105426</v>
      </c>
      <c r="AR5" s="159">
        <f t="shared" si="19"/>
        <v>8.3958062637063069</v>
      </c>
      <c r="AS5" s="159">
        <f t="shared" si="20"/>
        <v>1.3516354671064486</v>
      </c>
      <c r="AT5" s="159">
        <f t="shared" si="21"/>
        <v>2.4011845100510287</v>
      </c>
      <c r="AU5" s="159">
        <f t="shared" si="65"/>
        <v>0.67581773355322428</v>
      </c>
      <c r="AV5" s="159">
        <f t="shared" si="22"/>
        <v>2.5990810252547596</v>
      </c>
      <c r="AW5" s="159">
        <f t="shared" si="23"/>
        <v>5.5007005825497561</v>
      </c>
      <c r="AX5" s="159">
        <f t="shared" si="66"/>
        <v>1.2995405126273798</v>
      </c>
      <c r="AY5" s="159">
        <f t="shared" si="24"/>
        <v>8.8938625674854954</v>
      </c>
      <c r="AZ5" s="159">
        <f t="shared" si="25"/>
        <v>2.6304905629071653</v>
      </c>
      <c r="BA5" s="159">
        <f t="shared" si="26"/>
        <v>4.945671608017844</v>
      </c>
      <c r="BB5" s="159">
        <f t="shared" si="67"/>
        <v>1.3152452814535827</v>
      </c>
      <c r="BC5" s="159">
        <f t="shared" si="27"/>
        <v>4.0017596738049468</v>
      </c>
      <c r="BD5" s="159">
        <f t="shared" si="28"/>
        <v>4.7856095068182869</v>
      </c>
      <c r="BE5" s="159">
        <f t="shared" si="29"/>
        <v>7.8354929219547218</v>
      </c>
      <c r="BF5" s="159">
        <f t="shared" si="30"/>
        <v>8.3116327113834991</v>
      </c>
      <c r="BG5" s="159">
        <f t="shared" si="31"/>
        <v>2.5057242120973391</v>
      </c>
      <c r="BH5" s="159">
        <f t="shared" si="32"/>
        <v>6.6695994563415786</v>
      </c>
      <c r="BI5" s="159">
        <f t="shared" si="33"/>
        <v>3.630462384482839</v>
      </c>
      <c r="BJ5" s="159">
        <f t="shared" si="34"/>
        <v>3.3885616382119736</v>
      </c>
      <c r="BK5" s="159">
        <f t="shared" si="35"/>
        <v>7.995019772871216</v>
      </c>
      <c r="BL5" s="159">
        <f t="shared" si="36"/>
        <v>0.54065418684257938</v>
      </c>
      <c r="BM5" s="159">
        <f t="shared" si="37"/>
        <v>2.4753152621473902</v>
      </c>
      <c r="BN5" s="159">
        <f t="shared" si="38"/>
        <v>0.93511909903345858</v>
      </c>
      <c r="BO5" s="159">
        <f t="shared" si="39"/>
        <v>2.712628083083076</v>
      </c>
      <c r="BP5" s="159">
        <f t="shared" si="40"/>
        <v>11.748016150675241</v>
      </c>
      <c r="BQ5" s="159">
        <f t="shared" si="41"/>
        <v>1.4036214466105428</v>
      </c>
      <c r="BR5" s="159">
        <f t="shared" si="42"/>
        <v>3.9054974136103264</v>
      </c>
      <c r="BS5" s="159">
        <f t="shared" si="43"/>
        <v>3.3554273553553511</v>
      </c>
      <c r="BT5" s="159">
        <f t="shared" si="44"/>
        <v>4.0467074682059003</v>
      </c>
      <c r="BU5" s="159">
        <f t="shared" si="45"/>
        <v>10.118013058107268</v>
      </c>
      <c r="BV5" s="159">
        <f t="shared" si="46"/>
        <v>1.258060703999079</v>
      </c>
      <c r="BW5" s="159">
        <f t="shared" si="47"/>
        <v>3.9054974136103264</v>
      </c>
      <c r="BX5" s="159">
        <f t="shared" si="48"/>
        <v>3.3554273553553511</v>
      </c>
      <c r="BY5" s="159">
        <f t="shared" si="49"/>
        <v>5.6120272800833479</v>
      </c>
      <c r="BZ5" s="159">
        <f t="shared" si="50"/>
        <v>8.1663003312328559</v>
      </c>
      <c r="CA5" s="159">
        <f t="shared" si="51"/>
        <v>1.5387849933211875</v>
      </c>
      <c r="CB5" s="159">
        <f t="shared" si="52"/>
        <v>3.6109082023991115</v>
      </c>
      <c r="CC5" s="159">
        <f t="shared" si="53"/>
        <v>4.7096196198821678</v>
      </c>
      <c r="CD5" s="159">
        <f t="shared" si="54"/>
        <v>9.5329764732108941</v>
      </c>
      <c r="CE5" s="159">
        <f t="shared" si="68"/>
        <v>4.7096196198821678</v>
      </c>
      <c r="CF5" s="159">
        <f t="shared" si="55"/>
        <v>5.0191636017656887</v>
      </c>
      <c r="CG5" s="159">
        <f t="shared" si="56"/>
        <v>10.504316743776537</v>
      </c>
      <c r="CH5" s="159">
        <f t="shared" si="69"/>
        <v>5.0191636017656887</v>
      </c>
      <c r="CI5" s="159">
        <f t="shared" si="70"/>
        <v>2.2234656418713739</v>
      </c>
    </row>
    <row r="6" spans="1:87" x14ac:dyDescent="0.25">
      <c r="A6" t="str">
        <f>PLANTILLA!D9</f>
        <v>E. Toney</v>
      </c>
      <c r="B6" t="s">
        <v>854</v>
      </c>
      <c r="C6" s="633">
        <f>PLANTILLA!E9</f>
        <v>31</v>
      </c>
      <c r="D6" s="633">
        <f ca="1">PLANTILLA!F9</f>
        <v>71</v>
      </c>
      <c r="E6" s="633"/>
      <c r="F6" s="290">
        <v>41539</v>
      </c>
      <c r="G6" s="497">
        <v>1.5</v>
      </c>
      <c r="H6" s="498">
        <f>PLANTILLA!I9</f>
        <v>12.4</v>
      </c>
      <c r="I6" s="341"/>
      <c r="J6" s="163">
        <f>PLANTILLA!X9</f>
        <v>0</v>
      </c>
      <c r="K6" s="163">
        <f>PLANTILLA!Y9</f>
        <v>12.200000000000005</v>
      </c>
      <c r="L6" s="163">
        <f>PLANTILLA!Z9</f>
        <v>13.261555555555553</v>
      </c>
      <c r="M6" s="163">
        <f>PLANTILLA!AA9</f>
        <v>9.8750000000000053</v>
      </c>
      <c r="N6" s="163">
        <f>PLANTILLA!AB9</f>
        <v>9.6</v>
      </c>
      <c r="O6" s="163">
        <f>PLANTILLA!AC9</f>
        <v>3.6816666666666658</v>
      </c>
      <c r="P6" s="163">
        <f>PLANTILLA!AD9</f>
        <v>16.827777777777772</v>
      </c>
      <c r="Q6" s="163">
        <f t="shared" si="57"/>
        <v>4.3000000000000007</v>
      </c>
      <c r="R6" s="163">
        <f t="shared" si="58"/>
        <v>14.303793676722494</v>
      </c>
      <c r="S6" s="163">
        <f t="shared" si="59"/>
        <v>0.6889166666666664</v>
      </c>
      <c r="T6" s="163">
        <f t="shared" si="60"/>
        <v>0.99283333333333346</v>
      </c>
      <c r="U6" s="163">
        <f t="shared" ca="1" si="0"/>
        <v>19.285673357994085</v>
      </c>
      <c r="V6" s="159">
        <f t="shared" si="1"/>
        <v>5.9494428415288434</v>
      </c>
      <c r="W6" s="159">
        <f t="shared" si="2"/>
        <v>9.0036431940592632</v>
      </c>
      <c r="X6" s="159">
        <f t="shared" si="61"/>
        <v>5.9494428415288434</v>
      </c>
      <c r="Y6" s="159">
        <f t="shared" si="3"/>
        <v>7.8214741193916204</v>
      </c>
      <c r="Z6" s="159">
        <f t="shared" si="4"/>
        <v>15.157895580216318</v>
      </c>
      <c r="AA6" s="159">
        <f t="shared" si="62"/>
        <v>3.9107370596958102</v>
      </c>
      <c r="AB6" s="159">
        <f t="shared" si="5"/>
        <v>3.8602293703137041</v>
      </c>
      <c r="AC6" s="159">
        <f t="shared" si="6"/>
        <v>5.7296845293217684</v>
      </c>
      <c r="AD6" s="159">
        <f t="shared" si="7"/>
        <v>10.959158504496397</v>
      </c>
      <c r="AE6" s="159">
        <f t="shared" si="63"/>
        <v>2.8648422646608842</v>
      </c>
      <c r="AF6" s="159">
        <f t="shared" si="8"/>
        <v>6.2444886872721685</v>
      </c>
      <c r="AG6" s="357">
        <f t="shared" si="9"/>
        <v>13.945263933799012</v>
      </c>
      <c r="AH6" s="159">
        <f t="shared" si="10"/>
        <v>6.2753687702095551</v>
      </c>
      <c r="AI6" s="159">
        <f t="shared" si="11"/>
        <v>2.7086483396739016</v>
      </c>
      <c r="AJ6" s="357">
        <f t="shared" si="12"/>
        <v>7.5457426011671949</v>
      </c>
      <c r="AK6" s="159">
        <f t="shared" si="13"/>
        <v>11.429053267483104</v>
      </c>
      <c r="AL6" s="159">
        <f t="shared" si="14"/>
        <v>10.731790070793153</v>
      </c>
      <c r="AM6" s="159">
        <f t="shared" si="15"/>
        <v>3.3042074507850123</v>
      </c>
      <c r="AN6" s="159">
        <f t="shared" si="16"/>
        <v>2.0902739271022983</v>
      </c>
      <c r="AO6" s="159">
        <f t="shared" si="17"/>
        <v>4.0926318066584058</v>
      </c>
      <c r="AP6" s="159">
        <f t="shared" si="18"/>
        <v>9.0037899746484928</v>
      </c>
      <c r="AQ6" s="159">
        <f t="shared" si="64"/>
        <v>2.0463159033292029</v>
      </c>
      <c r="AR6" s="159">
        <f t="shared" si="19"/>
        <v>15.311161872168642</v>
      </c>
      <c r="AS6" s="159">
        <f t="shared" si="20"/>
        <v>1.6325264254281207</v>
      </c>
      <c r="AT6" s="159">
        <f t="shared" si="21"/>
        <v>2.6555917383367129</v>
      </c>
      <c r="AU6" s="159">
        <f t="shared" si="65"/>
        <v>0.81626321271406033</v>
      </c>
      <c r="AV6" s="159">
        <f t="shared" si="22"/>
        <v>2.8648422646608842</v>
      </c>
      <c r="AW6" s="159">
        <f t="shared" si="23"/>
        <v>6.0631582320865274</v>
      </c>
      <c r="AX6" s="159">
        <f t="shared" si="66"/>
        <v>1.4324211323304421</v>
      </c>
      <c r="AY6" s="159">
        <f t="shared" si="24"/>
        <v>16.219451135771866</v>
      </c>
      <c r="AZ6" s="159">
        <f t="shared" si="25"/>
        <v>3.1771475817947272</v>
      </c>
      <c r="BA6" s="159">
        <f t="shared" si="26"/>
        <v>5.6765504646991882</v>
      </c>
      <c r="BB6" s="159">
        <f t="shared" si="67"/>
        <v>1.5885737908973636</v>
      </c>
      <c r="BC6" s="159">
        <f t="shared" si="27"/>
        <v>4.4109476138429482</v>
      </c>
      <c r="BD6" s="159">
        <f t="shared" si="28"/>
        <v>5.2749476619152782</v>
      </c>
      <c r="BE6" s="159">
        <f t="shared" si="29"/>
        <v>14.289336450615014</v>
      </c>
      <c r="BF6" s="159">
        <f t="shared" si="30"/>
        <v>11.321819170812304</v>
      </c>
      <c r="BG6" s="159">
        <f t="shared" si="31"/>
        <v>3.0264528348321313</v>
      </c>
      <c r="BH6" s="159">
        <f t="shared" si="32"/>
        <v>7.3515793564049137</v>
      </c>
      <c r="BI6" s="159">
        <f t="shared" si="33"/>
        <v>4.0016844331771084</v>
      </c>
      <c r="BJ6" s="159">
        <f t="shared" si="34"/>
        <v>6.1796108827290812</v>
      </c>
      <c r="BK6" s="159">
        <f t="shared" si="35"/>
        <v>11.160675737109061</v>
      </c>
      <c r="BL6" s="159">
        <f t="shared" si="36"/>
        <v>0.65301057017124819</v>
      </c>
      <c r="BM6" s="159">
        <f t="shared" si="37"/>
        <v>2.7284212044389369</v>
      </c>
      <c r="BN6" s="159">
        <f t="shared" si="38"/>
        <v>1.0307368994547097</v>
      </c>
      <c r="BO6" s="159">
        <f t="shared" si="39"/>
        <v>4.9469325964104192</v>
      </c>
      <c r="BP6" s="159">
        <f t="shared" si="40"/>
        <v>16.424453716158183</v>
      </c>
      <c r="BQ6" s="159">
        <f t="shared" si="41"/>
        <v>1.6953159033292022</v>
      </c>
      <c r="BR6" s="159">
        <f t="shared" si="42"/>
        <v>4.3048423447814335</v>
      </c>
      <c r="BS6" s="159">
        <f t="shared" si="43"/>
        <v>3.6985265215727816</v>
      </c>
      <c r="BT6" s="159">
        <f t="shared" si="44"/>
        <v>7.3798502667761996</v>
      </c>
      <c r="BU6" s="159">
        <f t="shared" si="45"/>
        <v>14.151748302879678</v>
      </c>
      <c r="BV6" s="159">
        <f t="shared" si="46"/>
        <v>1.5195053652061739</v>
      </c>
      <c r="BW6" s="159">
        <f t="shared" si="47"/>
        <v>4.3048423447814335</v>
      </c>
      <c r="BX6" s="159">
        <f t="shared" si="48"/>
        <v>3.6985265215727816</v>
      </c>
      <c r="BY6" s="159">
        <f t="shared" si="49"/>
        <v>10.234473666672047</v>
      </c>
      <c r="BZ6" s="159">
        <f t="shared" si="50"/>
        <v>11.432366544293602</v>
      </c>
      <c r="CA6" s="159">
        <f t="shared" si="51"/>
        <v>1.8585685458720143</v>
      </c>
      <c r="CB6" s="159">
        <f t="shared" si="52"/>
        <v>6.585097161123378</v>
      </c>
      <c r="CC6" s="159">
        <f t="shared" si="53"/>
        <v>5.8306352639593673</v>
      </c>
      <c r="CD6" s="159">
        <f t="shared" si="54"/>
        <v>10.689802089990234</v>
      </c>
      <c r="CE6" s="159">
        <f t="shared" si="68"/>
        <v>5.8306352639593673</v>
      </c>
      <c r="CF6" s="159">
        <f t="shared" si="55"/>
        <v>6.2155772798080973</v>
      </c>
      <c r="CG6" s="159">
        <f t="shared" si="56"/>
        <v>11.2734257159828</v>
      </c>
      <c r="CH6" s="159">
        <f t="shared" si="69"/>
        <v>6.2155772798080973</v>
      </c>
      <c r="CI6" s="159">
        <f t="shared" si="70"/>
        <v>4.0548627839429665</v>
      </c>
    </row>
    <row r="7" spans="1:87" x14ac:dyDescent="0.25">
      <c r="A7" t="str">
        <f>PLANTILLA!D10</f>
        <v>B. Bartolache</v>
      </c>
      <c r="B7" t="s">
        <v>854</v>
      </c>
      <c r="C7" s="633">
        <f>PLANTILLA!E10</f>
        <v>31</v>
      </c>
      <c r="D7" s="633">
        <f ca="1">PLANTILLA!F10</f>
        <v>56</v>
      </c>
      <c r="E7" s="633"/>
      <c r="F7" s="290">
        <v>41527</v>
      </c>
      <c r="G7" s="497">
        <v>1.5</v>
      </c>
      <c r="H7" s="498">
        <f>PLANTILLA!I10</f>
        <v>9.5</v>
      </c>
      <c r="I7" s="341"/>
      <c r="J7" s="163">
        <f>PLANTILLA!X10</f>
        <v>0</v>
      </c>
      <c r="K7" s="163">
        <f>PLANTILLA!Y10</f>
        <v>11.999999999999996</v>
      </c>
      <c r="L7" s="163">
        <f>PLANTILLA!Z10</f>
        <v>7.0225000000000017</v>
      </c>
      <c r="M7" s="163">
        <f>PLANTILLA!AA10</f>
        <v>7.5000000000000018</v>
      </c>
      <c r="N7" s="163">
        <f>PLANTILLA!AB10</f>
        <v>9.0199999999999978</v>
      </c>
      <c r="O7" s="163">
        <f>PLANTILLA!AC10</f>
        <v>4.6199999999999966</v>
      </c>
      <c r="P7" s="163">
        <f>PLANTILLA!AD10</f>
        <v>15.799999999999999</v>
      </c>
      <c r="Q7" s="163">
        <f t="shared" si="57"/>
        <v>4.129999999999999</v>
      </c>
      <c r="R7" s="163">
        <f t="shared" si="58"/>
        <v>14.955225556917798</v>
      </c>
      <c r="S7" s="163">
        <f t="shared" si="59"/>
        <v>0.70499999999999974</v>
      </c>
      <c r="T7" s="163">
        <f t="shared" si="60"/>
        <v>0.95399999999999996</v>
      </c>
      <c r="U7" s="163">
        <f t="shared" ca="1" si="0"/>
        <v>18.103631473718462</v>
      </c>
      <c r="V7" s="159">
        <f t="shared" si="1"/>
        <v>5.759570276556218</v>
      </c>
      <c r="W7" s="159">
        <f t="shared" si="2"/>
        <v>8.7194882325705354</v>
      </c>
      <c r="X7" s="159">
        <f t="shared" si="61"/>
        <v>5.759570276556218</v>
      </c>
      <c r="Y7" s="159">
        <f t="shared" si="3"/>
        <v>7.6386738404387255</v>
      </c>
      <c r="Z7" s="159">
        <f t="shared" si="4"/>
        <v>14.803631473718459</v>
      </c>
      <c r="AA7" s="159">
        <f t="shared" si="62"/>
        <v>3.8193369202193628</v>
      </c>
      <c r="AB7" s="159">
        <f t="shared" si="5"/>
        <v>2.3386192907449943</v>
      </c>
      <c r="AC7" s="159">
        <f t="shared" si="6"/>
        <v>5.5957726970655779</v>
      </c>
      <c r="AD7" s="159">
        <f t="shared" si="7"/>
        <v>10.703025555498446</v>
      </c>
      <c r="AE7" s="159">
        <f t="shared" si="63"/>
        <v>2.7978863485327889</v>
      </c>
      <c r="AF7" s="159">
        <f t="shared" si="8"/>
        <v>3.7830606173816088</v>
      </c>
      <c r="AG7" s="357">
        <f t="shared" si="9"/>
        <v>13.619340955820983</v>
      </c>
      <c r="AH7" s="159">
        <f t="shared" si="10"/>
        <v>6.1287034301194421</v>
      </c>
      <c r="AI7" s="159">
        <f t="shared" si="11"/>
        <v>1.6409639561109834</v>
      </c>
      <c r="AJ7" s="357">
        <f t="shared" si="12"/>
        <v>6.0585353065464567</v>
      </c>
      <c r="AK7" s="159">
        <f t="shared" si="13"/>
        <v>11.161938131183719</v>
      </c>
      <c r="AL7" s="159">
        <f t="shared" si="14"/>
        <v>10.480971083392669</v>
      </c>
      <c r="AM7" s="159">
        <f t="shared" si="15"/>
        <v>3.1068064561109834</v>
      </c>
      <c r="AN7" s="159">
        <f t="shared" si="16"/>
        <v>1.9968858644309171</v>
      </c>
      <c r="AO7" s="159">
        <f t="shared" si="17"/>
        <v>3.9969804979039845</v>
      </c>
      <c r="AP7" s="159">
        <f t="shared" si="18"/>
        <v>8.7933570953887639</v>
      </c>
      <c r="AQ7" s="159">
        <f t="shared" si="64"/>
        <v>1.9984902489519922</v>
      </c>
      <c r="AR7" s="159">
        <f t="shared" si="19"/>
        <v>9.2758681111902295</v>
      </c>
      <c r="AS7" s="159">
        <f t="shared" si="20"/>
        <v>1.5370720915834</v>
      </c>
      <c r="AT7" s="159">
        <f t="shared" si="21"/>
        <v>2.7031240217995087</v>
      </c>
      <c r="AU7" s="159">
        <f t="shared" si="65"/>
        <v>0.76853604579169998</v>
      </c>
      <c r="AV7" s="159">
        <f t="shared" si="22"/>
        <v>2.7978863485327889</v>
      </c>
      <c r="AW7" s="159">
        <f t="shared" si="23"/>
        <v>5.9214525894873837</v>
      </c>
      <c r="AX7" s="159">
        <f t="shared" si="66"/>
        <v>1.3989431742663945</v>
      </c>
      <c r="AY7" s="159">
        <f t="shared" si="24"/>
        <v>9.8261314737184637</v>
      </c>
      <c r="AZ7" s="159">
        <f t="shared" si="25"/>
        <v>2.9913787628507706</v>
      </c>
      <c r="BA7" s="159">
        <f t="shared" si="26"/>
        <v>5.5908209420188717</v>
      </c>
      <c r="BB7" s="159">
        <f t="shared" si="67"/>
        <v>1.4956893814253853</v>
      </c>
      <c r="BC7" s="159">
        <f t="shared" si="27"/>
        <v>4.3078567588520711</v>
      </c>
      <c r="BD7" s="159">
        <f t="shared" si="28"/>
        <v>5.1516637528540237</v>
      </c>
      <c r="BE7" s="159">
        <f t="shared" si="29"/>
        <v>8.6568218283459668</v>
      </c>
      <c r="BF7" s="159">
        <f t="shared" si="30"/>
        <v>9.6387283801357135</v>
      </c>
      <c r="BG7" s="159">
        <f t="shared" si="31"/>
        <v>2.8494951851661487</v>
      </c>
      <c r="BH7" s="159">
        <f t="shared" si="32"/>
        <v>7.179761264753453</v>
      </c>
      <c r="BI7" s="159">
        <f t="shared" si="33"/>
        <v>3.9081587090616736</v>
      </c>
      <c r="BJ7" s="159">
        <f t="shared" si="34"/>
        <v>3.7437560914867349</v>
      </c>
      <c r="BK7" s="159">
        <f t="shared" si="35"/>
        <v>9.3108939080299375</v>
      </c>
      <c r="BL7" s="159">
        <f t="shared" si="36"/>
        <v>0.61482883663335997</v>
      </c>
      <c r="BM7" s="159">
        <f t="shared" si="37"/>
        <v>2.6646536652693227</v>
      </c>
      <c r="BN7" s="159">
        <f t="shared" si="38"/>
        <v>1.0066469402128553</v>
      </c>
      <c r="BO7" s="159">
        <f t="shared" si="39"/>
        <v>2.9969700994841313</v>
      </c>
      <c r="BP7" s="159">
        <f t="shared" si="40"/>
        <v>13.685190075201945</v>
      </c>
      <c r="BQ7" s="159">
        <f t="shared" si="41"/>
        <v>1.5961902489519924</v>
      </c>
      <c r="BR7" s="159">
        <f t="shared" si="42"/>
        <v>4.2042313385360419</v>
      </c>
      <c r="BS7" s="159">
        <f t="shared" si="43"/>
        <v>3.612086079587304</v>
      </c>
      <c r="BT7" s="159">
        <f t="shared" si="44"/>
        <v>4.4708898205419008</v>
      </c>
      <c r="BU7" s="159">
        <f t="shared" si="45"/>
        <v>11.787303672880057</v>
      </c>
      <c r="BV7" s="159">
        <f t="shared" si="46"/>
        <v>1.4306594083199338</v>
      </c>
      <c r="BW7" s="159">
        <f t="shared" si="47"/>
        <v>4.2042313385360419</v>
      </c>
      <c r="BX7" s="159">
        <f t="shared" si="48"/>
        <v>3.612086079587304</v>
      </c>
      <c r="BY7" s="159">
        <f t="shared" si="49"/>
        <v>6.2002889599163504</v>
      </c>
      <c r="BZ7" s="159">
        <f t="shared" si="50"/>
        <v>9.5151101689780244</v>
      </c>
      <c r="CA7" s="159">
        <f t="shared" si="51"/>
        <v>1.7498974581103321</v>
      </c>
      <c r="CB7" s="159">
        <f t="shared" si="52"/>
        <v>3.9894093783296967</v>
      </c>
      <c r="CC7" s="159">
        <f t="shared" si="53"/>
        <v>5.3824319978073181</v>
      </c>
      <c r="CD7" s="159">
        <f t="shared" si="54"/>
        <v>10.748209039406987</v>
      </c>
      <c r="CE7" s="159">
        <f t="shared" si="68"/>
        <v>5.3824319978073181</v>
      </c>
      <c r="CF7" s="159">
        <f t="shared" si="55"/>
        <v>5.756202408126601</v>
      </c>
      <c r="CG7" s="159">
        <f t="shared" si="56"/>
        <v>11.786551487520573</v>
      </c>
      <c r="CH7" s="159">
        <f t="shared" si="69"/>
        <v>5.756202408126601</v>
      </c>
      <c r="CI7" s="159">
        <f t="shared" si="70"/>
        <v>2.4565328684296159</v>
      </c>
    </row>
    <row r="8" spans="1:87" x14ac:dyDescent="0.25">
      <c r="A8" t="str">
        <f>PLANTILLA!D11</f>
        <v>F. Lasprilla</v>
      </c>
      <c r="B8" t="s">
        <v>854</v>
      </c>
      <c r="C8" s="633">
        <f>PLANTILLA!E11</f>
        <v>27</v>
      </c>
      <c r="D8" s="633">
        <f ca="1">PLANTILLA!F11</f>
        <v>79</v>
      </c>
      <c r="E8" s="633"/>
      <c r="F8" s="290">
        <v>42106</v>
      </c>
      <c r="G8" s="497">
        <v>1.5</v>
      </c>
      <c r="H8" s="498">
        <f>PLANTILLA!I11</f>
        <v>4.9000000000000004</v>
      </c>
      <c r="I8" s="341"/>
      <c r="J8" s="163">
        <f>PLANTILLA!X11</f>
        <v>0</v>
      </c>
      <c r="K8" s="163">
        <f>PLANTILLA!Y11</f>
        <v>9.6046666666666667</v>
      </c>
      <c r="L8" s="163">
        <f>PLANTILLA!Z11</f>
        <v>7.7607222222222223</v>
      </c>
      <c r="M8" s="163">
        <f>PLANTILLA!AA11</f>
        <v>6.1599999999999984</v>
      </c>
      <c r="N8" s="163">
        <f>PLANTILLA!AB11</f>
        <v>8.8633333333333315</v>
      </c>
      <c r="O8" s="163">
        <f>PLANTILLA!AC11</f>
        <v>3.2566666666666673</v>
      </c>
      <c r="P8" s="163">
        <f>PLANTILLA!AD11</f>
        <v>13.238888888888889</v>
      </c>
      <c r="Q8" s="163">
        <f t="shared" si="57"/>
        <v>3.7914166666666662</v>
      </c>
      <c r="R8" s="163">
        <f t="shared" si="58"/>
        <v>10.436233338039576</v>
      </c>
      <c r="S8" s="163">
        <f t="shared" si="59"/>
        <v>0.56000000000000005</v>
      </c>
      <c r="T8" s="163">
        <f t="shared" si="60"/>
        <v>0.78135333333333334</v>
      </c>
      <c r="U8" s="163">
        <f t="shared" ca="1" si="0"/>
        <v>15.159150328926907</v>
      </c>
      <c r="V8" s="159">
        <f t="shared" si="1"/>
        <v>4.7637762371531904</v>
      </c>
      <c r="W8" s="159">
        <f t="shared" si="2"/>
        <v>7.2065408524224157</v>
      </c>
      <c r="X8" s="159">
        <f t="shared" si="61"/>
        <v>4.7637762371531904</v>
      </c>
      <c r="Y8" s="159">
        <f t="shared" si="3"/>
        <v>6.2048629030596176</v>
      </c>
      <c r="Z8" s="159">
        <f t="shared" si="4"/>
        <v>12.024928106704685</v>
      </c>
      <c r="AA8" s="159">
        <f t="shared" si="62"/>
        <v>3.1024314515298088</v>
      </c>
      <c r="AB8" s="159">
        <f t="shared" si="5"/>
        <v>2.4230741116179373</v>
      </c>
      <c r="AC8" s="159">
        <f t="shared" si="6"/>
        <v>4.5454228243343708</v>
      </c>
      <c r="AD8" s="159">
        <f t="shared" si="7"/>
        <v>8.6940230211474869</v>
      </c>
      <c r="AE8" s="159">
        <f t="shared" si="63"/>
        <v>2.2727114121671854</v>
      </c>
      <c r="AF8" s="159">
        <f t="shared" si="8"/>
        <v>3.9196787099701926</v>
      </c>
      <c r="AG8" s="357">
        <f t="shared" si="9"/>
        <v>11.062933858168311</v>
      </c>
      <c r="AH8" s="159">
        <f t="shared" si="10"/>
        <v>4.9783202361757395</v>
      </c>
      <c r="AI8" s="159">
        <f t="shared" si="11"/>
        <v>1.7002242715974603</v>
      </c>
      <c r="AJ8" s="357">
        <f t="shared" si="12"/>
        <v>5.0451937267423537</v>
      </c>
      <c r="AK8" s="159">
        <f t="shared" si="13"/>
        <v>9.0667957924553324</v>
      </c>
      <c r="AL8" s="159">
        <f t="shared" si="14"/>
        <v>8.5136490995469174</v>
      </c>
      <c r="AM8" s="159">
        <f t="shared" si="15"/>
        <v>2.6150781049307938</v>
      </c>
      <c r="AN8" s="159">
        <f t="shared" si="16"/>
        <v>1.7889632947309493</v>
      </c>
      <c r="AO8" s="159">
        <f t="shared" si="17"/>
        <v>3.2467305888102653</v>
      </c>
      <c r="AP8" s="159">
        <f t="shared" si="18"/>
        <v>7.1428072953825827</v>
      </c>
      <c r="AQ8" s="159">
        <f t="shared" si="64"/>
        <v>1.6233652944051327</v>
      </c>
      <c r="AR8" s="159">
        <f t="shared" si="19"/>
        <v>9.610848577173666</v>
      </c>
      <c r="AS8" s="159">
        <f t="shared" si="20"/>
        <v>1.4668673205382756</v>
      </c>
      <c r="AT8" s="159">
        <f t="shared" si="21"/>
        <v>2.3361399352644723</v>
      </c>
      <c r="AU8" s="159">
        <f t="shared" si="65"/>
        <v>0.73343366026913781</v>
      </c>
      <c r="AV8" s="159">
        <f t="shared" si="22"/>
        <v>2.2727114121671854</v>
      </c>
      <c r="AW8" s="159">
        <f t="shared" si="23"/>
        <v>4.8099712426818746</v>
      </c>
      <c r="AX8" s="159">
        <f t="shared" si="66"/>
        <v>1.1363557060835927</v>
      </c>
      <c r="AY8" s="159">
        <f t="shared" si="24"/>
        <v>10.180983662260241</v>
      </c>
      <c r="AZ8" s="159">
        <f t="shared" si="25"/>
        <v>2.8547494776629514</v>
      </c>
      <c r="BA8" s="159">
        <f t="shared" si="26"/>
        <v>5.0398607201276144</v>
      </c>
      <c r="BB8" s="159">
        <f t="shared" si="67"/>
        <v>1.4273747388314757</v>
      </c>
      <c r="BC8" s="159">
        <f t="shared" si="27"/>
        <v>3.4992540790510631</v>
      </c>
      <c r="BD8" s="159">
        <f t="shared" si="28"/>
        <v>4.18467498113323</v>
      </c>
      <c r="BE8" s="159">
        <f t="shared" si="29"/>
        <v>8.9694466064512728</v>
      </c>
      <c r="BF8" s="159">
        <f t="shared" si="30"/>
        <v>8.4794024201937965</v>
      </c>
      <c r="BG8" s="159">
        <f t="shared" si="31"/>
        <v>2.7193463403824953</v>
      </c>
      <c r="BH8" s="159">
        <f t="shared" si="32"/>
        <v>5.8320901317517722</v>
      </c>
      <c r="BI8" s="159">
        <f t="shared" si="33"/>
        <v>3.1745810201700371</v>
      </c>
      <c r="BJ8" s="159">
        <f t="shared" si="34"/>
        <v>3.878954775321152</v>
      </c>
      <c r="BK8" s="159">
        <f t="shared" si="35"/>
        <v>8.0425184985932265</v>
      </c>
      <c r="BL8" s="159">
        <f t="shared" si="36"/>
        <v>0.58674692821531016</v>
      </c>
      <c r="BM8" s="159">
        <f t="shared" si="37"/>
        <v>2.1644870592068433</v>
      </c>
      <c r="BN8" s="159">
        <f t="shared" si="38"/>
        <v>0.81769511125591865</v>
      </c>
      <c r="BO8" s="159">
        <f t="shared" si="39"/>
        <v>3.1052000169893734</v>
      </c>
      <c r="BP8" s="159">
        <f t="shared" si="40"/>
        <v>11.807369545222222</v>
      </c>
      <c r="BQ8" s="159">
        <f t="shared" si="41"/>
        <v>1.5232852944051323</v>
      </c>
      <c r="BR8" s="159">
        <f t="shared" si="42"/>
        <v>3.4150795823041302</v>
      </c>
      <c r="BS8" s="159">
        <f t="shared" si="43"/>
        <v>2.934082458035943</v>
      </c>
      <c r="BT8" s="159">
        <f t="shared" si="44"/>
        <v>4.6323475663284093</v>
      </c>
      <c r="BU8" s="159">
        <f t="shared" si="45"/>
        <v>10.166543008895456</v>
      </c>
      <c r="BV8" s="159">
        <f t="shared" si="46"/>
        <v>1.3653149675779332</v>
      </c>
      <c r="BW8" s="159">
        <f t="shared" si="47"/>
        <v>3.4150795823041302</v>
      </c>
      <c r="BX8" s="159">
        <f t="shared" si="48"/>
        <v>2.934082458035943</v>
      </c>
      <c r="BY8" s="159">
        <f t="shared" si="49"/>
        <v>6.4242006908862122</v>
      </c>
      <c r="BZ8" s="159">
        <f t="shared" si="50"/>
        <v>8.2010773221673574</v>
      </c>
      <c r="CA8" s="159">
        <f t="shared" si="51"/>
        <v>1.6699720264589597</v>
      </c>
      <c r="CB8" s="159">
        <f t="shared" si="52"/>
        <v>4.1334793668776584</v>
      </c>
      <c r="CC8" s="159">
        <f t="shared" si="53"/>
        <v>4.7774262102598071</v>
      </c>
      <c r="CD8" s="159">
        <f t="shared" si="54"/>
        <v>9.4366410481494754</v>
      </c>
      <c r="CE8" s="159">
        <f t="shared" si="68"/>
        <v>4.7774262102598071</v>
      </c>
      <c r="CF8" s="159">
        <f t="shared" si="55"/>
        <v>4.8445095438103518</v>
      </c>
      <c r="CG8" s="159">
        <f t="shared" si="56"/>
        <v>9.8405745780787139</v>
      </c>
      <c r="CH8" s="159">
        <f t="shared" si="69"/>
        <v>4.8445095438103518</v>
      </c>
      <c r="CI8" s="159">
        <f t="shared" si="70"/>
        <v>2.5452459155650602</v>
      </c>
    </row>
    <row r="9" spans="1:87" x14ac:dyDescent="0.25">
      <c r="A9" t="str">
        <f>PLANTILLA!D7</f>
        <v>B. Pinczehelyi</v>
      </c>
      <c r="C9" s="633">
        <f>PLANTILLA!E7</f>
        <v>30</v>
      </c>
      <c r="D9" s="633">
        <f ca="1">PLANTILLA!F7</f>
        <v>72</v>
      </c>
      <c r="E9" s="633" t="str">
        <f>PLANTILLA!G7</f>
        <v>CAB</v>
      </c>
      <c r="F9" s="290">
        <v>41400</v>
      </c>
      <c r="G9" s="497">
        <v>1</v>
      </c>
      <c r="H9" s="498">
        <f>PLANTILLA!I7</f>
        <v>14.4</v>
      </c>
      <c r="I9" s="341"/>
      <c r="J9" s="163">
        <f>PLANTILLA!X7</f>
        <v>0</v>
      </c>
      <c r="K9" s="163">
        <f>PLANTILLA!Y7</f>
        <v>14.300000000000004</v>
      </c>
      <c r="L9" s="163">
        <f>PLANTILLA!Z7</f>
        <v>9.3793333333333351</v>
      </c>
      <c r="M9" s="163">
        <f>PLANTILLA!AA7</f>
        <v>14.333333333333329</v>
      </c>
      <c r="N9" s="163">
        <f>PLANTILLA!AB7</f>
        <v>9.4199999999999982</v>
      </c>
      <c r="O9" s="163">
        <f>PLANTILLA!AC7</f>
        <v>1.1428571428571428</v>
      </c>
      <c r="P9" s="163">
        <f>PLANTILLA!AD7</f>
        <v>9.8000000000000007</v>
      </c>
      <c r="Q9" s="163">
        <f>((2*(N9+1))+(K9+1))/8</f>
        <v>4.5175000000000001</v>
      </c>
      <c r="R9" s="163">
        <f t="shared" si="58"/>
        <v>5.3104510005168617</v>
      </c>
      <c r="S9" s="163">
        <f>(0.5*O9+ 0.3*P9)/10</f>
        <v>0.35114285714285715</v>
      </c>
      <c r="T9" s="163">
        <f>(0.4*K9+0.3*P9)/10</f>
        <v>0.86600000000000021</v>
      </c>
      <c r="U9" s="163">
        <f t="shared" ca="1" si="0"/>
        <v>12.344483322793668</v>
      </c>
      <c r="V9" s="159">
        <f t="shared" si="1"/>
        <v>6.1681339407988718</v>
      </c>
      <c r="W9" s="159">
        <f t="shared" si="2"/>
        <v>9.3624279697266246</v>
      </c>
      <c r="X9" s="159">
        <f>V9</f>
        <v>6.1681339407988718</v>
      </c>
      <c r="Y9" s="159">
        <f t="shared" si="3"/>
        <v>8.691753394561534</v>
      </c>
      <c r="Z9" s="159">
        <f t="shared" si="4"/>
        <v>16.844483322793671</v>
      </c>
      <c r="AA9" s="159">
        <f>Y9/2</f>
        <v>4.345876697280767</v>
      </c>
      <c r="AB9" s="159">
        <f t="shared" si="5"/>
        <v>2.8378683641582265</v>
      </c>
      <c r="AC9" s="159">
        <f t="shared" si="6"/>
        <v>6.3672146960160081</v>
      </c>
      <c r="AD9" s="159">
        <f t="shared" si="7"/>
        <v>12.178561442379824</v>
      </c>
      <c r="AE9" s="159">
        <f>AC9/2</f>
        <v>3.183607348008004</v>
      </c>
      <c r="AF9" s="159">
        <f t="shared" si="8"/>
        <v>4.5906694126088956</v>
      </c>
      <c r="AG9" s="357">
        <f t="shared" si="9"/>
        <v>15.496924656970178</v>
      </c>
      <c r="AH9" s="159">
        <f t="shared" si="10"/>
        <v>6.9736160956365794</v>
      </c>
      <c r="AI9" s="159">
        <f t="shared" si="11"/>
        <v>1.9912773815732094</v>
      </c>
      <c r="AJ9" s="357">
        <f t="shared" si="12"/>
        <v>9.9241561938026734</v>
      </c>
      <c r="AK9" s="159">
        <f t="shared" si="13"/>
        <v>12.700740425386428</v>
      </c>
      <c r="AL9" s="159">
        <f t="shared" si="14"/>
        <v>11.925894192537919</v>
      </c>
      <c r="AM9" s="159">
        <f t="shared" si="15"/>
        <v>2.0615287149065424</v>
      </c>
      <c r="AN9" s="159">
        <f t="shared" si="16"/>
        <v>2.0338511969645756</v>
      </c>
      <c r="AO9" s="159">
        <f t="shared" si="17"/>
        <v>4.5480104971542916</v>
      </c>
      <c r="AP9" s="159">
        <f t="shared" si="18"/>
        <v>10.005623093739441</v>
      </c>
      <c r="AQ9" s="159">
        <f>AO9/2</f>
        <v>2.2740052485771458</v>
      </c>
      <c r="AR9" s="159">
        <f t="shared" si="19"/>
        <v>11.256082923383889</v>
      </c>
      <c r="AS9" s="159">
        <f t="shared" si="20"/>
        <v>1.5553828319631766</v>
      </c>
      <c r="AT9" s="159">
        <f t="shared" si="21"/>
        <v>2.0736478992928298</v>
      </c>
      <c r="AU9" s="159">
        <f>AS9/2</f>
        <v>0.77769141598158831</v>
      </c>
      <c r="AV9" s="159">
        <f t="shared" si="22"/>
        <v>3.183607348008004</v>
      </c>
      <c r="AW9" s="159">
        <f t="shared" si="23"/>
        <v>6.7377933291174692</v>
      </c>
      <c r="AX9" s="159">
        <f>AV9/2</f>
        <v>1.591803674004002</v>
      </c>
      <c r="AY9" s="159">
        <f t="shared" si="24"/>
        <v>11.923816656127002</v>
      </c>
      <c r="AZ9" s="159">
        <f t="shared" si="25"/>
        <v>3.0270142806667972</v>
      </c>
      <c r="BA9" s="159">
        <f t="shared" si="26"/>
        <v>4.8542303108593101</v>
      </c>
      <c r="BB9" s="159">
        <f>AZ9/2</f>
        <v>1.5135071403333986</v>
      </c>
      <c r="BC9" s="159">
        <f t="shared" si="27"/>
        <v>4.9017446469329577</v>
      </c>
      <c r="BD9" s="159">
        <f t="shared" si="28"/>
        <v>5.8618801963321969</v>
      </c>
      <c r="BE9" s="159">
        <f t="shared" si="29"/>
        <v>10.504882474047889</v>
      </c>
      <c r="BF9" s="159">
        <f t="shared" si="30"/>
        <v>13.4566790072969</v>
      </c>
      <c r="BG9" s="159">
        <f t="shared" si="31"/>
        <v>2.883440480793273</v>
      </c>
      <c r="BH9" s="159">
        <f t="shared" si="32"/>
        <v>8.1695744115549296</v>
      </c>
      <c r="BI9" s="159">
        <f t="shared" si="33"/>
        <v>4.4469435972175297</v>
      </c>
      <c r="BJ9" s="159">
        <f t="shared" si="34"/>
        <v>4.5429741459843882</v>
      </c>
      <c r="BK9" s="159">
        <f t="shared" si="35"/>
        <v>13.763631757454995</v>
      </c>
      <c r="BL9" s="159">
        <f t="shared" si="36"/>
        <v>0.62215313278527051</v>
      </c>
      <c r="BM9" s="159">
        <f t="shared" si="37"/>
        <v>3.0320069981028608</v>
      </c>
      <c r="BN9" s="159">
        <f t="shared" si="38"/>
        <v>1.1454248659499697</v>
      </c>
      <c r="BO9" s="159">
        <f t="shared" si="39"/>
        <v>3.6367640801187355</v>
      </c>
      <c r="BP9" s="159">
        <f t="shared" si="40"/>
        <v>20.299658886445982</v>
      </c>
      <c r="BQ9" s="159">
        <f t="shared" si="41"/>
        <v>1.6152052485771449</v>
      </c>
      <c r="BR9" s="159">
        <f t="shared" si="42"/>
        <v>4.7838332636734018</v>
      </c>
      <c r="BS9" s="159">
        <f t="shared" si="43"/>
        <v>4.1100539307616559</v>
      </c>
      <c r="BT9" s="159">
        <f t="shared" si="44"/>
        <v>5.4253365785377863</v>
      </c>
      <c r="BU9" s="159">
        <f t="shared" si="45"/>
        <v>17.501767521655378</v>
      </c>
      <c r="BV9" s="159">
        <f t="shared" si="46"/>
        <v>1.4477024820580335</v>
      </c>
      <c r="BW9" s="159">
        <f t="shared" si="47"/>
        <v>4.7838332636734018</v>
      </c>
      <c r="BX9" s="159">
        <f t="shared" si="48"/>
        <v>4.1100539307616559</v>
      </c>
      <c r="BY9" s="159">
        <f t="shared" si="49"/>
        <v>7.5239283100161387</v>
      </c>
      <c r="BZ9" s="159">
        <f t="shared" si="50"/>
        <v>14.157372573900327</v>
      </c>
      <c r="CA9" s="159">
        <f t="shared" si="51"/>
        <v>1.7707435317734623</v>
      </c>
      <c r="CB9" s="159">
        <f t="shared" si="52"/>
        <v>4.8410695623875633</v>
      </c>
      <c r="CC9" s="159">
        <f t="shared" si="53"/>
        <v>5.8898186683183562</v>
      </c>
      <c r="CD9" s="159">
        <f t="shared" si="54"/>
        <v>8.6464339357513822</v>
      </c>
      <c r="CE9" s="159">
        <f>CC9</f>
        <v>5.8898186683183562</v>
      </c>
      <c r="CF9" s="159">
        <f t="shared" si="55"/>
        <v>6.3876626339099767</v>
      </c>
      <c r="CG9" s="159">
        <f t="shared" si="56"/>
        <v>8.1022348117616723</v>
      </c>
      <c r="CH9" s="159">
        <f>CF9</f>
        <v>6.3876626339099767</v>
      </c>
      <c r="CI9" s="159">
        <f>((L9+G9+(LOG(H9)*4/3))*0.25)</f>
        <v>2.9809541640317505</v>
      </c>
    </row>
    <row r="10" spans="1:87" x14ac:dyDescent="0.25">
      <c r="A10" t="str">
        <f>PLANTILLA!D12</f>
        <v>E. Romweber</v>
      </c>
      <c r="B10" t="s">
        <v>854</v>
      </c>
      <c r="C10" s="633">
        <f>PLANTILLA!E12</f>
        <v>31</v>
      </c>
      <c r="D10" s="633">
        <f ca="1">PLANTILLA!F12</f>
        <v>33</v>
      </c>
      <c r="E10" s="633" t="str">
        <f>PLANTILLA!G12</f>
        <v>IMP</v>
      </c>
      <c r="F10" s="290">
        <v>41583</v>
      </c>
      <c r="G10" s="497">
        <v>1.5</v>
      </c>
      <c r="H10" s="498">
        <f>PLANTILLA!I12</f>
        <v>12.6</v>
      </c>
      <c r="I10" s="341"/>
      <c r="J10" s="163">
        <f>PLANTILLA!X12</f>
        <v>0</v>
      </c>
      <c r="K10" s="163">
        <f>PLANTILLA!Y12</f>
        <v>12.06111111111111</v>
      </c>
      <c r="L10" s="163">
        <f>PLANTILLA!Z12</f>
        <v>12.614111111111114</v>
      </c>
      <c r="M10" s="163">
        <f>PLANTILLA!AA12</f>
        <v>13.216666666666669</v>
      </c>
      <c r="N10" s="163">
        <f>PLANTILLA!AB12</f>
        <v>10.91</v>
      </c>
      <c r="O10" s="163">
        <f>PLANTILLA!AC12</f>
        <v>7.7700000000000005</v>
      </c>
      <c r="P10" s="163">
        <f>PLANTILLA!AD12</f>
        <v>17.329999999999998</v>
      </c>
      <c r="Q10" s="163">
        <f t="shared" si="57"/>
        <v>4.6101388888888888</v>
      </c>
      <c r="R10" s="163">
        <f t="shared" si="58"/>
        <v>21.387125206279748</v>
      </c>
      <c r="S10" s="163">
        <f t="shared" si="59"/>
        <v>0.90839999999999999</v>
      </c>
      <c r="T10" s="163">
        <f t="shared" si="60"/>
        <v>1.0023444444444443</v>
      </c>
      <c r="U10" s="163">
        <f t="shared" ca="1" si="0"/>
        <v>19.797160726823414</v>
      </c>
      <c r="V10" s="159">
        <f t="shared" si="1"/>
        <v>5.91919798118351</v>
      </c>
      <c r="W10" s="159">
        <f t="shared" si="2"/>
        <v>8.9565767205512525</v>
      </c>
      <c r="X10" s="159">
        <f t="shared" si="61"/>
        <v>5.91919798118351</v>
      </c>
      <c r="Y10" s="159">
        <f t="shared" si="3"/>
        <v>7.7545882683742162</v>
      </c>
      <c r="Z10" s="159">
        <f t="shared" si="4"/>
        <v>15.028271837934527</v>
      </c>
      <c r="AA10" s="159">
        <f t="shared" si="62"/>
        <v>3.8772941341871081</v>
      </c>
      <c r="AB10" s="159">
        <f t="shared" si="5"/>
        <v>3.7083426974284182</v>
      </c>
      <c r="AC10" s="159">
        <f t="shared" si="6"/>
        <v>5.6806867547392512</v>
      </c>
      <c r="AD10" s="159">
        <f t="shared" si="7"/>
        <v>10.865440538826663</v>
      </c>
      <c r="AE10" s="159">
        <f t="shared" si="63"/>
        <v>2.8403433773696256</v>
      </c>
      <c r="AF10" s="159">
        <f t="shared" si="8"/>
        <v>5.998789657604795</v>
      </c>
      <c r="AG10" s="357">
        <f t="shared" si="9"/>
        <v>13.826010090899766</v>
      </c>
      <c r="AH10" s="159">
        <f t="shared" si="10"/>
        <v>6.2217045409048941</v>
      </c>
      <c r="AI10" s="159">
        <f t="shared" si="11"/>
        <v>2.6020723969350668</v>
      </c>
      <c r="AJ10" s="357">
        <f t="shared" si="12"/>
        <v>9.5160905073721693</v>
      </c>
      <c r="AK10" s="159">
        <f t="shared" si="13"/>
        <v>11.331316965802634</v>
      </c>
      <c r="AL10" s="159">
        <f t="shared" si="14"/>
        <v>10.640016461257645</v>
      </c>
      <c r="AM10" s="159">
        <f t="shared" si="15"/>
        <v>3.3896258413795102</v>
      </c>
      <c r="AN10" s="159">
        <f t="shared" si="16"/>
        <v>2.182262289325144</v>
      </c>
      <c r="AO10" s="159">
        <f t="shared" si="17"/>
        <v>4.0576333962423226</v>
      </c>
      <c r="AP10" s="159">
        <f t="shared" si="18"/>
        <v>8.9267934717331094</v>
      </c>
      <c r="AQ10" s="159">
        <f t="shared" si="64"/>
        <v>2.0288166981211613</v>
      </c>
      <c r="AR10" s="159">
        <f t="shared" si="19"/>
        <v>14.708720615010197</v>
      </c>
      <c r="AS10" s="159">
        <f t="shared" si="20"/>
        <v>1.8040308944870442</v>
      </c>
      <c r="AT10" s="159">
        <f t="shared" si="21"/>
        <v>3.522788092959261</v>
      </c>
      <c r="AU10" s="159">
        <f t="shared" si="65"/>
        <v>0.90201544724352212</v>
      </c>
      <c r="AV10" s="159">
        <f t="shared" si="22"/>
        <v>2.8403433773696256</v>
      </c>
      <c r="AW10" s="159">
        <f t="shared" si="23"/>
        <v>6.0113087351738113</v>
      </c>
      <c r="AX10" s="159">
        <f t="shared" si="66"/>
        <v>1.4201716886848128</v>
      </c>
      <c r="AY10" s="159">
        <f t="shared" si="24"/>
        <v>15.581271837934532</v>
      </c>
      <c r="AZ10" s="159">
        <f t="shared" si="25"/>
        <v>3.5109216638863248</v>
      </c>
      <c r="BA10" s="159">
        <f t="shared" si="26"/>
        <v>6.9869155604797033</v>
      </c>
      <c r="BB10" s="159">
        <f t="shared" si="67"/>
        <v>1.7554608319431624</v>
      </c>
      <c r="BC10" s="159">
        <f t="shared" si="27"/>
        <v>4.3732271048389473</v>
      </c>
      <c r="BD10" s="159">
        <f t="shared" si="28"/>
        <v>5.2298385996012149</v>
      </c>
      <c r="BE10" s="159">
        <f t="shared" si="29"/>
        <v>13.727100489220323</v>
      </c>
      <c r="BF10" s="159">
        <f t="shared" si="30"/>
        <v>13.660822552812682</v>
      </c>
      <c r="BG10" s="159">
        <f t="shared" si="31"/>
        <v>3.3443957351644436</v>
      </c>
      <c r="BH10" s="159">
        <f t="shared" si="32"/>
        <v>7.2887118413982455</v>
      </c>
      <c r="BI10" s="159">
        <f t="shared" si="33"/>
        <v>3.9674637652147156</v>
      </c>
      <c r="BJ10" s="159">
        <f t="shared" si="34"/>
        <v>5.9364645702530563</v>
      </c>
      <c r="BK10" s="159">
        <f t="shared" si="35"/>
        <v>13.681025141910334</v>
      </c>
      <c r="BL10" s="159">
        <f t="shared" si="36"/>
        <v>0.72161235779481769</v>
      </c>
      <c r="BM10" s="159">
        <f t="shared" si="37"/>
        <v>2.7050889308282149</v>
      </c>
      <c r="BN10" s="159">
        <f t="shared" si="38"/>
        <v>1.0219224849795479</v>
      </c>
      <c r="BO10" s="159">
        <f t="shared" si="39"/>
        <v>4.7522879105700317</v>
      </c>
      <c r="BP10" s="159">
        <f t="shared" si="40"/>
        <v>20.15269536136158</v>
      </c>
      <c r="BQ10" s="159">
        <f t="shared" si="41"/>
        <v>1.8734166981211615</v>
      </c>
      <c r="BR10" s="159">
        <f t="shared" si="42"/>
        <v>4.2680292019734054</v>
      </c>
      <c r="BS10" s="159">
        <f t="shared" si="43"/>
        <v>3.6668983284560244</v>
      </c>
      <c r="BT10" s="159">
        <f t="shared" si="44"/>
        <v>7.0894786862602119</v>
      </c>
      <c r="BU10" s="159">
        <f t="shared" si="45"/>
        <v>17.368854085320347</v>
      </c>
      <c r="BV10" s="159">
        <f t="shared" si="46"/>
        <v>1.6791364479456334</v>
      </c>
      <c r="BW10" s="159">
        <f t="shared" si="47"/>
        <v>4.2680292019734054</v>
      </c>
      <c r="BX10" s="159">
        <f t="shared" si="48"/>
        <v>3.6668983284560244</v>
      </c>
      <c r="BY10" s="159">
        <f t="shared" si="49"/>
        <v>9.8317825297366888</v>
      </c>
      <c r="BZ10" s="159">
        <f t="shared" si="50"/>
        <v>14.039338850506958</v>
      </c>
      <c r="CA10" s="159">
        <f t="shared" si="51"/>
        <v>2.0538197875698656</v>
      </c>
      <c r="CB10" s="159">
        <f t="shared" si="52"/>
        <v>6.3259963662014203</v>
      </c>
      <c r="CC10" s="159">
        <f t="shared" si="53"/>
        <v>7.1633807386749995</v>
      </c>
      <c r="CD10" s="159">
        <f t="shared" si="54"/>
        <v>13.795062978403168</v>
      </c>
      <c r="CE10" s="159">
        <f t="shared" si="68"/>
        <v>7.1633807386749995</v>
      </c>
      <c r="CF10" s="159">
        <f t="shared" si="55"/>
        <v>8.2088444661443223</v>
      </c>
      <c r="CG10" s="159">
        <f t="shared" si="56"/>
        <v>15.857833035021258</v>
      </c>
      <c r="CH10" s="159">
        <f t="shared" si="69"/>
        <v>8.2088444661443223</v>
      </c>
      <c r="CI10" s="159">
        <f t="shared" si="70"/>
        <v>3.8953179594836329</v>
      </c>
    </row>
    <row r="11" spans="1:87" x14ac:dyDescent="0.25">
      <c r="A11" t="str">
        <f>PLANTILLA!D13</f>
        <v>K. Helms</v>
      </c>
      <c r="B11" t="s">
        <v>854</v>
      </c>
      <c r="C11" s="633">
        <f>PLANTILLA!E13</f>
        <v>30</v>
      </c>
      <c r="D11" s="633">
        <f ca="1">PLANTILLA!F13</f>
        <v>92</v>
      </c>
      <c r="E11" s="633" t="str">
        <f>PLANTILLA!G13</f>
        <v>TEC</v>
      </c>
      <c r="F11" s="290">
        <v>41722</v>
      </c>
      <c r="G11" s="497">
        <v>1.5</v>
      </c>
      <c r="H11" s="498">
        <f>PLANTILLA!I13</f>
        <v>10.4</v>
      </c>
      <c r="I11" s="341"/>
      <c r="J11" s="163">
        <f>PLANTILLA!X13</f>
        <v>0</v>
      </c>
      <c r="K11" s="163">
        <f>PLANTILLA!Y13</f>
        <v>7.2503030303030309</v>
      </c>
      <c r="L11" s="163">
        <f>PLANTILLA!Z13</f>
        <v>10.600000000000005</v>
      </c>
      <c r="M11" s="163">
        <f>PLANTILLA!AA13</f>
        <v>13.471666666666668</v>
      </c>
      <c r="N11" s="163">
        <f>PLANTILLA!AB13</f>
        <v>10.359999999999998</v>
      </c>
      <c r="O11" s="163">
        <f>PLANTILLA!AC13</f>
        <v>5.4050000000000002</v>
      </c>
      <c r="P11" s="163">
        <f>PLANTILLA!AD13</f>
        <v>17.500000000000004</v>
      </c>
      <c r="Q11" s="163">
        <f t="shared" si="57"/>
        <v>3.8712878787878782</v>
      </c>
      <c r="R11" s="163">
        <f t="shared" si="58"/>
        <v>17.309158239800411</v>
      </c>
      <c r="S11" s="163">
        <f t="shared" si="59"/>
        <v>0.79525000000000001</v>
      </c>
      <c r="T11" s="163">
        <f t="shared" si="60"/>
        <v>0.8150121212121213</v>
      </c>
      <c r="U11" s="163">
        <f t="shared" ca="1" si="0"/>
        <v>19.856044452398379</v>
      </c>
      <c r="V11" s="159">
        <f t="shared" si="1"/>
        <v>4.4944104433074168</v>
      </c>
      <c r="W11" s="159">
        <f t="shared" si="2"/>
        <v>6.7685321759250883</v>
      </c>
      <c r="X11" s="159">
        <f t="shared" si="61"/>
        <v>4.4944104433074168</v>
      </c>
      <c r="Y11" s="159">
        <f t="shared" si="3"/>
        <v>5.2148753010739242</v>
      </c>
      <c r="Z11" s="159">
        <f t="shared" si="4"/>
        <v>10.106347482701404</v>
      </c>
      <c r="AA11" s="159">
        <f t="shared" si="62"/>
        <v>2.6074376505369621</v>
      </c>
      <c r="AB11" s="159">
        <f t="shared" si="5"/>
        <v>3.2025385796708141</v>
      </c>
      <c r="AC11" s="159">
        <f t="shared" si="6"/>
        <v>3.8201993484611307</v>
      </c>
      <c r="AD11" s="159">
        <f t="shared" si="7"/>
        <v>7.3068892299931143</v>
      </c>
      <c r="AE11" s="159">
        <f t="shared" si="63"/>
        <v>1.9100996742305654</v>
      </c>
      <c r="AF11" s="159">
        <f t="shared" si="8"/>
        <v>5.1805771141733761</v>
      </c>
      <c r="AG11" s="357">
        <f t="shared" si="9"/>
        <v>9.2978396840852913</v>
      </c>
      <c r="AH11" s="159">
        <f t="shared" si="10"/>
        <v>4.1840278578383812</v>
      </c>
      <c r="AI11" s="159">
        <f t="shared" si="11"/>
        <v>2.2471594235505292</v>
      </c>
      <c r="AJ11" s="357">
        <f t="shared" si="12"/>
        <v>9.600694138010244</v>
      </c>
      <c r="AK11" s="159">
        <f t="shared" si="13"/>
        <v>7.6201860019568581</v>
      </c>
      <c r="AL11" s="159">
        <f t="shared" si="14"/>
        <v>7.1552940177525937</v>
      </c>
      <c r="AM11" s="159">
        <f t="shared" si="15"/>
        <v>3.3994594235505295</v>
      </c>
      <c r="AN11" s="159">
        <f t="shared" si="16"/>
        <v>1.9374717113816404</v>
      </c>
      <c r="AO11" s="159">
        <f t="shared" si="17"/>
        <v>2.728713820329379</v>
      </c>
      <c r="AP11" s="159">
        <f t="shared" si="18"/>
        <v>6.0031704047246333</v>
      </c>
      <c r="AQ11" s="159">
        <f t="shared" si="64"/>
        <v>1.3643569101646895</v>
      </c>
      <c r="AR11" s="159">
        <f t="shared" si="19"/>
        <v>12.702505963064068</v>
      </c>
      <c r="AS11" s="159">
        <f t="shared" si="20"/>
        <v>1.7180857788117883</v>
      </c>
      <c r="AT11" s="159">
        <f t="shared" si="21"/>
        <v>3.0150860245527227</v>
      </c>
      <c r="AU11" s="159">
        <f t="shared" si="65"/>
        <v>0.85904288940589413</v>
      </c>
      <c r="AV11" s="159">
        <f t="shared" si="22"/>
        <v>1.9100996742305654</v>
      </c>
      <c r="AW11" s="159">
        <f t="shared" si="23"/>
        <v>4.0425389930805613</v>
      </c>
      <c r="AX11" s="159">
        <f t="shared" si="66"/>
        <v>0.95504983711528268</v>
      </c>
      <c r="AY11" s="159">
        <f t="shared" si="24"/>
        <v>13.456044452398379</v>
      </c>
      <c r="AZ11" s="159">
        <f t="shared" si="25"/>
        <v>3.343659246456788</v>
      </c>
      <c r="BA11" s="159">
        <f t="shared" si="26"/>
        <v>6.2414904932715034</v>
      </c>
      <c r="BB11" s="159">
        <f t="shared" si="67"/>
        <v>1.671829623228394</v>
      </c>
      <c r="BC11" s="159">
        <f t="shared" si="27"/>
        <v>2.9409471174661084</v>
      </c>
      <c r="BD11" s="159">
        <f t="shared" si="28"/>
        <v>3.5170089239800881</v>
      </c>
      <c r="BE11" s="159">
        <f t="shared" si="29"/>
        <v>11.854775162562971</v>
      </c>
      <c r="BF11" s="159">
        <f t="shared" si="30"/>
        <v>13.53516018484882</v>
      </c>
      <c r="BG11" s="159">
        <f t="shared" si="31"/>
        <v>3.1850667130280073</v>
      </c>
      <c r="BH11" s="159">
        <f t="shared" si="32"/>
        <v>4.9015785291101803</v>
      </c>
      <c r="BI11" s="159">
        <f t="shared" si="33"/>
        <v>2.6680757354331708</v>
      </c>
      <c r="BJ11" s="159">
        <f t="shared" si="34"/>
        <v>5.1267529363637827</v>
      </c>
      <c r="BK11" s="159">
        <f t="shared" si="35"/>
        <v>13.644974518062847</v>
      </c>
      <c r="BL11" s="159">
        <f t="shared" si="36"/>
        <v>0.68723431152471526</v>
      </c>
      <c r="BM11" s="159">
        <f t="shared" si="37"/>
        <v>1.8191425468862525</v>
      </c>
      <c r="BN11" s="159">
        <f t="shared" si="38"/>
        <v>0.68723162882369548</v>
      </c>
      <c r="BO11" s="159">
        <f t="shared" si="39"/>
        <v>4.1040935579815052</v>
      </c>
      <c r="BP11" s="159">
        <f t="shared" si="40"/>
        <v>20.107499832450976</v>
      </c>
      <c r="BQ11" s="159">
        <f t="shared" si="41"/>
        <v>1.7841660010737803</v>
      </c>
      <c r="BR11" s="159">
        <f t="shared" si="42"/>
        <v>2.8702026850871984</v>
      </c>
      <c r="BS11" s="159">
        <f t="shared" si="43"/>
        <v>2.4659487857791427</v>
      </c>
      <c r="BT11" s="159">
        <f t="shared" si="44"/>
        <v>6.1225002258412626</v>
      </c>
      <c r="BU11" s="159">
        <f t="shared" si="45"/>
        <v>17.3318572532574</v>
      </c>
      <c r="BV11" s="159">
        <f t="shared" si="46"/>
        <v>1.5991413787402029</v>
      </c>
      <c r="BW11" s="159">
        <f t="shared" si="47"/>
        <v>2.8702026850871984</v>
      </c>
      <c r="BX11" s="159">
        <f t="shared" si="48"/>
        <v>2.4659487857791427</v>
      </c>
      <c r="BY11" s="159">
        <f t="shared" si="49"/>
        <v>8.4907640494633778</v>
      </c>
      <c r="BZ11" s="159">
        <f t="shared" si="50"/>
        <v>14.012749784896545</v>
      </c>
      <c r="CA11" s="159">
        <f t="shared" si="51"/>
        <v>1.955974578954959</v>
      </c>
      <c r="CB11" s="159">
        <f t="shared" si="52"/>
        <v>5.4631540476737417</v>
      </c>
      <c r="CC11" s="159">
        <f t="shared" si="53"/>
        <v>7.7803077158914222</v>
      </c>
      <c r="CD11" s="159">
        <f t="shared" si="54"/>
        <v>11.992501053400566</v>
      </c>
      <c r="CE11" s="159">
        <f t="shared" si="68"/>
        <v>7.7803077158914222</v>
      </c>
      <c r="CF11" s="159">
        <f t="shared" si="55"/>
        <v>7.5029740271775207</v>
      </c>
      <c r="CG11" s="159">
        <f t="shared" si="56"/>
        <v>13.137764855333373</v>
      </c>
      <c r="CH11" s="159">
        <f t="shared" si="69"/>
        <v>7.5029740271775207</v>
      </c>
      <c r="CI11" s="159">
        <f t="shared" si="70"/>
        <v>3.3640111130995947</v>
      </c>
    </row>
    <row r="12" spans="1:87" x14ac:dyDescent="0.25">
      <c r="A12" t="str">
        <f>PLANTILLA!D14</f>
        <v>S. Zobbe</v>
      </c>
      <c r="B12" t="s">
        <v>854</v>
      </c>
      <c r="C12" s="633">
        <f>PLANTILLA!E14</f>
        <v>27</v>
      </c>
      <c r="D12" s="633">
        <f ca="1">PLANTILLA!F14</f>
        <v>107</v>
      </c>
      <c r="E12" s="633" t="str">
        <f>PLANTILLA!G14</f>
        <v>CAB</v>
      </c>
      <c r="F12" s="290">
        <v>41911</v>
      </c>
      <c r="G12" s="497">
        <v>1.5</v>
      </c>
      <c r="H12" s="498">
        <f>PLANTILLA!I14</f>
        <v>9</v>
      </c>
      <c r="I12" s="341"/>
      <c r="J12" s="163">
        <f>PLANTILLA!X14</f>
        <v>0</v>
      </c>
      <c r="K12" s="163">
        <f>PLANTILLA!Y14</f>
        <v>8.3599999999999977</v>
      </c>
      <c r="L12" s="163">
        <f>PLANTILLA!Z14</f>
        <v>12.253412698412699</v>
      </c>
      <c r="M12" s="163">
        <f>PLANTILLA!AA14</f>
        <v>12.36</v>
      </c>
      <c r="N12" s="163">
        <f>PLANTILLA!AB14</f>
        <v>10.24</v>
      </c>
      <c r="O12" s="163">
        <f>PLANTILLA!AC14</f>
        <v>7.4766666666666666</v>
      </c>
      <c r="P12" s="163">
        <f>PLANTILLA!AD14</f>
        <v>15.47</v>
      </c>
      <c r="Q12" s="163">
        <f t="shared" si="57"/>
        <v>3.9799999999999995</v>
      </c>
      <c r="R12" s="163">
        <f t="shared" si="58"/>
        <v>19.446601261147876</v>
      </c>
      <c r="S12" s="163">
        <f t="shared" si="59"/>
        <v>0.83793333333333331</v>
      </c>
      <c r="T12" s="163">
        <f t="shared" si="60"/>
        <v>0.79849999999999999</v>
      </c>
      <c r="U12" s="163">
        <f t="shared" ca="1" si="0"/>
        <v>17.7423233459191</v>
      </c>
      <c r="V12" s="159">
        <f t="shared" si="1"/>
        <v>4.7275982809873733</v>
      </c>
      <c r="W12" s="159">
        <f t="shared" si="2"/>
        <v>7.1320694395815565</v>
      </c>
      <c r="X12" s="159">
        <f t="shared" si="61"/>
        <v>4.7275982809873733</v>
      </c>
      <c r="Y12" s="159">
        <f t="shared" si="3"/>
        <v>5.7442788464942547</v>
      </c>
      <c r="Z12" s="159">
        <f t="shared" si="4"/>
        <v>11.132323345919097</v>
      </c>
      <c r="AA12" s="159">
        <f t="shared" si="62"/>
        <v>2.8721394232471273</v>
      </c>
      <c r="AB12" s="159">
        <f t="shared" si="5"/>
        <v>3.576125178550968</v>
      </c>
      <c r="AC12" s="159">
        <f t="shared" si="6"/>
        <v>4.2080182247574189</v>
      </c>
      <c r="AD12" s="159">
        <f t="shared" si="7"/>
        <v>8.048669779099507</v>
      </c>
      <c r="AE12" s="159">
        <f t="shared" si="63"/>
        <v>2.1040091123787095</v>
      </c>
      <c r="AF12" s="159">
        <f t="shared" si="8"/>
        <v>5.784908377067743</v>
      </c>
      <c r="AG12" s="357">
        <f t="shared" si="9"/>
        <v>10.24173747824557</v>
      </c>
      <c r="AH12" s="159">
        <f t="shared" si="10"/>
        <v>4.6087818652105064</v>
      </c>
      <c r="AI12" s="159">
        <f t="shared" si="11"/>
        <v>2.5092979194034104</v>
      </c>
      <c r="AJ12" s="357">
        <f t="shared" si="12"/>
        <v>8.897806127400429</v>
      </c>
      <c r="AK12" s="159">
        <f t="shared" si="13"/>
        <v>8.3937718028230002</v>
      </c>
      <c r="AL12" s="159">
        <f t="shared" si="14"/>
        <v>7.8816849289107207</v>
      </c>
      <c r="AM12" s="159">
        <f t="shared" si="15"/>
        <v>3.0464679987684899</v>
      </c>
      <c r="AN12" s="159">
        <f t="shared" si="16"/>
        <v>1.9446691236247005</v>
      </c>
      <c r="AO12" s="159">
        <f t="shared" si="17"/>
        <v>3.0057273033981566</v>
      </c>
      <c r="AP12" s="159">
        <f t="shared" si="18"/>
        <v>6.6126000674759435</v>
      </c>
      <c r="AQ12" s="159">
        <f t="shared" si="64"/>
        <v>1.5028636516990783</v>
      </c>
      <c r="AR12" s="159">
        <f t="shared" si="19"/>
        <v>14.184294825849218</v>
      </c>
      <c r="AS12" s="159">
        <f t="shared" si="20"/>
        <v>1.6916020349694831</v>
      </c>
      <c r="AT12" s="159">
        <f t="shared" si="21"/>
        <v>3.3345540736876291</v>
      </c>
      <c r="AU12" s="159">
        <f t="shared" si="65"/>
        <v>0.84580101748474157</v>
      </c>
      <c r="AV12" s="159">
        <f t="shared" si="22"/>
        <v>2.1040091123787095</v>
      </c>
      <c r="AW12" s="159">
        <f t="shared" si="23"/>
        <v>4.4529293383676389</v>
      </c>
      <c r="AX12" s="159">
        <f t="shared" si="66"/>
        <v>1.0520045561893547</v>
      </c>
      <c r="AY12" s="159">
        <f t="shared" si="24"/>
        <v>15.025736044331799</v>
      </c>
      <c r="AZ12" s="159">
        <f t="shared" si="25"/>
        <v>3.2921178065175325</v>
      </c>
      <c r="BA12" s="159">
        <f t="shared" si="26"/>
        <v>6.5894901636014236</v>
      </c>
      <c r="BB12" s="159">
        <f t="shared" si="67"/>
        <v>1.6460589032587662</v>
      </c>
      <c r="BC12" s="159">
        <f t="shared" si="27"/>
        <v>3.2395060936624569</v>
      </c>
      <c r="BD12" s="159">
        <f t="shared" si="28"/>
        <v>3.8740485243798455</v>
      </c>
      <c r="BE12" s="159">
        <f t="shared" si="29"/>
        <v>13.237673455056315</v>
      </c>
      <c r="BF12" s="159">
        <f t="shared" si="30"/>
        <v>12.784835454522078</v>
      </c>
      <c r="BG12" s="159">
        <f t="shared" si="31"/>
        <v>3.1359699263665028</v>
      </c>
      <c r="BH12" s="159">
        <f t="shared" si="32"/>
        <v>5.3991768227707624</v>
      </c>
      <c r="BI12" s="159">
        <f t="shared" si="33"/>
        <v>2.9389333633226418</v>
      </c>
      <c r="BJ12" s="159">
        <f t="shared" si="34"/>
        <v>5.7248054328904159</v>
      </c>
      <c r="BK12" s="159">
        <f t="shared" si="35"/>
        <v>12.799530604333293</v>
      </c>
      <c r="BL12" s="159">
        <f t="shared" si="36"/>
        <v>0.67664081398779319</v>
      </c>
      <c r="BM12" s="159">
        <f t="shared" si="37"/>
        <v>2.0038182022654376</v>
      </c>
      <c r="BN12" s="159">
        <f t="shared" si="38"/>
        <v>0.75699798752249869</v>
      </c>
      <c r="BO12" s="159">
        <f t="shared" si="39"/>
        <v>4.5828494935211985</v>
      </c>
      <c r="BP12" s="159">
        <f t="shared" si="40"/>
        <v>18.853847822851961</v>
      </c>
      <c r="BQ12" s="159">
        <f t="shared" si="41"/>
        <v>1.7566636516990786</v>
      </c>
      <c r="BR12" s="159">
        <f t="shared" si="42"/>
        <v>3.1615798302410232</v>
      </c>
      <c r="BS12" s="159">
        <f t="shared" si="43"/>
        <v>2.7162868964042599</v>
      </c>
      <c r="BT12" s="159">
        <f t="shared" si="44"/>
        <v>6.8367099001709688</v>
      </c>
      <c r="BU12" s="159">
        <f t="shared" si="45"/>
        <v>16.24933426727836</v>
      </c>
      <c r="BV12" s="159">
        <f t="shared" si="46"/>
        <v>1.574491124856211</v>
      </c>
      <c r="BW12" s="159">
        <f t="shared" si="47"/>
        <v>3.1615798302410232</v>
      </c>
      <c r="BX12" s="159">
        <f t="shared" si="48"/>
        <v>2.7162868964042599</v>
      </c>
      <c r="BY12" s="159">
        <f t="shared" si="49"/>
        <v>9.4812394439733652</v>
      </c>
      <c r="BZ12" s="159">
        <f t="shared" si="50"/>
        <v>13.134269394597593</v>
      </c>
      <c r="CA12" s="159">
        <f t="shared" si="51"/>
        <v>1.9258238551960267</v>
      </c>
      <c r="CB12" s="159">
        <f t="shared" si="52"/>
        <v>6.1004488339987111</v>
      </c>
      <c r="CC12" s="159">
        <f t="shared" si="53"/>
        <v>6.7337571298905177</v>
      </c>
      <c r="CD12" s="159">
        <f t="shared" si="54"/>
        <v>13.040852754171572</v>
      </c>
      <c r="CE12" s="159">
        <f t="shared" si="68"/>
        <v>6.7337571298905177</v>
      </c>
      <c r="CF12" s="159">
        <f t="shared" si="55"/>
        <v>7.726730777840932</v>
      </c>
      <c r="CG12" s="159">
        <f t="shared" si="56"/>
        <v>15.050537327229915</v>
      </c>
      <c r="CH12" s="159">
        <f t="shared" si="69"/>
        <v>7.726730777840932</v>
      </c>
      <c r="CI12" s="159">
        <f t="shared" si="70"/>
        <v>3.7564340110829497</v>
      </c>
    </row>
    <row r="13" spans="1:87" x14ac:dyDescent="0.25">
      <c r="A13" t="str">
        <f>PLANTILLA!D15</f>
        <v>S. Buschelman</v>
      </c>
      <c r="B13" t="s">
        <v>854</v>
      </c>
      <c r="C13" s="633">
        <f>PLANTILLA!E15</f>
        <v>29</v>
      </c>
      <c r="D13" s="633">
        <f ca="1">PLANTILLA!F15</f>
        <v>104</v>
      </c>
      <c r="E13" s="633" t="str">
        <f>PLANTILLA!G15</f>
        <v>TEC</v>
      </c>
      <c r="F13" s="290">
        <v>41747</v>
      </c>
      <c r="G13" s="497">
        <v>1.5</v>
      </c>
      <c r="H13" s="498">
        <f>PLANTILLA!I15</f>
        <v>10.8</v>
      </c>
      <c r="I13" s="341"/>
      <c r="J13" s="163">
        <f>PLANTILLA!X15</f>
        <v>0</v>
      </c>
      <c r="K13" s="163">
        <f>PLANTILLA!Y15</f>
        <v>9.3036666666666648</v>
      </c>
      <c r="L13" s="163">
        <f>PLANTILLA!Z15</f>
        <v>13.909999999999998</v>
      </c>
      <c r="M13" s="163">
        <f>PLANTILLA!AA15</f>
        <v>12.945</v>
      </c>
      <c r="N13" s="163">
        <f>PLANTILLA!AB15</f>
        <v>9.6733333333333356</v>
      </c>
      <c r="O13" s="163">
        <f>PLANTILLA!AC15</f>
        <v>5.0296666666666656</v>
      </c>
      <c r="P13" s="163">
        <f>PLANTILLA!AD15</f>
        <v>15.399999999999999</v>
      </c>
      <c r="Q13" s="163">
        <f t="shared" si="57"/>
        <v>3.956291666666667</v>
      </c>
      <c r="R13" s="163">
        <f t="shared" si="58"/>
        <v>15.579401999501544</v>
      </c>
      <c r="S13" s="163">
        <f t="shared" si="59"/>
        <v>0.71348333333333325</v>
      </c>
      <c r="T13" s="163">
        <f t="shared" si="60"/>
        <v>0.83414666666666659</v>
      </c>
      <c r="U13" s="163">
        <f t="shared" ca="1" si="0"/>
        <v>17.777898340649266</v>
      </c>
      <c r="V13" s="159">
        <f t="shared" si="1"/>
        <v>5.0802172513868094</v>
      </c>
      <c r="W13" s="159">
        <f t="shared" si="2"/>
        <v>7.6694250911115356</v>
      </c>
      <c r="X13" s="159">
        <f t="shared" si="61"/>
        <v>5.0802172513868094</v>
      </c>
      <c r="Y13" s="159">
        <f t="shared" si="3"/>
        <v>6.2856875437750208</v>
      </c>
      <c r="Z13" s="159">
        <f t="shared" si="4"/>
        <v>12.181565007315932</v>
      </c>
      <c r="AA13" s="159">
        <f t="shared" si="62"/>
        <v>3.1428437718875104</v>
      </c>
      <c r="AB13" s="159">
        <f t="shared" si="5"/>
        <v>3.9955198050745246</v>
      </c>
      <c r="AC13" s="159">
        <f t="shared" si="6"/>
        <v>4.6046315727654221</v>
      </c>
      <c r="AD13" s="159">
        <f t="shared" si="7"/>
        <v>8.8072715002894189</v>
      </c>
      <c r="AE13" s="159">
        <f t="shared" si="63"/>
        <v>2.3023157863827111</v>
      </c>
      <c r="AF13" s="159">
        <f t="shared" si="8"/>
        <v>6.463340861149967</v>
      </c>
      <c r="AG13" s="357">
        <f t="shared" si="9"/>
        <v>11.207039806730657</v>
      </c>
      <c r="AH13" s="159">
        <f t="shared" si="10"/>
        <v>5.0431679130287952</v>
      </c>
      <c r="AI13" s="159">
        <f t="shared" si="11"/>
        <v>2.8035790228884272</v>
      </c>
      <c r="AJ13" s="357">
        <f t="shared" si="12"/>
        <v>9.3038642243017691</v>
      </c>
      <c r="AK13" s="159">
        <f t="shared" si="13"/>
        <v>9.184900015516213</v>
      </c>
      <c r="AL13" s="159">
        <f t="shared" si="14"/>
        <v>8.6245480251796796</v>
      </c>
      <c r="AM13" s="159">
        <f t="shared" si="15"/>
        <v>3.0524090228884275</v>
      </c>
      <c r="AN13" s="159">
        <f t="shared" si="16"/>
        <v>1.9682467221069886</v>
      </c>
      <c r="AO13" s="159">
        <f t="shared" si="17"/>
        <v>3.289022551975302</v>
      </c>
      <c r="AP13" s="159">
        <f t="shared" si="18"/>
        <v>7.2358496143456632</v>
      </c>
      <c r="AQ13" s="159">
        <f t="shared" si="64"/>
        <v>1.644511275987651</v>
      </c>
      <c r="AR13" s="159">
        <f t="shared" si="19"/>
        <v>15.847776033572904</v>
      </c>
      <c r="AS13" s="159">
        <f t="shared" si="20"/>
        <v>1.6316601176177383</v>
      </c>
      <c r="AT13" s="159">
        <f t="shared" si="21"/>
        <v>2.8741565471435684</v>
      </c>
      <c r="AU13" s="159">
        <f t="shared" si="65"/>
        <v>0.81583005880886916</v>
      </c>
      <c r="AV13" s="159">
        <f t="shared" si="22"/>
        <v>2.3023157863827111</v>
      </c>
      <c r="AW13" s="159">
        <f t="shared" si="23"/>
        <v>4.8726260029263733</v>
      </c>
      <c r="AX13" s="159">
        <f t="shared" si="66"/>
        <v>1.1511578931913555</v>
      </c>
      <c r="AY13" s="159">
        <f t="shared" si="24"/>
        <v>16.787898340649264</v>
      </c>
      <c r="AZ13" s="159">
        <f t="shared" si="25"/>
        <v>3.1754616135175984</v>
      </c>
      <c r="BA13" s="159">
        <f t="shared" si="26"/>
        <v>5.9405586523644134</v>
      </c>
      <c r="BB13" s="159">
        <f t="shared" si="67"/>
        <v>1.5877308067587992</v>
      </c>
      <c r="BC13" s="159">
        <f t="shared" si="27"/>
        <v>3.5448354171289358</v>
      </c>
      <c r="BD13" s="159">
        <f t="shared" si="28"/>
        <v>4.2391846225459444</v>
      </c>
      <c r="BE13" s="159">
        <f t="shared" si="29"/>
        <v>14.790138438112001</v>
      </c>
      <c r="BF13" s="159">
        <f t="shared" si="30"/>
        <v>13.035981624837198</v>
      </c>
      <c r="BG13" s="159">
        <f t="shared" si="31"/>
        <v>3.0248468334298071</v>
      </c>
      <c r="BH13" s="159">
        <f t="shared" si="32"/>
        <v>5.9080590285482266</v>
      </c>
      <c r="BI13" s="159">
        <f t="shared" si="33"/>
        <v>3.2159331619314062</v>
      </c>
      <c r="BJ13" s="159">
        <f t="shared" si="34"/>
        <v>6.3961892677873697</v>
      </c>
      <c r="BK13" s="159">
        <f t="shared" si="35"/>
        <v>13.171608149727462</v>
      </c>
      <c r="BL13" s="159">
        <f t="shared" si="36"/>
        <v>0.65266404704709535</v>
      </c>
      <c r="BM13" s="159">
        <f t="shared" si="37"/>
        <v>2.1926817013168676</v>
      </c>
      <c r="BN13" s="159">
        <f t="shared" si="38"/>
        <v>0.82834642049748342</v>
      </c>
      <c r="BO13" s="159">
        <f t="shared" si="39"/>
        <v>5.1203089938980257</v>
      </c>
      <c r="BP13" s="159">
        <f t="shared" si="40"/>
        <v>19.412550599408291</v>
      </c>
      <c r="BQ13" s="159">
        <f t="shared" si="41"/>
        <v>1.6944162759876515</v>
      </c>
      <c r="BR13" s="159">
        <f t="shared" si="42"/>
        <v>3.4595644620777244</v>
      </c>
      <c r="BS13" s="159">
        <f t="shared" si="43"/>
        <v>2.9723018617850872</v>
      </c>
      <c r="BT13" s="159">
        <f t="shared" si="44"/>
        <v>7.6384937449954151</v>
      </c>
      <c r="BU13" s="159">
        <f t="shared" si="45"/>
        <v>16.73348469477272</v>
      </c>
      <c r="BV13" s="159">
        <f t="shared" si="46"/>
        <v>1.518699032551895</v>
      </c>
      <c r="BW13" s="159">
        <f t="shared" si="47"/>
        <v>3.4595644620777244</v>
      </c>
      <c r="BX13" s="159">
        <f t="shared" si="48"/>
        <v>2.9723018617850872</v>
      </c>
      <c r="BY13" s="159">
        <f t="shared" si="49"/>
        <v>10.593163852949685</v>
      </c>
      <c r="BZ13" s="159">
        <f t="shared" si="50"/>
        <v>13.530062348214427</v>
      </c>
      <c r="CA13" s="159">
        <f t="shared" si="51"/>
        <v>1.857582287749425</v>
      </c>
      <c r="CB13" s="159">
        <f t="shared" si="52"/>
        <v>6.8158867263036012</v>
      </c>
      <c r="CC13" s="159">
        <f t="shared" si="53"/>
        <v>7.4442945693968765</v>
      </c>
      <c r="CD13" s="159">
        <f t="shared" si="54"/>
        <v>11.42542919823774</v>
      </c>
      <c r="CE13" s="159">
        <f t="shared" si="68"/>
        <v>7.4442945693968765</v>
      </c>
      <c r="CF13" s="159">
        <f t="shared" si="55"/>
        <v>7.2051023328911601</v>
      </c>
      <c r="CG13" s="159">
        <f t="shared" si="56"/>
        <v>12.538969495015511</v>
      </c>
      <c r="CH13" s="159">
        <f t="shared" si="69"/>
        <v>7.2051023328911601</v>
      </c>
      <c r="CI13" s="159">
        <f t="shared" si="70"/>
        <v>4.1969745851623159</v>
      </c>
    </row>
    <row r="14" spans="1:87" x14ac:dyDescent="0.25">
      <c r="A14" t="str">
        <f>PLANTILLA!D16</f>
        <v>C. Rojas</v>
      </c>
      <c r="B14" t="s">
        <v>854</v>
      </c>
      <c r="C14" s="633">
        <f>PLANTILLA!E16</f>
        <v>32</v>
      </c>
      <c r="D14" s="633">
        <f ca="1">PLANTILLA!F16</f>
        <v>26</v>
      </c>
      <c r="E14" s="633" t="str">
        <f>PLANTILLA!G16</f>
        <v>TEC</v>
      </c>
      <c r="F14" s="290">
        <v>41653</v>
      </c>
      <c r="G14" s="497">
        <v>1.5</v>
      </c>
      <c r="H14" s="498">
        <f>PLANTILLA!I16</f>
        <v>11.3</v>
      </c>
      <c r="I14" s="341"/>
      <c r="J14" s="163">
        <f>PLANTILLA!X16</f>
        <v>0</v>
      </c>
      <c r="K14" s="163">
        <f>PLANTILLA!Y16</f>
        <v>8.6275555555555581</v>
      </c>
      <c r="L14" s="163">
        <f>PLANTILLA!Z16</f>
        <v>14.333255555555548</v>
      </c>
      <c r="M14" s="163">
        <f>PLANTILLA!AA16</f>
        <v>9.99</v>
      </c>
      <c r="N14" s="163">
        <f>PLANTILLA!AB16</f>
        <v>10.09</v>
      </c>
      <c r="O14" s="163">
        <f>PLANTILLA!AC16</f>
        <v>4.3999999999999995</v>
      </c>
      <c r="P14" s="163">
        <f>PLANTILLA!AD16</f>
        <v>16.74444444444444</v>
      </c>
      <c r="Q14" s="163">
        <f t="shared" si="57"/>
        <v>3.9759444444444449</v>
      </c>
      <c r="R14" s="163">
        <f t="shared" si="58"/>
        <v>15.331515591242253</v>
      </c>
      <c r="S14" s="163">
        <f t="shared" si="59"/>
        <v>0.72233333333333305</v>
      </c>
      <c r="T14" s="163">
        <f t="shared" si="60"/>
        <v>0.8474355555555555</v>
      </c>
      <c r="U14" s="163">
        <f t="shared" ca="1" si="0"/>
        <v>19.148549035755668</v>
      </c>
      <c r="V14" s="159">
        <f t="shared" si="1"/>
        <v>4.9164886415480344</v>
      </c>
      <c r="W14" s="159">
        <f t="shared" si="2"/>
        <v>7.4159101384939046</v>
      </c>
      <c r="X14" s="159">
        <f t="shared" si="61"/>
        <v>4.9164886415480344</v>
      </c>
      <c r="Y14" s="159">
        <f t="shared" si="3"/>
        <v>5.9503366357832608</v>
      </c>
      <c r="Z14" s="159">
        <f t="shared" si="4"/>
        <v>11.531660146866784</v>
      </c>
      <c r="AA14" s="159">
        <f t="shared" si="62"/>
        <v>2.9751683178916304</v>
      </c>
      <c r="AB14" s="159">
        <f t="shared" si="5"/>
        <v>4.1024917149542919</v>
      </c>
      <c r="AC14" s="159">
        <f t="shared" si="6"/>
        <v>4.3589675355156441</v>
      </c>
      <c r="AD14" s="159">
        <f t="shared" si="7"/>
        <v>8.337390286184684</v>
      </c>
      <c r="AE14" s="159">
        <f t="shared" si="63"/>
        <v>2.179483767757822</v>
      </c>
      <c r="AF14" s="159">
        <f t="shared" si="8"/>
        <v>6.6363836565437078</v>
      </c>
      <c r="AG14" s="357">
        <f t="shared" si="9"/>
        <v>10.609127335117442</v>
      </c>
      <c r="AH14" s="159">
        <f t="shared" si="10"/>
        <v>4.7741073008028483</v>
      </c>
      <c r="AI14" s="159">
        <f t="shared" si="11"/>
        <v>2.8786391445267512</v>
      </c>
      <c r="AJ14" s="357">
        <f t="shared" si="12"/>
        <v>7.5817334996910004</v>
      </c>
      <c r="AK14" s="159">
        <f t="shared" si="13"/>
        <v>8.6948717507375548</v>
      </c>
      <c r="AL14" s="159">
        <f t="shared" si="14"/>
        <v>8.164415383981682</v>
      </c>
      <c r="AM14" s="159">
        <f t="shared" si="15"/>
        <v>3.2813076889711965</v>
      </c>
      <c r="AN14" s="159">
        <f t="shared" si="16"/>
        <v>1.9814541222976332</v>
      </c>
      <c r="AO14" s="159">
        <f t="shared" si="17"/>
        <v>3.1135482396540319</v>
      </c>
      <c r="AP14" s="159">
        <f t="shared" si="18"/>
        <v>6.8498061272388693</v>
      </c>
      <c r="AQ14" s="159">
        <f t="shared" si="64"/>
        <v>1.556774119827016</v>
      </c>
      <c r="AR14" s="159">
        <f t="shared" si="19"/>
        <v>16.272067978642234</v>
      </c>
      <c r="AS14" s="159">
        <f t="shared" si="20"/>
        <v>1.6892335968704595</v>
      </c>
      <c r="AT14" s="159">
        <f t="shared" si="21"/>
        <v>2.8229026452541888</v>
      </c>
      <c r="AU14" s="159">
        <f t="shared" si="65"/>
        <v>0.84461679843522974</v>
      </c>
      <c r="AV14" s="159">
        <f t="shared" si="22"/>
        <v>2.179483767757822</v>
      </c>
      <c r="AW14" s="159">
        <f t="shared" si="23"/>
        <v>4.6126640587467138</v>
      </c>
      <c r="AX14" s="159">
        <f t="shared" si="66"/>
        <v>1.089741883878911</v>
      </c>
      <c r="AY14" s="159">
        <f t="shared" si="24"/>
        <v>17.237360146866774</v>
      </c>
      <c r="AZ14" s="159">
        <f t="shared" si="25"/>
        <v>3.2875084616017403</v>
      </c>
      <c r="BA14" s="159">
        <f t="shared" si="26"/>
        <v>5.9648516298124852</v>
      </c>
      <c r="BB14" s="159">
        <f t="shared" si="67"/>
        <v>1.6437542308008701</v>
      </c>
      <c r="BC14" s="159">
        <f t="shared" si="27"/>
        <v>3.3557131027382341</v>
      </c>
      <c r="BD14" s="159">
        <f t="shared" si="28"/>
        <v>4.0130177311096409</v>
      </c>
      <c r="BE14" s="159">
        <f t="shared" si="29"/>
        <v>15.186114289389627</v>
      </c>
      <c r="BF14" s="159">
        <f t="shared" si="30"/>
        <v>11.494358981675679</v>
      </c>
      <c r="BG14" s="159">
        <f t="shared" si="31"/>
        <v>3.1315792065060055</v>
      </c>
      <c r="BH14" s="159">
        <f t="shared" si="32"/>
        <v>5.59285517123039</v>
      </c>
      <c r="BI14" s="159">
        <f t="shared" si="33"/>
        <v>3.0443582787728309</v>
      </c>
      <c r="BJ14" s="159">
        <f t="shared" si="34"/>
        <v>6.5674342159562409</v>
      </c>
      <c r="BK14" s="159">
        <f t="shared" si="35"/>
        <v>11.289547412806012</v>
      </c>
      <c r="BL14" s="159">
        <f t="shared" si="36"/>
        <v>0.67569343874818366</v>
      </c>
      <c r="BM14" s="159">
        <f t="shared" si="37"/>
        <v>2.075698826436021</v>
      </c>
      <c r="BN14" s="159">
        <f t="shared" si="38"/>
        <v>0.78415288998694133</v>
      </c>
      <c r="BO14" s="159">
        <f t="shared" si="39"/>
        <v>5.2573948447943657</v>
      </c>
      <c r="BP14" s="159">
        <f t="shared" si="40"/>
        <v>16.610418504426235</v>
      </c>
      <c r="BQ14" s="159">
        <f t="shared" si="41"/>
        <v>1.7542041198270155</v>
      </c>
      <c r="BR14" s="159">
        <f t="shared" si="42"/>
        <v>3.2749914817101664</v>
      </c>
      <c r="BS14" s="159">
        <f t="shared" si="43"/>
        <v>2.8137250758354955</v>
      </c>
      <c r="BT14" s="159">
        <f t="shared" si="44"/>
        <v>7.8429988668243826</v>
      </c>
      <c r="BU14" s="159">
        <f t="shared" si="45"/>
        <v>14.311067887172838</v>
      </c>
      <c r="BV14" s="159">
        <f t="shared" si="46"/>
        <v>1.5722866555486583</v>
      </c>
      <c r="BW14" s="159">
        <f t="shared" si="47"/>
        <v>3.2749914817101664</v>
      </c>
      <c r="BX14" s="159">
        <f t="shared" si="48"/>
        <v>2.8137250758354955</v>
      </c>
      <c r="BY14" s="159">
        <f t="shared" si="49"/>
        <v>10.876774252672934</v>
      </c>
      <c r="BZ14" s="159">
        <f t="shared" si="50"/>
        <v>11.559523609223547</v>
      </c>
      <c r="CA14" s="159">
        <f t="shared" si="51"/>
        <v>1.9231274795140614</v>
      </c>
      <c r="CB14" s="159">
        <f t="shared" si="52"/>
        <v>6.9983682196279107</v>
      </c>
      <c r="CC14" s="159">
        <f t="shared" si="53"/>
        <v>7.0718268593780476</v>
      </c>
      <c r="CD14" s="159">
        <f t="shared" si="54"/>
        <v>11.314091769816439</v>
      </c>
      <c r="CE14" s="159">
        <f t="shared" si="68"/>
        <v>7.0718268593780476</v>
      </c>
      <c r="CF14" s="159">
        <f t="shared" si="55"/>
        <v>6.4638271603868933</v>
      </c>
      <c r="CG14" s="159">
        <f t="shared" si="56"/>
        <v>12.098929185505067</v>
      </c>
      <c r="CH14" s="159">
        <f t="shared" si="69"/>
        <v>6.4638271603868933</v>
      </c>
      <c r="CI14" s="159">
        <f t="shared" si="70"/>
        <v>4.3093400367166934</v>
      </c>
    </row>
    <row r="15" spans="1:87" x14ac:dyDescent="0.25">
      <c r="A15" t="str">
        <f>PLANTILLA!D17</f>
        <v>E. Gross</v>
      </c>
      <c r="B15" t="s">
        <v>854</v>
      </c>
      <c r="C15" s="633">
        <f>PLANTILLA!E17</f>
        <v>31</v>
      </c>
      <c r="D15" s="633">
        <f ca="1">PLANTILLA!F17</f>
        <v>20</v>
      </c>
      <c r="E15" s="633"/>
      <c r="F15" s="290">
        <v>41552</v>
      </c>
      <c r="G15" s="497">
        <v>1.5</v>
      </c>
      <c r="H15" s="498">
        <f>PLANTILLA!I17</f>
        <v>9.3000000000000007</v>
      </c>
      <c r="I15" s="341"/>
      <c r="J15" s="163">
        <f>PLANTILLA!X17</f>
        <v>0</v>
      </c>
      <c r="K15" s="163">
        <f>PLANTILLA!Y17</f>
        <v>10.549999999999995</v>
      </c>
      <c r="L15" s="163">
        <f>PLANTILLA!Z17</f>
        <v>12.939777777777776</v>
      </c>
      <c r="M15" s="163">
        <f>PLANTILLA!AA17</f>
        <v>5.1399999999999979</v>
      </c>
      <c r="N15" s="163">
        <f>PLANTILLA!AB17</f>
        <v>9.24</v>
      </c>
      <c r="O15" s="163">
        <f>PLANTILLA!AC17</f>
        <v>2.98</v>
      </c>
      <c r="P15" s="163">
        <f>PLANTILLA!AD17</f>
        <v>17.059999999999999</v>
      </c>
      <c r="Q15" s="163">
        <f t="shared" si="57"/>
        <v>4.0037499999999993</v>
      </c>
      <c r="R15" s="163">
        <f t="shared" si="58"/>
        <v>12.898596421738928</v>
      </c>
      <c r="S15" s="163">
        <f t="shared" si="59"/>
        <v>0.66079999999999994</v>
      </c>
      <c r="T15" s="163">
        <f t="shared" si="60"/>
        <v>0.93379999999999974</v>
      </c>
      <c r="U15" s="163">
        <f t="shared" ca="1" si="0"/>
        <v>19.351310598071912</v>
      </c>
      <c r="V15" s="159">
        <f t="shared" si="1"/>
        <v>5.3486141521167792</v>
      </c>
      <c r="W15" s="159">
        <f t="shared" si="2"/>
        <v>8.0873319821108378</v>
      </c>
      <c r="X15" s="159">
        <f t="shared" si="61"/>
        <v>5.3486141521167792</v>
      </c>
      <c r="Y15" s="159">
        <f t="shared" si="3"/>
        <v>6.8841162686051049</v>
      </c>
      <c r="Z15" s="159">
        <f t="shared" si="4"/>
        <v>13.341310598071908</v>
      </c>
      <c r="AA15" s="159">
        <f t="shared" si="62"/>
        <v>3.4420581343025525</v>
      </c>
      <c r="AB15" s="159">
        <f t="shared" si="5"/>
        <v>3.743999033452226</v>
      </c>
      <c r="AC15" s="159">
        <f t="shared" si="6"/>
        <v>5.0430154060711816</v>
      </c>
      <c r="AD15" s="159">
        <f t="shared" si="7"/>
        <v>9.6457675624059895</v>
      </c>
      <c r="AE15" s="159">
        <f t="shared" si="63"/>
        <v>2.5215077030355908</v>
      </c>
      <c r="AF15" s="159">
        <f t="shared" si="8"/>
        <v>6.05646902470213</v>
      </c>
      <c r="AG15" s="357">
        <f t="shared" si="9"/>
        <v>12.274005750226156</v>
      </c>
      <c r="AH15" s="159">
        <f t="shared" si="10"/>
        <v>5.5233025876017701</v>
      </c>
      <c r="AI15" s="159">
        <f t="shared" si="11"/>
        <v>2.6270917587668983</v>
      </c>
      <c r="AJ15" s="357">
        <f t="shared" si="12"/>
        <v>4.663610631666284</v>
      </c>
      <c r="AK15" s="159">
        <f t="shared" si="13"/>
        <v>10.059348190946219</v>
      </c>
      <c r="AL15" s="159">
        <f t="shared" si="14"/>
        <v>9.4456479034349101</v>
      </c>
      <c r="AM15" s="159">
        <f t="shared" si="15"/>
        <v>3.3151688698780095</v>
      </c>
      <c r="AN15" s="159">
        <f t="shared" si="16"/>
        <v>1.9569774522447108</v>
      </c>
      <c r="AO15" s="159">
        <f t="shared" si="17"/>
        <v>3.6021538614794153</v>
      </c>
      <c r="AP15" s="159">
        <f t="shared" si="18"/>
        <v>7.9247384952547133</v>
      </c>
      <c r="AQ15" s="159">
        <f t="shared" si="64"/>
        <v>1.8010769307397076</v>
      </c>
      <c r="AR15" s="159">
        <f t="shared" si="19"/>
        <v>14.850147426802106</v>
      </c>
      <c r="AS15" s="159">
        <f t="shared" si="20"/>
        <v>1.5640703777493488</v>
      </c>
      <c r="AT15" s="159">
        <f t="shared" si="21"/>
        <v>2.4421940052350704</v>
      </c>
      <c r="AU15" s="159">
        <f t="shared" si="65"/>
        <v>0.78203518887467438</v>
      </c>
      <c r="AV15" s="159">
        <f t="shared" si="22"/>
        <v>2.5215077030355908</v>
      </c>
      <c r="AW15" s="159">
        <f t="shared" si="23"/>
        <v>5.3365242392287637</v>
      </c>
      <c r="AX15" s="159">
        <f t="shared" si="66"/>
        <v>1.2607538515177954</v>
      </c>
      <c r="AY15" s="159">
        <f t="shared" si="24"/>
        <v>15.731088375849689</v>
      </c>
      <c r="AZ15" s="159">
        <f t="shared" si="25"/>
        <v>3.043921581312194</v>
      </c>
      <c r="BA15" s="159">
        <f t="shared" si="26"/>
        <v>5.3146521395376238</v>
      </c>
      <c r="BB15" s="159">
        <f t="shared" si="67"/>
        <v>1.521960790656097</v>
      </c>
      <c r="BC15" s="159">
        <f t="shared" si="27"/>
        <v>3.8823213840389252</v>
      </c>
      <c r="BD15" s="159">
        <f t="shared" si="28"/>
        <v>4.6427760881290236</v>
      </c>
      <c r="BE15" s="159">
        <f t="shared" si="29"/>
        <v>13.859088859123576</v>
      </c>
      <c r="BF15" s="159">
        <f t="shared" si="30"/>
        <v>8.3424351216859307</v>
      </c>
      <c r="BG15" s="159">
        <f t="shared" si="31"/>
        <v>2.8995458541353312</v>
      </c>
      <c r="BH15" s="159">
        <f t="shared" si="32"/>
        <v>6.4705356400648757</v>
      </c>
      <c r="BI15" s="159">
        <f t="shared" si="33"/>
        <v>3.5221059978909839</v>
      </c>
      <c r="BJ15" s="159">
        <f t="shared" si="34"/>
        <v>5.9935446711987312</v>
      </c>
      <c r="BK15" s="159">
        <f t="shared" si="35"/>
        <v>7.7560654627148526</v>
      </c>
      <c r="BL15" s="159">
        <f t="shared" si="36"/>
        <v>0.62562815109973946</v>
      </c>
      <c r="BM15" s="159">
        <f t="shared" si="37"/>
        <v>2.4014359076529432</v>
      </c>
      <c r="BN15" s="159">
        <f t="shared" si="38"/>
        <v>0.90720912066888981</v>
      </c>
      <c r="BO15" s="159">
        <f t="shared" si="39"/>
        <v>4.7979819546341549</v>
      </c>
      <c r="BP15" s="159">
        <f t="shared" si="40"/>
        <v>11.372265429120478</v>
      </c>
      <c r="BQ15" s="159">
        <f t="shared" si="41"/>
        <v>1.6242269307397084</v>
      </c>
      <c r="BR15" s="159">
        <f t="shared" si="42"/>
        <v>3.7889322098524216</v>
      </c>
      <c r="BS15" s="159">
        <f t="shared" si="43"/>
        <v>3.2552797859295457</v>
      </c>
      <c r="BT15" s="159">
        <f t="shared" si="44"/>
        <v>7.1576452110116087</v>
      </c>
      <c r="BU15" s="159">
        <f t="shared" si="45"/>
        <v>9.7882921426636784</v>
      </c>
      <c r="BV15" s="159">
        <f t="shared" si="46"/>
        <v>1.4557885823667014</v>
      </c>
      <c r="BW15" s="159">
        <f t="shared" si="47"/>
        <v>3.7889322098524216</v>
      </c>
      <c r="BX15" s="159">
        <f t="shared" si="48"/>
        <v>3.2552797859295457</v>
      </c>
      <c r="BY15" s="159">
        <f t="shared" si="49"/>
        <v>9.9263167651611539</v>
      </c>
      <c r="BZ15" s="159">
        <f t="shared" si="50"/>
        <v>7.8898229852743604</v>
      </c>
      <c r="CA15" s="159">
        <f t="shared" si="51"/>
        <v>1.7806339685146431</v>
      </c>
      <c r="CB15" s="159">
        <f t="shared" si="52"/>
        <v>6.3868218805949741</v>
      </c>
      <c r="CC15" s="159">
        <f t="shared" si="53"/>
        <v>4.8828928215954663</v>
      </c>
      <c r="CD15" s="159">
        <f t="shared" si="54"/>
        <v>9.8976757334289758</v>
      </c>
      <c r="CE15" s="159">
        <f t="shared" si="68"/>
        <v>4.8828928215954663</v>
      </c>
      <c r="CF15" s="159">
        <f t="shared" si="55"/>
        <v>4.831806502598802</v>
      </c>
      <c r="CG15" s="159">
        <f t="shared" si="56"/>
        <v>10.21086420876045</v>
      </c>
      <c r="CH15" s="159">
        <f t="shared" si="69"/>
        <v>4.831806502598802</v>
      </c>
      <c r="CI15" s="159">
        <f t="shared" si="70"/>
        <v>3.9327720939624222</v>
      </c>
    </row>
    <row r="16" spans="1:87" x14ac:dyDescent="0.25">
      <c r="A16" t="str">
        <f>PLANTILLA!D18</f>
        <v>L. Bauman</v>
      </c>
      <c r="B16" t="s">
        <v>854</v>
      </c>
      <c r="C16" s="633">
        <f>PLANTILLA!E18</f>
        <v>30</v>
      </c>
      <c r="D16" s="633">
        <f ca="1">PLANTILLA!F18</f>
        <v>107</v>
      </c>
      <c r="E16" s="633"/>
      <c r="F16" s="290">
        <v>41686</v>
      </c>
      <c r="G16" s="497">
        <v>1.5</v>
      </c>
      <c r="H16" s="498">
        <f>PLANTILLA!I18</f>
        <v>8.1999999999999993</v>
      </c>
      <c r="I16" s="341"/>
      <c r="J16" s="163">
        <f>PLANTILLA!X18</f>
        <v>0</v>
      </c>
      <c r="K16" s="163">
        <f>PLANTILLA!Y18</f>
        <v>5.4644444444444451</v>
      </c>
      <c r="L16" s="163">
        <f>PLANTILLA!Z18</f>
        <v>14.42664708994708</v>
      </c>
      <c r="M16" s="163">
        <f>PLANTILLA!AA18</f>
        <v>3.5124999999999993</v>
      </c>
      <c r="N16" s="163">
        <f>PLANTILLA!AB18</f>
        <v>9.1400000000000041</v>
      </c>
      <c r="O16" s="163">
        <f>PLANTILLA!AC18</f>
        <v>7.4318888888888894</v>
      </c>
      <c r="P16" s="163">
        <f>PLANTILLA!AD18</f>
        <v>16.27</v>
      </c>
      <c r="Q16" s="163">
        <f t="shared" si="57"/>
        <v>3.3430555555555568</v>
      </c>
      <c r="R16" s="163">
        <f t="shared" si="58"/>
        <v>19.693140373912904</v>
      </c>
      <c r="S16" s="163">
        <f t="shared" si="59"/>
        <v>0.85969444444444443</v>
      </c>
      <c r="T16" s="163">
        <f t="shared" si="60"/>
        <v>0.70667777777777774</v>
      </c>
      <c r="U16" s="163">
        <f t="shared" ca="1" si="0"/>
        <v>18.488418469844955</v>
      </c>
      <c r="V16" s="159">
        <f t="shared" si="1"/>
        <v>3.8813659908413136</v>
      </c>
      <c r="W16" s="159">
        <f t="shared" si="2"/>
        <v>5.8318671334587275</v>
      </c>
      <c r="X16" s="159">
        <f t="shared" si="61"/>
        <v>3.8813659908413136</v>
      </c>
      <c r="Y16" s="159">
        <f t="shared" si="3"/>
        <v>4.2223572637733318</v>
      </c>
      <c r="Z16" s="159">
        <f t="shared" si="4"/>
        <v>8.1828629142894016</v>
      </c>
      <c r="AA16" s="159">
        <f t="shared" si="62"/>
        <v>2.1111786318866659</v>
      </c>
      <c r="AB16" s="159">
        <f t="shared" si="5"/>
        <v>4.0805256032305044</v>
      </c>
      <c r="AC16" s="159">
        <f t="shared" si="6"/>
        <v>3.0931221816013936</v>
      </c>
      <c r="AD16" s="159">
        <f t="shared" si="7"/>
        <v>5.9162098870312372</v>
      </c>
      <c r="AE16" s="159">
        <f t="shared" si="63"/>
        <v>1.5465610908006968</v>
      </c>
      <c r="AF16" s="159">
        <f t="shared" si="8"/>
        <v>6.600850240519935</v>
      </c>
      <c r="AG16" s="357">
        <f t="shared" si="9"/>
        <v>7.5282338811462495</v>
      </c>
      <c r="AH16" s="159">
        <f t="shared" si="10"/>
        <v>3.3877052465158122</v>
      </c>
      <c r="AI16" s="159">
        <f t="shared" si="11"/>
        <v>2.8632259484852702</v>
      </c>
      <c r="AJ16" s="357">
        <f t="shared" si="12"/>
        <v>3.6637800602688331</v>
      </c>
      <c r="AK16" s="159">
        <f t="shared" si="13"/>
        <v>6.1698786373742092</v>
      </c>
      <c r="AL16" s="159">
        <f t="shared" si="14"/>
        <v>5.7934669433168962</v>
      </c>
      <c r="AM16" s="159">
        <f t="shared" si="15"/>
        <v>3.1710658844641078</v>
      </c>
      <c r="AN16" s="159">
        <f t="shared" si="16"/>
        <v>1.7457045193153475</v>
      </c>
      <c r="AO16" s="159">
        <f t="shared" si="17"/>
        <v>2.2093729868581384</v>
      </c>
      <c r="AP16" s="159">
        <f t="shared" si="18"/>
        <v>4.860620571087904</v>
      </c>
      <c r="AQ16" s="159">
        <f t="shared" si="64"/>
        <v>1.1046864934290692</v>
      </c>
      <c r="AR16" s="159">
        <f t="shared" si="19"/>
        <v>16.184941888443682</v>
      </c>
      <c r="AS16" s="159">
        <f t="shared" si="20"/>
        <v>1.5415944010798448</v>
      </c>
      <c r="AT16" s="159">
        <f t="shared" si="21"/>
        <v>3.1790133894423498</v>
      </c>
      <c r="AU16" s="159">
        <f t="shared" si="65"/>
        <v>0.7707972005399224</v>
      </c>
      <c r="AV16" s="159">
        <f t="shared" si="22"/>
        <v>1.5465610908006968</v>
      </c>
      <c r="AW16" s="159">
        <f t="shared" si="23"/>
        <v>3.2731451657157606</v>
      </c>
      <c r="AX16" s="159">
        <f t="shared" si="66"/>
        <v>0.77328054540034841</v>
      </c>
      <c r="AY16" s="159">
        <f t="shared" si="24"/>
        <v>17.145065559792037</v>
      </c>
      <c r="AZ16" s="159">
        <f t="shared" si="25"/>
        <v>3.0001798728707749</v>
      </c>
      <c r="BA16" s="159">
        <f t="shared" si="26"/>
        <v>6.1752852435512384</v>
      </c>
      <c r="BB16" s="159">
        <f t="shared" si="67"/>
        <v>1.5000899364353875</v>
      </c>
      <c r="BC16" s="159">
        <f t="shared" si="27"/>
        <v>2.3812131080582155</v>
      </c>
      <c r="BD16" s="159">
        <f t="shared" si="28"/>
        <v>2.8476362941727116</v>
      </c>
      <c r="BE16" s="159">
        <f t="shared" si="29"/>
        <v>15.104802758176785</v>
      </c>
      <c r="BF16" s="159">
        <f t="shared" si="30"/>
        <v>7.3119490196921664</v>
      </c>
      <c r="BG16" s="159">
        <f t="shared" si="31"/>
        <v>2.8578788512326354</v>
      </c>
      <c r="BH16" s="159">
        <f t="shared" si="32"/>
        <v>3.9686885134303598</v>
      </c>
      <c r="BI16" s="159">
        <f t="shared" si="33"/>
        <v>2.1602758093724019</v>
      </c>
      <c r="BJ16" s="159">
        <f t="shared" si="34"/>
        <v>6.5322699782807661</v>
      </c>
      <c r="BK16" s="159">
        <f t="shared" si="35"/>
        <v>6.5769502426444921</v>
      </c>
      <c r="BL16" s="159">
        <f t="shared" si="36"/>
        <v>0.61663776043193785</v>
      </c>
      <c r="BM16" s="159">
        <f t="shared" si="37"/>
        <v>1.4729153245720923</v>
      </c>
      <c r="BN16" s="159">
        <f t="shared" si="38"/>
        <v>0.55643467817167935</v>
      </c>
      <c r="BO16" s="159">
        <f t="shared" si="39"/>
        <v>5.229244995736571</v>
      </c>
      <c r="BP16" s="159">
        <f t="shared" si="40"/>
        <v>9.622426152220612</v>
      </c>
      <c r="BQ16" s="159">
        <f t="shared" si="41"/>
        <v>1.6008864934290696</v>
      </c>
      <c r="BR16" s="159">
        <f t="shared" si="42"/>
        <v>2.32393306765819</v>
      </c>
      <c r="BS16" s="159">
        <f t="shared" si="43"/>
        <v>1.9966185510866139</v>
      </c>
      <c r="BT16" s="159">
        <f t="shared" si="44"/>
        <v>7.8010048297053771</v>
      </c>
      <c r="BU16" s="159">
        <f t="shared" si="45"/>
        <v>8.2769676645882111</v>
      </c>
      <c r="BV16" s="159">
        <f t="shared" si="46"/>
        <v>1.4348686348512401</v>
      </c>
      <c r="BW16" s="159">
        <f t="shared" si="47"/>
        <v>2.32393306765819</v>
      </c>
      <c r="BX16" s="159">
        <f t="shared" si="48"/>
        <v>1.9966185510866139</v>
      </c>
      <c r="BY16" s="159">
        <f t="shared" si="49"/>
        <v>10.818536368228775</v>
      </c>
      <c r="BZ16" s="159">
        <f t="shared" si="50"/>
        <v>6.6627795305112354</v>
      </c>
      <c r="CA16" s="159">
        <f t="shared" si="51"/>
        <v>1.7550459335370538</v>
      </c>
      <c r="CB16" s="159">
        <f t="shared" si="52"/>
        <v>6.9608966172755675</v>
      </c>
      <c r="CC16" s="159">
        <f t="shared" si="53"/>
        <v>5.1509459116781118</v>
      </c>
      <c r="CD16" s="159">
        <f t="shared" si="54"/>
        <v>12.356750419267645</v>
      </c>
      <c r="CE16" s="159">
        <f t="shared" si="68"/>
        <v>5.1509459116781118</v>
      </c>
      <c r="CF16" s="159">
        <f t="shared" si="55"/>
        <v>5.5700083178245183</v>
      </c>
      <c r="CG16" s="159">
        <f t="shared" si="56"/>
        <v>14.526063774106635</v>
      </c>
      <c r="CH16" s="159">
        <f t="shared" si="69"/>
        <v>5.5700083178245183</v>
      </c>
      <c r="CI16" s="159">
        <f t="shared" si="70"/>
        <v>4.2862663899480093</v>
      </c>
    </row>
    <row r="17" spans="1:87" x14ac:dyDescent="0.25">
      <c r="A17" t="str">
        <f>PLANTILLA!D19</f>
        <v>W. Gelifini</v>
      </c>
      <c r="B17" t="s">
        <v>854</v>
      </c>
      <c r="C17" s="633">
        <f>PLANTILLA!E19</f>
        <v>29</v>
      </c>
      <c r="D17" s="633">
        <f ca="1">PLANTILLA!F19</f>
        <v>57</v>
      </c>
      <c r="E17" s="633"/>
      <c r="F17" s="290">
        <v>41737</v>
      </c>
      <c r="G17" s="497">
        <v>1.5</v>
      </c>
      <c r="H17" s="498">
        <f>PLANTILLA!I19</f>
        <v>4</v>
      </c>
      <c r="I17" s="341"/>
      <c r="J17" s="163">
        <f>PLANTILLA!X19</f>
        <v>0</v>
      </c>
      <c r="K17" s="163">
        <f>PLANTILLA!Y19</f>
        <v>5.6515555555555519</v>
      </c>
      <c r="L17" s="163">
        <f>PLANTILLA!Z19</f>
        <v>9.872338888888887</v>
      </c>
      <c r="M17" s="163">
        <f>PLANTILLA!AA19</f>
        <v>7.0726666666666667</v>
      </c>
      <c r="N17" s="163">
        <f>PLANTILLA!AB19</f>
        <v>9.2666666666666639</v>
      </c>
      <c r="O17" s="163">
        <f>PLANTILLA!AC19</f>
        <v>3.5417777777777766</v>
      </c>
      <c r="P17" s="163">
        <f>PLANTILLA!AD19</f>
        <v>12.450000000000001</v>
      </c>
      <c r="Q17" s="163">
        <f t="shared" si="57"/>
        <v>3.3981111111111098</v>
      </c>
      <c r="R17" s="163">
        <f t="shared" si="58"/>
        <v>10.215921218890843</v>
      </c>
      <c r="S17" s="163">
        <f t="shared" si="59"/>
        <v>0.55058888888888879</v>
      </c>
      <c r="T17" s="163">
        <f t="shared" si="60"/>
        <v>0.59956222222222211</v>
      </c>
      <c r="U17" s="163">
        <f t="shared" ca="1" si="0"/>
        <v>14.252746655103952</v>
      </c>
      <c r="V17" s="159">
        <f t="shared" si="1"/>
        <v>3.5701271632390807</v>
      </c>
      <c r="W17" s="159">
        <f t="shared" si="2"/>
        <v>5.3747570428503089</v>
      </c>
      <c r="X17" s="159">
        <f t="shared" si="61"/>
        <v>3.5701271632390807</v>
      </c>
      <c r="Y17" s="159">
        <f t="shared" si="3"/>
        <v>4.1044199407003026</v>
      </c>
      <c r="Z17" s="159">
        <f t="shared" si="4"/>
        <v>7.9543022106595016</v>
      </c>
      <c r="AA17" s="159">
        <f t="shared" si="62"/>
        <v>2.0522099703501513</v>
      </c>
      <c r="AB17" s="159">
        <f t="shared" si="5"/>
        <v>2.8976703594702951</v>
      </c>
      <c r="AC17" s="159">
        <f t="shared" si="6"/>
        <v>3.0067262356292916</v>
      </c>
      <c r="AD17" s="159">
        <f t="shared" si="7"/>
        <v>5.7509604983068199</v>
      </c>
      <c r="AE17" s="159">
        <f t="shared" si="63"/>
        <v>1.5033631178146458</v>
      </c>
      <c r="AF17" s="159">
        <f t="shared" si="8"/>
        <v>4.6874079344372426</v>
      </c>
      <c r="AG17" s="357">
        <f t="shared" si="9"/>
        <v>7.3179580338067414</v>
      </c>
      <c r="AH17" s="159">
        <f t="shared" si="10"/>
        <v>3.2930811152130337</v>
      </c>
      <c r="AI17" s="159">
        <f t="shared" si="11"/>
        <v>2.033239285846804</v>
      </c>
      <c r="AJ17" s="357">
        <f t="shared" si="12"/>
        <v>5.5127430332011222</v>
      </c>
      <c r="AK17" s="159">
        <f t="shared" si="13"/>
        <v>5.9975438668372645</v>
      </c>
      <c r="AL17" s="159">
        <f t="shared" si="14"/>
        <v>5.6316459651469266</v>
      </c>
      <c r="AM17" s="159">
        <f t="shared" si="15"/>
        <v>2.4637086914023603</v>
      </c>
      <c r="AN17" s="159">
        <f t="shared" si="16"/>
        <v>1.6418470366699369</v>
      </c>
      <c r="AO17" s="159">
        <f t="shared" si="17"/>
        <v>2.1476615968780655</v>
      </c>
      <c r="AP17" s="159">
        <f t="shared" si="18"/>
        <v>4.724855513131744</v>
      </c>
      <c r="AQ17" s="159">
        <f t="shared" si="64"/>
        <v>1.0738307984390327</v>
      </c>
      <c r="AR17" s="159">
        <f t="shared" si="19"/>
        <v>11.493280753529238</v>
      </c>
      <c r="AS17" s="159">
        <f t="shared" si="20"/>
        <v>1.5040237318301799</v>
      </c>
      <c r="AT17" s="159">
        <f t="shared" si="21"/>
        <v>2.3994323255010119</v>
      </c>
      <c r="AU17" s="159">
        <f t="shared" si="65"/>
        <v>0.75201186591508995</v>
      </c>
      <c r="AV17" s="159">
        <f t="shared" si="22"/>
        <v>1.5033631178146458</v>
      </c>
      <c r="AW17" s="159">
        <f t="shared" si="23"/>
        <v>3.1817208842638007</v>
      </c>
      <c r="AX17" s="159">
        <f t="shared" si="66"/>
        <v>0.75168155890732291</v>
      </c>
      <c r="AY17" s="159">
        <f t="shared" si="24"/>
        <v>12.175085543992838</v>
      </c>
      <c r="AZ17" s="159">
        <f t="shared" si="25"/>
        <v>2.9270615704079654</v>
      </c>
      <c r="BA17" s="159">
        <f t="shared" si="26"/>
        <v>5.1725200736289425</v>
      </c>
      <c r="BB17" s="159">
        <f t="shared" si="67"/>
        <v>1.4635307852039827</v>
      </c>
      <c r="BC17" s="159">
        <f t="shared" si="27"/>
        <v>2.3147019433019147</v>
      </c>
      <c r="BD17" s="159">
        <f t="shared" si="28"/>
        <v>2.7680971693095064</v>
      </c>
      <c r="BE17" s="159">
        <f t="shared" si="29"/>
        <v>10.726250364257689</v>
      </c>
      <c r="BF17" s="159">
        <f t="shared" si="30"/>
        <v>9.0258524430540774</v>
      </c>
      <c r="BG17" s="159">
        <f t="shared" si="31"/>
        <v>2.7882286105467182</v>
      </c>
      <c r="BH17" s="159">
        <f t="shared" si="32"/>
        <v>3.857836572169858</v>
      </c>
      <c r="BI17" s="159">
        <f t="shared" si="33"/>
        <v>2.0999357836141086</v>
      </c>
      <c r="BJ17" s="159">
        <f t="shared" si="34"/>
        <v>4.6387075922612713</v>
      </c>
      <c r="BK17" s="159">
        <f t="shared" si="35"/>
        <v>8.6351052432275193</v>
      </c>
      <c r="BL17" s="159">
        <f t="shared" si="36"/>
        <v>0.60160949273207198</v>
      </c>
      <c r="BM17" s="159">
        <f t="shared" si="37"/>
        <v>1.4317743979187103</v>
      </c>
      <c r="BN17" s="159">
        <f t="shared" si="38"/>
        <v>0.54089255032484618</v>
      </c>
      <c r="BO17" s="159">
        <f t="shared" si="39"/>
        <v>3.7134010909178152</v>
      </c>
      <c r="BP17" s="159">
        <f t="shared" si="40"/>
        <v>12.684265531797013</v>
      </c>
      <c r="BQ17" s="159">
        <f t="shared" si="41"/>
        <v>1.561870798439033</v>
      </c>
      <c r="BR17" s="159">
        <f t="shared" si="42"/>
        <v>2.2590218278272984</v>
      </c>
      <c r="BS17" s="159">
        <f t="shared" si="43"/>
        <v>1.9408497394009183</v>
      </c>
      <c r="BT17" s="159">
        <f t="shared" si="44"/>
        <v>5.5396639225167412</v>
      </c>
      <c r="BU17" s="159">
        <f t="shared" si="45"/>
        <v>10.923293960521843</v>
      </c>
      <c r="BV17" s="159">
        <f t="shared" si="46"/>
        <v>1.3998990119342443</v>
      </c>
      <c r="BW17" s="159">
        <f t="shared" si="47"/>
        <v>2.2590218278272984</v>
      </c>
      <c r="BX17" s="159">
        <f t="shared" si="48"/>
        <v>1.9408497394009183</v>
      </c>
      <c r="BY17" s="159">
        <f t="shared" si="49"/>
        <v>7.6824789782594802</v>
      </c>
      <c r="BZ17" s="159">
        <f t="shared" si="50"/>
        <v>8.8144369229847008</v>
      </c>
      <c r="CA17" s="159">
        <f t="shared" si="51"/>
        <v>1.7122731716220509</v>
      </c>
      <c r="CB17" s="159">
        <f t="shared" si="52"/>
        <v>4.9430847308610923</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3.0437713859982094</v>
      </c>
    </row>
    <row r="18" spans="1:87" x14ac:dyDescent="0.25">
      <c r="A18" t="e">
        <f>PLANTILLA!#REF!</f>
        <v>#REF!</v>
      </c>
      <c r="B18" t="s">
        <v>854</v>
      </c>
      <c r="C18" s="633" t="e">
        <f>PLANTILLA!#REF!</f>
        <v>#REF!</v>
      </c>
      <c r="D18" s="633" t="e">
        <f>PLANTILLA!#REF!</f>
        <v>#REF!</v>
      </c>
      <c r="E18" s="633" t="e">
        <f>PLANTILLA!#REF!</f>
        <v>#REF!</v>
      </c>
      <c r="F18" s="290">
        <v>41730</v>
      </c>
      <c r="G18" s="497">
        <v>1.5</v>
      </c>
      <c r="H18" s="498" t="e">
        <f>PLANTILLA!#REF!</f>
        <v>#REF!</v>
      </c>
      <c r="I18" s="341"/>
      <c r="J18" s="163" t="e">
        <f>PLANTILLA!#REF!</f>
        <v>#REF!</v>
      </c>
      <c r="K18" s="163" t="e">
        <f>PLANTILLA!#REF!</f>
        <v>#REF!</v>
      </c>
      <c r="L18" s="163" t="e">
        <f>PLANTILLA!#REF!</f>
        <v>#REF!</v>
      </c>
      <c r="M18" s="163" t="e">
        <f>PLANTILLA!#REF!</f>
        <v>#REF!</v>
      </c>
      <c r="N18" s="163" t="e">
        <f>PLANTILLA!#REF!</f>
        <v>#REF!</v>
      </c>
      <c r="O18" s="163" t="e">
        <f>PLANTILLA!#REF!</f>
        <v>#REF!</v>
      </c>
      <c r="P18" s="163" t="e">
        <f>PLANTILLA!#REF!</f>
        <v>#REF!</v>
      </c>
      <c r="Q18" s="163" t="e">
        <f t="shared" si="57"/>
        <v>#REF!</v>
      </c>
      <c r="R18" s="163" t="e">
        <f t="shared" si="58"/>
        <v>#REF!</v>
      </c>
      <c r="S18" s="163" t="e">
        <f t="shared" si="59"/>
        <v>#REF!</v>
      </c>
      <c r="T18" s="163" t="e">
        <f t="shared" si="60"/>
        <v>#REF!</v>
      </c>
      <c r="U18" s="163" t="e">
        <f t="shared" ca="1" si="0"/>
        <v>#REF!</v>
      </c>
      <c r="V18" s="159" t="e">
        <f t="shared" si="1"/>
        <v>#REF!</v>
      </c>
      <c r="W18" s="159" t="e">
        <f t="shared" si="2"/>
        <v>#REF!</v>
      </c>
      <c r="X18" s="159" t="e">
        <f t="shared" si="61"/>
        <v>#REF!</v>
      </c>
      <c r="Y18" s="159" t="e">
        <f t="shared" si="3"/>
        <v>#REF!</v>
      </c>
      <c r="Z18" s="159" t="e">
        <f t="shared" si="4"/>
        <v>#REF!</v>
      </c>
      <c r="AA18" s="159" t="e">
        <f t="shared" si="62"/>
        <v>#REF!</v>
      </c>
      <c r="AB18" s="159" t="e">
        <f t="shared" si="5"/>
        <v>#REF!</v>
      </c>
      <c r="AC18" s="159" t="e">
        <f t="shared" si="6"/>
        <v>#REF!</v>
      </c>
      <c r="AD18" s="159" t="e">
        <f t="shared" si="7"/>
        <v>#REF!</v>
      </c>
      <c r="AE18" s="159" t="e">
        <f t="shared" si="63"/>
        <v>#REF!</v>
      </c>
      <c r="AF18" s="159" t="e">
        <f t="shared" si="8"/>
        <v>#REF!</v>
      </c>
      <c r="AG18" s="357" t="e">
        <f t="shared" si="9"/>
        <v>#REF!</v>
      </c>
      <c r="AH18" s="159" t="e">
        <f t="shared" si="10"/>
        <v>#REF!</v>
      </c>
      <c r="AI18" s="159" t="e">
        <f t="shared" si="11"/>
        <v>#REF!</v>
      </c>
      <c r="AJ18" s="357" t="e">
        <f t="shared" si="12"/>
        <v>#REF!</v>
      </c>
      <c r="AK18" s="159" t="e">
        <f t="shared" si="13"/>
        <v>#REF!</v>
      </c>
      <c r="AL18" s="159" t="e">
        <f t="shared" si="14"/>
        <v>#REF!</v>
      </c>
      <c r="AM18" s="159" t="e">
        <f t="shared" si="15"/>
        <v>#REF!</v>
      </c>
      <c r="AN18" s="159" t="e">
        <f t="shared" si="16"/>
        <v>#REF!</v>
      </c>
      <c r="AO18" s="159" t="e">
        <f t="shared" si="17"/>
        <v>#REF!</v>
      </c>
      <c r="AP18" s="159" t="e">
        <f t="shared" si="18"/>
        <v>#REF!</v>
      </c>
      <c r="AQ18" s="159" t="e">
        <f t="shared" si="64"/>
        <v>#REF!</v>
      </c>
      <c r="AR18" s="159" t="e">
        <f t="shared" si="19"/>
        <v>#REF!</v>
      </c>
      <c r="AS18" s="159" t="e">
        <f t="shared" si="20"/>
        <v>#REF!</v>
      </c>
      <c r="AT18" s="159" t="e">
        <f t="shared" si="21"/>
        <v>#REF!</v>
      </c>
      <c r="AU18" s="159" t="e">
        <f t="shared" si="65"/>
        <v>#REF!</v>
      </c>
      <c r="AV18" s="159" t="e">
        <f t="shared" si="22"/>
        <v>#REF!</v>
      </c>
      <c r="AW18" s="159" t="e">
        <f t="shared" si="23"/>
        <v>#REF!</v>
      </c>
      <c r="AX18" s="159" t="e">
        <f t="shared" si="66"/>
        <v>#REF!</v>
      </c>
      <c r="AY18" s="159" t="e">
        <f t="shared" si="24"/>
        <v>#REF!</v>
      </c>
      <c r="AZ18" s="159" t="e">
        <f t="shared" si="25"/>
        <v>#REF!</v>
      </c>
      <c r="BA18" s="159" t="e">
        <f t="shared" si="26"/>
        <v>#REF!</v>
      </c>
      <c r="BB18" s="159" t="e">
        <f t="shared" si="67"/>
        <v>#REF!</v>
      </c>
      <c r="BC18" s="159" t="e">
        <f t="shared" si="27"/>
        <v>#REF!</v>
      </c>
      <c r="BD18" s="159" t="e">
        <f t="shared" si="28"/>
        <v>#REF!</v>
      </c>
      <c r="BE18" s="159" t="e">
        <f t="shared" si="29"/>
        <v>#REF!</v>
      </c>
      <c r="BF18" s="159" t="e">
        <f t="shared" si="30"/>
        <v>#REF!</v>
      </c>
      <c r="BG18" s="159" t="e">
        <f t="shared" si="31"/>
        <v>#REF!</v>
      </c>
      <c r="BH18" s="159" t="e">
        <f t="shared" si="32"/>
        <v>#REF!</v>
      </c>
      <c r="BI18" s="159" t="e">
        <f t="shared" si="33"/>
        <v>#REF!</v>
      </c>
      <c r="BJ18" s="159" t="e">
        <f t="shared" si="34"/>
        <v>#REF!</v>
      </c>
      <c r="BK18" s="159" t="e">
        <f t="shared" si="35"/>
        <v>#REF!</v>
      </c>
      <c r="BL18" s="159" t="e">
        <f t="shared" si="36"/>
        <v>#REF!</v>
      </c>
      <c r="BM18" s="159" t="e">
        <f t="shared" si="37"/>
        <v>#REF!</v>
      </c>
      <c r="BN18" s="159" t="e">
        <f t="shared" si="38"/>
        <v>#REF!</v>
      </c>
      <c r="BO18" s="159" t="e">
        <f t="shared" si="39"/>
        <v>#REF!</v>
      </c>
      <c r="BP18" s="159" t="e">
        <f t="shared" si="40"/>
        <v>#REF!</v>
      </c>
      <c r="BQ18" s="159" t="e">
        <f t="shared" si="41"/>
        <v>#REF!</v>
      </c>
      <c r="BR18" s="159" t="e">
        <f t="shared" si="42"/>
        <v>#REF!</v>
      </c>
      <c r="BS18" s="159" t="e">
        <f t="shared" si="43"/>
        <v>#REF!</v>
      </c>
      <c r="BT18" s="159" t="e">
        <f t="shared" si="44"/>
        <v>#REF!</v>
      </c>
      <c r="BU18" s="159" t="e">
        <f t="shared" si="45"/>
        <v>#REF!</v>
      </c>
      <c r="BV18" s="159" t="e">
        <f t="shared" si="46"/>
        <v>#REF!</v>
      </c>
      <c r="BW18" s="159" t="e">
        <f t="shared" si="47"/>
        <v>#REF!</v>
      </c>
      <c r="BX18" s="159" t="e">
        <f t="shared" si="48"/>
        <v>#REF!</v>
      </c>
      <c r="BY18" s="159" t="e">
        <f t="shared" si="49"/>
        <v>#REF!</v>
      </c>
      <c r="BZ18" s="159" t="e">
        <f t="shared" si="50"/>
        <v>#REF!</v>
      </c>
      <c r="CA18" s="159" t="e">
        <f t="shared" si="51"/>
        <v>#REF!</v>
      </c>
      <c r="CB18" s="159" t="e">
        <f t="shared" si="52"/>
        <v>#REF!</v>
      </c>
      <c r="CC18" s="159" t="e">
        <f t="shared" si="53"/>
        <v>#REF!</v>
      </c>
      <c r="CD18" s="159" t="e">
        <f t="shared" si="54"/>
        <v>#REF!</v>
      </c>
      <c r="CE18" s="159" t="e">
        <f t="shared" si="68"/>
        <v>#REF!</v>
      </c>
      <c r="CF18" s="159" t="e">
        <f t="shared" si="55"/>
        <v>#REF!</v>
      </c>
      <c r="CG18" s="159" t="e">
        <f t="shared" si="56"/>
        <v>#REF!</v>
      </c>
      <c r="CH18" s="159" t="e">
        <f t="shared" si="69"/>
        <v>#REF!</v>
      </c>
      <c r="CI18" s="159" t="e">
        <f t="shared" si="70"/>
        <v>#REF!</v>
      </c>
    </row>
    <row r="19" spans="1:87" x14ac:dyDescent="0.25">
      <c r="A19" t="str">
        <f>PLANTILLA!D20</f>
        <v>G. Kerschl</v>
      </c>
      <c r="B19" t="s">
        <v>854</v>
      </c>
      <c r="C19" s="669">
        <f>PLANTILLA!E20</f>
        <v>29</v>
      </c>
      <c r="D19" s="669">
        <f ca="1">PLANTILLA!F20</f>
        <v>22</v>
      </c>
      <c r="E19" s="669" t="str">
        <f>PLANTILLA!G20</f>
        <v>CAB</v>
      </c>
      <c r="F19" s="290">
        <v>43060</v>
      </c>
      <c r="G19" s="497">
        <v>2.5</v>
      </c>
      <c r="H19" s="498">
        <f>PLANTILLA!I20</f>
        <v>9</v>
      </c>
      <c r="I19" s="341"/>
      <c r="J19" s="163">
        <f>PLANTILLA!X20</f>
        <v>0</v>
      </c>
      <c r="K19" s="163">
        <f>PLANTILLA!Y20</f>
        <v>3</v>
      </c>
      <c r="L19" s="163">
        <f>PLANTILLA!Z20</f>
        <v>15.07</v>
      </c>
      <c r="M19" s="163">
        <f>PLANTILLA!AA20</f>
        <v>12.02</v>
      </c>
      <c r="N19" s="163">
        <f>PLANTILLA!AB20</f>
        <v>12</v>
      </c>
      <c r="O19" s="163">
        <f>PLANTILLA!AC20</f>
        <v>8</v>
      </c>
      <c r="P19" s="163">
        <f>PLANTILLA!AD20</f>
        <v>3</v>
      </c>
      <c r="Q19" s="163">
        <f t="shared" ref="Q19" si="71">((2*(N19+1))+(K19+1))/8</f>
        <v>3.75</v>
      </c>
      <c r="R19" s="163">
        <f t="shared" ref="R19" si="72">1.66*(O19+(LOG(H19)*4/3)+G19)+0.55*(P19+(LOG(H19)*4/3)+G19)-7.6</f>
        <v>15.666834594481211</v>
      </c>
      <c r="S19" s="163">
        <f t="shared" ref="S19" si="73">(0.5*O19+ 0.3*P19)/10</f>
        <v>0.49000000000000005</v>
      </c>
      <c r="T19" s="163">
        <f t="shared" ref="T19" si="74">(0.4*K19+0.3*P19)/10</f>
        <v>0.21000000000000002</v>
      </c>
      <c r="U19" s="163">
        <f t="shared" ref="U19" ca="1" si="75">IF(TODAY()-F19&gt;335,(P19+1+(LOG(H19)*4/3)),(P19+((TODAY()-F19)^0.5)/(336^0.5)+(LOG(H19)*4/3)))</f>
        <v>4.7541354017488153</v>
      </c>
      <c r="V19" s="159">
        <f t="shared" ref="V19" si="76">((J19+G19+(LOG(H19)*4/3))*0.597)+((K19+G19+(LOG(H19)*4/3))*0.276)</f>
        <v>4.1212382809873738</v>
      </c>
      <c r="W19" s="159">
        <f t="shared" ref="W19" si="77">((J19+G19+(LOG(H19)*4/3))*0.866)+((K19+G19+(LOG(H19)*4/3))*0.425)</f>
        <v>6.1450694395815582</v>
      </c>
      <c r="X19" s="159">
        <f t="shared" ref="X19" si="78">V19</f>
        <v>4.1212382809873738</v>
      </c>
      <c r="Y19" s="159">
        <f t="shared" ref="Y19" si="79">((K19+G19+(LOG(H19)*4/3))*0.516)</f>
        <v>3.4945188464942554</v>
      </c>
      <c r="Z19" s="159">
        <f t="shared" ref="Z19" si="80">(K19+G19+(LOG(H19)*4/3))*1</f>
        <v>6.7723233459190997</v>
      </c>
      <c r="AA19" s="159">
        <f t="shared" ref="AA19" si="81">Y19/2</f>
        <v>1.7472594232471277</v>
      </c>
      <c r="AB19" s="159">
        <f t="shared" ref="AB19" si="82">(L19+G19+(LOG(H19)*4/3))*0.238</f>
        <v>4.4844729563287462</v>
      </c>
      <c r="AC19" s="159">
        <f t="shared" ref="AC19" si="83">((K19+G19+(LOG(H19)*4/3))*0.378)</f>
        <v>2.5599382247574196</v>
      </c>
      <c r="AD19" s="159">
        <f t="shared" ref="AD19" si="84">(K19+G19+(LOG(H19)*4/3))*0.723</f>
        <v>4.8963897790995086</v>
      </c>
      <c r="AE19" s="159">
        <f t="shared" ref="AE19" si="85">AC19/2</f>
        <v>1.2799691123787098</v>
      </c>
      <c r="AF19" s="159">
        <f t="shared" ref="AF19" si="86">(L19+G19+(LOG(H19)*4/3))*0.385</f>
        <v>7.2542944881788545</v>
      </c>
      <c r="AG19" s="357">
        <f t="shared" ref="AG19" si="87">((K19+G19+(LOG(H19)*4/3))*0.92)</f>
        <v>6.230537478245572</v>
      </c>
      <c r="AH19" s="159">
        <f t="shared" ref="AH19" si="88">(K19+G19+(LOG(H19)*4/3))*0.414</f>
        <v>2.8037418652105073</v>
      </c>
      <c r="AI19" s="159">
        <f t="shared" ref="AI19" si="89">((L19+G19+(LOG(H19)*4/3))*0.167)</f>
        <v>3.14666799876849</v>
      </c>
      <c r="AJ19" s="357">
        <f t="shared" ref="AJ19" si="90">(M19+G19+(LOG(H19)*4/3))*0.588</f>
        <v>9.2858861274004294</v>
      </c>
      <c r="AK19" s="159">
        <f t="shared" ref="AK19" si="91">((K19+G19+(LOG(H19)*4/3))*0.754)</f>
        <v>5.1063318028230009</v>
      </c>
      <c r="AL19" s="159">
        <f t="shared" ref="AL19" si="92">((K19+G19+(LOG(H19)*4/3))*0.708)</f>
        <v>4.7948049289107226</v>
      </c>
      <c r="AM19" s="159">
        <f t="shared" ref="AM19" si="93">((P19+G19+(LOG(H19)*4/3))*0.167)</f>
        <v>1.1309779987684898</v>
      </c>
      <c r="AN19" s="159">
        <f t="shared" ref="AN19" si="94">((Q19+G19+(LOG(H19)*4/3))*0.288)</f>
        <v>2.1664291236247006</v>
      </c>
      <c r="AO19" s="159">
        <f t="shared" ref="AO19" si="95">((K19+G19+(LOG(H19)*4/3))*0.27)</f>
        <v>1.8285273033981571</v>
      </c>
      <c r="AP19" s="159">
        <f t="shared" ref="AP19" si="96">((K19+G19+(LOG(H19)*4/3))*0.594)</f>
        <v>4.0227600674759447</v>
      </c>
      <c r="AQ19" s="159">
        <f t="shared" ref="AQ19" si="97">AO19/2</f>
        <v>0.91426365169907853</v>
      </c>
      <c r="AR19" s="159">
        <f t="shared" ref="AR19" si="98">((L19+G19+(LOG(H19)*4/3))*0.944)</f>
        <v>17.787153238547631</v>
      </c>
      <c r="AS19" s="159">
        <f t="shared" ref="AS19" si="99">((N19+G19+(LOG(H19)*4/3))*0.13)</f>
        <v>2.0504020349694829</v>
      </c>
      <c r="AT19" s="159">
        <f t="shared" ref="AT19" si="100">((O19+G19+(LOG(H19)*4/3))*0.173)+((N19+G19+(LOG(H19)*4/3))*0.12)</f>
        <v>3.929290740354296</v>
      </c>
      <c r="AU19" s="159">
        <f t="shared" ref="AU19" si="101">AS19/2</f>
        <v>1.0252010174847415</v>
      </c>
      <c r="AV19" s="159">
        <f t="shared" ref="AV19" si="102">((K19+G19+(LOG(H19)*4/3))*0.189)</f>
        <v>1.2799691123787098</v>
      </c>
      <c r="AW19" s="159">
        <f t="shared" ref="AW19" si="103">((K19+G19+(LOG(H19)*4/3))*0.4)</f>
        <v>2.70892933836764</v>
      </c>
      <c r="AX19" s="159">
        <f t="shared" ref="AX19" si="104">AV19/2</f>
        <v>0.6399845561893549</v>
      </c>
      <c r="AY19" s="159">
        <f t="shared" ref="AY19" si="105">((L19+G19+(LOG(H19)*4/3))*1)</f>
        <v>18.842323345919102</v>
      </c>
      <c r="AZ19" s="159">
        <f t="shared" ref="AZ19" si="106">((N19+G19+(LOG(H19)*4/3))*0.253)</f>
        <v>3.9903978065175321</v>
      </c>
      <c r="BA19" s="159">
        <f t="shared" ref="BA19" si="107">((O19+G19+(LOG(H19)*4/3))*0.21)+((N19+G19+(LOG(H19)*4/3))*0.341)</f>
        <v>7.8505501636014241</v>
      </c>
      <c r="BB19" s="159">
        <f t="shared" ref="BB19" si="108">AZ19/2</f>
        <v>1.995198903258766</v>
      </c>
      <c r="BC19" s="159">
        <f t="shared" ref="BC19" si="109">((K19+G19+(LOG(H19)*4/3))*0.291)</f>
        <v>1.9707460936624579</v>
      </c>
      <c r="BD19" s="159">
        <f t="shared" ref="BD19" si="110">((K19+G19+(LOG(H19)*4/3))*0.348)</f>
        <v>2.3567685243798464</v>
      </c>
      <c r="BE19" s="159">
        <f t="shared" ref="BE19" si="111">((L19+G19+(LOG(H19)*4/3))*0.881)</f>
        <v>16.60008686775473</v>
      </c>
      <c r="BF19" s="159">
        <f t="shared" ref="BF19" si="112">((M19+G19+(LOG(H19)*4/3))*0.574)+((N19+G19+(LOG(H19)*4/3))*0.315)</f>
        <v>14.033075454522079</v>
      </c>
      <c r="BG19" s="159">
        <f t="shared" ref="BG19" si="113">((N19+G19+(LOG(H19)*4/3))*0.241)</f>
        <v>3.801129926366503</v>
      </c>
      <c r="BH19" s="159">
        <f t="shared" ref="BH19" si="114">((K19+G19+(LOG(H19)*4/3))*0.485)</f>
        <v>3.2845768227707635</v>
      </c>
      <c r="BI19" s="159">
        <f t="shared" ref="BI19" si="115">((K19+G19+(LOG(H19)*4/3))*0.264)</f>
        <v>1.7878933633226424</v>
      </c>
      <c r="BJ19" s="159">
        <f t="shared" ref="BJ19" si="116">((L19+G19+(LOG(H19)*4/3))*0.381)</f>
        <v>7.1789251947951778</v>
      </c>
      <c r="BK19" s="159">
        <f t="shared" ref="BK19" si="117">((M19+G19+(LOG(H19)*4/3))*0.673)+((N19+G19+(LOG(H19)*4/3))*0.201)</f>
        <v>13.798470604333295</v>
      </c>
      <c r="BL19" s="159">
        <f t="shared" ref="BL19" si="118">((N19+G19+(LOG(H19)*4/3))*0.052)</f>
        <v>0.82016081398779317</v>
      </c>
      <c r="BM19" s="159">
        <f t="shared" ref="BM19" si="119">((K19+G19+(LOG(H19)*4/3))*0.18)</f>
        <v>1.2190182022654379</v>
      </c>
      <c r="BN19" s="159">
        <f t="shared" ref="BN19" si="120">(K19+G19+(LOG(H19)*4/3))*0.068</f>
        <v>0.46051798752249878</v>
      </c>
      <c r="BO19" s="159">
        <f t="shared" ref="BO19" si="121">((L19+G19+(LOG(H19)*4/3))*0.305)</f>
        <v>5.7469086205053257</v>
      </c>
      <c r="BP19" s="159">
        <f t="shared" ref="BP19" si="122">((M19+G19+(LOG(H19)*4/3))*1)+((N19+G19+(LOG(H19)*4/3))*0.286)</f>
        <v>20.303207822851959</v>
      </c>
      <c r="BQ19" s="159">
        <f t="shared" ref="BQ19" si="123">((N19+G19+(LOG(H19)*4/3))*0.135)</f>
        <v>2.1292636516990786</v>
      </c>
      <c r="BR19" s="159">
        <f t="shared" ref="BR19" si="124">((K19+G19+(LOG(H19)*4/3))*0.284)</f>
        <v>1.9233398302410241</v>
      </c>
      <c r="BS19" s="159">
        <f t="shared" ref="BS19" si="125">(K19+G19+(LOG(H19)*4/3))*0.244</f>
        <v>1.6524468964042602</v>
      </c>
      <c r="BT19" s="159">
        <f t="shared" ref="BT19" si="126">((L19+G19+(LOG(H19)*4/3))*0.455)</f>
        <v>8.5732571223931924</v>
      </c>
      <c r="BU19" s="159">
        <f t="shared" ref="BU19" si="127">((M19+G19+(LOG(H19)*4/3))*0.864)+((N19+G19+(LOG(H19)*4/3))*0.244)</f>
        <v>17.493014267278362</v>
      </c>
      <c r="BV19" s="159">
        <f t="shared" ref="BV19" si="128">((N19+G19+(LOG(H19)*4/3))*0.121)</f>
        <v>1.908451124856211</v>
      </c>
      <c r="BW19" s="159">
        <f t="shared" ref="BW19" si="129">((K19+G19+(LOG(H19)*4/3))*0.284)</f>
        <v>1.9233398302410241</v>
      </c>
      <c r="BX19" s="159">
        <f t="shared" ref="BX19" si="130">((K19+G19+(LOG(H19)*4/3))*0.244)</f>
        <v>1.6524468964042602</v>
      </c>
      <c r="BY19" s="159">
        <f t="shared" ref="BY19" si="131">((L19+G19+(LOG(H19)*4/3))*0.631)</f>
        <v>11.889506031274953</v>
      </c>
      <c r="BZ19" s="159">
        <f t="shared" ref="BZ19" si="132">((M19+G19+(LOG(H19)*4/3))*0.702)+((N19+G19+(LOG(H19)*4/3))*0.193)</f>
        <v>14.130269394597594</v>
      </c>
      <c r="CA19" s="159">
        <f t="shared" ref="CA19" si="133">((N19+G19+(LOG(H19)*4/3))*0.148)</f>
        <v>2.3343038551960267</v>
      </c>
      <c r="CB19" s="159">
        <f t="shared" ref="CB19" si="134">((L19+G19+(LOG(H19)*4/3))*0.406)</f>
        <v>7.6499832784431554</v>
      </c>
      <c r="CC19" s="159">
        <f t="shared" ref="CC19" si="135">IF(E19="TEC",((M19+G19+(LOG(H19)*4/3))*0.15)+((N19+G19+(LOG(H19)*4/3))*0.324)+((O19+G19+(LOG(H19)*4/3))*0.127),(((M19+G19+(LOG(H19)*4/3))*0.144)+((N19+G19+(LOG(H19)*4/3))*0.25)+((O19+G19+(LOG(H19)*4/3))*0.127)))</f>
        <v>7.7122604632238509</v>
      </c>
      <c r="CD19" s="159">
        <f t="shared" ref="CD19" si="136">((N19+G19+(LOG(H19)*4/3))*0.543)+((O19+G19+(LOG(H19)*4/3))*0.583)</f>
        <v>15.427636087504906</v>
      </c>
      <c r="CE19" s="159">
        <f t="shared" ref="CE19" si="137">CC19</f>
        <v>7.7122604632238509</v>
      </c>
      <c r="CF19" s="159">
        <f t="shared" ref="CF19" si="138">((O19+1+(LOG(H19)*4/3))*0.26)+((M19+G19+(LOG(H19)*4/3))*0.221)+((N19+G19+(LOG(H19)*4/3))*0.142)</f>
        <v>8.4005774445075989</v>
      </c>
      <c r="CG19" s="159">
        <f t="shared" ref="CG19" si="139">((O19+G19+(LOG(H19)*4/3))*1)+((N19+G19+(LOG(H19)*4/3))*0.369)</f>
        <v>17.592310660563246</v>
      </c>
      <c r="CH19" s="159">
        <f t="shared" ref="CH19" si="140">CF19</f>
        <v>8.4005774445075989</v>
      </c>
      <c r="CI19" s="159">
        <f t="shared" ref="CI19" si="141">((L19+G19+(LOG(H19)*4/3))*0.25)</f>
        <v>4.7105808364797754</v>
      </c>
    </row>
    <row r="20" spans="1:87" x14ac:dyDescent="0.25">
      <c r="A20" t="str">
        <f>PLANTILLA!D21</f>
        <v>J. Limon</v>
      </c>
      <c r="B20" t="s">
        <v>854</v>
      </c>
      <c r="C20" s="633">
        <f>PLANTILLA!E21</f>
        <v>30</v>
      </c>
      <c r="D20" s="633">
        <f ca="1">PLANTILLA!F21</f>
        <v>32</v>
      </c>
      <c r="E20" s="633" t="str">
        <f>PLANTILLA!G21</f>
        <v>RAP</v>
      </c>
      <c r="F20" s="290">
        <v>41664</v>
      </c>
      <c r="G20" s="497">
        <v>1.5</v>
      </c>
      <c r="H20" s="498">
        <f>PLANTILLA!I21</f>
        <v>10.3</v>
      </c>
      <c r="I20" s="341"/>
      <c r="J20" s="163">
        <f>PLANTILLA!X21</f>
        <v>0</v>
      </c>
      <c r="K20" s="163">
        <f>PLANTILLA!Y21</f>
        <v>6.8376190476190493</v>
      </c>
      <c r="L20" s="163">
        <f>PLANTILLA!Z21</f>
        <v>8.6449999999999996</v>
      </c>
      <c r="M20" s="163">
        <f>PLANTILLA!AA21</f>
        <v>8.7399999999999967</v>
      </c>
      <c r="N20" s="163">
        <f>PLANTILLA!AB21</f>
        <v>9.6900000000000013</v>
      </c>
      <c r="O20" s="163">
        <f>PLANTILLA!AC21</f>
        <v>8.5625000000000018</v>
      </c>
      <c r="P20" s="163">
        <f>PLANTILLA!AD21</f>
        <v>18.789999999999992</v>
      </c>
      <c r="Q20" s="163">
        <f t="shared" si="57"/>
        <v>3.6522023809523816</v>
      </c>
      <c r="R20" s="163">
        <f t="shared" si="58"/>
        <v>23.247743688797904</v>
      </c>
      <c r="S20" s="163">
        <f t="shared" si="59"/>
        <v>0.99182499999999985</v>
      </c>
      <c r="T20" s="163">
        <f t="shared" si="60"/>
        <v>0.83720476190476167</v>
      </c>
      <c r="U20" s="163">
        <f t="shared" ca="1" si="0"/>
        <v>21.140449632940221</v>
      </c>
      <c r="V20" s="159">
        <f t="shared" si="1"/>
        <v>4.3756253866996779</v>
      </c>
      <c r="W20" s="159">
        <f t="shared" si="2"/>
        <v>6.5859185713639317</v>
      </c>
      <c r="X20" s="159">
        <f t="shared" si="61"/>
        <v>4.3756253866996779</v>
      </c>
      <c r="Y20" s="159">
        <f t="shared" si="3"/>
        <v>4.9990434391685881</v>
      </c>
      <c r="Z20" s="159">
        <f t="shared" si="4"/>
        <v>9.6880686805592795</v>
      </c>
      <c r="AA20" s="159">
        <f t="shared" si="62"/>
        <v>2.499521719584294</v>
      </c>
      <c r="AB20" s="159">
        <f t="shared" si="5"/>
        <v>2.7359170126397743</v>
      </c>
      <c r="AC20" s="159">
        <f t="shared" si="6"/>
        <v>3.6620899612514077</v>
      </c>
      <c r="AD20" s="159">
        <f t="shared" si="7"/>
        <v>7.0044736560443592</v>
      </c>
      <c r="AE20" s="159">
        <f t="shared" si="63"/>
        <v>1.8310449806257039</v>
      </c>
      <c r="AF20" s="159">
        <f t="shared" si="8"/>
        <v>4.4257481086819883</v>
      </c>
      <c r="AG20" s="357">
        <f t="shared" si="9"/>
        <v>8.9130231861145379</v>
      </c>
      <c r="AH20" s="159">
        <f t="shared" si="10"/>
        <v>4.0108604337515414</v>
      </c>
      <c r="AI20" s="159">
        <f t="shared" si="11"/>
        <v>1.9197400887010183</v>
      </c>
      <c r="AJ20" s="357">
        <f t="shared" si="12"/>
        <v>6.8151843841688526</v>
      </c>
      <c r="AK20" s="159">
        <f t="shared" si="13"/>
        <v>7.3048037851416971</v>
      </c>
      <c r="AL20" s="159">
        <f t="shared" si="14"/>
        <v>6.8591526258359696</v>
      </c>
      <c r="AM20" s="159">
        <f t="shared" si="15"/>
        <v>3.613955088701017</v>
      </c>
      <c r="AN20" s="159">
        <f t="shared" si="16"/>
        <v>1.8727637800010719</v>
      </c>
      <c r="AO20" s="159">
        <f t="shared" si="17"/>
        <v>2.6157785437510057</v>
      </c>
      <c r="AP20" s="159">
        <f t="shared" si="18"/>
        <v>5.7547127962522113</v>
      </c>
      <c r="AQ20" s="159">
        <f t="shared" si="64"/>
        <v>1.3078892718755029</v>
      </c>
      <c r="AR20" s="159">
        <f t="shared" si="19"/>
        <v>10.851704453495575</v>
      </c>
      <c r="AS20" s="159">
        <f t="shared" si="20"/>
        <v>1.6302584522822301</v>
      </c>
      <c r="AT20" s="159">
        <f t="shared" si="21"/>
        <v>3.4792942424514877</v>
      </c>
      <c r="AU20" s="159">
        <f t="shared" si="65"/>
        <v>0.81512922614111505</v>
      </c>
      <c r="AV20" s="357">
        <f t="shared" si="22"/>
        <v>1.8310449806257039</v>
      </c>
      <c r="AW20" s="357">
        <f t="shared" si="23"/>
        <v>3.8752274722237119</v>
      </c>
      <c r="AX20" s="357">
        <f t="shared" si="66"/>
        <v>0.91552249031285193</v>
      </c>
      <c r="AY20" s="357">
        <f t="shared" si="24"/>
        <v>11.495449632940229</v>
      </c>
      <c r="AZ20" s="357">
        <f t="shared" si="25"/>
        <v>3.1727337571338783</v>
      </c>
      <c r="BA20" s="357">
        <f t="shared" si="26"/>
        <v>6.673012747750068</v>
      </c>
      <c r="BB20" s="357">
        <f t="shared" si="67"/>
        <v>1.5863668785669391</v>
      </c>
      <c r="BC20" s="357">
        <f t="shared" si="27"/>
        <v>2.8192279860427503</v>
      </c>
      <c r="BD20" s="357">
        <f t="shared" si="28"/>
        <v>3.371447900834629</v>
      </c>
      <c r="BE20" s="357">
        <f t="shared" si="29"/>
        <v>10.127491126620342</v>
      </c>
      <c r="BF20" s="357">
        <f t="shared" si="30"/>
        <v>10.603159723683861</v>
      </c>
      <c r="BG20" s="357">
        <f t="shared" si="31"/>
        <v>3.0222483615385953</v>
      </c>
      <c r="BH20" s="357">
        <f t="shared" si="32"/>
        <v>4.6987133100712501</v>
      </c>
      <c r="BI20" s="357">
        <f t="shared" si="33"/>
        <v>2.5576501316676499</v>
      </c>
      <c r="BJ20" s="357">
        <f t="shared" si="34"/>
        <v>4.3797663101502273</v>
      </c>
      <c r="BK20" s="357">
        <f t="shared" si="35"/>
        <v>10.32100297918976</v>
      </c>
      <c r="BL20" s="357">
        <f t="shared" si="36"/>
        <v>0.65210338091289199</v>
      </c>
      <c r="BM20" s="357">
        <f t="shared" si="37"/>
        <v>1.7438523625006703</v>
      </c>
      <c r="BN20" s="357">
        <f t="shared" si="38"/>
        <v>0.65878867027803101</v>
      </c>
      <c r="BO20" s="357">
        <f t="shared" si="39"/>
        <v>3.5061121380467699</v>
      </c>
      <c r="BP20" s="357">
        <f t="shared" si="40"/>
        <v>15.177018227961131</v>
      </c>
      <c r="BQ20" s="357">
        <f t="shared" si="41"/>
        <v>1.6929607004469311</v>
      </c>
      <c r="BR20" s="357">
        <f t="shared" si="42"/>
        <v>2.7514115052788353</v>
      </c>
      <c r="BS20" s="357">
        <f t="shared" si="43"/>
        <v>2.363888758056464</v>
      </c>
      <c r="BT20" s="357">
        <f t="shared" si="44"/>
        <v>5.2304295829878047</v>
      </c>
      <c r="BU20" s="357">
        <f t="shared" si="45"/>
        <v>13.074018193297771</v>
      </c>
      <c r="BV20" s="357">
        <f t="shared" si="46"/>
        <v>1.5173944055857678</v>
      </c>
      <c r="BW20" s="357">
        <f t="shared" si="47"/>
        <v>2.7514115052788353</v>
      </c>
      <c r="BX20" s="357">
        <f t="shared" si="48"/>
        <v>2.363888758056464</v>
      </c>
      <c r="BY20" s="357">
        <f t="shared" si="49"/>
        <v>7.2536287183852846</v>
      </c>
      <c r="BZ20" s="357">
        <f t="shared" si="50"/>
        <v>10.556802421481501</v>
      </c>
      <c r="CA20" s="357">
        <f t="shared" si="51"/>
        <v>1.8559865456751541</v>
      </c>
      <c r="CB20" s="357">
        <f t="shared" si="52"/>
        <v>4.667152550973733</v>
      </c>
      <c r="CC20" s="357">
        <f t="shared" si="53"/>
        <v>6.2535817587618601</v>
      </c>
      <c r="CD20" s="357">
        <f t="shared" si="54"/>
        <v>13.463213786690702</v>
      </c>
      <c r="CE20" s="357">
        <f t="shared" si="68"/>
        <v>6.2535817587618601</v>
      </c>
      <c r="CF20" s="357">
        <f t="shared" si="55"/>
        <v>7.1796001213217631</v>
      </c>
      <c r="CG20" s="357">
        <f t="shared" si="56"/>
        <v>16.040375547495177</v>
      </c>
      <c r="CH20" s="357">
        <f t="shared" si="69"/>
        <v>7.1796001213217631</v>
      </c>
      <c r="CI20" s="357">
        <f t="shared" si="70"/>
        <v>2.8738624082350572</v>
      </c>
    </row>
    <row r="21" spans="1:87" x14ac:dyDescent="0.25">
      <c r="A21" t="str">
        <f>PLANTILLA!D22</f>
        <v>L. Calosso</v>
      </c>
      <c r="C21" s="633">
        <f>PLANTILLA!E22</f>
        <v>30</v>
      </c>
      <c r="D21" s="633">
        <f ca="1">PLANTILLA!F22</f>
        <v>101</v>
      </c>
      <c r="E21" s="633" t="str">
        <f>PLANTILLA!G22</f>
        <v>TEC</v>
      </c>
      <c r="F21" s="290">
        <v>41890</v>
      </c>
      <c r="G21" s="497">
        <v>1</v>
      </c>
      <c r="H21" s="498">
        <f>PLANTILLA!I22</f>
        <v>10.5</v>
      </c>
      <c r="I21" s="341"/>
      <c r="J21" s="163">
        <f>PLANTILLA!X22</f>
        <v>0</v>
      </c>
      <c r="K21" s="163">
        <f>PLANTILLA!Y22</f>
        <v>3.02</v>
      </c>
      <c r="L21" s="163">
        <f>PLANTILLA!Z22</f>
        <v>14.277609523809524</v>
      </c>
      <c r="M21" s="163">
        <f>PLANTILLA!AA22</f>
        <v>3.04</v>
      </c>
      <c r="N21" s="163">
        <f>PLANTILLA!AB22</f>
        <v>15.02</v>
      </c>
      <c r="O21" s="163">
        <f>PLANTILLA!AC22</f>
        <v>10</v>
      </c>
      <c r="P21" s="163">
        <f>PLANTILLA!AD22</f>
        <v>9.6000000000000014</v>
      </c>
      <c r="Q21" s="163">
        <f t="shared" si="57"/>
        <v>4.5075000000000003</v>
      </c>
      <c r="R21" s="163">
        <f t="shared" si="58"/>
        <v>19.499104467926081</v>
      </c>
      <c r="S21" s="163">
        <f t="shared" si="59"/>
        <v>0.78800000000000003</v>
      </c>
      <c r="T21" s="163">
        <f t="shared" si="60"/>
        <v>0.40880000000000011</v>
      </c>
      <c r="U21" s="163">
        <f t="shared" ca="1" si="0"/>
        <v>11.961585732093251</v>
      </c>
      <c r="V21" s="159">
        <f t="shared" si="1"/>
        <v>2.8951843441174079</v>
      </c>
      <c r="W21" s="159">
        <f t="shared" si="2"/>
        <v>4.3323071801323865</v>
      </c>
      <c r="X21" s="159">
        <f t="shared" si="61"/>
        <v>2.8951843441174079</v>
      </c>
      <c r="Y21" s="159">
        <f t="shared" si="3"/>
        <v>2.776898237760117</v>
      </c>
      <c r="Z21" s="159">
        <f t="shared" si="4"/>
        <v>5.3815857320932503</v>
      </c>
      <c r="AA21" s="159">
        <f t="shared" si="62"/>
        <v>1.3884491188800585</v>
      </c>
      <c r="AB21" s="159">
        <f t="shared" si="5"/>
        <v>3.9601284709048601</v>
      </c>
      <c r="AC21" s="159">
        <f t="shared" si="6"/>
        <v>2.0342394067312486</v>
      </c>
      <c r="AD21" s="159">
        <f t="shared" si="7"/>
        <v>3.8908864843034197</v>
      </c>
      <c r="AE21" s="159">
        <f t="shared" si="63"/>
        <v>1.0171197033656243</v>
      </c>
      <c r="AF21" s="159">
        <f t="shared" si="8"/>
        <v>6.4060901735225677</v>
      </c>
      <c r="AG21" s="357">
        <f t="shared" si="9"/>
        <v>4.9510588735257901</v>
      </c>
      <c r="AH21" s="159">
        <f t="shared" si="10"/>
        <v>2.2279764930866057</v>
      </c>
      <c r="AI21" s="159">
        <f t="shared" si="11"/>
        <v>2.7787456077357633</v>
      </c>
      <c r="AJ21" s="357">
        <f t="shared" si="12"/>
        <v>3.1761324104708311</v>
      </c>
      <c r="AK21" s="159">
        <f t="shared" si="13"/>
        <v>4.0577156419983105</v>
      </c>
      <c r="AL21" s="159">
        <f t="shared" si="14"/>
        <v>3.8101626983220211</v>
      </c>
      <c r="AM21" s="159">
        <f t="shared" si="15"/>
        <v>1.9975848172595732</v>
      </c>
      <c r="AN21" s="159">
        <f t="shared" si="16"/>
        <v>1.9782966908428561</v>
      </c>
      <c r="AO21" s="159">
        <f t="shared" si="17"/>
        <v>1.4530281476651776</v>
      </c>
      <c r="AP21" s="159">
        <f t="shared" si="18"/>
        <v>3.1966619248633905</v>
      </c>
      <c r="AQ21" s="159">
        <f t="shared" si="64"/>
        <v>0.72651407383258881</v>
      </c>
      <c r="AR21" s="159">
        <f t="shared" si="19"/>
        <v>15.707400321572218</v>
      </c>
      <c r="AS21" s="159">
        <f t="shared" si="20"/>
        <v>2.2596061451721225</v>
      </c>
      <c r="AT21" s="159">
        <f t="shared" si="21"/>
        <v>4.2243446195033219</v>
      </c>
      <c r="AU21" s="159">
        <f t="shared" si="65"/>
        <v>1.1298030725860613</v>
      </c>
      <c r="AV21" s="357">
        <f t="shared" si="22"/>
        <v>1.0171197033656243</v>
      </c>
      <c r="AW21" s="357">
        <f t="shared" si="23"/>
        <v>2.1526342928373001</v>
      </c>
      <c r="AX21" s="357">
        <f t="shared" si="66"/>
        <v>0.50855985168281215</v>
      </c>
      <c r="AY21" s="357">
        <f t="shared" si="24"/>
        <v>16.639195255902774</v>
      </c>
      <c r="AZ21" s="357">
        <f t="shared" si="25"/>
        <v>4.3975411902195924</v>
      </c>
      <c r="BA21" s="357">
        <f t="shared" si="26"/>
        <v>8.523053738383382</v>
      </c>
      <c r="BB21" s="357">
        <f t="shared" si="67"/>
        <v>2.1987705951097962</v>
      </c>
      <c r="BC21" s="357">
        <f t="shared" si="27"/>
        <v>1.5660414480391358</v>
      </c>
      <c r="BD21" s="357">
        <f t="shared" si="28"/>
        <v>1.8727918347684509</v>
      </c>
      <c r="BE21" s="357">
        <f t="shared" si="29"/>
        <v>14.659131020450344</v>
      </c>
      <c r="BF21" s="357">
        <f t="shared" si="30"/>
        <v>8.5757097158309001</v>
      </c>
      <c r="BG21" s="357">
        <f t="shared" si="31"/>
        <v>4.188962161434473</v>
      </c>
      <c r="BH21" s="357">
        <f t="shared" si="32"/>
        <v>2.6100690800652262</v>
      </c>
      <c r="BI21" s="357">
        <f t="shared" si="33"/>
        <v>1.4207386332726182</v>
      </c>
      <c r="BJ21" s="357">
        <f t="shared" si="34"/>
        <v>6.3395333924989572</v>
      </c>
      <c r="BK21" s="357">
        <f t="shared" si="35"/>
        <v>7.1289659298495014</v>
      </c>
      <c r="BL21" s="357">
        <f t="shared" si="36"/>
        <v>0.90384245806884889</v>
      </c>
      <c r="BM21" s="357">
        <f t="shared" si="37"/>
        <v>0.96868543177678501</v>
      </c>
      <c r="BN21" s="357">
        <f t="shared" si="38"/>
        <v>0.36594782978234103</v>
      </c>
      <c r="BO21" s="357">
        <f t="shared" si="39"/>
        <v>5.0749545530503459</v>
      </c>
      <c r="BP21" s="357">
        <f t="shared" si="40"/>
        <v>10.372719251471921</v>
      </c>
      <c r="BQ21" s="357">
        <f t="shared" si="41"/>
        <v>2.3465140738325889</v>
      </c>
      <c r="BR21" s="357">
        <f t="shared" si="42"/>
        <v>1.528370347914483</v>
      </c>
      <c r="BS21" s="357">
        <f t="shared" si="43"/>
        <v>1.3131069186307531</v>
      </c>
      <c r="BT21" s="357">
        <f t="shared" si="44"/>
        <v>7.5708338414357623</v>
      </c>
      <c r="BU21" s="357">
        <f t="shared" si="45"/>
        <v>8.9080769911593229</v>
      </c>
      <c r="BV21" s="357">
        <f t="shared" si="46"/>
        <v>2.1031718735832832</v>
      </c>
      <c r="BW21" s="357">
        <f t="shared" si="47"/>
        <v>1.528370347914483</v>
      </c>
      <c r="BX21" s="357">
        <f t="shared" si="48"/>
        <v>1.3131069186307531</v>
      </c>
      <c r="BY21" s="357">
        <f t="shared" si="49"/>
        <v>10.49933220647465</v>
      </c>
      <c r="BZ21" s="357">
        <f t="shared" si="50"/>
        <v>7.1465592302234597</v>
      </c>
      <c r="CA21" s="357">
        <f t="shared" si="51"/>
        <v>2.5724746883498009</v>
      </c>
      <c r="CB21" s="357">
        <f t="shared" si="52"/>
        <v>6.7555132738965264</v>
      </c>
      <c r="CC21" s="357">
        <f t="shared" si="53"/>
        <v>8.0117930249880445</v>
      </c>
      <c r="CD21" s="357">
        <f t="shared" si="54"/>
        <v>16.645005534336999</v>
      </c>
      <c r="CE21" s="357">
        <f t="shared" si="68"/>
        <v>8.0117930249880445</v>
      </c>
      <c r="CF21" s="357">
        <f t="shared" si="55"/>
        <v>6.8759479110940944</v>
      </c>
      <c r="CG21" s="357">
        <f t="shared" si="56"/>
        <v>18.775390867235657</v>
      </c>
      <c r="CH21" s="357">
        <f t="shared" si="69"/>
        <v>6.8759479110940944</v>
      </c>
      <c r="CI21" s="357">
        <f t="shared" si="70"/>
        <v>4.1597988139756934</v>
      </c>
    </row>
    <row r="22" spans="1:87" x14ac:dyDescent="0.25">
      <c r="A22" t="str">
        <f>PLANTILLA!D23</f>
        <v>P .Trivadi</v>
      </c>
      <c r="B22" t="s">
        <v>854</v>
      </c>
      <c r="C22" s="633">
        <f>PLANTILLA!E23</f>
        <v>27</v>
      </c>
      <c r="D22" s="633">
        <f ca="1">PLANTILLA!F23</f>
        <v>63</v>
      </c>
      <c r="E22" s="633"/>
      <c r="F22" s="290">
        <v>41973</v>
      </c>
      <c r="G22" s="497">
        <v>1.5</v>
      </c>
      <c r="H22" s="498">
        <f>PLANTILLA!I23</f>
        <v>5.5</v>
      </c>
      <c r="I22" s="341"/>
      <c r="J22" s="163">
        <f>PLANTILLA!X23</f>
        <v>0</v>
      </c>
      <c r="K22" s="163">
        <f>PLANTILLA!Y23</f>
        <v>4.0199999999999996</v>
      </c>
      <c r="L22" s="163">
        <f>PLANTILLA!Z23</f>
        <v>5.5738722222222199</v>
      </c>
      <c r="M22" s="163">
        <f>PLANTILLA!AA23</f>
        <v>5.5099999999999989</v>
      </c>
      <c r="N22" s="163">
        <f>PLANTILLA!AB23</f>
        <v>10.799999999999999</v>
      </c>
      <c r="O22" s="163">
        <f>PLANTILLA!AC23</f>
        <v>8.384500000000001</v>
      </c>
      <c r="P22" s="163">
        <f>PLANTILLA!AD23</f>
        <v>13.566666666666668</v>
      </c>
      <c r="Q22" s="163">
        <f t="shared" si="57"/>
        <v>3.5774999999999997</v>
      </c>
      <c r="R22" s="163">
        <f t="shared" si="58"/>
        <v>19.276538725043039</v>
      </c>
      <c r="S22" s="163">
        <f t="shared" si="59"/>
        <v>0.82622500000000021</v>
      </c>
      <c r="T22" s="163">
        <f t="shared" si="60"/>
        <v>0.56779999999999997</v>
      </c>
      <c r="U22" s="163">
        <f t="shared" ca="1" si="0"/>
        <v>15.55381691932566</v>
      </c>
      <c r="V22" s="159">
        <f t="shared" si="1"/>
        <v>3.2808021705712997</v>
      </c>
      <c r="W22" s="159">
        <f t="shared" si="2"/>
        <v>4.9194109761827578</v>
      </c>
      <c r="X22" s="159">
        <f t="shared" si="61"/>
        <v>3.2808021705712997</v>
      </c>
      <c r="Y22" s="159">
        <f t="shared" si="3"/>
        <v>3.3576895303720398</v>
      </c>
      <c r="Z22" s="159">
        <f t="shared" si="4"/>
        <v>6.5071502526589917</v>
      </c>
      <c r="AA22" s="159">
        <f t="shared" si="62"/>
        <v>1.6788447651860199</v>
      </c>
      <c r="AB22" s="159">
        <f t="shared" si="5"/>
        <v>1.9185233490217282</v>
      </c>
      <c r="AC22" s="159">
        <f t="shared" si="6"/>
        <v>2.4597027955050987</v>
      </c>
      <c r="AD22" s="159">
        <f t="shared" si="7"/>
        <v>4.7046696326724504</v>
      </c>
      <c r="AE22" s="159">
        <f t="shared" si="63"/>
        <v>1.2298513977525494</v>
      </c>
      <c r="AF22" s="159">
        <f t="shared" si="8"/>
        <v>3.1034936528292665</v>
      </c>
      <c r="AG22" s="357">
        <f t="shared" si="9"/>
        <v>5.9865782324462726</v>
      </c>
      <c r="AH22" s="159">
        <f t="shared" si="10"/>
        <v>2.6939602046008226</v>
      </c>
      <c r="AI22" s="159">
        <f t="shared" si="11"/>
        <v>1.3461907533051622</v>
      </c>
      <c r="AJ22" s="357">
        <f t="shared" si="12"/>
        <v>4.7023243485634865</v>
      </c>
      <c r="AK22" s="159">
        <f t="shared" si="13"/>
        <v>4.9063912905048799</v>
      </c>
      <c r="AL22" s="159">
        <f t="shared" si="14"/>
        <v>4.6070623788825662</v>
      </c>
      <c r="AM22" s="159">
        <f t="shared" si="15"/>
        <v>2.6809874255273853</v>
      </c>
      <c r="AN22" s="159">
        <f t="shared" si="16"/>
        <v>1.7466192727657894</v>
      </c>
      <c r="AO22" s="159">
        <f t="shared" si="17"/>
        <v>1.7569305682179279</v>
      </c>
      <c r="AP22" s="159">
        <f t="shared" si="18"/>
        <v>3.8652472500794408</v>
      </c>
      <c r="AQ22" s="159">
        <f t="shared" si="64"/>
        <v>0.87846528410896396</v>
      </c>
      <c r="AR22" s="159">
        <f t="shared" si="19"/>
        <v>7.6096052162878633</v>
      </c>
      <c r="AS22" s="159">
        <f t="shared" si="20"/>
        <v>1.7273295328456688</v>
      </c>
      <c r="AT22" s="159">
        <f t="shared" si="21"/>
        <v>3.4752535240290845</v>
      </c>
      <c r="AU22" s="159">
        <f t="shared" si="65"/>
        <v>0.86366476642283441</v>
      </c>
      <c r="AV22" s="357">
        <f t="shared" si="22"/>
        <v>1.2298513977525494</v>
      </c>
      <c r="AW22" s="357">
        <f t="shared" si="23"/>
        <v>2.6028601010635968</v>
      </c>
      <c r="AX22" s="357">
        <f t="shared" si="66"/>
        <v>0.61492569887627468</v>
      </c>
      <c r="AY22" s="357">
        <f t="shared" si="24"/>
        <v>8.0610224748812112</v>
      </c>
      <c r="AZ22" s="357">
        <f t="shared" si="25"/>
        <v>3.3616490139227246</v>
      </c>
      <c r="BA22" s="357">
        <f t="shared" si="26"/>
        <v>6.8139647892151043</v>
      </c>
      <c r="BB22" s="357">
        <f t="shared" si="67"/>
        <v>1.6808245069613623</v>
      </c>
      <c r="BC22" s="357">
        <f t="shared" si="27"/>
        <v>1.8935807235237665</v>
      </c>
      <c r="BD22" s="357">
        <f t="shared" si="28"/>
        <v>2.264488287925329</v>
      </c>
      <c r="BE22" s="357">
        <f t="shared" si="29"/>
        <v>7.1017608003703474</v>
      </c>
      <c r="BF22" s="357">
        <f t="shared" si="30"/>
        <v>8.7758165746138417</v>
      </c>
      <c r="BG22" s="357">
        <f t="shared" si="31"/>
        <v>3.2022032108908167</v>
      </c>
      <c r="BH22" s="357">
        <f t="shared" si="32"/>
        <v>3.1559678725396108</v>
      </c>
      <c r="BI22" s="357">
        <f t="shared" si="33"/>
        <v>1.7178876667019738</v>
      </c>
      <c r="BJ22" s="357">
        <f t="shared" si="34"/>
        <v>3.0712495629297414</v>
      </c>
      <c r="BK22" s="357">
        <f t="shared" si="35"/>
        <v>8.0527993208239579</v>
      </c>
      <c r="BL22" s="357">
        <f t="shared" si="36"/>
        <v>0.69093181313826746</v>
      </c>
      <c r="BM22" s="357">
        <f t="shared" si="37"/>
        <v>1.1712870454786184</v>
      </c>
      <c r="BN22" s="357">
        <f t="shared" si="38"/>
        <v>0.44248621718081149</v>
      </c>
      <c r="BO22" s="357">
        <f t="shared" si="39"/>
        <v>2.4586118548387694</v>
      </c>
      <c r="BP22" s="357">
        <f t="shared" si="40"/>
        <v>11.797275224919462</v>
      </c>
      <c r="BQ22" s="357">
        <f t="shared" si="41"/>
        <v>1.793765284108964</v>
      </c>
      <c r="BR22" s="357">
        <f t="shared" si="42"/>
        <v>1.8480306717551536</v>
      </c>
      <c r="BS22" s="357">
        <f t="shared" si="43"/>
        <v>1.587744661648794</v>
      </c>
      <c r="BT22" s="357">
        <f t="shared" si="44"/>
        <v>3.667765226070951</v>
      </c>
      <c r="BU22" s="357">
        <f t="shared" si="45"/>
        <v>10.151602479946161</v>
      </c>
      <c r="BV22" s="357">
        <f t="shared" si="46"/>
        <v>1.6077451805717378</v>
      </c>
      <c r="BW22" s="357">
        <f t="shared" si="47"/>
        <v>1.8480306717551536</v>
      </c>
      <c r="BX22" s="357">
        <f t="shared" si="48"/>
        <v>1.587744661648794</v>
      </c>
      <c r="BY22" s="357">
        <f t="shared" si="49"/>
        <v>5.0865051816500442</v>
      </c>
      <c r="BZ22" s="357">
        <f t="shared" si="50"/>
        <v>8.1784194761297968</v>
      </c>
      <c r="CA22" s="357">
        <f t="shared" si="51"/>
        <v>1.9664982373935307</v>
      </c>
      <c r="CB22" s="357">
        <f t="shared" si="52"/>
        <v>3.2727751248017718</v>
      </c>
      <c r="CC22" s="357">
        <f t="shared" si="53"/>
        <v>5.8540767816353352</v>
      </c>
      <c r="CD22" s="357">
        <f t="shared" si="54"/>
        <v>13.553094684494026</v>
      </c>
      <c r="CE22" s="357">
        <f t="shared" si="68"/>
        <v>5.8540767816353352</v>
      </c>
      <c r="CF22" s="357">
        <f t="shared" si="55"/>
        <v>6.3507746074065521</v>
      </c>
      <c r="CG22" s="357">
        <f t="shared" si="56"/>
        <v>15.77460869589016</v>
      </c>
      <c r="CH22" s="357">
        <f t="shared" si="69"/>
        <v>6.3507746074065521</v>
      </c>
      <c r="CI22" s="357">
        <f t="shared" si="70"/>
        <v>2.0152556187203028</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7"/>
      <c r="H24" s="498"/>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7"/>
      <c r="H25" s="498"/>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7"/>
      <c r="H26" s="498"/>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7"/>
      <c r="H27" s="498"/>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7"/>
      <c r="H28" s="498"/>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7"/>
      <c r="H29" s="498"/>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7"/>
      <c r="H30" s="498"/>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7"/>
      <c r="H31" s="498"/>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7"/>
      <c r="H32" s="498"/>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7"/>
      <c r="H33" s="498"/>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7"/>
      <c r="H34" s="498"/>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2018-02-07T17:42:41Z</dcterms:modified>
</cp:coreProperties>
</file>