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97968BB2-E6AE-4F83-BC17-B28EA9A1A6A5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Liga" sheetId="4" r:id="rId4"/>
    <sheet name="Planning" sheetId="5" r:id="rId5"/>
    <sheet name="Economia_T66" sheetId="20" r:id="rId6"/>
    <sheet name="Capitán" sheetId="7" r:id="rId7"/>
    <sheet name="CA_Calcutator" sheetId="8" r:id="rId8"/>
    <sheet name="EstudioConversion" sheetId="9" r:id="rId9"/>
    <sheet name="El Tártaro" sheetId="10" r:id="rId10"/>
    <sheet name="Entrenador" sheetId="11" r:id="rId11"/>
    <sheet name="Banderas" sheetId="12" r:id="rId12"/>
    <sheet name="Evaluacion Jugadores" sheetId="13" r:id="rId13"/>
    <sheet name="LAT" sheetId="14" r:id="rId14"/>
    <sheet name="Inner" sheetId="19" r:id="rId15"/>
    <sheet name="Delantero" sheetId="15" r:id="rId16"/>
    <sheet name="PorteroTitular" sheetId="16" r:id="rId17"/>
    <sheet name="PorteroSuplente" sheetId="17" r:id="rId18"/>
  </sheets>
  <externalReferences>
    <externalReference r:id="rId19"/>
  </externalReferences>
  <definedNames>
    <definedName name="_xlnm._FilterDatabase" localSheetId="8" hidden="1">EstudioConversion!$A$1:$H$159</definedName>
  </definedNames>
  <calcPr calcId="191029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V10" i="20" l="1"/>
  <c r="U29" i="4"/>
  <c r="U28" i="4"/>
  <c r="U27" i="4"/>
  <c r="U26" i="4"/>
  <c r="U25" i="4"/>
  <c r="U24" i="4"/>
  <c r="U23" i="4"/>
  <c r="U22" i="4"/>
  <c r="AA18" i="2" l="1"/>
  <c r="AD20" i="2"/>
  <c r="AA20" i="2"/>
  <c r="AD15" i="2"/>
  <c r="AA15" i="2"/>
  <c r="AA14" i="2"/>
  <c r="Z14" i="2"/>
  <c r="AA10" i="2"/>
  <c r="AA13" i="2"/>
  <c r="AA12" i="2"/>
  <c r="AA11" i="2"/>
  <c r="AD6" i="2"/>
  <c r="AA6" i="2"/>
  <c r="Y6" i="2"/>
  <c r="AA8" i="2"/>
  <c r="Y5" i="2"/>
  <c r="F4" i="20" l="1"/>
  <c r="E4" i="20"/>
  <c r="E26" i="20" s="1"/>
  <c r="D26" i="20"/>
  <c r="V22" i="20" l="1"/>
  <c r="V8" i="20"/>
  <c r="V5" i="20"/>
  <c r="V4" i="20"/>
  <c r="E54" i="20"/>
  <c r="E53" i="20"/>
  <c r="E52" i="20"/>
  <c r="E51" i="20"/>
  <c r="C48" i="20"/>
  <c r="E48" i="20" s="1"/>
  <c r="C46" i="20"/>
  <c r="E46" i="20" s="1"/>
  <c r="C44" i="20"/>
  <c r="E44" i="20" s="1"/>
  <c r="C42" i="20"/>
  <c r="E42" i="20" s="1"/>
  <c r="E40" i="20"/>
  <c r="E41" i="20"/>
  <c r="E43" i="20"/>
  <c r="E45" i="20"/>
  <c r="E47" i="20"/>
  <c r="E49" i="20"/>
  <c r="E50" i="20"/>
  <c r="C39" i="20"/>
  <c r="E39" i="20" s="1"/>
  <c r="C38" i="20"/>
  <c r="E38" i="20" s="1"/>
  <c r="D31" i="20"/>
  <c r="B31" i="20"/>
  <c r="V11" i="20" s="1"/>
  <c r="E34" i="20"/>
  <c r="E35" i="20"/>
  <c r="E36" i="20"/>
  <c r="E37" i="20"/>
  <c r="E33" i="20"/>
  <c r="D16" i="20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Q16" i="20" s="1"/>
  <c r="R16" i="20" s="1"/>
  <c r="S16" i="20" s="1"/>
  <c r="Q6" i="20"/>
  <c r="O6" i="20"/>
  <c r="M6" i="20"/>
  <c r="K6" i="20"/>
  <c r="I6" i="20"/>
  <c r="G6" i="20"/>
  <c r="E6" i="20"/>
  <c r="M7" i="20"/>
  <c r="N7" i="20" s="1"/>
  <c r="O7" i="20" s="1"/>
  <c r="P7" i="20" s="1"/>
  <c r="Q7" i="20" s="1"/>
  <c r="R7" i="20" s="1"/>
  <c r="S7" i="20" s="1"/>
  <c r="D3" i="20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D28" i="20"/>
  <c r="E28" i="20" s="1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R24" i="20"/>
  <c r="S24" i="20" s="1"/>
  <c r="E24" i="20"/>
  <c r="F24" i="20" s="1"/>
  <c r="B24" i="20"/>
  <c r="R23" i="20"/>
  <c r="S23" i="20" s="1"/>
  <c r="E23" i="20"/>
  <c r="F23" i="20" s="1"/>
  <c r="E22" i="20"/>
  <c r="F22" i="20" s="1"/>
  <c r="R21" i="20"/>
  <c r="S21" i="20" s="1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O20" i="20"/>
  <c r="P20" i="20" s="1"/>
  <c r="F20" i="20"/>
  <c r="G20" i="20" s="1"/>
  <c r="H20" i="20" s="1"/>
  <c r="E19" i="20"/>
  <c r="F19" i="20" s="1"/>
  <c r="G19" i="20" s="1"/>
  <c r="B19" i="20"/>
  <c r="E18" i="20"/>
  <c r="F18" i="20" s="1"/>
  <c r="B18" i="20"/>
  <c r="C17" i="20"/>
  <c r="B16" i="20"/>
  <c r="B15" i="20"/>
  <c r="D14" i="20"/>
  <c r="F13" i="20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C12" i="20"/>
  <c r="V16" i="20" s="1"/>
  <c r="C11" i="20"/>
  <c r="V15" i="20" s="1"/>
  <c r="E10" i="20"/>
  <c r="C9" i="20"/>
  <c r="C8" i="20"/>
  <c r="V25" i="20" s="1"/>
  <c r="D5" i="20"/>
  <c r="D4" i="20"/>
  <c r="E1" i="20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V3" i="20" l="1"/>
  <c r="C31" i="20"/>
  <c r="V13" i="20" s="1"/>
  <c r="E31" i="20"/>
  <c r="V12" i="20" s="1"/>
  <c r="C7" i="20"/>
  <c r="V18" i="20" s="1"/>
  <c r="E14" i="20"/>
  <c r="F10" i="20"/>
  <c r="G10" i="20" s="1"/>
  <c r="G14" i="20" s="1"/>
  <c r="E25" i="20"/>
  <c r="H19" i="20"/>
  <c r="I19" i="20" s="1"/>
  <c r="J19" i="20" s="1"/>
  <c r="K19" i="20" s="1"/>
  <c r="L19" i="20" s="1"/>
  <c r="M19" i="20" s="1"/>
  <c r="N19" i="20" s="1"/>
  <c r="O19" i="20" s="1"/>
  <c r="P19" i="20" s="1"/>
  <c r="Q19" i="20" s="1"/>
  <c r="R19" i="20" s="1"/>
  <c r="S19" i="20" s="1"/>
  <c r="C19" i="20" s="1"/>
  <c r="Z18" i="20" s="1"/>
  <c r="G22" i="20"/>
  <c r="H22" i="20" s="1"/>
  <c r="I22" i="20" s="1"/>
  <c r="J22" i="20" s="1"/>
  <c r="K22" i="20" s="1"/>
  <c r="L22" i="20" s="1"/>
  <c r="M22" i="20" s="1"/>
  <c r="N22" i="20" s="1"/>
  <c r="O22" i="20" s="1"/>
  <c r="P22" i="20" s="1"/>
  <c r="Q22" i="20" s="1"/>
  <c r="R22" i="20" s="1"/>
  <c r="S22" i="20" s="1"/>
  <c r="G24" i="20"/>
  <c r="H24" i="20" s="1"/>
  <c r="I24" i="20" s="1"/>
  <c r="J24" i="20" s="1"/>
  <c r="K24" i="20" s="1"/>
  <c r="L24" i="20" s="1"/>
  <c r="M24" i="20" s="1"/>
  <c r="N24" i="20" s="1"/>
  <c r="O24" i="20" s="1"/>
  <c r="P24" i="20" s="1"/>
  <c r="G23" i="20"/>
  <c r="H23" i="20" s="1"/>
  <c r="I23" i="20" s="1"/>
  <c r="J23" i="20" s="1"/>
  <c r="K23" i="20" s="1"/>
  <c r="L23" i="20" s="1"/>
  <c r="M23" i="20" s="1"/>
  <c r="N23" i="20" s="1"/>
  <c r="O23" i="20" s="1"/>
  <c r="P23" i="20" s="1"/>
  <c r="G18" i="20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I20" i="20"/>
  <c r="J20" i="20" s="1"/>
  <c r="D25" i="20"/>
  <c r="C21" i="20"/>
  <c r="C6" i="20"/>
  <c r="V17" i="20" s="1"/>
  <c r="C16" i="20"/>
  <c r="Z15" i="20" s="1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B21" i="10"/>
  <c r="B20" i="10"/>
  <c r="B19" i="10"/>
  <c r="B18" i="10"/>
  <c r="E16" i="10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D16" i="10"/>
  <c r="C16" i="10"/>
  <c r="F26" i="20" l="1"/>
  <c r="G4" i="20" s="1"/>
  <c r="F14" i="20"/>
  <c r="H10" i="20"/>
  <c r="C18" i="20"/>
  <c r="Z17" i="20" s="1"/>
  <c r="C23" i="20"/>
  <c r="C26" i="20" s="1"/>
  <c r="C20" i="20"/>
  <c r="V26" i="20" s="1"/>
  <c r="C24" i="20"/>
  <c r="Z20" i="20" s="1"/>
  <c r="G15" i="20"/>
  <c r="F25" i="20"/>
  <c r="H14" i="20"/>
  <c r="I10" i="20"/>
  <c r="D27" i="20"/>
  <c r="E5" i="20" s="1"/>
  <c r="E27" i="20" s="1"/>
  <c r="F5" i="20" s="1"/>
  <c r="C22" i="20"/>
  <c r="Z19" i="20" s="1"/>
  <c r="Y15" i="2"/>
  <c r="Y14" i="2"/>
  <c r="Y10" i="2"/>
  <c r="Y13" i="2"/>
  <c r="Y12" i="2"/>
  <c r="Y9" i="2"/>
  <c r="Y7" i="2"/>
  <c r="Y8" i="2"/>
  <c r="Z8" i="20" l="1"/>
  <c r="G26" i="20"/>
  <c r="H4" i="20" s="1"/>
  <c r="H26" i="20" s="1"/>
  <c r="I4" i="20" s="1"/>
  <c r="V27" i="20"/>
  <c r="V9" i="20"/>
  <c r="F27" i="20"/>
  <c r="G5" i="20" s="1"/>
  <c r="J10" i="20"/>
  <c r="I14" i="20"/>
  <c r="G25" i="20"/>
  <c r="H15" i="20"/>
  <c r="AD19" i="2"/>
  <c r="AD9" i="2"/>
  <c r="AD8" i="2"/>
  <c r="AD16" i="2"/>
  <c r="AD14" i="2"/>
  <c r="AD10" i="2"/>
  <c r="AD7" i="2"/>
  <c r="AD13" i="2"/>
  <c r="AD12" i="2"/>
  <c r="AD11" i="2"/>
  <c r="AD4" i="2"/>
  <c r="AB14" i="2"/>
  <c r="AB10" i="2"/>
  <c r="AB6" i="2"/>
  <c r="AB15" i="2"/>
  <c r="AB13" i="2"/>
  <c r="AB11" i="2"/>
  <c r="AB8" i="2"/>
  <c r="AB7" i="2"/>
  <c r="AB20" i="2"/>
  <c r="AB9" i="2"/>
  <c r="AA7" i="2"/>
  <c r="Z7" i="2"/>
  <c r="Z10" i="2"/>
  <c r="Z12" i="2"/>
  <c r="Z11" i="2"/>
  <c r="Z13" i="2"/>
  <c r="Z20" i="2"/>
  <c r="Z15" i="2"/>
  <c r="Z8" i="2"/>
  <c r="Y11" i="2"/>
  <c r="Y4" i="2"/>
  <c r="I26" i="20" l="1"/>
  <c r="J4" i="20" s="1"/>
  <c r="V7" i="20"/>
  <c r="V21" i="20"/>
  <c r="G27" i="20"/>
  <c r="H5" i="20" s="1"/>
  <c r="K10" i="20"/>
  <c r="J14" i="20"/>
  <c r="H25" i="20"/>
  <c r="I15" i="20"/>
  <c r="AD6" i="19"/>
  <c r="J26" i="20" l="1"/>
  <c r="K4" i="20" s="1"/>
  <c r="H27" i="20"/>
  <c r="I5" i="20" s="1"/>
  <c r="L10" i="20"/>
  <c r="K14" i="20"/>
  <c r="I25" i="20"/>
  <c r="J15" i="20"/>
  <c r="O3" i="19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O15" i="19"/>
  <c r="Q15" i="19" s="1"/>
  <c r="P15" i="19"/>
  <c r="R15" i="19"/>
  <c r="S15" i="19"/>
  <c r="U15" i="19" s="1"/>
  <c r="T15" i="19"/>
  <c r="V15" i="19"/>
  <c r="X15" i="19" s="1"/>
  <c r="W15" i="19"/>
  <c r="Y15" i="19"/>
  <c r="Z15" i="19"/>
  <c r="AB15" i="19" s="1"/>
  <c r="AA15" i="19"/>
  <c r="O16" i="19"/>
  <c r="Q16" i="19" s="1"/>
  <c r="P16" i="19"/>
  <c r="R16" i="19"/>
  <c r="S16" i="19"/>
  <c r="U16" i="19" s="1"/>
  <c r="T16" i="19"/>
  <c r="V16" i="19"/>
  <c r="X16" i="19" s="1"/>
  <c r="W16" i="19"/>
  <c r="Y16" i="19"/>
  <c r="Z16" i="19"/>
  <c r="AB16" i="19" s="1"/>
  <c r="AA16" i="19"/>
  <c r="O17" i="19"/>
  <c r="Q17" i="19" s="1"/>
  <c r="P17" i="19"/>
  <c r="R17" i="19"/>
  <c r="S17" i="19"/>
  <c r="U17" i="19" s="1"/>
  <c r="T17" i="19"/>
  <c r="V17" i="19"/>
  <c r="X17" i="19" s="1"/>
  <c r="W17" i="19"/>
  <c r="Y17" i="19"/>
  <c r="Z17" i="19"/>
  <c r="AB17" i="19" s="1"/>
  <c r="AA17" i="19"/>
  <c r="O18" i="19"/>
  <c r="Q18" i="19" s="1"/>
  <c r="P18" i="19"/>
  <c r="R18" i="19"/>
  <c r="S18" i="19"/>
  <c r="U18" i="19" s="1"/>
  <c r="T18" i="19"/>
  <c r="V18" i="19"/>
  <c r="X18" i="19" s="1"/>
  <c r="W18" i="19"/>
  <c r="Y18" i="19"/>
  <c r="Z18" i="19"/>
  <c r="AB18" i="19" s="1"/>
  <c r="AA18" i="19"/>
  <c r="O19" i="19"/>
  <c r="Q19" i="19" s="1"/>
  <c r="P19" i="19"/>
  <c r="R19" i="19"/>
  <c r="S19" i="19"/>
  <c r="U19" i="19" s="1"/>
  <c r="T19" i="19"/>
  <c r="V19" i="19"/>
  <c r="X19" i="19" s="1"/>
  <c r="W19" i="19"/>
  <c r="Y19" i="19"/>
  <c r="Z19" i="19"/>
  <c r="AB19" i="19" s="1"/>
  <c r="AA19" i="19"/>
  <c r="O20" i="19"/>
  <c r="Q20" i="19" s="1"/>
  <c r="P20" i="19"/>
  <c r="R20" i="19"/>
  <c r="S20" i="19"/>
  <c r="U20" i="19" s="1"/>
  <c r="T20" i="19"/>
  <c r="V20" i="19"/>
  <c r="X20" i="19" s="1"/>
  <c r="W20" i="19"/>
  <c r="Y20" i="19"/>
  <c r="Z20" i="19"/>
  <c r="AB20" i="19" s="1"/>
  <c r="AA20" i="19"/>
  <c r="O21" i="19"/>
  <c r="Q21" i="19" s="1"/>
  <c r="P21" i="19"/>
  <c r="R21" i="19"/>
  <c r="S21" i="19"/>
  <c r="U21" i="19" s="1"/>
  <c r="T21" i="19"/>
  <c r="V21" i="19"/>
  <c r="X21" i="19" s="1"/>
  <c r="W21" i="19"/>
  <c r="Y21" i="19"/>
  <c r="Z21" i="19"/>
  <c r="AB21" i="19" s="1"/>
  <c r="AA21" i="19"/>
  <c r="O22" i="19"/>
  <c r="Q22" i="19" s="1"/>
  <c r="P22" i="19"/>
  <c r="R22" i="19"/>
  <c r="S22" i="19"/>
  <c r="U22" i="19" s="1"/>
  <c r="T22" i="19"/>
  <c r="V22" i="19"/>
  <c r="X22" i="19" s="1"/>
  <c r="W22" i="19"/>
  <c r="Y22" i="19"/>
  <c r="Z22" i="19"/>
  <c r="AB22" i="19" s="1"/>
  <c r="AA22" i="19"/>
  <c r="O23" i="19"/>
  <c r="Q23" i="19" s="1"/>
  <c r="P23" i="19"/>
  <c r="R23" i="19"/>
  <c r="S23" i="19"/>
  <c r="U23" i="19" s="1"/>
  <c r="T23" i="19"/>
  <c r="V23" i="19"/>
  <c r="X23" i="19" s="1"/>
  <c r="W23" i="19"/>
  <c r="Y23" i="19"/>
  <c r="Z23" i="19"/>
  <c r="AB23" i="19" s="1"/>
  <c r="AA23" i="19"/>
  <c r="O24" i="19"/>
  <c r="Q24" i="19" s="1"/>
  <c r="P24" i="19"/>
  <c r="R24" i="19"/>
  <c r="S24" i="19"/>
  <c r="U24" i="19" s="1"/>
  <c r="T24" i="19"/>
  <c r="V24" i="19"/>
  <c r="X24" i="19" s="1"/>
  <c r="W24" i="19"/>
  <c r="Y24" i="19"/>
  <c r="Z24" i="19"/>
  <c r="AB24" i="19" s="1"/>
  <c r="AA24" i="19"/>
  <c r="O25" i="19"/>
  <c r="Q25" i="19" s="1"/>
  <c r="P25" i="19"/>
  <c r="R25" i="19"/>
  <c r="S25" i="19"/>
  <c r="U25" i="19" s="1"/>
  <c r="T25" i="19"/>
  <c r="V25" i="19"/>
  <c r="X25" i="19" s="1"/>
  <c r="W25" i="19"/>
  <c r="Y25" i="19"/>
  <c r="Z25" i="19"/>
  <c r="AB25" i="19" s="1"/>
  <c r="AA25" i="19"/>
  <c r="K26" i="20" l="1"/>
  <c r="L4" i="20" s="1"/>
  <c r="I27" i="20"/>
  <c r="J5" i="20" s="1"/>
  <c r="M10" i="20"/>
  <c r="L14" i="20"/>
  <c r="J25" i="20"/>
  <c r="K15" i="20"/>
  <c r="AH25" i="19"/>
  <c r="AK25" i="19" s="1"/>
  <c r="AI25" i="19"/>
  <c r="AL25" i="19" s="1"/>
  <c r="AJ25" i="19"/>
  <c r="AM25" i="19" s="1"/>
  <c r="AH24" i="19"/>
  <c r="AK24" i="19" s="1"/>
  <c r="AI24" i="19"/>
  <c r="AL24" i="19" s="1"/>
  <c r="AJ24" i="19"/>
  <c r="AM24" i="19" s="1"/>
  <c r="AH23" i="19"/>
  <c r="AK23" i="19" s="1"/>
  <c r="AH22" i="19"/>
  <c r="AK22" i="19" s="1"/>
  <c r="AI22" i="19"/>
  <c r="AL22" i="19" s="1"/>
  <c r="AJ22" i="19"/>
  <c r="AM22" i="19" s="1"/>
  <c r="AH21" i="19"/>
  <c r="AK21" i="19" s="1"/>
  <c r="AI21" i="19"/>
  <c r="AL21" i="19" s="1"/>
  <c r="AJ21" i="19"/>
  <c r="AM21" i="19" s="1"/>
  <c r="AI20" i="19"/>
  <c r="AL20" i="19" s="1"/>
  <c r="AJ20" i="19"/>
  <c r="AM20" i="19" s="1"/>
  <c r="AH19" i="19"/>
  <c r="AK19" i="19" s="1"/>
  <c r="AI19" i="19"/>
  <c r="AL19" i="19" s="1"/>
  <c r="AJ19" i="19"/>
  <c r="AM19" i="19" s="1"/>
  <c r="AH18" i="19"/>
  <c r="AK18" i="19" s="1"/>
  <c r="AI18" i="19"/>
  <c r="AL18" i="19" s="1"/>
  <c r="AJ18" i="19"/>
  <c r="AM18" i="19" s="1"/>
  <c r="AH17" i="19"/>
  <c r="AK17" i="19" s="1"/>
  <c r="AI17" i="19"/>
  <c r="AL17" i="19" s="1"/>
  <c r="AJ17" i="19"/>
  <c r="AM17" i="19" s="1"/>
  <c r="AH16" i="19"/>
  <c r="AK16" i="19" s="1"/>
  <c r="AI16" i="19"/>
  <c r="AL16" i="19" s="1"/>
  <c r="AJ16" i="19"/>
  <c r="AM16" i="19" s="1"/>
  <c r="AH15" i="19"/>
  <c r="AK15" i="19" s="1"/>
  <c r="AI15" i="19"/>
  <c r="AL15" i="19" s="1"/>
  <c r="AJ15" i="19"/>
  <c r="AM15" i="19" s="1"/>
  <c r="AH14" i="19"/>
  <c r="AK14" i="19" s="1"/>
  <c r="AI14" i="19"/>
  <c r="AL14" i="19" s="1"/>
  <c r="AJ14" i="19"/>
  <c r="AM14" i="19" s="1"/>
  <c r="AH13" i="19"/>
  <c r="AK13" i="19" s="1"/>
  <c r="AI13" i="19"/>
  <c r="AL13" i="19" s="1"/>
  <c r="AJ13" i="19"/>
  <c r="AM13" i="19" s="1"/>
  <c r="AH12" i="19"/>
  <c r="AK12" i="19" s="1"/>
  <c r="AI12" i="19"/>
  <c r="AL12" i="19" s="1"/>
  <c r="AJ12" i="19"/>
  <c r="AM12" i="19" s="1"/>
  <c r="AH11" i="19"/>
  <c r="AK11" i="19" s="1"/>
  <c r="AI11" i="19"/>
  <c r="AL11" i="19" s="1"/>
  <c r="AJ11" i="19"/>
  <c r="AM11" i="19" s="1"/>
  <c r="AH10" i="19"/>
  <c r="AK10" i="19" s="1"/>
  <c r="AI10" i="19"/>
  <c r="AL10" i="19" s="1"/>
  <c r="AJ10" i="19"/>
  <c r="AM10" i="19" s="1"/>
  <c r="AI9" i="19"/>
  <c r="AL9" i="19" s="1"/>
  <c r="AH8" i="19"/>
  <c r="AK8" i="19" s="1"/>
  <c r="AI8" i="19"/>
  <c r="AL8" i="19" s="1"/>
  <c r="AJ8" i="19"/>
  <c r="AM8" i="19" s="1"/>
  <c r="AI7" i="19"/>
  <c r="AL7" i="19" s="1"/>
  <c r="AJ7" i="19"/>
  <c r="AM7" i="19" s="1"/>
  <c r="AI6" i="19"/>
  <c r="AL6" i="19" s="1"/>
  <c r="AJ6" i="19"/>
  <c r="AM6" i="19" s="1"/>
  <c r="AI5" i="19"/>
  <c r="AL5" i="19" s="1"/>
  <c r="AJ5" i="19"/>
  <c r="AM5" i="19" s="1"/>
  <c r="AI4" i="19"/>
  <c r="AL4" i="19" s="1"/>
  <c r="AJ4" i="19"/>
  <c r="AM4" i="19" s="1"/>
  <c r="AI3" i="19"/>
  <c r="AL3" i="19" s="1"/>
  <c r="AJ3" i="19"/>
  <c r="AM3" i="19" s="1"/>
  <c r="L26" i="20" l="1"/>
  <c r="M4" i="20" s="1"/>
  <c r="J27" i="20"/>
  <c r="K5" i="20" s="1"/>
  <c r="N10" i="20"/>
  <c r="M14" i="20"/>
  <c r="K25" i="20"/>
  <c r="L15" i="20"/>
  <c r="AJ23" i="19"/>
  <c r="AM23" i="19" s="1"/>
  <c r="AI23" i="19"/>
  <c r="AL23" i="19" s="1"/>
  <c r="AJ9" i="19"/>
  <c r="AM9" i="19" s="1"/>
  <c r="AH20" i="19"/>
  <c r="AK20" i="19" s="1"/>
  <c r="M26" i="20" l="1"/>
  <c r="N4" i="20" s="1"/>
  <c r="K27" i="20"/>
  <c r="L5" i="20" s="1"/>
  <c r="L25" i="20"/>
  <c r="M15" i="20"/>
  <c r="O10" i="20"/>
  <c r="N14" i="20"/>
  <c r="N26" i="20" l="1"/>
  <c r="O4" i="20" s="1"/>
  <c r="L27" i="20"/>
  <c r="M5" i="20" s="1"/>
  <c r="O14" i="20"/>
  <c r="P10" i="20"/>
  <c r="N15" i="20"/>
  <c r="M25" i="20"/>
  <c r="O26" i="20" l="1"/>
  <c r="P4" i="20" s="1"/>
  <c r="M27" i="20"/>
  <c r="N5" i="20" s="1"/>
  <c r="P14" i="20"/>
  <c r="Q10" i="20"/>
  <c r="O15" i="20"/>
  <c r="N25" i="20"/>
  <c r="AS16" i="2"/>
  <c r="P26" i="20" l="1"/>
  <c r="Q4" i="20" s="1"/>
  <c r="N27" i="20"/>
  <c r="O5" i="20" s="1"/>
  <c r="O25" i="20"/>
  <c r="P15" i="20"/>
  <c r="Q14" i="20"/>
  <c r="R10" i="20"/>
  <c r="Q26" i="20" l="1"/>
  <c r="R4" i="20" s="1"/>
  <c r="O27" i="20"/>
  <c r="P5" i="20" s="1"/>
  <c r="S10" i="20"/>
  <c r="R14" i="20"/>
  <c r="P25" i="20"/>
  <c r="Q15" i="20"/>
  <c r="F10" i="10"/>
  <c r="F11" i="10"/>
  <c r="F12" i="10"/>
  <c r="F9" i="10"/>
  <c r="S26" i="20" l="1"/>
  <c r="R26" i="20"/>
  <c r="S4" i="20" s="1"/>
  <c r="P27" i="20"/>
  <c r="Q5" i="20" s="1"/>
  <c r="Q25" i="20"/>
  <c r="R15" i="20"/>
  <c r="S14" i="20"/>
  <c r="C14" i="20" s="1"/>
  <c r="C10" i="20"/>
  <c r="V19" i="20" s="1"/>
  <c r="AC13" i="2"/>
  <c r="V14" i="20" l="1"/>
  <c r="Q27" i="20"/>
  <c r="R5" i="20" s="1"/>
  <c r="V2" i="20"/>
  <c r="R25" i="20"/>
  <c r="R27" i="20" s="1"/>
  <c r="S5" i="20" s="1"/>
  <c r="S15" i="20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W23" i="20" l="1"/>
  <c r="W6" i="20"/>
  <c r="W24" i="20"/>
  <c r="W4" i="20"/>
  <c r="W5" i="20"/>
  <c r="W15" i="20"/>
  <c r="W16" i="20"/>
  <c r="W25" i="20"/>
  <c r="W18" i="20"/>
  <c r="W13" i="20"/>
  <c r="W12" i="20"/>
  <c r="W17" i="20"/>
  <c r="W26" i="20"/>
  <c r="W27" i="20"/>
  <c r="W9" i="20"/>
  <c r="W19" i="20"/>
  <c r="W2" i="20"/>
  <c r="W7" i="20"/>
  <c r="W3" i="20"/>
  <c r="W10" i="20"/>
  <c r="W21" i="20"/>
  <c r="W14" i="20"/>
  <c r="S25" i="20"/>
  <c r="C25" i="20" s="1"/>
  <c r="C27" i="20" s="1"/>
  <c r="C15" i="20"/>
  <c r="Z16" i="20" s="1"/>
  <c r="Z14" i="20" l="1"/>
  <c r="Z9" i="20" s="1"/>
  <c r="S27" i="20"/>
  <c r="Z7" i="20" l="1"/>
  <c r="U19" i="2"/>
  <c r="AF18" i="15" l="1"/>
  <c r="AI18" i="15" s="1"/>
  <c r="AG18" i="15"/>
  <c r="AJ18" i="15" s="1"/>
  <c r="AH18" i="15"/>
  <c r="AK18" i="15" s="1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Z9" i="2" l="1"/>
  <c r="AB12" i="2" l="1"/>
  <c r="AF12" i="15"/>
  <c r="AI12" i="15" s="1"/>
  <c r="AG12" i="15"/>
  <c r="AJ12" i="15" s="1"/>
  <c r="AH12" i="15"/>
  <c r="AK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AF16" i="15" l="1"/>
  <c r="AI16" i="15" s="1"/>
  <c r="AG16" i="15"/>
  <c r="AJ16" i="15" s="1"/>
  <c r="AH16" i="15"/>
  <c r="AK16" i="15" s="1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AF3" i="15"/>
  <c r="AI3" i="15" s="1"/>
  <c r="AG3" i="15"/>
  <c r="AJ3" i="15" s="1"/>
  <c r="AH3" i="15"/>
  <c r="AK3" i="15" s="1"/>
  <c r="P3" i="15"/>
  <c r="Q3" i="15"/>
  <c r="R3" i="15"/>
  <c r="T3" i="15"/>
  <c r="V3" i="15" s="1"/>
  <c r="U3" i="15"/>
  <c r="X3" i="15"/>
  <c r="Z3" i="15" s="1"/>
  <c r="Y3" i="15"/>
  <c r="O3" i="15"/>
  <c r="S3" i="15"/>
  <c r="W3" i="15"/>
  <c r="AF4" i="15"/>
  <c r="AI4" i="15" s="1"/>
  <c r="AG4" i="15"/>
  <c r="AJ4" i="15" s="1"/>
  <c r="AH4" i="15"/>
  <c r="AK4" i="15" s="1"/>
  <c r="P4" i="15"/>
  <c r="Q4" i="15"/>
  <c r="R4" i="15"/>
  <c r="T4" i="15"/>
  <c r="V4" i="15" s="1"/>
  <c r="U4" i="15"/>
  <c r="X4" i="15"/>
  <c r="Z4" i="15" s="1"/>
  <c r="Y4" i="15"/>
  <c r="O4" i="15"/>
  <c r="S4" i="15"/>
  <c r="W4" i="15"/>
  <c r="AF20" i="15"/>
  <c r="AI20" i="15" s="1"/>
  <c r="AG20" i="15"/>
  <c r="AJ20" i="15" s="1"/>
  <c r="AH20" i="15"/>
  <c r="AK20" i="15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A4" i="13" l="1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G7" i="13" s="1"/>
  <c r="J7" i="13"/>
  <c r="K7" i="13"/>
  <c r="L7" i="13"/>
  <c r="M7" i="13"/>
  <c r="N7" i="13"/>
  <c r="O7" i="13"/>
  <c r="P7" i="13"/>
  <c r="Q7" i="13"/>
  <c r="A8" i="13"/>
  <c r="B8" i="13"/>
  <c r="D8" i="13"/>
  <c r="E8" i="13"/>
  <c r="F8" i="13"/>
  <c r="H8" i="13" s="1"/>
  <c r="J8" i="13"/>
  <c r="K8" i="13"/>
  <c r="M8" i="13"/>
  <c r="N8" i="13"/>
  <c r="O8" i="13"/>
  <c r="P8" i="13"/>
  <c r="A9" i="13"/>
  <c r="B9" i="13"/>
  <c r="D9" i="13"/>
  <c r="E9" i="13"/>
  <c r="F9" i="13"/>
  <c r="J9" i="13"/>
  <c r="K9" i="13"/>
  <c r="L9" i="13"/>
  <c r="R9" i="13" s="1"/>
  <c r="M9" i="13"/>
  <c r="N9" i="13"/>
  <c r="O9" i="13"/>
  <c r="P9" i="13"/>
  <c r="A10" i="13"/>
  <c r="B10" i="13"/>
  <c r="D10" i="13"/>
  <c r="E10" i="13"/>
  <c r="F10" i="13"/>
  <c r="G10" i="13" s="1"/>
  <c r="J10" i="13"/>
  <c r="K10" i="13"/>
  <c r="L10" i="13"/>
  <c r="M10" i="13"/>
  <c r="N10" i="13"/>
  <c r="O10" i="13"/>
  <c r="Q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H12" i="13" s="1"/>
  <c r="J12" i="13"/>
  <c r="K12" i="13"/>
  <c r="L12" i="13"/>
  <c r="M12" i="13"/>
  <c r="N12" i="13"/>
  <c r="O12" i="13"/>
  <c r="A13" i="13"/>
  <c r="B13" i="13"/>
  <c r="D13" i="13"/>
  <c r="E13" i="13"/>
  <c r="F13" i="13"/>
  <c r="G13" i="13" s="1"/>
  <c r="I13" i="13"/>
  <c r="J13" i="13"/>
  <c r="K13" i="13"/>
  <c r="L13" i="13"/>
  <c r="M13" i="13"/>
  <c r="N13" i="13"/>
  <c r="P13" i="13"/>
  <c r="Q13" i="13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H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J17" i="13"/>
  <c r="K17" i="13"/>
  <c r="L17" i="13"/>
  <c r="M17" i="13"/>
  <c r="N17" i="13"/>
  <c r="O17" i="13"/>
  <c r="P17" i="13"/>
  <c r="Q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P18" i="13"/>
  <c r="Q18" i="13"/>
  <c r="A19" i="13"/>
  <c r="B19" i="13"/>
  <c r="D19" i="13"/>
  <c r="E19" i="13"/>
  <c r="F19" i="13"/>
  <c r="H19" i="13" s="1"/>
  <c r="J19" i="13"/>
  <c r="K19" i="13"/>
  <c r="L19" i="13"/>
  <c r="M19" i="13"/>
  <c r="N19" i="13"/>
  <c r="O19" i="13"/>
  <c r="P19" i="13"/>
  <c r="Q19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AN13" i="13" l="1"/>
  <c r="S17" i="13"/>
  <c r="R18" i="13"/>
  <c r="S4" i="13"/>
  <c r="R12" i="13"/>
  <c r="T17" i="13"/>
  <c r="H5" i="13"/>
  <c r="S19" i="13"/>
  <c r="S16" i="13"/>
  <c r="H6" i="13"/>
  <c r="H7" i="13"/>
  <c r="G19" i="13"/>
  <c r="T13" i="13"/>
  <c r="X13" i="13"/>
  <c r="V13" i="13"/>
  <c r="R7" i="13"/>
  <c r="S18" i="13"/>
  <c r="AM13" i="13"/>
  <c r="U13" i="13"/>
  <c r="BN13" i="13"/>
  <c r="BJ13" i="13"/>
  <c r="H16" i="13"/>
  <c r="G15" i="13"/>
  <c r="G14" i="13"/>
  <c r="H13" i="13"/>
  <c r="BI13" i="13"/>
  <c r="AK13" i="13"/>
  <c r="BE13" i="13"/>
  <c r="AH13" i="13"/>
  <c r="AE13" i="13"/>
  <c r="CE13" i="13"/>
  <c r="AW13" i="13"/>
  <c r="AY13" i="13" s="1"/>
  <c r="AD13" i="13"/>
  <c r="AF13" i="13" s="1"/>
  <c r="BT13" i="13"/>
  <c r="AQ13" i="13"/>
  <c r="AA13" i="13"/>
  <c r="BO13" i="13"/>
  <c r="AP13" i="13"/>
  <c r="AR13" i="13" s="1"/>
  <c r="G8" i="13"/>
  <c r="H18" i="13"/>
  <c r="S14" i="13"/>
  <c r="T18" i="13"/>
  <c r="R14" i="13"/>
  <c r="AJ13" i="13"/>
  <c r="AZ13" i="13"/>
  <c r="AS13" i="13"/>
  <c r="BK13" i="13"/>
  <c r="AC13" i="13"/>
  <c r="BU13" i="13"/>
  <c r="BP13" i="13"/>
  <c r="BX13" i="13"/>
  <c r="AG13" i="13"/>
  <c r="H9" i="13"/>
  <c r="G9" i="13"/>
  <c r="T15" i="13"/>
  <c r="R19" i="13"/>
  <c r="R16" i="13"/>
  <c r="BF13" i="13"/>
  <c r="G17" i="13"/>
  <c r="H17" i="13"/>
  <c r="T10" i="13"/>
  <c r="S15" i="13"/>
  <c r="R6" i="13"/>
  <c r="T6" i="13"/>
  <c r="T16" i="13"/>
  <c r="T19" i="13"/>
  <c r="R15" i="13"/>
  <c r="T14" i="13"/>
  <c r="R17" i="13"/>
  <c r="S13" i="13"/>
  <c r="T7" i="13"/>
  <c r="S7" i="13"/>
  <c r="G12" i="13"/>
  <c r="Z13" i="13"/>
  <c r="AB13" i="13" s="1"/>
  <c r="AI13" i="13"/>
  <c r="BS13" i="13"/>
  <c r="AL13" i="13"/>
  <c r="BD13" i="13"/>
  <c r="W13" i="13"/>
  <c r="Y13" i="13" s="1"/>
  <c r="AX13" i="13"/>
  <c r="H10" i="13"/>
  <c r="R10" i="13"/>
  <c r="R11" i="13"/>
  <c r="G11" i="13"/>
  <c r="S6" i="13"/>
  <c r="R5" i="13"/>
  <c r="H4" i="13"/>
  <c r="N12" i="9" l="1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A4" i="8"/>
  <c r="A5" i="8"/>
  <c r="A6" i="8"/>
  <c r="A7" i="8"/>
  <c r="A8" i="8"/>
  <c r="A9" i="8"/>
  <c r="A10" i="8"/>
  <c r="H4" i="8" s="1"/>
  <c r="A11" i="8"/>
  <c r="A12" i="8"/>
  <c r="A13" i="8"/>
  <c r="A14" i="8"/>
  <c r="A15" i="8"/>
  <c r="A16" i="8"/>
  <c r="A17" i="8"/>
  <c r="A18" i="8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G6" i="7" s="1"/>
  <c r="H6" i="7" s="1"/>
  <c r="D6" i="7"/>
  <c r="E6" i="7" s="1"/>
  <c r="A7" i="7"/>
  <c r="O12" i="7" s="1"/>
  <c r="B7" i="7"/>
  <c r="C7" i="7"/>
  <c r="G7" i="7" s="1"/>
  <c r="D7" i="7"/>
  <c r="E7" i="7" s="1"/>
  <c r="A8" i="7"/>
  <c r="O11" i="7" s="1"/>
  <c r="B8" i="7"/>
  <c r="C8" i="7"/>
  <c r="D8" i="7"/>
  <c r="E8" i="7" s="1"/>
  <c r="F8" i="7" s="1"/>
  <c r="Q11" i="7" s="1"/>
  <c r="G8" i="7"/>
  <c r="H8" i="7" s="1"/>
  <c r="S11" i="7" s="1"/>
  <c r="A9" i="7"/>
  <c r="O13" i="7" s="1"/>
  <c r="B9" i="7"/>
  <c r="C9" i="7"/>
  <c r="G9" i="7" s="1"/>
  <c r="D9" i="7"/>
  <c r="E9" i="7" s="1"/>
  <c r="F9" i="7" s="1"/>
  <c r="Q13" i="7" s="1"/>
  <c r="A10" i="7"/>
  <c r="O8" i="7" s="1"/>
  <c r="B10" i="7"/>
  <c r="C10" i="7"/>
  <c r="G10" i="7" s="1"/>
  <c r="H10" i="7" s="1"/>
  <c r="S8" i="7" s="1"/>
  <c r="D10" i="7"/>
  <c r="E10" i="7" s="1"/>
  <c r="A11" i="7"/>
  <c r="O9" i="7" s="1"/>
  <c r="B11" i="7"/>
  <c r="C11" i="7"/>
  <c r="G11" i="7" s="1"/>
  <c r="H11" i="7" s="1"/>
  <c r="S9" i="7" s="1"/>
  <c r="D11" i="7"/>
  <c r="E11" i="7" s="1"/>
  <c r="F11" i="7" s="1"/>
  <c r="Q9" i="7" s="1"/>
  <c r="A12" i="7"/>
  <c r="O3" i="7" s="1"/>
  <c r="B12" i="7"/>
  <c r="C12" i="7"/>
  <c r="G12" i="7" s="1"/>
  <c r="D12" i="7"/>
  <c r="E12" i="7" s="1"/>
  <c r="A13" i="7"/>
  <c r="O7" i="7" s="1"/>
  <c r="B13" i="7"/>
  <c r="C13" i="7"/>
  <c r="G13" i="7" s="1"/>
  <c r="R7" i="7" s="1"/>
  <c r="D13" i="7"/>
  <c r="E13" i="7" s="1"/>
  <c r="A14" i="7"/>
  <c r="B14" i="7"/>
  <c r="C14" i="7"/>
  <c r="G14" i="7" s="1"/>
  <c r="D14" i="7"/>
  <c r="E14" i="7" s="1"/>
  <c r="F14" i="7" s="1"/>
  <c r="A15" i="7"/>
  <c r="B15" i="7"/>
  <c r="C15" i="7"/>
  <c r="G15" i="7" s="1"/>
  <c r="H15" i="7" s="1"/>
  <c r="D15" i="7"/>
  <c r="E15" i="7" s="1"/>
  <c r="A16" i="7"/>
  <c r="O6" i="7" s="1"/>
  <c r="B16" i="7"/>
  <c r="C16" i="7"/>
  <c r="G16" i="7" s="1"/>
  <c r="D16" i="7"/>
  <c r="E16" i="7" s="1"/>
  <c r="F16" i="7" s="1"/>
  <c r="Q6" i="7" s="1"/>
  <c r="A17" i="7"/>
  <c r="O10" i="7" s="1"/>
  <c r="B17" i="7"/>
  <c r="C17" i="7"/>
  <c r="G17" i="7" s="1"/>
  <c r="R10" i="7" s="1"/>
  <c r="D17" i="7"/>
  <c r="E17" i="7" s="1"/>
  <c r="F17" i="7" s="1"/>
  <c r="Q10" i="7" s="1"/>
  <c r="A18" i="7"/>
  <c r="O4" i="7" s="1"/>
  <c r="B18" i="7"/>
  <c r="C18" i="7"/>
  <c r="G18" i="7" s="1"/>
  <c r="R4" i="7" s="1"/>
  <c r="D18" i="7"/>
  <c r="E18" i="7" s="1"/>
  <c r="A19" i="7"/>
  <c r="B19" i="7"/>
  <c r="C19" i="7"/>
  <c r="G19" i="7" s="1"/>
  <c r="H19" i="7" s="1"/>
  <c r="D19" i="7"/>
  <c r="E19" i="7" s="1"/>
  <c r="H9" i="7" l="1"/>
  <c r="S13" i="7" s="1"/>
  <c r="R13" i="7"/>
  <c r="H16" i="7"/>
  <c r="S6" i="7" s="1"/>
  <c r="R6" i="7"/>
  <c r="F12" i="7"/>
  <c r="Q3" i="7" s="1"/>
  <c r="P3" i="7"/>
  <c r="H12" i="7"/>
  <c r="S3" i="7" s="1"/>
  <c r="R3" i="7"/>
  <c r="H7" i="7"/>
  <c r="S12" i="7" s="1"/>
  <c r="R12" i="7"/>
  <c r="I8" i="7"/>
  <c r="R9" i="7"/>
  <c r="R11" i="7"/>
  <c r="R8" i="7"/>
  <c r="P10" i="7"/>
  <c r="F15" i="7"/>
  <c r="J15" i="7" s="1"/>
  <c r="I15" i="7"/>
  <c r="J8" i="7"/>
  <c r="P11" i="7"/>
  <c r="F6" i="7"/>
  <c r="J6" i="7" s="1"/>
  <c r="I6" i="7"/>
  <c r="P13" i="7"/>
  <c r="I9" i="7"/>
  <c r="P12" i="7"/>
  <c r="F7" i="7"/>
  <c r="Q12" i="7" s="1"/>
  <c r="F10" i="7"/>
  <c r="Q8" i="7" s="1"/>
  <c r="P8" i="7"/>
  <c r="J10" i="7"/>
  <c r="I11" i="7"/>
  <c r="P9" i="7"/>
  <c r="J11" i="7"/>
  <c r="F19" i="7"/>
  <c r="J19" i="7" s="1"/>
  <c r="I19" i="7"/>
  <c r="P6" i="7"/>
  <c r="F13" i="7"/>
  <c r="Q7" i="7" s="1"/>
  <c r="P7" i="7"/>
  <c r="F18" i="7"/>
  <c r="Q4" i="7" s="1"/>
  <c r="P4" i="7"/>
  <c r="I17" i="7"/>
  <c r="H17" i="7"/>
  <c r="H14" i="7"/>
  <c r="J14" i="7" s="1"/>
  <c r="I14" i="7"/>
  <c r="I13" i="7"/>
  <c r="H13" i="7"/>
  <c r="S7" i="7" s="1"/>
  <c r="H4" i="7"/>
  <c r="J4" i="7" s="1"/>
  <c r="I4" i="7"/>
  <c r="H18" i="7"/>
  <c r="I18" i="7"/>
  <c r="H5" i="7"/>
  <c r="J5" i="7" s="1"/>
  <c r="I5" i="7"/>
  <c r="I16" i="7"/>
  <c r="I12" i="7"/>
  <c r="I7" i="7"/>
  <c r="I10" i="7"/>
  <c r="J16" i="7" l="1"/>
  <c r="J9" i="7"/>
  <c r="J17" i="7"/>
  <c r="S10" i="7"/>
  <c r="J7" i="7"/>
  <c r="J12" i="7"/>
  <c r="J13" i="7"/>
  <c r="J18" i="7"/>
  <c r="S4" i="7"/>
  <c r="U10" i="17" l="1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H17" i="15"/>
  <c r="AK17" i="15" s="1"/>
  <c r="AG17" i="15"/>
  <c r="AJ17" i="15" s="1"/>
  <c r="AF17" i="15"/>
  <c r="AI17" i="15" s="1"/>
  <c r="Y17" i="15"/>
  <c r="X17" i="15"/>
  <c r="Z17" i="15" s="1"/>
  <c r="W17" i="15"/>
  <c r="U17" i="15"/>
  <c r="T17" i="15"/>
  <c r="V17" i="15" s="1"/>
  <c r="S17" i="15"/>
  <c r="R17" i="15"/>
  <c r="Q17" i="15"/>
  <c r="P17" i="15"/>
  <c r="O17" i="15"/>
  <c r="AH24" i="15"/>
  <c r="AK24" i="15" s="1"/>
  <c r="AG24" i="15"/>
  <c r="AJ24" i="15" s="1"/>
  <c r="AF24" i="15"/>
  <c r="AI24" i="15" s="1"/>
  <c r="Y24" i="15"/>
  <c r="X24" i="15"/>
  <c r="Z24" i="15" s="1"/>
  <c r="W24" i="15"/>
  <c r="U24" i="15"/>
  <c r="T24" i="15"/>
  <c r="V24" i="15" s="1"/>
  <c r="S24" i="15"/>
  <c r="R24" i="15"/>
  <c r="Q24" i="15"/>
  <c r="P24" i="15"/>
  <c r="O24" i="15"/>
  <c r="AH10" i="15"/>
  <c r="AK10" i="15" s="1"/>
  <c r="AG10" i="15"/>
  <c r="AJ10" i="15" s="1"/>
  <c r="AF10" i="15"/>
  <c r="AI10" i="15" s="1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AH11" i="15"/>
  <c r="AK11" i="15" s="1"/>
  <c r="AG11" i="15"/>
  <c r="AJ11" i="15" s="1"/>
  <c r="AF11" i="15"/>
  <c r="AI11" i="15" s="1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AB19" i="15"/>
  <c r="AF19" i="15" s="1"/>
  <c r="AI19" i="15" s="1"/>
  <c r="Y19" i="15"/>
  <c r="X19" i="15"/>
  <c r="Z19" i="15" s="1"/>
  <c r="W19" i="15"/>
  <c r="U19" i="15"/>
  <c r="T19" i="15"/>
  <c r="V19" i="15" s="1"/>
  <c r="S19" i="15"/>
  <c r="R19" i="15"/>
  <c r="Q19" i="15"/>
  <c r="P19" i="15"/>
  <c r="O19" i="15"/>
  <c r="AH9" i="15"/>
  <c r="AK9" i="15" s="1"/>
  <c r="AG9" i="15"/>
  <c r="AJ9" i="15" s="1"/>
  <c r="AF9" i="15"/>
  <c r="AI9" i="15" s="1"/>
  <c r="Y9" i="15"/>
  <c r="X9" i="15"/>
  <c r="Z9" i="15" s="1"/>
  <c r="W9" i="15"/>
  <c r="U9" i="15"/>
  <c r="T9" i="15"/>
  <c r="V9" i="15" s="1"/>
  <c r="S9" i="15"/>
  <c r="R9" i="15"/>
  <c r="Q9" i="15"/>
  <c r="P9" i="15"/>
  <c r="O9" i="15"/>
  <c r="AB22" i="15"/>
  <c r="AH22" i="15" s="1"/>
  <c r="AK22" i="15" s="1"/>
  <c r="Y22" i="15"/>
  <c r="X22" i="15"/>
  <c r="Z22" i="15" s="1"/>
  <c r="W22" i="15"/>
  <c r="U22" i="15"/>
  <c r="T22" i="15"/>
  <c r="V22" i="15" s="1"/>
  <c r="S22" i="15"/>
  <c r="R22" i="15"/>
  <c r="Q22" i="15"/>
  <c r="P22" i="15"/>
  <c r="O22" i="15"/>
  <c r="AH13" i="15"/>
  <c r="AK13" i="15" s="1"/>
  <c r="AG13" i="15"/>
  <c r="AJ13" i="15" s="1"/>
  <c r="AF13" i="15"/>
  <c r="AI13" i="15" s="1"/>
  <c r="Y13" i="15"/>
  <c r="X13" i="15"/>
  <c r="Z13" i="15" s="1"/>
  <c r="W13" i="15"/>
  <c r="U13" i="15"/>
  <c r="T13" i="15"/>
  <c r="V13" i="15" s="1"/>
  <c r="S13" i="15"/>
  <c r="R13" i="15"/>
  <c r="Q13" i="15"/>
  <c r="P13" i="15"/>
  <c r="O13" i="15"/>
  <c r="AH15" i="15"/>
  <c r="AK15" i="15" s="1"/>
  <c r="AG15" i="15"/>
  <c r="AJ15" i="15" s="1"/>
  <c r="AF15" i="15"/>
  <c r="AI15" i="15" s="1"/>
  <c r="Y15" i="15"/>
  <c r="X15" i="15"/>
  <c r="Z15" i="15" s="1"/>
  <c r="W15" i="15"/>
  <c r="U15" i="15"/>
  <c r="T15" i="15"/>
  <c r="V15" i="15" s="1"/>
  <c r="S15" i="15"/>
  <c r="R15" i="15"/>
  <c r="Q15" i="15"/>
  <c r="P15" i="15"/>
  <c r="O15" i="15"/>
  <c r="AH5" i="15"/>
  <c r="AK5" i="15" s="1"/>
  <c r="Y5" i="15"/>
  <c r="X5" i="15"/>
  <c r="Z5" i="15" s="1"/>
  <c r="W5" i="15"/>
  <c r="U5" i="15"/>
  <c r="T5" i="15"/>
  <c r="V5" i="15" s="1"/>
  <c r="S5" i="15"/>
  <c r="R5" i="15"/>
  <c r="Q5" i="15"/>
  <c r="P5" i="15"/>
  <c r="O5" i="15"/>
  <c r="AH23" i="15"/>
  <c r="AK23" i="15" s="1"/>
  <c r="AG23" i="15"/>
  <c r="AJ23" i="15" s="1"/>
  <c r="AF23" i="15"/>
  <c r="AI23" i="15" s="1"/>
  <c r="Y23" i="15"/>
  <c r="X23" i="15"/>
  <c r="Z23" i="15" s="1"/>
  <c r="W23" i="15"/>
  <c r="U23" i="15"/>
  <c r="T23" i="15"/>
  <c r="V23" i="15" s="1"/>
  <c r="S23" i="15"/>
  <c r="R23" i="15"/>
  <c r="Q23" i="15"/>
  <c r="P23" i="15"/>
  <c r="O23" i="15"/>
  <c r="AH21" i="15"/>
  <c r="AK21" i="15" s="1"/>
  <c r="AG21" i="15"/>
  <c r="AJ21" i="15" s="1"/>
  <c r="AF21" i="15"/>
  <c r="AI21" i="15" s="1"/>
  <c r="Y21" i="15"/>
  <c r="X21" i="15"/>
  <c r="Z21" i="15" s="1"/>
  <c r="W21" i="15"/>
  <c r="U21" i="15"/>
  <c r="T21" i="15"/>
  <c r="V21" i="15" s="1"/>
  <c r="S21" i="15"/>
  <c r="R21" i="15"/>
  <c r="Q21" i="15"/>
  <c r="P21" i="15"/>
  <c r="O21" i="15"/>
  <c r="AH14" i="15"/>
  <c r="AK14" i="15" s="1"/>
  <c r="AG14" i="15"/>
  <c r="AJ14" i="15" s="1"/>
  <c r="AF14" i="15"/>
  <c r="AI14" i="15" s="1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8" i="15"/>
  <c r="X8" i="15"/>
  <c r="Z8" i="15" s="1"/>
  <c r="W8" i="15"/>
  <c r="U8" i="15"/>
  <c r="T8" i="15"/>
  <c r="V8" i="15" s="1"/>
  <c r="S8" i="15"/>
  <c r="R8" i="15"/>
  <c r="Q8" i="15"/>
  <c r="P8" i="15"/>
  <c r="O8" i="15"/>
  <c r="AH6" i="15"/>
  <c r="AK6" i="15" s="1"/>
  <c r="AG6" i="15"/>
  <c r="AJ6" i="15" s="1"/>
  <c r="AF6" i="15"/>
  <c r="AI6" i="15" s="1"/>
  <c r="Y6" i="15"/>
  <c r="X6" i="15"/>
  <c r="Z6" i="15" s="1"/>
  <c r="W6" i="15"/>
  <c r="U6" i="15"/>
  <c r="T6" i="15"/>
  <c r="V6" i="15" s="1"/>
  <c r="S6" i="15"/>
  <c r="R6" i="15"/>
  <c r="Q6" i="15"/>
  <c r="P6" i="15"/>
  <c r="O6" i="15"/>
  <c r="AH7" i="15"/>
  <c r="AK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K21" i="14"/>
  <c r="J21" i="14"/>
  <c r="G21" i="14"/>
  <c r="F21" i="14"/>
  <c r="E21" i="14"/>
  <c r="C21" i="14"/>
  <c r="B21" i="14"/>
  <c r="A21" i="14"/>
  <c r="K20" i="14"/>
  <c r="J20" i="14"/>
  <c r="I20" i="14"/>
  <c r="H20" i="14"/>
  <c r="G20" i="14"/>
  <c r="F20" i="14"/>
  <c r="E20" i="14"/>
  <c r="C20" i="14"/>
  <c r="B20" i="14"/>
  <c r="A20" i="14"/>
  <c r="K19" i="14"/>
  <c r="J19" i="14"/>
  <c r="I19" i="14"/>
  <c r="H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D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D16" i="14"/>
  <c r="C16" i="14"/>
  <c r="B16" i="14"/>
  <c r="A16" i="14"/>
  <c r="R15" i="14"/>
  <c r="Q15" i="14"/>
  <c r="P15" i="14"/>
  <c r="O15" i="14"/>
  <c r="N15" i="14"/>
  <c r="L15" i="14"/>
  <c r="T15" i="14" s="1"/>
  <c r="K15" i="14"/>
  <c r="J15" i="14"/>
  <c r="I15" i="14"/>
  <c r="G15" i="14"/>
  <c r="E15" i="14"/>
  <c r="C15" i="14"/>
  <c r="B15" i="14"/>
  <c r="A15" i="14"/>
  <c r="P14" i="14"/>
  <c r="L14" i="14"/>
  <c r="R14" i="14" s="1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L12" i="14"/>
  <c r="S12" i="14" s="1"/>
  <c r="G12" i="14"/>
  <c r="E12" i="14"/>
  <c r="C12" i="14"/>
  <c r="B12" i="14"/>
  <c r="A12" i="14"/>
  <c r="T11" i="14"/>
  <c r="S11" i="14"/>
  <c r="R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L9" i="14"/>
  <c r="N9" i="14" s="1"/>
  <c r="J9" i="14"/>
  <c r="H9" i="14"/>
  <c r="G9" i="14"/>
  <c r="E9" i="14"/>
  <c r="C9" i="14"/>
  <c r="B9" i="14"/>
  <c r="A9" i="14"/>
  <c r="L8" i="14"/>
  <c r="O8" i="14" s="1"/>
  <c r="U8" i="14" s="1"/>
  <c r="K8" i="14"/>
  <c r="J8" i="14"/>
  <c r="G8" i="14"/>
  <c r="E8" i="14"/>
  <c r="C8" i="14"/>
  <c r="B8" i="14"/>
  <c r="A8" i="14"/>
  <c r="O7" i="14"/>
  <c r="U7" i="14" s="1"/>
  <c r="L7" i="14"/>
  <c r="N7" i="14" s="1"/>
  <c r="K7" i="14"/>
  <c r="J7" i="14"/>
  <c r="G7" i="14"/>
  <c r="E7" i="14"/>
  <c r="C7" i="14"/>
  <c r="B7" i="14"/>
  <c r="A7" i="14"/>
  <c r="M6" i="14"/>
  <c r="L6" i="14"/>
  <c r="O6" i="14" s="1"/>
  <c r="U6" i="14" s="1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S76" i="11"/>
  <c r="O76" i="11"/>
  <c r="Q76" i="11" s="1"/>
  <c r="T75" i="11"/>
  <c r="S75" i="11"/>
  <c r="O75" i="11"/>
  <c r="Q75" i="11" s="1"/>
  <c r="T74" i="11"/>
  <c r="S74" i="11"/>
  <c r="U74" i="11" s="1"/>
  <c r="O74" i="11"/>
  <c r="Q74" i="11" s="1"/>
  <c r="T73" i="11"/>
  <c r="S73" i="11"/>
  <c r="O73" i="11"/>
  <c r="Q73" i="11" s="1"/>
  <c r="T72" i="11"/>
  <c r="S72" i="11"/>
  <c r="O72" i="11"/>
  <c r="Q72" i="11" s="1"/>
  <c r="T71" i="11"/>
  <c r="S71" i="11"/>
  <c r="U71" i="11" s="1"/>
  <c r="O71" i="11"/>
  <c r="Q71" i="11" s="1"/>
  <c r="T70" i="11"/>
  <c r="S70" i="11"/>
  <c r="O70" i="11"/>
  <c r="Q70" i="11" s="1"/>
  <c r="T69" i="11"/>
  <c r="S69" i="11"/>
  <c r="U69" i="11" s="1"/>
  <c r="O69" i="11"/>
  <c r="Q69" i="11" s="1"/>
  <c r="T68" i="11"/>
  <c r="U68" i="11" s="1"/>
  <c r="S68" i="11"/>
  <c r="O68" i="11"/>
  <c r="Q68" i="11" s="1"/>
  <c r="T67" i="11"/>
  <c r="S67" i="11"/>
  <c r="O67" i="11"/>
  <c r="Q67" i="11" s="1"/>
  <c r="T66" i="11"/>
  <c r="U66" i="11" s="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T63" i="11"/>
  <c r="S63" i="11"/>
  <c r="U63" i="11" s="1"/>
  <c r="O63" i="11"/>
  <c r="Q63" i="11" s="1"/>
  <c r="T62" i="11"/>
  <c r="S62" i="11"/>
  <c r="U62" i="11" s="1"/>
  <c r="Q62" i="11"/>
  <c r="O62" i="11"/>
  <c r="T61" i="11"/>
  <c r="S61" i="11"/>
  <c r="U61" i="11" s="1"/>
  <c r="O61" i="11"/>
  <c r="Q61" i="11" s="1"/>
  <c r="T60" i="11"/>
  <c r="S60" i="11"/>
  <c r="Q60" i="11"/>
  <c r="O60" i="11"/>
  <c r="T59" i="11"/>
  <c r="S59" i="11"/>
  <c r="U59" i="11" s="1"/>
  <c r="O59" i="11"/>
  <c r="Q59" i="11" s="1"/>
  <c r="T58" i="11"/>
  <c r="S58" i="11"/>
  <c r="U58" i="11" s="1"/>
  <c r="O58" i="11"/>
  <c r="Q58" i="11" s="1"/>
  <c r="T57" i="11"/>
  <c r="S57" i="11"/>
  <c r="Q57" i="11"/>
  <c r="O57" i="11"/>
  <c r="T56" i="11"/>
  <c r="S56" i="11"/>
  <c r="O56" i="11"/>
  <c r="Q56" i="11" s="1"/>
  <c r="U55" i="11"/>
  <c r="T55" i="11"/>
  <c r="S55" i="11"/>
  <c r="O55" i="11"/>
  <c r="Q55" i="11" s="1"/>
  <c r="T54" i="11"/>
  <c r="S54" i="11"/>
  <c r="U54" i="11" s="1"/>
  <c r="O54" i="11"/>
  <c r="Q54" i="11" s="1"/>
  <c r="T53" i="11"/>
  <c r="S53" i="11"/>
  <c r="Q53" i="11"/>
  <c r="O53" i="11"/>
  <c r="T52" i="11"/>
  <c r="S52" i="11"/>
  <c r="U52" i="11" s="1"/>
  <c r="Q52" i="11"/>
  <c r="O52" i="11"/>
  <c r="T51" i="11"/>
  <c r="S51" i="11"/>
  <c r="U51" i="11" s="1"/>
  <c r="O51" i="11"/>
  <c r="Q51" i="11" s="1"/>
  <c r="T50" i="11"/>
  <c r="S50" i="11"/>
  <c r="U50" i="11" s="1"/>
  <c r="O50" i="11"/>
  <c r="Q50" i="11" s="1"/>
  <c r="T49" i="11"/>
  <c r="S49" i="11"/>
  <c r="Q49" i="11"/>
  <c r="O49" i="11"/>
  <c r="T48" i="11"/>
  <c r="S48" i="11"/>
  <c r="O48" i="11"/>
  <c r="Q48" i="11" s="1"/>
  <c r="U47" i="11"/>
  <c r="T47" i="11"/>
  <c r="S47" i="11"/>
  <c r="O47" i="11"/>
  <c r="Q47" i="11" s="1"/>
  <c r="T46" i="11"/>
  <c r="S46" i="11"/>
  <c r="U46" i="11" s="1"/>
  <c r="O46" i="11"/>
  <c r="Q46" i="11" s="1"/>
  <c r="T45" i="11"/>
  <c r="S45" i="11"/>
  <c r="Q45" i="11"/>
  <c r="O45" i="11"/>
  <c r="T44" i="11"/>
  <c r="U44" i="11" s="1"/>
  <c r="S44" i="11"/>
  <c r="O44" i="11"/>
  <c r="Q44" i="11" s="1"/>
  <c r="T43" i="11"/>
  <c r="S43" i="11"/>
  <c r="Q43" i="11"/>
  <c r="O43" i="11"/>
  <c r="T42" i="11"/>
  <c r="S42" i="11"/>
  <c r="U42" i="11" s="1"/>
  <c r="O42" i="11"/>
  <c r="Q42" i="11" s="1"/>
  <c r="T41" i="11"/>
  <c r="S41" i="11"/>
  <c r="Q41" i="11"/>
  <c r="O41" i="11"/>
  <c r="T40" i="11"/>
  <c r="S40" i="11"/>
  <c r="O40" i="11"/>
  <c r="Q40" i="11" s="1"/>
  <c r="U39" i="11"/>
  <c r="T39" i="11"/>
  <c r="S39" i="11"/>
  <c r="O39" i="11"/>
  <c r="Q39" i="11" s="1"/>
  <c r="T38" i="11"/>
  <c r="S38" i="11"/>
  <c r="U38" i="11" s="1"/>
  <c r="O38" i="11"/>
  <c r="Q38" i="11" s="1"/>
  <c r="T37" i="11"/>
  <c r="S37" i="11"/>
  <c r="O37" i="11"/>
  <c r="Q37" i="11" s="1"/>
  <c r="T36" i="11"/>
  <c r="S36" i="11"/>
  <c r="U36" i="11" s="1"/>
  <c r="O36" i="11"/>
  <c r="Q36" i="11" s="1"/>
  <c r="T35" i="11"/>
  <c r="S35" i="11"/>
  <c r="O35" i="11"/>
  <c r="Q35" i="11" s="1"/>
  <c r="T34" i="11"/>
  <c r="S34" i="11"/>
  <c r="U34" i="11" s="1"/>
  <c r="O34" i="11"/>
  <c r="Q34" i="11" s="1"/>
  <c r="T33" i="11"/>
  <c r="S33" i="11"/>
  <c r="O33" i="11"/>
  <c r="Q33" i="11" s="1"/>
  <c r="B33" i="11"/>
  <c r="T32" i="11"/>
  <c r="S32" i="11"/>
  <c r="O32" i="11"/>
  <c r="Q32" i="11" s="1"/>
  <c r="T31" i="11"/>
  <c r="S31" i="11"/>
  <c r="Q31" i="11"/>
  <c r="O31" i="11"/>
  <c r="B31" i="11"/>
  <c r="B32" i="11" s="1"/>
  <c r="T30" i="11"/>
  <c r="S30" i="11"/>
  <c r="U30" i="11" s="1"/>
  <c r="O30" i="11"/>
  <c r="Q30" i="11" s="1"/>
  <c r="T29" i="11"/>
  <c r="S29" i="11"/>
  <c r="U29" i="11" s="1"/>
  <c r="O29" i="11"/>
  <c r="Q29" i="11" s="1"/>
  <c r="T28" i="11"/>
  <c r="S28" i="11"/>
  <c r="U28" i="11" s="1"/>
  <c r="Q28" i="11"/>
  <c r="O28" i="11"/>
  <c r="T27" i="11"/>
  <c r="U27" i="11" s="1"/>
  <c r="S27" i="11"/>
  <c r="Q27" i="11"/>
  <c r="O27" i="11"/>
  <c r="T26" i="11"/>
  <c r="S26" i="11"/>
  <c r="O26" i="11"/>
  <c r="Q26" i="11" s="1"/>
  <c r="T25" i="11"/>
  <c r="U25" i="11" s="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T22" i="11"/>
  <c r="S22" i="11"/>
  <c r="U22" i="11" s="1"/>
  <c r="O22" i="11"/>
  <c r="Q22" i="11" s="1"/>
  <c r="T21" i="11"/>
  <c r="S21" i="11"/>
  <c r="U21" i="11" s="1"/>
  <c r="O21" i="11"/>
  <c r="Q21" i="11" s="1"/>
  <c r="T20" i="11"/>
  <c r="S20" i="11"/>
  <c r="U20" i="11" s="1"/>
  <c r="O20" i="11"/>
  <c r="Q20" i="11" s="1"/>
  <c r="T19" i="11"/>
  <c r="U19" i="11" s="1"/>
  <c r="S19" i="11"/>
  <c r="O19" i="11"/>
  <c r="Q19" i="11" s="1"/>
  <c r="T18" i="11"/>
  <c r="S18" i="11"/>
  <c r="U18" i="11" s="1"/>
  <c r="O18" i="11"/>
  <c r="Q18" i="11" s="1"/>
  <c r="T17" i="11"/>
  <c r="S17" i="11"/>
  <c r="U17" i="11" s="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T14" i="11"/>
  <c r="S14" i="11"/>
  <c r="U14" i="11" s="1"/>
  <c r="O14" i="11"/>
  <c r="Q14" i="11" s="1"/>
  <c r="T13" i="11"/>
  <c r="S13" i="11"/>
  <c r="Q13" i="11"/>
  <c r="O13" i="11"/>
  <c r="T12" i="11"/>
  <c r="S12" i="11"/>
  <c r="U12" i="11" s="1"/>
  <c r="Q12" i="11"/>
  <c r="O12" i="11"/>
  <c r="T11" i="11"/>
  <c r="S11" i="11"/>
  <c r="O11" i="11"/>
  <c r="Q11" i="11" s="1"/>
  <c r="T10" i="11"/>
  <c r="S10" i="11"/>
  <c r="U10" i="11" s="1"/>
  <c r="O10" i="11"/>
  <c r="Q10" i="11" s="1"/>
  <c r="T9" i="11"/>
  <c r="S9" i="11"/>
  <c r="U9" i="11" s="1"/>
  <c r="O9" i="11"/>
  <c r="Q9" i="11" s="1"/>
  <c r="K9" i="11"/>
  <c r="T8" i="11"/>
  <c r="S8" i="11"/>
  <c r="Q8" i="11"/>
  <c r="O8" i="11"/>
  <c r="T7" i="11"/>
  <c r="S7" i="11"/>
  <c r="U7" i="11" s="1"/>
  <c r="O7" i="11"/>
  <c r="Q7" i="11" s="1"/>
  <c r="T6" i="11"/>
  <c r="S6" i="11"/>
  <c r="U6" i="11" s="1"/>
  <c r="O6" i="11"/>
  <c r="Q6" i="11" s="1"/>
  <c r="T5" i="11"/>
  <c r="S5" i="11"/>
  <c r="Q5" i="11"/>
  <c r="O5" i="11"/>
  <c r="T4" i="11"/>
  <c r="S4" i="11"/>
  <c r="O4" i="11"/>
  <c r="Q4" i="11" s="1"/>
  <c r="U3" i="11"/>
  <c r="T3" i="11"/>
  <c r="S3" i="11"/>
  <c r="O3" i="11"/>
  <c r="Q3" i="11" s="1"/>
  <c r="T2" i="11"/>
  <c r="S2" i="11"/>
  <c r="U2" i="11" s="1"/>
  <c r="O2" i="11"/>
  <c r="Q2" i="11" s="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AK21" i="10"/>
  <c r="B25" i="10"/>
  <c r="B29" i="10" s="1"/>
  <c r="AK19" i="10"/>
  <c r="B23" i="10"/>
  <c r="B27" i="10" s="1"/>
  <c r="AK18" i="10"/>
  <c r="C23" i="10"/>
  <c r="Q13" i="10"/>
  <c r="L7" i="10" s="1"/>
  <c r="O13" i="10"/>
  <c r="N13" i="10"/>
  <c r="P12" i="10"/>
  <c r="E12" i="10"/>
  <c r="P11" i="10"/>
  <c r="E11" i="10"/>
  <c r="P10" i="10"/>
  <c r="E10" i="10"/>
  <c r="P9" i="10"/>
  <c r="H9" i="10"/>
  <c r="I11" i="10" s="1"/>
  <c r="E9" i="10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L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H30" i="5"/>
  <c r="AE30" i="5"/>
  <c r="J30" i="5"/>
  <c r="AD30" i="5" s="1"/>
  <c r="AH29" i="5"/>
  <c r="AE29" i="5"/>
  <c r="AD29" i="5"/>
  <c r="AH28" i="5"/>
  <c r="AE28" i="5"/>
  <c r="O28" i="5"/>
  <c r="J28" i="5"/>
  <c r="AD28" i="5" s="1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D26" i="5"/>
  <c r="AH25" i="5"/>
  <c r="AE25" i="5"/>
  <c r="J25" i="5"/>
  <c r="AD25" i="5" s="1"/>
  <c r="H25" i="5"/>
  <c r="AB25" i="5" s="1"/>
  <c r="AH24" i="5"/>
  <c r="AE24" i="5"/>
  <c r="AD24" i="5"/>
  <c r="J24" i="5"/>
  <c r="AS23" i="5"/>
  <c r="AH23" i="5"/>
  <c r="AE23" i="5"/>
  <c r="N23" i="5"/>
  <c r="AS22" i="5"/>
  <c r="AH22" i="5"/>
  <c r="AE22" i="5"/>
  <c r="D22" i="5"/>
  <c r="AH21" i="5"/>
  <c r="AE21" i="5"/>
  <c r="D21" i="5"/>
  <c r="AH20" i="5"/>
  <c r="N20" i="5"/>
  <c r="D20" i="5"/>
  <c r="AH19" i="5"/>
  <c r="AE19" i="5"/>
  <c r="D19" i="5"/>
  <c r="AN18" i="5"/>
  <c r="AH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N30" i="5" s="1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U29" i="5" s="1"/>
  <c r="AO29" i="5" s="1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M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Y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T26" i="5" s="1"/>
  <c r="AN26" i="5" s="1"/>
  <c r="AM11" i="5"/>
  <c r="S26" i="5" s="1"/>
  <c r="AM26" i="5" s="1"/>
  <c r="AL11" i="5"/>
  <c r="R26" i="5" s="1"/>
  <c r="AL26" i="5" s="1"/>
  <c r="AK11" i="5"/>
  <c r="Q26" i="5" s="1"/>
  <c r="AK26" i="5" s="1"/>
  <c r="AJ11" i="5"/>
  <c r="P26" i="5" s="1"/>
  <c r="AJ26" i="5" s="1"/>
  <c r="AI11" i="5"/>
  <c r="O26" i="5" s="1"/>
  <c r="AA11" i="5"/>
  <c r="G26" i="5" s="1"/>
  <c r="AA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E11" i="5"/>
  <c r="Y11" i="5" s="1"/>
  <c r="E26" i="5" s="1"/>
  <c r="Y26" i="5" s="1"/>
  <c r="AO10" i="5"/>
  <c r="U25" i="5" s="1"/>
  <c r="AO25" i="5" s="1"/>
  <c r="AN10" i="5"/>
  <c r="T25" i="5" s="1"/>
  <c r="AN25" i="5" s="1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O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N24" i="5" s="1"/>
  <c r="AB9" i="5"/>
  <c r="H24" i="5" s="1"/>
  <c r="AB24" i="5" s="1"/>
  <c r="V9" i="5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AA8" i="5"/>
  <c r="G23" i="5" s="1"/>
  <c r="AA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O22" i="5" s="1"/>
  <c r="AI22" i="5" s="1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Q19" i="5" s="1"/>
  <c r="AK19" i="5" s="1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U18" i="5" s="1"/>
  <c r="AO18" i="5" s="1"/>
  <c r="AN3" i="5"/>
  <c r="T18" i="5" s="1"/>
  <c r="AM3" i="5"/>
  <c r="S18" i="5" s="1"/>
  <c r="AM18" i="5" s="1"/>
  <c r="AL3" i="5"/>
  <c r="R18" i="5" s="1"/>
  <c r="AL18" i="5" s="1"/>
  <c r="AK3" i="5"/>
  <c r="Q18" i="5" s="1"/>
  <c r="AK18" i="5" s="1"/>
  <c r="AJ3" i="5"/>
  <c r="P18" i="5" s="1"/>
  <c r="AJ18" i="5" s="1"/>
  <c r="AI3" i="5"/>
  <c r="O18" i="5" s="1"/>
  <c r="AI18" i="5" s="1"/>
  <c r="AH3" i="5"/>
  <c r="N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19" i="4"/>
  <c r="U18" i="4"/>
  <c r="U17" i="4"/>
  <c r="U16" i="4"/>
  <c r="U15" i="4"/>
  <c r="U14" i="4"/>
  <c r="U13" i="4"/>
  <c r="U12" i="4"/>
  <c r="U9" i="4"/>
  <c r="U8" i="4"/>
  <c r="U7" i="4"/>
  <c r="U6" i="4"/>
  <c r="U5" i="4"/>
  <c r="U4" i="4"/>
  <c r="U3" i="4"/>
  <c r="U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32" i="3"/>
  <c r="A36" i="3" s="1"/>
  <c r="A33" i="3" s="1"/>
  <c r="Y28" i="3"/>
  <c r="X28" i="3"/>
  <c r="F28" i="3"/>
  <c r="E28" i="3" s="1"/>
  <c r="Y27" i="3"/>
  <c r="X27" i="3"/>
  <c r="F27" i="3"/>
  <c r="E27" i="3" s="1"/>
  <c r="Y26" i="3"/>
  <c r="X26" i="3"/>
  <c r="Y25" i="3"/>
  <c r="X25" i="3"/>
  <c r="F25" i="3"/>
  <c r="E25" i="3" s="1"/>
  <c r="Y24" i="3"/>
  <c r="X24" i="3"/>
  <c r="F24" i="3"/>
  <c r="E24" i="3" s="1"/>
  <c r="Y23" i="3"/>
  <c r="X23" i="3"/>
  <c r="E23" i="3"/>
  <c r="Y22" i="3"/>
  <c r="X22" i="3"/>
  <c r="E22" i="3"/>
  <c r="Y21" i="3"/>
  <c r="X21" i="3"/>
  <c r="E21" i="3"/>
  <c r="Y20" i="3"/>
  <c r="X20" i="3"/>
  <c r="E20" i="3"/>
  <c r="Y17" i="3"/>
  <c r="X17" i="3"/>
  <c r="E17" i="3"/>
  <c r="Y16" i="3"/>
  <c r="X16" i="3"/>
  <c r="E16" i="3"/>
  <c r="Y15" i="3"/>
  <c r="X15" i="3"/>
  <c r="E15" i="3"/>
  <c r="Y14" i="3"/>
  <c r="X14" i="3"/>
  <c r="E14" i="3"/>
  <c r="Y13" i="3"/>
  <c r="X13" i="3"/>
  <c r="E13" i="3"/>
  <c r="Y12" i="3"/>
  <c r="X12" i="3"/>
  <c r="E12" i="3"/>
  <c r="AB11" i="3"/>
  <c r="AB19" i="3" s="1"/>
  <c r="T11" i="3"/>
  <c r="T19" i="3" s="1"/>
  <c r="S11" i="3"/>
  <c r="S19" i="3" s="1"/>
  <c r="K11" i="3"/>
  <c r="K19" i="3" s="1"/>
  <c r="Y8" i="3"/>
  <c r="X8" i="3"/>
  <c r="E8" i="3"/>
  <c r="Y7" i="3"/>
  <c r="X7" i="3"/>
  <c r="E7" i="3"/>
  <c r="AI6" i="3"/>
  <c r="AI11" i="3" s="1"/>
  <c r="AI19" i="3" s="1"/>
  <c r="AH6" i="3"/>
  <c r="AH11" i="3" s="1"/>
  <c r="AH19" i="3" s="1"/>
  <c r="AG6" i="3"/>
  <c r="AG11" i="3" s="1"/>
  <c r="AG19" i="3" s="1"/>
  <c r="AF6" i="3"/>
  <c r="AF11" i="3" s="1"/>
  <c r="AF19" i="3" s="1"/>
  <c r="AE6" i="3"/>
  <c r="AE11" i="3" s="1"/>
  <c r="AE19" i="3" s="1"/>
  <c r="AD6" i="3"/>
  <c r="AD11" i="3" s="1"/>
  <c r="AD19" i="3" s="1"/>
  <c r="AC6" i="3"/>
  <c r="AC11" i="3" s="1"/>
  <c r="AC19" i="3" s="1"/>
  <c r="AB6" i="3"/>
  <c r="Z6" i="3"/>
  <c r="Z11" i="3" s="1"/>
  <c r="Z19" i="3" s="1"/>
  <c r="Y6" i="3"/>
  <c r="Y11" i="3" s="1"/>
  <c r="Y19" i="3" s="1"/>
  <c r="X6" i="3"/>
  <c r="X11" i="3" s="1"/>
  <c r="X19" i="3" s="1"/>
  <c r="W6" i="3"/>
  <c r="W11" i="3" s="1"/>
  <c r="W19" i="3" s="1"/>
  <c r="V6" i="3"/>
  <c r="V11" i="3" s="1"/>
  <c r="V19" i="3" s="1"/>
  <c r="U6" i="3"/>
  <c r="U11" i="3" s="1"/>
  <c r="U19" i="3" s="1"/>
  <c r="T6" i="3"/>
  <c r="S6" i="3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N11" i="3" s="1"/>
  <c r="N19" i="3" s="1"/>
  <c r="M6" i="3"/>
  <c r="M11" i="3" s="1"/>
  <c r="M19" i="3" s="1"/>
  <c r="L6" i="3"/>
  <c r="L11" i="3" s="1"/>
  <c r="L19" i="3" s="1"/>
  <c r="K6" i="3"/>
  <c r="I6" i="3"/>
  <c r="I11" i="3" s="1"/>
  <c r="I19" i="3" s="1"/>
  <c r="H6" i="3"/>
  <c r="H11" i="3" s="1"/>
  <c r="H19" i="3" s="1"/>
  <c r="G6" i="3"/>
  <c r="G11" i="3" s="1"/>
  <c r="G19" i="3" s="1"/>
  <c r="F6" i="3"/>
  <c r="F11" i="3" s="1"/>
  <c r="F19" i="3" s="1"/>
  <c r="Y3" i="3"/>
  <c r="X3" i="3"/>
  <c r="E3" i="3"/>
  <c r="AQ20" i="2"/>
  <c r="W20" i="2"/>
  <c r="U20" i="2"/>
  <c r="S20" i="2"/>
  <c r="R20" i="2"/>
  <c r="P20" i="2"/>
  <c r="N20" i="2"/>
  <c r="I19" i="13" s="1"/>
  <c r="L20" i="2"/>
  <c r="K20" i="2"/>
  <c r="J20" i="2"/>
  <c r="AQ19" i="2"/>
  <c r="W19" i="2"/>
  <c r="S19" i="2"/>
  <c r="R19" i="2"/>
  <c r="P19" i="2"/>
  <c r="N19" i="2"/>
  <c r="I18" i="13" s="1"/>
  <c r="L19" i="2"/>
  <c r="K19" i="2"/>
  <c r="J19" i="2"/>
  <c r="AQ18" i="2"/>
  <c r="W18" i="2"/>
  <c r="U18" i="2"/>
  <c r="S18" i="2"/>
  <c r="R18" i="2"/>
  <c r="P18" i="2"/>
  <c r="N18" i="2"/>
  <c r="I17" i="13" s="1"/>
  <c r="L18" i="2"/>
  <c r="K18" i="2"/>
  <c r="J18" i="2"/>
  <c r="AQ16" i="2"/>
  <c r="W16" i="2"/>
  <c r="U16" i="2"/>
  <c r="S16" i="2"/>
  <c r="R16" i="2"/>
  <c r="P16" i="2"/>
  <c r="N16" i="2"/>
  <c r="I16" i="13" s="1"/>
  <c r="L16" i="2"/>
  <c r="K16" i="2"/>
  <c r="J16" i="2"/>
  <c r="AQ15" i="2"/>
  <c r="K11" i="5"/>
  <c r="AE11" i="5" s="1"/>
  <c r="K26" i="5" s="1"/>
  <c r="H11" i="5"/>
  <c r="AB11" i="5" s="1"/>
  <c r="H26" i="5" s="1"/>
  <c r="AB26" i="5" s="1"/>
  <c r="W15" i="2"/>
  <c r="U15" i="2"/>
  <c r="S15" i="2"/>
  <c r="R15" i="2"/>
  <c r="P15" i="2"/>
  <c r="N15" i="2"/>
  <c r="I15" i="13" s="1"/>
  <c r="L15" i="2"/>
  <c r="K15" i="2"/>
  <c r="J15" i="2"/>
  <c r="AQ14" i="2"/>
  <c r="W14" i="2"/>
  <c r="U14" i="2"/>
  <c r="S14" i="2"/>
  <c r="R14" i="2"/>
  <c r="P14" i="2"/>
  <c r="N14" i="2"/>
  <c r="I14" i="13" s="1"/>
  <c r="L14" i="2"/>
  <c r="K14" i="2"/>
  <c r="J14" i="2"/>
  <c r="AQ13" i="2"/>
  <c r="AM13" i="2"/>
  <c r="AL13" i="2"/>
  <c r="AK13" i="2"/>
  <c r="AJ13" i="2"/>
  <c r="AI13" i="2"/>
  <c r="O13" i="13"/>
  <c r="J13" i="5"/>
  <c r="W13" i="2"/>
  <c r="U13" i="2"/>
  <c r="S13" i="2"/>
  <c r="R13" i="2"/>
  <c r="P13" i="2"/>
  <c r="L13" i="2"/>
  <c r="K13" i="2"/>
  <c r="J13" i="2"/>
  <c r="AG13" i="2" s="1"/>
  <c r="AQ12" i="2"/>
  <c r="Q12" i="13"/>
  <c r="T12" i="13" s="1"/>
  <c r="AC12" i="2"/>
  <c r="P12" i="13" s="1"/>
  <c r="K10" i="5"/>
  <c r="AE10" i="5" s="1"/>
  <c r="K25" i="5" s="1"/>
  <c r="J10" i="5"/>
  <c r="W12" i="2"/>
  <c r="U12" i="2"/>
  <c r="S12" i="2"/>
  <c r="R12" i="2"/>
  <c r="P12" i="2"/>
  <c r="N12" i="2"/>
  <c r="I12" i="13" s="1"/>
  <c r="L12" i="2"/>
  <c r="K12" i="2"/>
  <c r="J12" i="2"/>
  <c r="AQ11" i="2"/>
  <c r="Q11" i="13"/>
  <c r="T11" i="13" s="1"/>
  <c r="AC11" i="2"/>
  <c r="P11" i="13" s="1"/>
  <c r="J14" i="5"/>
  <c r="W11" i="2"/>
  <c r="U11" i="2"/>
  <c r="S11" i="2"/>
  <c r="R11" i="2"/>
  <c r="P11" i="2"/>
  <c r="N11" i="2"/>
  <c r="I11" i="13" s="1"/>
  <c r="L11" i="2"/>
  <c r="K11" i="2"/>
  <c r="J11" i="2"/>
  <c r="AQ10" i="2"/>
  <c r="AC10" i="2"/>
  <c r="P10" i="13" s="1"/>
  <c r="S10" i="13" s="1"/>
  <c r="K9" i="5"/>
  <c r="AE9" i="5" s="1"/>
  <c r="K24" i="5" s="1"/>
  <c r="H9" i="5"/>
  <c r="W10" i="2"/>
  <c r="U10" i="2"/>
  <c r="S10" i="2"/>
  <c r="R10" i="2"/>
  <c r="P10" i="2"/>
  <c r="N10" i="2"/>
  <c r="I10" i="13" s="1"/>
  <c r="L10" i="2"/>
  <c r="K10" i="2"/>
  <c r="J10" i="2"/>
  <c r="AQ9" i="2"/>
  <c r="Q9" i="13"/>
  <c r="K8" i="5"/>
  <c r="AE8" i="5" s="1"/>
  <c r="K23" i="5" s="1"/>
  <c r="W9" i="2"/>
  <c r="U9" i="2"/>
  <c r="S9" i="2"/>
  <c r="R9" i="2"/>
  <c r="P9" i="2"/>
  <c r="N9" i="2"/>
  <c r="I9" i="13" s="1"/>
  <c r="L9" i="2"/>
  <c r="K9" i="2"/>
  <c r="J9" i="2"/>
  <c r="AQ8" i="2"/>
  <c r="Q8" i="13"/>
  <c r="S8" i="13" s="1"/>
  <c r="K7" i="5"/>
  <c r="AE7" i="5" s="1"/>
  <c r="K22" i="5" s="1"/>
  <c r="L8" i="13"/>
  <c r="W8" i="2"/>
  <c r="U8" i="2"/>
  <c r="S8" i="2"/>
  <c r="R8" i="2"/>
  <c r="P8" i="2"/>
  <c r="N8" i="2"/>
  <c r="I8" i="13" s="1"/>
  <c r="L8" i="2"/>
  <c r="K8" i="2"/>
  <c r="J8" i="2"/>
  <c r="AQ7" i="2"/>
  <c r="J5" i="5"/>
  <c r="W7" i="2"/>
  <c r="U7" i="2"/>
  <c r="S7" i="2"/>
  <c r="R7" i="2"/>
  <c r="P7" i="2"/>
  <c r="N7" i="2"/>
  <c r="I7" i="13" s="1"/>
  <c r="L7" i="2"/>
  <c r="K7" i="2"/>
  <c r="J7" i="2"/>
  <c r="AQ6" i="2"/>
  <c r="H6" i="5"/>
  <c r="W6" i="2"/>
  <c r="U6" i="2"/>
  <c r="S6" i="2"/>
  <c r="R6" i="2"/>
  <c r="P6" i="2"/>
  <c r="N6" i="2"/>
  <c r="I6" i="13" s="1"/>
  <c r="L6" i="2"/>
  <c r="K6" i="2"/>
  <c r="J6" i="2"/>
  <c r="AQ17" i="2"/>
  <c r="K4" i="5"/>
  <c r="AE4" i="5" s="1"/>
  <c r="K19" i="5" s="1"/>
  <c r="J4" i="5"/>
  <c r="W17" i="2"/>
  <c r="U17" i="2"/>
  <c r="S17" i="2"/>
  <c r="R17" i="2"/>
  <c r="P17" i="2"/>
  <c r="N17" i="2"/>
  <c r="I5" i="13" s="1"/>
  <c r="L17" i="2"/>
  <c r="K17" i="2"/>
  <c r="J17" i="2"/>
  <c r="AQ5" i="2"/>
  <c r="L4" i="13"/>
  <c r="W5" i="2"/>
  <c r="U5" i="2"/>
  <c r="S5" i="2"/>
  <c r="R5" i="2"/>
  <c r="P5" i="2"/>
  <c r="N5" i="2"/>
  <c r="I4" i="13" s="1"/>
  <c r="L5" i="2"/>
  <c r="K5" i="2"/>
  <c r="J5" i="2"/>
  <c r="AQ4" i="2"/>
  <c r="W4" i="2"/>
  <c r="U4" i="2"/>
  <c r="S4" i="2"/>
  <c r="R4" i="2"/>
  <c r="P4" i="2"/>
  <c r="N4" i="2"/>
  <c r="AK4" i="2" s="1"/>
  <c r="L4" i="2"/>
  <c r="K4" i="2"/>
  <c r="J4" i="2"/>
  <c r="V2" i="2"/>
  <c r="T2" i="2"/>
  <c r="Q2" i="2"/>
  <c r="O2" i="2"/>
  <c r="I2" i="2"/>
  <c r="D2" i="2"/>
  <c r="F17" i="2" s="1"/>
  <c r="F11" i="2" l="1"/>
  <c r="C11" i="13" s="1"/>
  <c r="F15" i="2"/>
  <c r="C15" i="13" s="1"/>
  <c r="F16" i="2"/>
  <c r="C16" i="13" s="1"/>
  <c r="F6" i="2"/>
  <c r="C6" i="13" s="1"/>
  <c r="U5" i="11"/>
  <c r="U11" i="11"/>
  <c r="U13" i="11"/>
  <c r="U31" i="11"/>
  <c r="U35" i="11"/>
  <c r="U41" i="11"/>
  <c r="U43" i="11"/>
  <c r="U45" i="11"/>
  <c r="U49" i="11"/>
  <c r="U53" i="11"/>
  <c r="U57" i="11"/>
  <c r="U72" i="11"/>
  <c r="U76" i="11"/>
  <c r="M7" i="14"/>
  <c r="N11" i="14"/>
  <c r="M15" i="14"/>
  <c r="S11" i="13"/>
  <c r="U37" i="11"/>
  <c r="U70" i="11"/>
  <c r="O11" i="14"/>
  <c r="M8" i="14"/>
  <c r="N12" i="14"/>
  <c r="AH16" i="5"/>
  <c r="I13" i="10"/>
  <c r="U4" i="11"/>
  <c r="U8" i="11"/>
  <c r="U32" i="11"/>
  <c r="U40" i="11"/>
  <c r="U48" i="11"/>
  <c r="U56" i="11"/>
  <c r="U60" i="11"/>
  <c r="N8" i="14"/>
  <c r="O12" i="14"/>
  <c r="P12" i="14"/>
  <c r="N6" i="14"/>
  <c r="M9" i="14"/>
  <c r="R12" i="14"/>
  <c r="S15" i="14"/>
  <c r="F10" i="2"/>
  <c r="C10" i="13" s="1"/>
  <c r="F14" i="2"/>
  <c r="C14" i="13" s="1"/>
  <c r="F12" i="2"/>
  <c r="C12" i="13" s="1"/>
  <c r="F13" i="2"/>
  <c r="C13" i="13" s="1"/>
  <c r="F4" i="2"/>
  <c r="F5" i="2"/>
  <c r="C4" i="13" s="1"/>
  <c r="F18" i="2"/>
  <c r="C17" i="13" s="1"/>
  <c r="F19" i="2"/>
  <c r="C18" i="13" s="1"/>
  <c r="F20" i="2"/>
  <c r="C19" i="13" s="1"/>
  <c r="C5" i="13"/>
  <c r="T4" i="13"/>
  <c r="R4" i="13"/>
  <c r="AO4" i="13" s="1"/>
  <c r="T8" i="13"/>
  <c r="R8" i="13"/>
  <c r="BH13" i="13"/>
  <c r="BQ13" i="13"/>
  <c r="BW13" i="13"/>
  <c r="BL13" i="13"/>
  <c r="BM13" i="13"/>
  <c r="BA13" i="13"/>
  <c r="BC13" i="13" s="1"/>
  <c r="AU13" i="13"/>
  <c r="AT13" i="13"/>
  <c r="AV13" i="13" s="1"/>
  <c r="BR13" i="13"/>
  <c r="CC13" i="13"/>
  <c r="BV13" i="13"/>
  <c r="BZ13" i="13"/>
  <c r="BG13" i="13"/>
  <c r="R13" i="13"/>
  <c r="AO13" i="13" s="1"/>
  <c r="BY13" i="13"/>
  <c r="CA13" i="13" s="1"/>
  <c r="CB13" i="13"/>
  <c r="CD13" i="13" s="1"/>
  <c r="BB13" i="13"/>
  <c r="AD2" i="2"/>
  <c r="Q5" i="13"/>
  <c r="V5" i="13" s="1"/>
  <c r="S9" i="13"/>
  <c r="T9" i="13"/>
  <c r="S12" i="13"/>
  <c r="F7" i="2"/>
  <c r="C7" i="13" s="1"/>
  <c r="F9" i="2"/>
  <c r="C9" i="13" s="1"/>
  <c r="F8" i="2"/>
  <c r="C8" i="13" s="1"/>
  <c r="AG19" i="15"/>
  <c r="AJ19" i="15" s="1"/>
  <c r="AH19" i="15"/>
  <c r="AK19" i="15" s="1"/>
  <c r="J8" i="10"/>
  <c r="C10" i="10"/>
  <c r="B30" i="10"/>
  <c r="C30" i="10" s="1"/>
  <c r="D30" i="10" s="1"/>
  <c r="E30" i="10" s="1"/>
  <c r="K8" i="10"/>
  <c r="B12" i="10"/>
  <c r="C25" i="10"/>
  <c r="AP6" i="5"/>
  <c r="G3" i="13"/>
  <c r="AH13" i="2"/>
  <c r="B12" i="8"/>
  <c r="C12" i="8"/>
  <c r="AP7" i="5"/>
  <c r="AP5" i="5"/>
  <c r="R20" i="5"/>
  <c r="AL20" i="5" s="1"/>
  <c r="AP20" i="5" s="1"/>
  <c r="AP10" i="5"/>
  <c r="AF5" i="15"/>
  <c r="AI5" i="15" s="1"/>
  <c r="AF22" i="15"/>
  <c r="AI22" i="15" s="1"/>
  <c r="AG5" i="15"/>
  <c r="AJ5" i="15" s="1"/>
  <c r="AG22" i="15"/>
  <c r="AJ22" i="15" s="1"/>
  <c r="AC10" i="13"/>
  <c r="AS10" i="13"/>
  <c r="AZ10" i="13"/>
  <c r="CB10" i="13"/>
  <c r="CD10" i="13" s="1"/>
  <c r="BB10" i="13"/>
  <c r="BK10" i="13"/>
  <c r="CC10" i="13"/>
  <c r="AJ10" i="13"/>
  <c r="BU10" i="13"/>
  <c r="BF10" i="13"/>
  <c r="BX10" i="13"/>
  <c r="BP10" i="13"/>
  <c r="AG10" i="13"/>
  <c r="BR10" i="13"/>
  <c r="BM10" i="13"/>
  <c r="AU10" i="13"/>
  <c r="CE10" i="13"/>
  <c r="AM10" i="13"/>
  <c r="W10" i="13"/>
  <c r="Y10" i="13" s="1"/>
  <c r="X10" i="13"/>
  <c r="BH10" i="13"/>
  <c r="BW10" i="13"/>
  <c r="Z10" i="13"/>
  <c r="AB10" i="13" s="1"/>
  <c r="BN10" i="13"/>
  <c r="AK10" i="13"/>
  <c r="BZ10" i="13"/>
  <c r="AT10" i="13"/>
  <c r="AV10" i="13" s="1"/>
  <c r="AI10" i="13"/>
  <c r="AX10" i="13"/>
  <c r="BQ10" i="13"/>
  <c r="BA10" i="13"/>
  <c r="BC10" i="13" s="1"/>
  <c r="BS10" i="13"/>
  <c r="BT10" i="13"/>
  <c r="AL10" i="13"/>
  <c r="BL10" i="13"/>
  <c r="BG10" i="13"/>
  <c r="BI10" i="13"/>
  <c r="AA10" i="13"/>
  <c r="BD10" i="13"/>
  <c r="BV10" i="13"/>
  <c r="BE10" i="13"/>
  <c r="V10" i="13"/>
  <c r="AH10" i="13"/>
  <c r="AE10" i="13"/>
  <c r="BO10" i="13"/>
  <c r="AD10" i="13"/>
  <c r="AF10" i="13" s="1"/>
  <c r="AP10" i="13"/>
  <c r="AR10" i="13" s="1"/>
  <c r="AQ10" i="13"/>
  <c r="AW10" i="13"/>
  <c r="AY10" i="13" s="1"/>
  <c r="BY10" i="13"/>
  <c r="CA10" i="13" s="1"/>
  <c r="AN10" i="13"/>
  <c r="U10" i="13"/>
  <c r="BJ10" i="13"/>
  <c r="AO10" i="13"/>
  <c r="AJ18" i="13"/>
  <c r="AZ18" i="13"/>
  <c r="BP18" i="13"/>
  <c r="BX18" i="13"/>
  <c r="AC18" i="13"/>
  <c r="AS18" i="13"/>
  <c r="AP18" i="13"/>
  <c r="AR18" i="13" s="1"/>
  <c r="BL18" i="13"/>
  <c r="BV18" i="13"/>
  <c r="CC18" i="13"/>
  <c r="AD18" i="13"/>
  <c r="AF18" i="13" s="1"/>
  <c r="CE18" i="13"/>
  <c r="AG18" i="13"/>
  <c r="AQ18" i="13"/>
  <c r="BD18" i="13"/>
  <c r="BZ18" i="13"/>
  <c r="AW18" i="13"/>
  <c r="AY18" i="13" s="1"/>
  <c r="BJ18" i="13"/>
  <c r="AH18" i="13"/>
  <c r="BN18" i="13"/>
  <c r="BG18" i="13"/>
  <c r="AN18" i="13"/>
  <c r="BK18" i="13"/>
  <c r="AI18" i="13"/>
  <c r="AU18" i="13"/>
  <c r="BE18" i="13"/>
  <c r="BO18" i="13"/>
  <c r="AM18" i="13"/>
  <c r="AO18" i="13"/>
  <c r="Z18" i="13"/>
  <c r="AB18" i="13" s="1"/>
  <c r="AL18" i="13"/>
  <c r="BF18" i="13"/>
  <c r="BR18" i="13"/>
  <c r="CB18" i="13"/>
  <c r="CD18" i="13" s="1"/>
  <c r="AX18" i="13"/>
  <c r="AE18" i="13"/>
  <c r="AA18" i="13"/>
  <c r="BS18" i="13"/>
  <c r="BT18" i="13"/>
  <c r="BU18" i="13"/>
  <c r="BB18" i="13"/>
  <c r="BH18" i="13"/>
  <c r="AK18" i="13"/>
  <c r="BM18" i="13"/>
  <c r="BW18" i="13"/>
  <c r="BA18" i="13"/>
  <c r="BC18" i="13" s="1"/>
  <c r="BQ18" i="13"/>
  <c r="V18" i="13"/>
  <c r="AT18" i="13"/>
  <c r="AV18" i="13" s="1"/>
  <c r="U18" i="13"/>
  <c r="X18" i="13"/>
  <c r="BI18" i="13"/>
  <c r="BY18" i="13"/>
  <c r="CA18" i="13" s="1"/>
  <c r="W18" i="13"/>
  <c r="Y18" i="13" s="1"/>
  <c r="AX14" i="13"/>
  <c r="BI14" i="13"/>
  <c r="BT14" i="13"/>
  <c r="AE14" i="13"/>
  <c r="AP14" i="13"/>
  <c r="AR14" i="13" s="1"/>
  <c r="BL14" i="13"/>
  <c r="BV14" i="13"/>
  <c r="W14" i="13"/>
  <c r="Y14" i="13" s="1"/>
  <c r="AK14" i="13"/>
  <c r="BD14" i="13"/>
  <c r="BS14" i="13"/>
  <c r="X14" i="13"/>
  <c r="AM14" i="13"/>
  <c r="BE14" i="13"/>
  <c r="AH14" i="13"/>
  <c r="AQ14" i="13"/>
  <c r="BY14" i="13"/>
  <c r="CA14" i="13" s="1"/>
  <c r="Z14" i="13"/>
  <c r="AB14" i="13" s="1"/>
  <c r="AS14" i="13"/>
  <c r="BG14" i="13"/>
  <c r="AW14" i="13"/>
  <c r="AY14" i="13" s="1"/>
  <c r="AI14" i="13"/>
  <c r="AA14" i="13"/>
  <c r="BQ14" i="13"/>
  <c r="AG14" i="13"/>
  <c r="BN14" i="13"/>
  <c r="BO14" i="13"/>
  <c r="AU14" i="13"/>
  <c r="CE14" i="13"/>
  <c r="BW14" i="13"/>
  <c r="BM14" i="13"/>
  <c r="BU14" i="13"/>
  <c r="BA14" i="13"/>
  <c r="BC14" i="13" s="1"/>
  <c r="AJ14" i="13"/>
  <c r="BJ14" i="13"/>
  <c r="AL14" i="13"/>
  <c r="CB14" i="13"/>
  <c r="CD14" i="13" s="1"/>
  <c r="AZ14" i="13"/>
  <c r="CC14" i="13"/>
  <c r="BP14" i="13"/>
  <c r="AN14" i="13"/>
  <c r="BR14" i="13"/>
  <c r="BB14" i="13"/>
  <c r="BH14" i="13"/>
  <c r="BX14" i="13"/>
  <c r="BF14" i="13"/>
  <c r="U14" i="13"/>
  <c r="V14" i="13" s="1"/>
  <c r="AD14" i="13"/>
  <c r="AF14" i="13" s="1"/>
  <c r="AT14" i="13"/>
  <c r="AV14" i="13" s="1"/>
  <c r="AC14" i="13"/>
  <c r="BK14" i="13"/>
  <c r="BZ14" i="13"/>
  <c r="AO14" i="13"/>
  <c r="BW6" i="13"/>
  <c r="BM6" i="13"/>
  <c r="BH6" i="13"/>
  <c r="BY6" i="13"/>
  <c r="CA6" i="13" s="1"/>
  <c r="AT6" i="13"/>
  <c r="AV6" i="13" s="1"/>
  <c r="BZ6" i="13"/>
  <c r="U6" i="13"/>
  <c r="V6" i="13" s="1"/>
  <c r="AK6" i="13"/>
  <c r="BA6" i="13"/>
  <c r="BC6" i="13" s="1"/>
  <c r="BQ6" i="13"/>
  <c r="BR6" i="13"/>
  <c r="AN6" i="13"/>
  <c r="CB6" i="13"/>
  <c r="CD6" i="13" s="1"/>
  <c r="X6" i="13"/>
  <c r="BB6" i="13"/>
  <c r="BD6" i="13"/>
  <c r="BL6" i="13"/>
  <c r="BU6" i="13"/>
  <c r="AA6" i="13"/>
  <c r="BE6" i="13"/>
  <c r="AD6" i="13"/>
  <c r="AF6" i="13" s="1"/>
  <c r="W6" i="13"/>
  <c r="Y6" i="13" s="1"/>
  <c r="BP6" i="13"/>
  <c r="BN6" i="13"/>
  <c r="AW6" i="13"/>
  <c r="AY6" i="13" s="1"/>
  <c r="BF6" i="13"/>
  <c r="AI6" i="13"/>
  <c r="BJ6" i="13"/>
  <c r="BS6" i="13"/>
  <c r="AZ6" i="13"/>
  <c r="BX6" i="13"/>
  <c r="AQ6" i="13"/>
  <c r="Z6" i="13"/>
  <c r="AB6" i="13" s="1"/>
  <c r="AL6" i="13"/>
  <c r="AC6" i="13"/>
  <c r="BO6" i="13"/>
  <c r="AH6" i="13"/>
  <c r="BT6" i="13"/>
  <c r="AU6" i="13"/>
  <c r="BV6" i="13"/>
  <c r="AS6" i="13"/>
  <c r="AE6" i="13"/>
  <c r="AP6" i="13"/>
  <c r="AR6" i="13" s="1"/>
  <c r="CC6" i="13"/>
  <c r="BG6" i="13"/>
  <c r="BK6" i="13"/>
  <c r="BI6" i="13"/>
  <c r="CE6" i="13"/>
  <c r="AJ6" i="13"/>
  <c r="AM6" i="13"/>
  <c r="AX6" i="13"/>
  <c r="AG6" i="13"/>
  <c r="AO6" i="13"/>
  <c r="CB9" i="13"/>
  <c r="CD9" i="13" s="1"/>
  <c r="AL9" i="13"/>
  <c r="AU9" i="13"/>
  <c r="BE9" i="13"/>
  <c r="BN9" i="13"/>
  <c r="AD9" i="13"/>
  <c r="AF9" i="13" s="1"/>
  <c r="AM9" i="13"/>
  <c r="AW9" i="13"/>
  <c r="AY9" i="13" s="1"/>
  <c r="BF9" i="13"/>
  <c r="BO9" i="13"/>
  <c r="BX9" i="13"/>
  <c r="AH9" i="13"/>
  <c r="AQ9" i="13"/>
  <c r="AZ9" i="13"/>
  <c r="BI9" i="13"/>
  <c r="W9" i="13"/>
  <c r="Y9" i="13" s="1"/>
  <c r="AP9" i="13"/>
  <c r="AR9" i="13" s="1"/>
  <c r="Z9" i="13"/>
  <c r="AB9" i="13" s="1"/>
  <c r="BJ9" i="13"/>
  <c r="CC9" i="13"/>
  <c r="AA9" i="13"/>
  <c r="AS9" i="13"/>
  <c r="BK9" i="13"/>
  <c r="AE9" i="13"/>
  <c r="BP9" i="13"/>
  <c r="AG9" i="13"/>
  <c r="BQ9" i="13"/>
  <c r="AI9" i="13"/>
  <c r="BS9" i="13"/>
  <c r="AJ9" i="13"/>
  <c r="BU9" i="13"/>
  <c r="AX9" i="13"/>
  <c r="BA9" i="13"/>
  <c r="BC9" i="13" s="1"/>
  <c r="BB9" i="13"/>
  <c r="BH9" i="13"/>
  <c r="BV9" i="13"/>
  <c r="BT9" i="13"/>
  <c r="BG9" i="13"/>
  <c r="BW9" i="13"/>
  <c r="BL9" i="13"/>
  <c r="AC9" i="13"/>
  <c r="BR9" i="13"/>
  <c r="BD9" i="13"/>
  <c r="BZ9" i="13"/>
  <c r="U9" i="13"/>
  <c r="BY9" i="13"/>
  <c r="CA9" i="13" s="1"/>
  <c r="X9" i="13"/>
  <c r="CE9" i="13"/>
  <c r="AN9" i="13"/>
  <c r="AK9" i="13"/>
  <c r="V9" i="13"/>
  <c r="AT9" i="13"/>
  <c r="AV9" i="13" s="1"/>
  <c r="BM9" i="13"/>
  <c r="AO9" i="13"/>
  <c r="BF16" i="13"/>
  <c r="BV16" i="13"/>
  <c r="BG16" i="13"/>
  <c r="AG16" i="13"/>
  <c r="BH16" i="13"/>
  <c r="BP16" i="13"/>
  <c r="BX16" i="13"/>
  <c r="BQ16" i="13"/>
  <c r="CB16" i="13"/>
  <c r="CD16" i="13" s="1"/>
  <c r="BM16" i="13"/>
  <c r="BR16" i="13"/>
  <c r="BZ16" i="13"/>
  <c r="AC16" i="13"/>
  <c r="AS16" i="13"/>
  <c r="BL16" i="13"/>
  <c r="AU16" i="13"/>
  <c r="BU16" i="13"/>
  <c r="AJ16" i="13"/>
  <c r="AK16" i="13"/>
  <c r="BK16" i="13"/>
  <c r="AZ16" i="13"/>
  <c r="BA16" i="13"/>
  <c r="BC16" i="13" s="1"/>
  <c r="BY16" i="13"/>
  <c r="CA16" i="13" s="1"/>
  <c r="AI16" i="13"/>
  <c r="AE16" i="13"/>
  <c r="BD16" i="13"/>
  <c r="CE16" i="13"/>
  <c r="AL16" i="13"/>
  <c r="W16" i="13"/>
  <c r="Y16" i="13" s="1"/>
  <c r="AW16" i="13"/>
  <c r="AY16" i="13" s="1"/>
  <c r="AQ16" i="13"/>
  <c r="BW16" i="13"/>
  <c r="AN16" i="13"/>
  <c r="AD16" i="13"/>
  <c r="AF16" i="13" s="1"/>
  <c r="AM16" i="13"/>
  <c r="AT16" i="13"/>
  <c r="AV16" i="13" s="1"/>
  <c r="BI16" i="13"/>
  <c r="X16" i="13"/>
  <c r="BN16" i="13"/>
  <c r="AA16" i="13"/>
  <c r="BJ16" i="13"/>
  <c r="AX16" i="13"/>
  <c r="AH16" i="13"/>
  <c r="BT16" i="13"/>
  <c r="BO16" i="13"/>
  <c r="BS16" i="13"/>
  <c r="BB16" i="13"/>
  <c r="Z16" i="13"/>
  <c r="AB16" i="13" s="1"/>
  <c r="U16" i="13"/>
  <c r="V16" i="13" s="1"/>
  <c r="AP16" i="13"/>
  <c r="AR16" i="13" s="1"/>
  <c r="BE16" i="13"/>
  <c r="CC16" i="13"/>
  <c r="AO16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U4" i="13"/>
  <c r="V4" i="13" s="1"/>
  <c r="W4" i="13"/>
  <c r="Y4" i="13" s="1"/>
  <c r="X4" i="13"/>
  <c r="AN4" i="13"/>
  <c r="AU4" i="13"/>
  <c r="AD5" i="13"/>
  <c r="AF5" i="13" s="1"/>
  <c r="AL5" i="13"/>
  <c r="BJ5" i="13"/>
  <c r="Z5" i="13"/>
  <c r="AB5" i="13" s="1"/>
  <c r="AH5" i="13"/>
  <c r="AP5" i="13"/>
  <c r="AR5" i="13" s="1"/>
  <c r="AX5" i="13"/>
  <c r="BN5" i="13"/>
  <c r="AC5" i="13"/>
  <c r="AS5" i="13"/>
  <c r="BI5" i="13"/>
  <c r="BE5" i="13"/>
  <c r="BU5" i="13"/>
  <c r="AA5" i="13"/>
  <c r="AQ5" i="13"/>
  <c r="BG5" i="13"/>
  <c r="AE5" i="13"/>
  <c r="BK5" i="13"/>
  <c r="AI5" i="13"/>
  <c r="BO5" i="13"/>
  <c r="CE5" i="13"/>
  <c r="BL5" i="13"/>
  <c r="AG5" i="13"/>
  <c r="BM5" i="13"/>
  <c r="AM5" i="13"/>
  <c r="BS5" i="13"/>
  <c r="BT5" i="13"/>
  <c r="CB5" i="13"/>
  <c r="CD5" i="13" s="1"/>
  <c r="BD5" i="13"/>
  <c r="CC5" i="13"/>
  <c r="AW5" i="13"/>
  <c r="AY5" i="13" s="1"/>
  <c r="W5" i="13"/>
  <c r="Y5" i="13" s="1"/>
  <c r="X5" i="13"/>
  <c r="AT5" i="13"/>
  <c r="AV5" i="13" s="1"/>
  <c r="BH5" i="13"/>
  <c r="BX5" i="13"/>
  <c r="BA5" i="13"/>
  <c r="BC5" i="13" s="1"/>
  <c r="BP5" i="13"/>
  <c r="AJ5" i="13"/>
  <c r="BV5" i="13"/>
  <c r="BR5" i="13"/>
  <c r="BB5" i="13"/>
  <c r="AZ5" i="13"/>
  <c r="BZ5" i="13"/>
  <c r="AU5" i="13"/>
  <c r="BW5" i="13"/>
  <c r="BY5" i="13"/>
  <c r="CA5" i="13" s="1"/>
  <c r="BQ5" i="13"/>
  <c r="AK5" i="13"/>
  <c r="BF5" i="13"/>
  <c r="AO5" i="13"/>
  <c r="BS19" i="13"/>
  <c r="BP19" i="13"/>
  <c r="AK19" i="13"/>
  <c r="CB19" i="13"/>
  <c r="CD19" i="13" s="1"/>
  <c r="AN19" i="13"/>
  <c r="U19" i="13"/>
  <c r="AQ19" i="13"/>
  <c r="AJ19" i="13"/>
  <c r="BH19" i="13"/>
  <c r="AE19" i="13"/>
  <c r="BX19" i="13"/>
  <c r="AU19" i="13"/>
  <c r="BR19" i="13"/>
  <c r="BL19" i="13"/>
  <c r="X19" i="13"/>
  <c r="BQ19" i="13"/>
  <c r="AL19" i="13"/>
  <c r="W19" i="13"/>
  <c r="Y19" i="13" s="1"/>
  <c r="AI19" i="13"/>
  <c r="AS19" i="13"/>
  <c r="BO19" i="13"/>
  <c r="BY19" i="13"/>
  <c r="CA19" i="13" s="1"/>
  <c r="BG19" i="13"/>
  <c r="BD19" i="13"/>
  <c r="BZ19" i="13"/>
  <c r="AA19" i="13"/>
  <c r="BE19" i="13"/>
  <c r="BK19" i="13"/>
  <c r="AC19" i="13"/>
  <c r="BU19" i="13"/>
  <c r="BA19" i="13"/>
  <c r="BC19" i="13" s="1"/>
  <c r="BI19" i="13"/>
  <c r="V19" i="13"/>
  <c r="AM19" i="13"/>
  <c r="BV19" i="13"/>
  <c r="Z19" i="13"/>
  <c r="AB19" i="13" s="1"/>
  <c r="CE19" i="13"/>
  <c r="BW19" i="13"/>
  <c r="AH19" i="13"/>
  <c r="BT19" i="13"/>
  <c r="AP19" i="13"/>
  <c r="AR19" i="13" s="1"/>
  <c r="BJ19" i="13"/>
  <c r="BB19" i="13"/>
  <c r="AX19" i="13"/>
  <c r="AZ19" i="13"/>
  <c r="AT19" i="13"/>
  <c r="AV19" i="13" s="1"/>
  <c r="BM19" i="13"/>
  <c r="BF19" i="13"/>
  <c r="AW19" i="13"/>
  <c r="AY19" i="13" s="1"/>
  <c r="AG19" i="13"/>
  <c r="BN19" i="13"/>
  <c r="AD19" i="13"/>
  <c r="AF19" i="13" s="1"/>
  <c r="CC19" i="13"/>
  <c r="AO19" i="13"/>
  <c r="BD7" i="13"/>
  <c r="BL7" i="13"/>
  <c r="BT7" i="13"/>
  <c r="CB7" i="13"/>
  <c r="CD7" i="13" s="1"/>
  <c r="AD7" i="13"/>
  <c r="AF7" i="13" s="1"/>
  <c r="AL7" i="13"/>
  <c r="AT7" i="13"/>
  <c r="AV7" i="13" s="1"/>
  <c r="BJ7" i="13"/>
  <c r="BR7" i="13"/>
  <c r="BZ7" i="13"/>
  <c r="AE7" i="13"/>
  <c r="AM7" i="13"/>
  <c r="BS7" i="13"/>
  <c r="Z7" i="13"/>
  <c r="AB7" i="13" s="1"/>
  <c r="AP7" i="13"/>
  <c r="AR7" i="13" s="1"/>
  <c r="BV7" i="13"/>
  <c r="AA7" i="13"/>
  <c r="AQ7" i="13"/>
  <c r="BG7" i="13"/>
  <c r="BW7" i="13"/>
  <c r="BI7" i="13"/>
  <c r="BY7" i="13"/>
  <c r="CA7" i="13" s="1"/>
  <c r="AI7" i="13"/>
  <c r="BO7" i="13"/>
  <c r="AH7" i="13"/>
  <c r="BN7" i="13"/>
  <c r="AK7" i="13"/>
  <c r="BQ7" i="13"/>
  <c r="AW7" i="13"/>
  <c r="AY7" i="13" s="1"/>
  <c r="CC7" i="13"/>
  <c r="AG7" i="13"/>
  <c r="AX7" i="13"/>
  <c r="BA7" i="13"/>
  <c r="BC7" i="13" s="1"/>
  <c r="BE7" i="13"/>
  <c r="BM7" i="13"/>
  <c r="U7" i="13"/>
  <c r="AS7" i="13"/>
  <c r="AU7" i="13"/>
  <c r="AO7" i="13"/>
  <c r="W7" i="13"/>
  <c r="Y7" i="13" s="1"/>
  <c r="AJ7" i="13"/>
  <c r="CE7" i="13"/>
  <c r="AN7" i="13"/>
  <c r="BB7" i="13"/>
  <c r="AC7" i="13"/>
  <c r="AZ7" i="13"/>
  <c r="BU7" i="13"/>
  <c r="BP7" i="13"/>
  <c r="V7" i="13"/>
  <c r="BH7" i="13"/>
  <c r="BX7" i="13"/>
  <c r="BK7" i="13"/>
  <c r="BF7" i="13"/>
  <c r="X7" i="13"/>
  <c r="AC8" i="13"/>
  <c r="AS8" i="13"/>
  <c r="BI8" i="13"/>
  <c r="AA8" i="13"/>
  <c r="AI8" i="13"/>
  <c r="AQ8" i="13"/>
  <c r="BO8" i="13"/>
  <c r="W8" i="13"/>
  <c r="Y8" i="13" s="1"/>
  <c r="AH8" i="13"/>
  <c r="BJ8" i="13"/>
  <c r="BU8" i="13"/>
  <c r="X8" i="13"/>
  <c r="AL8" i="13"/>
  <c r="AW8" i="13"/>
  <c r="AY8" i="13" s="1"/>
  <c r="BK8" i="13"/>
  <c r="AM8" i="13"/>
  <c r="AX8" i="13"/>
  <c r="BL8" i="13"/>
  <c r="AE8" i="13"/>
  <c r="AP8" i="13"/>
  <c r="AR8" i="13" s="1"/>
  <c r="BD8" i="13"/>
  <c r="BE8" i="13"/>
  <c r="AG8" i="13"/>
  <c r="BF8" i="13"/>
  <c r="AN8" i="13"/>
  <c r="BM8" i="13"/>
  <c r="BN8" i="13"/>
  <c r="AD8" i="13"/>
  <c r="AF8" i="13" s="1"/>
  <c r="CB8" i="13"/>
  <c r="CD8" i="13" s="1"/>
  <c r="BT8" i="13"/>
  <c r="AT8" i="13"/>
  <c r="AV8" i="13" s="1"/>
  <c r="AU8" i="13"/>
  <c r="BB8" i="13"/>
  <c r="Z8" i="13"/>
  <c r="AB8" i="13" s="1"/>
  <c r="BS8" i="13"/>
  <c r="CC8" i="13"/>
  <c r="BA8" i="13"/>
  <c r="BC8" i="13" s="1"/>
  <c r="BG8" i="13"/>
  <c r="BP8" i="13"/>
  <c r="AJ8" i="13"/>
  <c r="BX8" i="13"/>
  <c r="BW8" i="13"/>
  <c r="BV8" i="13"/>
  <c r="AZ8" i="13"/>
  <c r="BH8" i="13"/>
  <c r="CE8" i="13"/>
  <c r="BQ8" i="13"/>
  <c r="BY8" i="13"/>
  <c r="CA8" i="13" s="1"/>
  <c r="BZ8" i="13"/>
  <c r="BR8" i="13"/>
  <c r="U8" i="13"/>
  <c r="V8" i="13" s="1"/>
  <c r="AO8" i="13"/>
  <c r="AK8" i="13"/>
  <c r="BP11" i="13"/>
  <c r="BH11" i="13"/>
  <c r="AG11" i="13"/>
  <c r="AZ11" i="13"/>
  <c r="BR11" i="13"/>
  <c r="AT11" i="13"/>
  <c r="AV11" i="13" s="1"/>
  <c r="BU11" i="13"/>
  <c r="CE11" i="13"/>
  <c r="AL11" i="13"/>
  <c r="BD11" i="13"/>
  <c r="BT11" i="13"/>
  <c r="BW11" i="13"/>
  <c r="BJ11" i="13"/>
  <c r="BX11" i="13"/>
  <c r="AU11" i="13"/>
  <c r="BS11" i="13"/>
  <c r="BZ11" i="13"/>
  <c r="AS11" i="13"/>
  <c r="AA11" i="13"/>
  <c r="BA11" i="13"/>
  <c r="BC11" i="13" s="1"/>
  <c r="AJ11" i="13"/>
  <c r="AC11" i="13"/>
  <c r="BB11" i="13"/>
  <c r="CC11" i="13"/>
  <c r="BQ11" i="13"/>
  <c r="AD11" i="13"/>
  <c r="AF11" i="13" s="1"/>
  <c r="BK11" i="13"/>
  <c r="AI11" i="13"/>
  <c r="BM11" i="13"/>
  <c r="BO11" i="13"/>
  <c r="BN11" i="13"/>
  <c r="BE11" i="13"/>
  <c r="AK11" i="13"/>
  <c r="AP11" i="13"/>
  <c r="AR11" i="13" s="1"/>
  <c r="BY11" i="13"/>
  <c r="CA11" i="13" s="1"/>
  <c r="AE11" i="13"/>
  <c r="BG11" i="13"/>
  <c r="BF11" i="13"/>
  <c r="U11" i="13"/>
  <c r="V11" i="13" s="1"/>
  <c r="CB11" i="13"/>
  <c r="CD11" i="13" s="1"/>
  <c r="AW11" i="13"/>
  <c r="AY11" i="13" s="1"/>
  <c r="AQ11" i="13"/>
  <c r="AM11" i="13"/>
  <c r="BL11" i="13"/>
  <c r="AN11" i="13"/>
  <c r="Z11" i="13"/>
  <c r="AB11" i="13" s="1"/>
  <c r="BI11" i="13"/>
  <c r="W11" i="13"/>
  <c r="Y11" i="13" s="1"/>
  <c r="BV11" i="13"/>
  <c r="AH11" i="13"/>
  <c r="X11" i="13"/>
  <c r="AX11" i="13"/>
  <c r="AO11" i="13"/>
  <c r="AL12" i="13"/>
  <c r="BE12" i="13"/>
  <c r="BN12" i="13"/>
  <c r="BW12" i="13"/>
  <c r="AX12" i="13"/>
  <c r="BG12" i="13"/>
  <c r="Z12" i="13"/>
  <c r="AB12" i="13" s="1"/>
  <c r="AI12" i="13"/>
  <c r="BA12" i="13"/>
  <c r="BC12" i="13" s="1"/>
  <c r="BJ12" i="13"/>
  <c r="BT12" i="13"/>
  <c r="AN12" i="13"/>
  <c r="BB12" i="13"/>
  <c r="BQ12" i="13"/>
  <c r="AA12" i="13"/>
  <c r="AP12" i="13"/>
  <c r="AR12" i="13" s="1"/>
  <c r="BD12" i="13"/>
  <c r="BR12" i="13"/>
  <c r="AQ12" i="13"/>
  <c r="AH12" i="13"/>
  <c r="BH12" i="13"/>
  <c r="CB12" i="13"/>
  <c r="CD12" i="13" s="1"/>
  <c r="AD12" i="13"/>
  <c r="AF12" i="13" s="1"/>
  <c r="BI12" i="13"/>
  <c r="BZ12" i="13"/>
  <c r="AK12" i="13"/>
  <c r="BL12" i="13"/>
  <c r="AZ12" i="13"/>
  <c r="BM12" i="13"/>
  <c r="AG12" i="13"/>
  <c r="U12" i="13"/>
  <c r="AT12" i="13"/>
  <c r="AV12" i="13" s="1"/>
  <c r="BO12" i="13"/>
  <c r="X12" i="13"/>
  <c r="AW12" i="13"/>
  <c r="AY12" i="13" s="1"/>
  <c r="BV12" i="13"/>
  <c r="BX12" i="13"/>
  <c r="BU12" i="13"/>
  <c r="AU12" i="13"/>
  <c r="BS12" i="13"/>
  <c r="AO12" i="13"/>
  <c r="AS12" i="13"/>
  <c r="CC12" i="13"/>
  <c r="AE12" i="13"/>
  <c r="AM12" i="13"/>
  <c r="W12" i="13"/>
  <c r="Y12" i="13" s="1"/>
  <c r="BK12" i="13"/>
  <c r="AJ12" i="13"/>
  <c r="V12" i="13"/>
  <c r="AC12" i="13"/>
  <c r="BF12" i="13"/>
  <c r="BP12" i="13"/>
  <c r="BY12" i="13"/>
  <c r="CA12" i="13" s="1"/>
  <c r="CE12" i="13"/>
  <c r="AN15" i="13"/>
  <c r="BY15" i="13"/>
  <c r="CA15" i="13" s="1"/>
  <c r="AT15" i="13"/>
  <c r="AV15" i="13" s="1"/>
  <c r="BZ15" i="13"/>
  <c r="BF15" i="13"/>
  <c r="AU15" i="13"/>
  <c r="BX15" i="13"/>
  <c r="BA15" i="13"/>
  <c r="BC15" i="13" s="1"/>
  <c r="W15" i="13"/>
  <c r="Y15" i="13" s="1"/>
  <c r="BW15" i="13"/>
  <c r="U15" i="13"/>
  <c r="V15" i="13" s="1"/>
  <c r="BB15" i="13"/>
  <c r="BQ15" i="13"/>
  <c r="AK15" i="13"/>
  <c r="BV15" i="13"/>
  <c r="X15" i="13"/>
  <c r="BE15" i="13"/>
  <c r="BI15" i="13"/>
  <c r="AH15" i="13"/>
  <c r="BN15" i="13"/>
  <c r="BK15" i="13"/>
  <c r="AM15" i="13"/>
  <c r="BR15" i="13"/>
  <c r="AW15" i="13"/>
  <c r="AY15" i="13" s="1"/>
  <c r="AX15" i="13"/>
  <c r="BD15" i="13"/>
  <c r="AA15" i="13"/>
  <c r="BS15" i="13"/>
  <c r="CC15" i="13"/>
  <c r="AS15" i="13"/>
  <c r="AJ15" i="13"/>
  <c r="AC15" i="13"/>
  <c r="AP15" i="13"/>
  <c r="AR15" i="13" s="1"/>
  <c r="AZ15" i="13"/>
  <c r="BL15" i="13"/>
  <c r="AI15" i="13"/>
  <c r="Z15" i="13"/>
  <c r="AB15" i="13" s="1"/>
  <c r="AQ15" i="13"/>
  <c r="AD15" i="13"/>
  <c r="AF15" i="13" s="1"/>
  <c r="CB15" i="13"/>
  <c r="CD15" i="13" s="1"/>
  <c r="AE15" i="13"/>
  <c r="BG15" i="13"/>
  <c r="BP15" i="13"/>
  <c r="CE15" i="13"/>
  <c r="BO15" i="13"/>
  <c r="BJ15" i="13"/>
  <c r="AG15" i="13"/>
  <c r="BM15" i="13"/>
  <c r="AL15" i="13"/>
  <c r="BT15" i="13"/>
  <c r="BU15" i="13"/>
  <c r="BH15" i="13"/>
  <c r="AO15" i="13"/>
  <c r="AU17" i="13"/>
  <c r="CB17" i="13"/>
  <c r="CD17" i="13" s="1"/>
  <c r="AQ17" i="13"/>
  <c r="BB17" i="13"/>
  <c r="BO17" i="13"/>
  <c r="AL17" i="13"/>
  <c r="BA17" i="13"/>
  <c r="BC17" i="13" s="1"/>
  <c r="AH17" i="13"/>
  <c r="CC17" i="13"/>
  <c r="U17" i="13"/>
  <c r="AI17" i="13"/>
  <c r="AT17" i="13"/>
  <c r="AV17" i="13" s="1"/>
  <c r="BH17" i="13"/>
  <c r="BR17" i="13"/>
  <c r="AZ17" i="13"/>
  <c r="BW17" i="13"/>
  <c r="BX17" i="13"/>
  <c r="AJ17" i="13"/>
  <c r="AX17" i="13"/>
  <c r="BI17" i="13"/>
  <c r="BU17" i="13"/>
  <c r="CE17" i="13"/>
  <c r="BN17" i="13"/>
  <c r="Z17" i="13"/>
  <c r="AB17" i="13" s="1"/>
  <c r="AK17" i="13"/>
  <c r="BJ17" i="13"/>
  <c r="BV17" i="13"/>
  <c r="AA17" i="13"/>
  <c r="BM17" i="13"/>
  <c r="AP17" i="13"/>
  <c r="AR17" i="13" s="1"/>
  <c r="BD17" i="13"/>
  <c r="BS17" i="13"/>
  <c r="V17" i="13"/>
  <c r="BT17" i="13"/>
  <c r="BZ17" i="13"/>
  <c r="BL17" i="13"/>
  <c r="BK17" i="13"/>
  <c r="BQ17" i="13"/>
  <c r="AW17" i="13"/>
  <c r="AY17" i="13" s="1"/>
  <c r="BP17" i="13"/>
  <c r="AG17" i="13"/>
  <c r="BG17" i="13"/>
  <c r="BE17" i="13"/>
  <c r="BF17" i="13"/>
  <c r="AN17" i="13"/>
  <c r="AS17" i="13"/>
  <c r="AD17" i="13"/>
  <c r="AF17" i="13" s="1"/>
  <c r="AC17" i="13"/>
  <c r="X17" i="13"/>
  <c r="BY17" i="13"/>
  <c r="CA17" i="13" s="1"/>
  <c r="AE17" i="13"/>
  <c r="W17" i="13"/>
  <c r="Y17" i="13" s="1"/>
  <c r="AM17" i="13"/>
  <c r="AO17" i="13"/>
  <c r="B7" i="8"/>
  <c r="I3" i="8" s="1"/>
  <c r="C7" i="8"/>
  <c r="AL20" i="2"/>
  <c r="C18" i="8"/>
  <c r="B18" i="8"/>
  <c r="AM15" i="2"/>
  <c r="B14" i="8"/>
  <c r="C14" i="8"/>
  <c r="AF5" i="2"/>
  <c r="C3" i="8"/>
  <c r="B3" i="8"/>
  <c r="AI11" i="2"/>
  <c r="C10" i="8"/>
  <c r="J4" i="8" s="1"/>
  <c r="B10" i="8"/>
  <c r="I4" i="8" s="1"/>
  <c r="C11" i="8"/>
  <c r="B11" i="8"/>
  <c r="AM7" i="2"/>
  <c r="B6" i="8"/>
  <c r="I2" i="8" s="1"/>
  <c r="C6" i="8"/>
  <c r="B16" i="8"/>
  <c r="C16" i="8"/>
  <c r="B5" i="8"/>
  <c r="C5" i="8"/>
  <c r="B9" i="8"/>
  <c r="C9" i="8"/>
  <c r="AF19" i="2"/>
  <c r="B17" i="8"/>
  <c r="C17" i="8"/>
  <c r="AL14" i="2"/>
  <c r="B13" i="8"/>
  <c r="C13" i="8"/>
  <c r="C4" i="8"/>
  <c r="B4" i="8"/>
  <c r="I6" i="8" s="1"/>
  <c r="I17" i="8" s="1"/>
  <c r="C8" i="8"/>
  <c r="B8" i="8"/>
  <c r="I5" i="8" s="1"/>
  <c r="AI16" i="2"/>
  <c r="C15" i="8"/>
  <c r="B15" i="8"/>
  <c r="N1" i="5"/>
  <c r="P19" i="7"/>
  <c r="P20" i="7" s="1"/>
  <c r="W2" i="2"/>
  <c r="U2" i="2"/>
  <c r="H4" i="17"/>
  <c r="C8" i="3"/>
  <c r="C13" i="3"/>
  <c r="R2" i="2"/>
  <c r="H3" i="17"/>
  <c r="S2" i="2"/>
  <c r="AJ14" i="2"/>
  <c r="AF14" i="2"/>
  <c r="AH8" i="2"/>
  <c r="AL15" i="2"/>
  <c r="AJ19" i="2"/>
  <c r="AK12" i="2"/>
  <c r="AM19" i="2"/>
  <c r="C27" i="3"/>
  <c r="AH14" i="2"/>
  <c r="AI15" i="2"/>
  <c r="AI14" i="2"/>
  <c r="AJ15" i="2"/>
  <c r="AL16" i="2"/>
  <c r="AH9" i="2"/>
  <c r="AM16" i="2"/>
  <c r="AK19" i="2"/>
  <c r="AK20" i="2"/>
  <c r="AF17" i="2"/>
  <c r="AM11" i="2"/>
  <c r="AK14" i="2"/>
  <c r="AK15" i="2"/>
  <c r="AL19" i="2"/>
  <c r="AK11" i="2"/>
  <c r="AM8" i="2"/>
  <c r="AG11" i="2"/>
  <c r="AI12" i="2"/>
  <c r="AG16" i="2"/>
  <c r="AH20" i="2"/>
  <c r="AM5" i="2"/>
  <c r="AG17" i="2"/>
  <c r="AL9" i="2"/>
  <c r="AJ17" i="2"/>
  <c r="AL4" i="2"/>
  <c r="AH7" i="2"/>
  <c r="AM4" i="2"/>
  <c r="AH17" i="2"/>
  <c r="AG12" i="2"/>
  <c r="AH19" i="2"/>
  <c r="AF16" i="2"/>
  <c r="V19" i="5"/>
  <c r="AJ19" i="5"/>
  <c r="AP19" i="5" s="1"/>
  <c r="N26" i="5"/>
  <c r="N16" i="5" s="1"/>
  <c r="AH1" i="5"/>
  <c r="AI23" i="5"/>
  <c r="AP23" i="5" s="1"/>
  <c r="V23" i="5"/>
  <c r="C21" i="3"/>
  <c r="C14" i="3"/>
  <c r="C28" i="3"/>
  <c r="C26" i="3"/>
  <c r="C24" i="3"/>
  <c r="C22" i="3"/>
  <c r="C20" i="3"/>
  <c r="C17" i="3"/>
  <c r="C15" i="3"/>
  <c r="C7" i="3"/>
  <c r="C3" i="3"/>
  <c r="C25" i="3"/>
  <c r="C23" i="3"/>
  <c r="C16" i="3"/>
  <c r="C12" i="3"/>
  <c r="AP22" i="5"/>
  <c r="M7" i="5"/>
  <c r="AG7" i="5" s="1"/>
  <c r="M22" i="5" s="1"/>
  <c r="AP8" i="5"/>
  <c r="V22" i="5"/>
  <c r="I3" i="7"/>
  <c r="H3" i="7"/>
  <c r="S5" i="7" s="1"/>
  <c r="AL17" i="2"/>
  <c r="I7" i="14"/>
  <c r="AL6" i="2"/>
  <c r="AL7" i="2"/>
  <c r="H21" i="14"/>
  <c r="M3" i="17"/>
  <c r="J3" i="16"/>
  <c r="F4" i="14"/>
  <c r="L3" i="13"/>
  <c r="B2" i="8"/>
  <c r="AM17" i="2"/>
  <c r="AM6" i="2"/>
  <c r="AM9" i="2"/>
  <c r="J11" i="14"/>
  <c r="AL10" i="2"/>
  <c r="I12" i="14"/>
  <c r="K14" i="5"/>
  <c r="AE14" i="5" s="1"/>
  <c r="K29" i="5" s="1"/>
  <c r="AJ11" i="2"/>
  <c r="F13" i="14"/>
  <c r="AH12" i="2"/>
  <c r="AH18" i="2"/>
  <c r="I21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P5" i="7"/>
  <c r="F3" i="7"/>
  <c r="Q5" i="7" s="1"/>
  <c r="B13" i="10"/>
  <c r="B10" i="10" s="1"/>
  <c r="I8" i="14"/>
  <c r="K9" i="14"/>
  <c r="J4" i="17"/>
  <c r="F4" i="16"/>
  <c r="AF6" i="2"/>
  <c r="AF8" i="2"/>
  <c r="AM10" i="2"/>
  <c r="K5" i="5"/>
  <c r="AE5" i="5" s="1"/>
  <c r="K20" i="5" s="1"/>
  <c r="H7" i="5"/>
  <c r="M10" i="5"/>
  <c r="AG10" i="5" s="1"/>
  <c r="M25" i="5" s="1"/>
  <c r="V25" i="5"/>
  <c r="AP13" i="5"/>
  <c r="V18" i="5"/>
  <c r="AK20" i="10"/>
  <c r="B24" i="10"/>
  <c r="B28" i="10" s="1"/>
  <c r="AG4" i="2"/>
  <c r="AI5" i="2"/>
  <c r="AH6" i="2"/>
  <c r="AG10" i="2"/>
  <c r="J13" i="14"/>
  <c r="L10" i="5"/>
  <c r="AF10" i="5" s="1"/>
  <c r="L25" i="5" s="1"/>
  <c r="AF25" i="5" s="1"/>
  <c r="I14" i="14"/>
  <c r="K13" i="5"/>
  <c r="AE13" i="5" s="1"/>
  <c r="K28" i="5" s="1"/>
  <c r="H15" i="14"/>
  <c r="AH16" i="2"/>
  <c r="AK18" i="2"/>
  <c r="AG20" i="2"/>
  <c r="AP4" i="5"/>
  <c r="H13" i="14"/>
  <c r="AM20" i="2"/>
  <c r="AF4" i="2"/>
  <c r="AG7" i="2"/>
  <c r="AG8" i="2"/>
  <c r="AG9" i="2"/>
  <c r="K12" i="14"/>
  <c r="M14" i="5"/>
  <c r="AG14" i="5" s="1"/>
  <c r="M29" i="5" s="1"/>
  <c r="I13" i="14"/>
  <c r="AJ12" i="2"/>
  <c r="H14" i="14"/>
  <c r="AF20" i="2"/>
  <c r="AH4" i="2"/>
  <c r="AJ5" i="2"/>
  <c r="F6" i="14"/>
  <c r="AI17" i="2"/>
  <c r="AI6" i="2"/>
  <c r="AI7" i="2"/>
  <c r="AI8" i="2"/>
  <c r="AI9" i="2"/>
  <c r="AH10" i="2"/>
  <c r="AF11" i="2"/>
  <c r="K13" i="14"/>
  <c r="AL12" i="2"/>
  <c r="J14" i="14"/>
  <c r="L13" i="5"/>
  <c r="AF13" i="5" s="1"/>
  <c r="L28" i="5" s="1"/>
  <c r="AF28" i="5" s="1"/>
  <c r="AM14" i="2"/>
  <c r="AF15" i="2"/>
  <c r="AL18" i="2"/>
  <c r="AG19" i="2"/>
  <c r="H3" i="5"/>
  <c r="M8" i="5"/>
  <c r="AG8" i="5" s="1"/>
  <c r="M23" i="5" s="1"/>
  <c r="AP9" i="5"/>
  <c r="AP15" i="5"/>
  <c r="O30" i="5"/>
  <c r="I11" i="14"/>
  <c r="AK10" i="2"/>
  <c r="H12" i="14"/>
  <c r="AG5" i="2"/>
  <c r="F14" i="14"/>
  <c r="H13" i="5"/>
  <c r="AI18" i="2"/>
  <c r="J3" i="17"/>
  <c r="F3" i="16"/>
  <c r="I3" i="13"/>
  <c r="BB3" i="13" s="1"/>
  <c r="C2" i="8"/>
  <c r="AJ18" i="2"/>
  <c r="AJ6" i="2"/>
  <c r="F8" i="14"/>
  <c r="AJ7" i="2"/>
  <c r="F9" i="14"/>
  <c r="AJ8" i="2"/>
  <c r="F10" i="14"/>
  <c r="AJ9" i="2"/>
  <c r="F11" i="14"/>
  <c r="AI10" i="2"/>
  <c r="AM12" i="2"/>
  <c r="AG15" i="2"/>
  <c r="AJ16" i="2"/>
  <c r="AM18" i="2"/>
  <c r="AI20" i="2"/>
  <c r="AP3" i="5"/>
  <c r="O21" i="5"/>
  <c r="V26" i="5"/>
  <c r="AI26" i="5"/>
  <c r="AP26" i="5" s="1"/>
  <c r="K6" i="14"/>
  <c r="AL8" i="2"/>
  <c r="K10" i="14"/>
  <c r="AG18" i="2"/>
  <c r="N2" i="2"/>
  <c r="AF7" i="2"/>
  <c r="AF9" i="2"/>
  <c r="J12" i="14"/>
  <c r="L14" i="5"/>
  <c r="AF14" i="5" s="1"/>
  <c r="L29" i="5" s="1"/>
  <c r="AF29" i="5" s="1"/>
  <c r="AH5" i="2"/>
  <c r="AG6" i="2"/>
  <c r="AF10" i="2"/>
  <c r="AL11" i="2"/>
  <c r="F15" i="14"/>
  <c r="H15" i="5"/>
  <c r="AI4" i="2"/>
  <c r="AK5" i="2"/>
  <c r="H6" i="14"/>
  <c r="F7" i="14"/>
  <c r="AJ4" i="2"/>
  <c r="M4" i="17"/>
  <c r="J4" i="16"/>
  <c r="F5" i="14"/>
  <c r="AL5" i="2"/>
  <c r="I6" i="14"/>
  <c r="AK17" i="2"/>
  <c r="H7" i="14"/>
  <c r="AK6" i="2"/>
  <c r="H8" i="14"/>
  <c r="AK7" i="2"/>
  <c r="I9" i="14"/>
  <c r="AK8" i="2"/>
  <c r="I10" i="14"/>
  <c r="AK9" i="2"/>
  <c r="H11" i="14"/>
  <c r="AJ10" i="2"/>
  <c r="F12" i="14"/>
  <c r="H14" i="5"/>
  <c r="AH11" i="2"/>
  <c r="AF12" i="2"/>
  <c r="AF13" i="2"/>
  <c r="AG14" i="2"/>
  <c r="AH15" i="2"/>
  <c r="AK16" i="2"/>
  <c r="AF18" i="2"/>
  <c r="AI19" i="2"/>
  <c r="AJ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AP14" i="5"/>
  <c r="C11" i="10"/>
  <c r="C9" i="10"/>
  <c r="U33" i="11"/>
  <c r="O3" i="8"/>
  <c r="U26" i="11"/>
  <c r="S3" i="13"/>
  <c r="I12" i="10"/>
  <c r="I10" i="10"/>
  <c r="L8" i="10"/>
  <c r="U24" i="11"/>
  <c r="C24" i="10"/>
  <c r="H16" i="8"/>
  <c r="O16" i="8" s="1"/>
  <c r="B22" i="10"/>
  <c r="B26" i="10" s="1"/>
  <c r="U65" i="11"/>
  <c r="U67" i="11"/>
  <c r="U73" i="11"/>
  <c r="U75" i="11"/>
  <c r="N13" i="14"/>
  <c r="S13" i="14"/>
  <c r="R13" i="14"/>
  <c r="Q13" i="14"/>
  <c r="O13" i="14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M12" i="14"/>
  <c r="C31" i="10" l="1"/>
  <c r="U13" i="14"/>
  <c r="D24" i="10"/>
  <c r="D28" i="10" s="1"/>
  <c r="U11" i="14"/>
  <c r="T3" i="17"/>
  <c r="AN5" i="13"/>
  <c r="U5" i="13"/>
  <c r="S4" i="17"/>
  <c r="T5" i="13"/>
  <c r="S5" i="13"/>
  <c r="D12" i="8"/>
  <c r="E12" i="8" s="1"/>
  <c r="V20" i="5"/>
  <c r="B31" i="10"/>
  <c r="B32" i="10" s="1"/>
  <c r="C32" i="10" s="1"/>
  <c r="D23" i="10"/>
  <c r="D27" i="10" s="1"/>
  <c r="D25" i="10"/>
  <c r="D29" i="10" s="1"/>
  <c r="D9" i="8"/>
  <c r="E9" i="8" s="1"/>
  <c r="D15" i="8"/>
  <c r="E15" i="8" s="1"/>
  <c r="D6" i="8"/>
  <c r="E6" i="8" s="1"/>
  <c r="D10" i="8"/>
  <c r="F10" i="8" s="1"/>
  <c r="M4" i="8" s="1"/>
  <c r="D13" i="8"/>
  <c r="E13" i="8" s="1"/>
  <c r="D5" i="8"/>
  <c r="E5" i="8" s="1"/>
  <c r="D8" i="8"/>
  <c r="D17" i="8"/>
  <c r="D16" i="8"/>
  <c r="D18" i="8"/>
  <c r="D4" i="8"/>
  <c r="D3" i="8"/>
  <c r="D7" i="8"/>
  <c r="D11" i="8"/>
  <c r="D14" i="8"/>
  <c r="C16" i="2"/>
  <c r="D17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Q14" i="7"/>
  <c r="Q16" i="7"/>
  <c r="Q17" i="7" s="1"/>
  <c r="D19" i="14"/>
  <c r="C18" i="2"/>
  <c r="Q3" i="16"/>
  <c r="Q18" i="7"/>
  <c r="Q19" i="7" s="1"/>
  <c r="Q20" i="7" s="1"/>
  <c r="D6" i="14"/>
  <c r="C17" i="2"/>
  <c r="F4" i="5"/>
  <c r="Z4" i="5" s="1"/>
  <c r="F19" i="5" s="1"/>
  <c r="Z19" i="5" s="1"/>
  <c r="AI21" i="5"/>
  <c r="AP21" i="5" s="1"/>
  <c r="V21" i="5"/>
  <c r="J6" i="8"/>
  <c r="D20" i="14"/>
  <c r="C19" i="2"/>
  <c r="B17" i="10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I13" i="8"/>
  <c r="P13" i="8" s="1"/>
  <c r="P2" i="8"/>
  <c r="D22" i="10"/>
  <c r="D26" i="10" s="1"/>
  <c r="C22" i="10"/>
  <c r="C17" i="10"/>
  <c r="AI24" i="5"/>
  <c r="AP24" i="5" s="1"/>
  <c r="V24" i="5"/>
  <c r="D12" i="14"/>
  <c r="C11" i="2"/>
  <c r="F14" i="5"/>
  <c r="Z14" i="5" s="1"/>
  <c r="F29" i="5" s="1"/>
  <c r="Z29" i="5" s="1"/>
  <c r="D11" i="14"/>
  <c r="C10" i="2"/>
  <c r="F9" i="5"/>
  <c r="Z9" i="5" s="1"/>
  <c r="F24" i="5" s="1"/>
  <c r="Z24" i="5" s="1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AI27" i="5"/>
  <c r="AP27" i="5" s="1"/>
  <c r="V27" i="5"/>
  <c r="D21" i="14"/>
  <c r="C20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P4" i="16"/>
  <c r="D7" i="14"/>
  <c r="C6" i="2"/>
  <c r="F6" i="5"/>
  <c r="Z6" i="5" s="1"/>
  <c r="F21" i="5" s="1"/>
  <c r="Z21" i="5" s="1"/>
  <c r="P14" i="7"/>
  <c r="I16" i="8"/>
  <c r="P16" i="8" s="1"/>
  <c r="P5" i="8"/>
  <c r="F9" i="16"/>
  <c r="F10" i="16"/>
  <c r="F8" i="16"/>
  <c r="F6" i="16"/>
  <c r="F5" i="16"/>
  <c r="F7" i="16"/>
  <c r="C15" i="2"/>
  <c r="F11" i="5"/>
  <c r="Z11" i="5" s="1"/>
  <c r="F26" i="5" s="1"/>
  <c r="Z26" i="5" s="1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D31" i="10" l="1"/>
  <c r="B33" i="10"/>
  <c r="D17" i="10"/>
  <c r="F12" i="8"/>
  <c r="E23" i="10"/>
  <c r="E25" i="10"/>
  <c r="E24" i="10"/>
  <c r="F9" i="8"/>
  <c r="F15" i="8"/>
  <c r="F13" i="8"/>
  <c r="F6" i="8"/>
  <c r="M2" i="8" s="1"/>
  <c r="E10" i="8"/>
  <c r="L4" i="8" s="1"/>
  <c r="F5" i="8"/>
  <c r="E11" i="8"/>
  <c r="F11" i="8"/>
  <c r="E17" i="8"/>
  <c r="F17" i="8"/>
  <c r="F7" i="8"/>
  <c r="E7" i="8"/>
  <c r="E8" i="8"/>
  <c r="L5" i="8" s="1"/>
  <c r="S5" i="8" s="1"/>
  <c r="F8" i="8"/>
  <c r="M5" i="8" s="1"/>
  <c r="T5" i="8" s="1"/>
  <c r="F3" i="8"/>
  <c r="E3" i="8"/>
  <c r="E18" i="8"/>
  <c r="F18" i="8"/>
  <c r="E4" i="8"/>
  <c r="F4" i="8"/>
  <c r="E14" i="8"/>
  <c r="F14" i="8"/>
  <c r="E16" i="8"/>
  <c r="F16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Q21" i="7"/>
  <c r="Q7" i="16"/>
  <c r="P7" i="16"/>
  <c r="Q5" i="8"/>
  <c r="R5" i="8" s="1"/>
  <c r="J16" i="8"/>
  <c r="K5" i="8"/>
  <c r="J17" i="8"/>
  <c r="K17" i="8" s="1"/>
  <c r="K6" i="8"/>
  <c r="C33" i="10"/>
  <c r="D32" i="10"/>
  <c r="Q5" i="16"/>
  <c r="P5" i="16"/>
  <c r="Q6" i="16"/>
  <c r="P6" i="16"/>
  <c r="Q3" i="8"/>
  <c r="R3" i="8" s="1"/>
  <c r="J14" i="8"/>
  <c r="K3" i="8"/>
  <c r="Q4" i="8"/>
  <c r="R4" i="8" s="1"/>
  <c r="J15" i="8"/>
  <c r="K4" i="8"/>
  <c r="E17" i="10" l="1"/>
  <c r="E22" i="10"/>
  <c r="F25" i="10"/>
  <c r="F29" i="10" s="1"/>
  <c r="F23" i="10"/>
  <c r="F27" i="10" s="1"/>
  <c r="F24" i="10"/>
  <c r="F28" i="10" s="1"/>
  <c r="K15" i="8"/>
  <c r="Q15" i="8"/>
  <c r="R15" i="8" s="1"/>
  <c r="K13" i="8"/>
  <c r="Q13" i="8"/>
  <c r="R13" i="8" s="1"/>
  <c r="D33" i="10"/>
  <c r="E32" i="10"/>
  <c r="L6" i="8"/>
  <c r="S4" i="8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7" i="8"/>
  <c r="K7" i="8"/>
  <c r="G25" i="10" l="1"/>
  <c r="G23" i="10"/>
  <c r="G24" i="10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L30" i="10"/>
  <c r="M30" i="10" s="1"/>
  <c r="K31" i="10"/>
  <c r="E33" i="10"/>
  <c r="H24" i="10" l="1"/>
  <c r="H28" i="10" s="1"/>
  <c r="H25" i="10"/>
  <c r="H29" i="10" s="1"/>
  <c r="H23" i="10"/>
  <c r="H27" i="10" s="1"/>
  <c r="G17" i="10"/>
  <c r="G22" i="10"/>
  <c r="M17" i="8"/>
  <c r="M14" i="8"/>
  <c r="T14" i="8" s="1"/>
  <c r="M16" i="8"/>
  <c r="T16" i="8" s="1"/>
  <c r="M13" i="8"/>
  <c r="F33" i="10"/>
  <c r="G32" i="10"/>
  <c r="L13" i="8"/>
  <c r="L16" i="8"/>
  <c r="S16" i="8" s="1"/>
  <c r="M31" i="10"/>
  <c r="N30" i="10"/>
  <c r="O30" i="10" s="1"/>
  <c r="L15" i="8"/>
  <c r="S15" i="8" s="1"/>
  <c r="M15" i="8"/>
  <c r="T15" i="8" s="1"/>
  <c r="L14" i="8"/>
  <c r="S14" i="8" s="1"/>
  <c r="H17" i="10" l="1"/>
  <c r="H22" i="10"/>
  <c r="H26" i="10" s="1"/>
  <c r="H31" i="10" s="1"/>
  <c r="H32" i="10" s="1"/>
  <c r="I25" i="10"/>
  <c r="I23" i="10"/>
  <c r="I24" i="10"/>
  <c r="O31" i="10"/>
  <c r="P30" i="10"/>
  <c r="Q30" i="10" s="1"/>
  <c r="S13" i="8"/>
  <c r="S18" i="8" s="1"/>
  <c r="L18" i="8"/>
  <c r="G33" i="10"/>
  <c r="T13" i="8"/>
  <c r="T18" i="8" s="1"/>
  <c r="M18" i="8"/>
  <c r="J24" i="10" l="1"/>
  <c r="J28" i="10" s="1"/>
  <c r="J23" i="10"/>
  <c r="J27" i="10" s="1"/>
  <c r="J25" i="10"/>
  <c r="J29" i="10" s="1"/>
  <c r="I22" i="10"/>
  <c r="I17" i="10"/>
  <c r="I32" i="10"/>
  <c r="H33" i="10"/>
  <c r="Q31" i="10"/>
  <c r="R30" i="10"/>
  <c r="S30" i="10" s="1"/>
  <c r="K24" i="10" l="1"/>
  <c r="K25" i="10"/>
  <c r="K23" i="10"/>
  <c r="J17" i="10"/>
  <c r="J22" i="10"/>
  <c r="J26" i="10" s="1"/>
  <c r="J31" i="10" s="1"/>
  <c r="J32" i="10" s="1"/>
  <c r="I33" i="10"/>
  <c r="T30" i="10"/>
  <c r="U30" i="10" s="1"/>
  <c r="S31" i="10"/>
  <c r="K22" i="10" l="1"/>
  <c r="K17" i="10"/>
  <c r="L24" i="10"/>
  <c r="L28" i="10" s="1"/>
  <c r="L23" i="10"/>
  <c r="L27" i="10" s="1"/>
  <c r="L25" i="10"/>
  <c r="L29" i="10" s="1"/>
  <c r="U31" i="10"/>
  <c r="V30" i="10"/>
  <c r="W30" i="10" s="1"/>
  <c r="K32" i="10"/>
  <c r="J33" i="10"/>
  <c r="L22" i="10" l="1"/>
  <c r="L26" i="10" s="1"/>
  <c r="L31" i="10" s="1"/>
  <c r="L32" i="10" s="1"/>
  <c r="L17" i="10"/>
  <c r="M24" i="10"/>
  <c r="M23" i="10"/>
  <c r="M25" i="10"/>
  <c r="K33" i="10"/>
  <c r="W31" i="10"/>
  <c r="X30" i="10"/>
  <c r="Y30" i="10" s="1"/>
  <c r="N24" i="10" l="1"/>
  <c r="N28" i="10" s="1"/>
  <c r="N23" i="10"/>
  <c r="N27" i="10" s="1"/>
  <c r="N25" i="10"/>
  <c r="N29" i="10" s="1"/>
  <c r="M17" i="10"/>
  <c r="M22" i="10"/>
  <c r="Y31" i="10"/>
  <c r="Z30" i="10"/>
  <c r="AA30" i="10" s="1"/>
  <c r="L33" i="10"/>
  <c r="M32" i="10"/>
  <c r="N22" i="10" l="1"/>
  <c r="N26" i="10" s="1"/>
  <c r="N31" i="10" s="1"/>
  <c r="N32" i="10" s="1"/>
  <c r="N17" i="10"/>
  <c r="O25" i="10"/>
  <c r="O24" i="10"/>
  <c r="O23" i="10"/>
  <c r="M33" i="10"/>
  <c r="AB30" i="10"/>
  <c r="AC30" i="10" s="1"/>
  <c r="AA31" i="10"/>
  <c r="P23" i="10" l="1"/>
  <c r="P27" i="10" s="1"/>
  <c r="P24" i="10"/>
  <c r="P28" i="10" s="1"/>
  <c r="P25" i="10"/>
  <c r="P29" i="10" s="1"/>
  <c r="O17" i="10"/>
  <c r="O22" i="10"/>
  <c r="AD30" i="10"/>
  <c r="AC31" i="10"/>
  <c r="N33" i="10"/>
  <c r="O32" i="10"/>
  <c r="P17" i="10" l="1"/>
  <c r="P22" i="10"/>
  <c r="P26" i="10" s="1"/>
  <c r="P31" i="10" s="1"/>
  <c r="P32" i="10" s="1"/>
  <c r="Q24" i="10"/>
  <c r="Q23" i="10"/>
  <c r="Q25" i="10"/>
  <c r="O33" i="10"/>
  <c r="Q22" i="10" l="1"/>
  <c r="Q17" i="10"/>
  <c r="R23" i="10"/>
  <c r="R27" i="10" s="1"/>
  <c r="R25" i="10"/>
  <c r="R29" i="10" s="1"/>
  <c r="R24" i="10"/>
  <c r="R28" i="10" s="1"/>
  <c r="Q32" i="10"/>
  <c r="P33" i="10"/>
  <c r="S24" i="10" l="1"/>
  <c r="S25" i="10"/>
  <c r="S23" i="10"/>
  <c r="R22" i="10"/>
  <c r="R26" i="10" s="1"/>
  <c r="R31" i="10" s="1"/>
  <c r="R32" i="10" s="1"/>
  <c r="R17" i="10"/>
  <c r="Q33" i="10"/>
  <c r="T25" i="10" l="1"/>
  <c r="T29" i="10" s="1"/>
  <c r="T24" i="10"/>
  <c r="T28" i="10" s="1"/>
  <c r="T23" i="10"/>
  <c r="T27" i="10" s="1"/>
  <c r="S17" i="10"/>
  <c r="S22" i="10"/>
  <c r="S32" i="10"/>
  <c r="R33" i="10"/>
  <c r="T22" i="10" l="1"/>
  <c r="T26" i="10" s="1"/>
  <c r="T31" i="10" s="1"/>
  <c r="T32" i="10" s="1"/>
  <c r="T17" i="10"/>
  <c r="U23" i="10"/>
  <c r="U25" i="10"/>
  <c r="U24" i="10"/>
  <c r="S33" i="10"/>
  <c r="V23" i="10" l="1"/>
  <c r="V27" i="10" s="1"/>
  <c r="V24" i="10"/>
  <c r="V28" i="10" s="1"/>
  <c r="V25" i="10"/>
  <c r="V29" i="10" s="1"/>
  <c r="U17" i="10"/>
  <c r="U22" i="10"/>
  <c r="T33" i="10"/>
  <c r="U32" i="10"/>
  <c r="V17" i="10" l="1"/>
  <c r="V22" i="10"/>
  <c r="V26" i="10" s="1"/>
  <c r="V31" i="10" s="1"/>
  <c r="V32" i="10" s="1"/>
  <c r="W24" i="10"/>
  <c r="W25" i="10"/>
  <c r="W23" i="10"/>
  <c r="U33" i="10"/>
  <c r="X23" i="10" l="1"/>
  <c r="X27" i="10" s="1"/>
  <c r="X25" i="10"/>
  <c r="X29" i="10" s="1"/>
  <c r="X24" i="10"/>
  <c r="X28" i="10" s="1"/>
  <c r="W22" i="10"/>
  <c r="W17" i="10"/>
  <c r="V33" i="10"/>
  <c r="W32" i="10"/>
  <c r="Y25" i="10" l="1"/>
  <c r="Y23" i="10"/>
  <c r="Y24" i="10"/>
  <c r="X22" i="10"/>
  <c r="X26" i="10" s="1"/>
  <c r="X31" i="10" s="1"/>
  <c r="X32" i="10" s="1"/>
  <c r="X17" i="10"/>
  <c r="W33" i="10"/>
  <c r="Y22" i="10" l="1"/>
  <c r="Y17" i="10"/>
  <c r="Z25" i="10"/>
  <c r="Z29" i="10" s="1"/>
  <c r="Z24" i="10"/>
  <c r="Z28" i="10" s="1"/>
  <c r="Z23" i="10"/>
  <c r="Z27" i="10" s="1"/>
  <c r="Y32" i="10"/>
  <c r="X33" i="10"/>
  <c r="AA24" i="10" l="1"/>
  <c r="AA23" i="10"/>
  <c r="AA25" i="10"/>
  <c r="Z22" i="10"/>
  <c r="Z26" i="10" s="1"/>
  <c r="Z31" i="10" s="1"/>
  <c r="Z32" i="10" s="1"/>
  <c r="Z17" i="10"/>
  <c r="Y33" i="10"/>
  <c r="AA17" i="10" l="1"/>
  <c r="AA22" i="10"/>
  <c r="AB24" i="10"/>
  <c r="AB28" i="10" s="1"/>
  <c r="AB23" i="10"/>
  <c r="AB27" i="10" s="1"/>
  <c r="AB25" i="10"/>
  <c r="AB29" i="10" s="1"/>
  <c r="AA32" i="10"/>
  <c r="Z33" i="10"/>
  <c r="AB17" i="10" l="1"/>
  <c r="AB22" i="10"/>
  <c r="AB26" i="10" s="1"/>
  <c r="AB31" i="10" s="1"/>
  <c r="AB32" i="10" s="1"/>
  <c r="AC25" i="10"/>
  <c r="AC23" i="10"/>
  <c r="AC24" i="10"/>
  <c r="AA33" i="10"/>
  <c r="AD23" i="10" l="1"/>
  <c r="AD27" i="10" s="1"/>
  <c r="AE16" i="10"/>
  <c r="AD25" i="10"/>
  <c r="AD29" i="10" s="1"/>
  <c r="AD24" i="10"/>
  <c r="AD28" i="10" s="1"/>
  <c r="AC22" i="10"/>
  <c r="AC17" i="10"/>
  <c r="AB33" i="10"/>
  <c r="AC32" i="10"/>
  <c r="AE21" i="10" l="1"/>
  <c r="AE19" i="10"/>
  <c r="AE18" i="10"/>
  <c r="AE20" i="10"/>
  <c r="AF16" i="10"/>
  <c r="AD17" i="10"/>
  <c r="AD22" i="10"/>
  <c r="AD26" i="10" s="1"/>
  <c r="AD31" i="10" s="1"/>
  <c r="AD32" i="10" s="1"/>
  <c r="AD33" i="10" s="1"/>
  <c r="AC33" i="10"/>
  <c r="AF21" i="10" l="1"/>
  <c r="AF19" i="10"/>
  <c r="AF18" i="10"/>
  <c r="AG16" i="10"/>
  <c r="AF20" i="10"/>
  <c r="AG19" i="10" l="1"/>
  <c r="AH16" i="10"/>
  <c r="AG21" i="10"/>
  <c r="AG20" i="10"/>
  <c r="AG18" i="10"/>
  <c r="AI16" i="10" l="1"/>
  <c r="AH20" i="10"/>
  <c r="AH18" i="10"/>
  <c r="AH21" i="10"/>
  <c r="AH19" i="10"/>
  <c r="AI21" i="10" l="1"/>
  <c r="AI19" i="10"/>
  <c r="AJ16" i="10"/>
  <c r="AI20" i="10"/>
  <c r="AI18" i="10"/>
  <c r="AJ21" i="10" l="1"/>
  <c r="AJ20" i="10"/>
  <c r="AJ18" i="10"/>
  <c r="AJ19" i="10"/>
  <c r="Z3" i="20" l="1"/>
  <c r="Z2" i="20" s="1"/>
  <c r="AA2" i="20" l="1"/>
  <c r="AA9" i="20"/>
  <c r="AA17" i="20"/>
  <c r="AA14" i="20"/>
  <c r="AA7" i="20"/>
  <c r="AA18" i="20"/>
  <c r="AA16" i="20"/>
  <c r="AA19" i="20"/>
  <c r="AA5" i="20"/>
  <c r="AA20" i="20"/>
  <c r="AA15" i="20"/>
  <c r="AA8" i="20"/>
  <c r="AA4" i="20"/>
  <c r="AA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45" authorId="0" shapeId="0" xr:uid="{00000000-0006-0000-02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  <comment ref="AW45" authorId="0" shapeId="0" xr:uid="{00000000-0006-0000-02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22" authorId="0" shapeId="0" xr:uid="{DB2EEABE-8A0F-41BC-844D-6C732E860CCC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<sst xmlns="http://schemas.openxmlformats.org/spreadsheetml/2006/main" count="2077" uniqueCount="1036">
  <si>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</si>
  <si>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</si>
  <si>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</si>
  <si>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</si>
  <si>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</si>
  <si>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</si>
  <si>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</si>
  <si>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</si>
  <si>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</si>
  <si>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</si>
  <si>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</si>
  <si>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</si>
  <si>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</si>
  <si>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</si>
  <si>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</si>
  <si>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</si>
  <si>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</si>
  <si>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</si>
  <si>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</si>
  <si>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</si>
  <si>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</si>
  <si>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</si>
  <si>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Vader - Rayitos</t>
  </si>
  <si>
    <t>487 HTS</t>
  </si>
  <si>
    <t>Rasheed Da'na</t>
  </si>
  <si>
    <t>12*</t>
  </si>
  <si>
    <t>Juan Garcia Peñuela</t>
  </si>
  <si>
    <t>Iván Real Figueroa</t>
  </si>
  <si>
    <t>FORA</t>
  </si>
  <si>
    <t>Xermade - Vader</t>
  </si>
  <si>
    <t>472 HTS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</si>
  <si>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</si>
  <si>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</si>
  <si>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</si>
  <si>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</si>
  <si>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</si>
  <si>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</si>
  <si>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</si>
  <si>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</si>
  <si>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</si>
  <si>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</si>
  <si>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</si>
  <si>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</si>
  <si>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</si>
  <si>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</si>
  <si>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</si>
  <si>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</si>
  <si>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</si>
  <si>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</si>
  <si>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</si>
  <si>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</si>
  <si>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</si>
  <si>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</si>
  <si>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</si>
  <si>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</si>
  <si>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</si>
  <si>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</si>
  <si>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</si>
  <si>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</si>
  <si>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</si>
  <si>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</si>
  <si>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</si>
  <si>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</si>
  <si>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</si>
  <si>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</si>
  <si>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</si>
  <si>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</si>
  <si>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</si>
  <si>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</si>
  <si>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</si>
  <si>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</si>
  <si>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</si>
  <si>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</si>
  <si>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</si>
  <si>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</si>
  <si>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</si>
  <si>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</si>
  <si>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</si>
  <si>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</si>
  <si>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</si>
  <si>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</si>
  <si>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</si>
  <si>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</si>
  <si>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</si>
  <si>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</si>
  <si>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</si>
  <si>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</si>
  <si>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</si>
  <si>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</si>
  <si>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</si>
  <si>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</si>
  <si>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</si>
  <si>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</si>
  <si>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</si>
  <si>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</si>
  <si>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</si>
  <si>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</si>
  <si>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</si>
  <si>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</si>
  <si>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</si>
  <si>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</si>
  <si>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</si>
  <si>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</si>
  <si>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</si>
  <si>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</si>
  <si>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</si>
  <si>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</si>
  <si>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</si>
  <si>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</si>
  <si>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</si>
  <si>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</si>
  <si>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</si>
  <si>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</si>
  <si>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</si>
  <si>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</si>
  <si>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</si>
  <si>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</si>
  <si>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</si>
  <si>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</si>
  <si>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</si>
  <si>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</si>
  <si>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</si>
  <si>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</si>
  <si>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</si>
  <si>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</si>
  <si>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</si>
  <si>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</si>
  <si>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</si>
  <si>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</si>
  <si>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</si>
  <si>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</si>
  <si>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</si>
  <si>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</si>
  <si>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</si>
  <si>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</si>
  <si>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</si>
  <si>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</si>
  <si>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</si>
  <si>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</si>
  <si>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</si>
  <si>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</si>
  <si>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</si>
  <si>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</si>
  <si>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</si>
  <si>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</si>
  <si>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</si>
  <si>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</si>
  <si>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</si>
  <si>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</si>
  <si>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</si>
  <si>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</si>
  <si>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</si>
  <si>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</si>
  <si>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</si>
  <si>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</si>
  <si>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</si>
  <si>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</si>
  <si>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</si>
  <si>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</si>
  <si>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</si>
  <si>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</si>
  <si>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</si>
  <si>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</si>
  <si>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</si>
  <si>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</si>
  <si>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</si>
  <si>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</si>
  <si>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</si>
  <si>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</si>
  <si>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</si>
  <si>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</si>
  <si>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</si>
  <si>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</si>
  <si>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Julian Gräbitz</t>
  </si>
  <si>
    <t>#16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</si>
  <si>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</si>
  <si>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</si>
  <si>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</si>
  <si>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</si>
  <si>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</si>
  <si>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</si>
  <si>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</si>
  <si>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PROMOCIONADOS</t>
  </si>
  <si>
    <t>Jugador</t>
  </si>
  <si>
    <t>Edad</t>
  </si>
  <si>
    <t>Esp</t>
  </si>
  <si>
    <t>Asc</t>
  </si>
  <si>
    <t>Promoción</t>
  </si>
  <si>
    <t>Gen</t>
  </si>
  <si>
    <t>u20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</si>
  <si>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</si>
  <si>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</si>
  <si>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</si>
  <si>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</si>
  <si>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</si>
  <si>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</si>
  <si>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</si>
  <si>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</si>
  <si>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</si>
  <si>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</si>
  <si>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HTMS</t>
  </si>
  <si>
    <t>PR</t>
  </si>
  <si>
    <t>DL</t>
  </si>
  <si>
    <t>DC</t>
  </si>
  <si>
    <t>In</t>
  </si>
  <si>
    <t>ExO</t>
  </si>
  <si>
    <t>DV</t>
  </si>
  <si>
    <t>Atributs</t>
  </si>
  <si>
    <t>Pot P</t>
  </si>
  <si>
    <t>Pot Def</t>
  </si>
  <si>
    <t>Pot Jug</t>
  </si>
  <si>
    <t>Pot Lat</t>
  </si>
  <si>
    <t>Pot Ano</t>
  </si>
  <si>
    <t>Pot Pas</t>
  </si>
  <si>
    <t>P_BP</t>
  </si>
  <si>
    <t>Fecha</t>
  </si>
  <si>
    <t>Joaquin Romero</t>
  </si>
  <si>
    <t>Acep</t>
  </si>
  <si>
    <t>no</t>
  </si>
  <si>
    <t>ns/nc</t>
  </si>
  <si>
    <t>Polèmic</t>
  </si>
  <si>
    <t>Servulo Matute Suso</t>
  </si>
  <si>
    <t>IMPORTANTES</t>
  </si>
  <si>
    <t>Raul Fonoll</t>
  </si>
  <si>
    <t>Info</t>
  </si>
  <si>
    <t>Habilidades</t>
  </si>
  <si>
    <t>Mejor Partido</t>
  </si>
  <si>
    <t>Sergio Lopez</t>
  </si>
  <si>
    <t>Pancracio Ribadulla</t>
  </si>
  <si>
    <t>Alejandro Camacho</t>
  </si>
  <si>
    <t>Agradable i Popular</t>
  </si>
  <si>
    <t>Manuel Garces de Marcilla</t>
  </si>
  <si>
    <t>Rap</t>
  </si>
  <si>
    <t>César Carrasquedo</t>
  </si>
  <si>
    <t>Emilio Olmos</t>
  </si>
  <si>
    <t>RELEVANTES</t>
  </si>
  <si>
    <t>Faustino Manene</t>
  </si>
  <si>
    <t>Miquel Barbarie</t>
  </si>
  <si>
    <t>Imp</t>
  </si>
  <si>
    <t>Michael Healy</t>
  </si>
  <si>
    <t>Cab</t>
  </si>
  <si>
    <t>Paulo Endara</t>
  </si>
  <si>
    <t>Insuf</t>
  </si>
  <si>
    <t>FF</t>
  </si>
  <si>
    <t>Aimar Koskarratza</t>
  </si>
  <si>
    <t>Ambrosio Solares</t>
  </si>
  <si>
    <t>Sergio Martin</t>
  </si>
  <si>
    <t>Mantxo Hokigarai</t>
  </si>
  <si>
    <t>FC</t>
  </si>
  <si>
    <t>Diego Gomez de la Torre</t>
  </si>
  <si>
    <t>David Inoso</t>
  </si>
  <si>
    <t>FC+2</t>
  </si>
  <si>
    <t>Emilio Cassana</t>
  </si>
  <si>
    <t>Erramu Errementaritegi</t>
  </si>
  <si>
    <t>Gundar Bugarin</t>
  </si>
  <si>
    <t>David Pallicera</t>
  </si>
  <si>
    <t>Guillermo Imperial</t>
  </si>
  <si>
    <t>José Caramillo</t>
  </si>
  <si>
    <t>Tec</t>
  </si>
  <si>
    <t>Julio Santolalla</t>
  </si>
  <si>
    <t>Juan Gabriel</t>
  </si>
  <si>
    <t>Julio Segura Puertas</t>
  </si>
  <si>
    <t>Filip Balkanski</t>
  </si>
  <si>
    <t>Adrià Moltó</t>
  </si>
  <si>
    <t>Avelino Paredes</t>
  </si>
  <si>
    <t>Rafael Veigas</t>
  </si>
  <si>
    <t>TEC</t>
  </si>
  <si>
    <t>Ricardo Corn</t>
  </si>
  <si>
    <t>Ibai Lanzas Manzanares</t>
  </si>
  <si>
    <t>Noelio Sevilla</t>
  </si>
  <si>
    <t>Javier Buelna</t>
  </si>
  <si>
    <t>David Subirà</t>
  </si>
  <si>
    <t>Heren Jaukikoa</t>
  </si>
  <si>
    <t>Tome Baldin</t>
  </si>
  <si>
    <t>Ramon Iñiguez Lafuente</t>
  </si>
  <si>
    <t>Abdennour Zoheir</t>
  </si>
  <si>
    <t>Babil Oruesagasti</t>
  </si>
  <si>
    <t>debil</t>
  </si>
  <si>
    <t>Francisco J. Maceda</t>
  </si>
  <si>
    <t>Milen Manoilov</t>
  </si>
  <si>
    <t>David Cabasés</t>
  </si>
  <si>
    <t>Ja</t>
  </si>
  <si>
    <t>Actualización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</si>
  <si>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</si>
  <si>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</si>
  <si>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</si>
  <si>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</si>
  <si>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</si>
  <si>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</si>
  <si>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</si>
  <si>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</si>
  <si>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</si>
  <si>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</si>
  <si>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</si>
  <si>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</si>
  <si>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</si>
  <si>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</si>
  <si>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</si>
  <si>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</si>
  <si>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</si>
  <si>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</si>
  <si>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</si>
  <si>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</si>
  <si>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</si>
  <si>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</si>
  <si>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</si>
  <si>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</si>
  <si>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</si>
  <si>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</si>
  <si>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</si>
  <si>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</si>
  <si>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</si>
  <si>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</si>
  <si>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</si>
  <si>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</si>
  <si>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</si>
  <si>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</si>
  <si>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</si>
  <si>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</si>
  <si>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</si>
  <si>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</si>
  <si>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</si>
  <si>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</si>
  <si>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</si>
  <si>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</si>
  <si>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</si>
  <si>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</si>
  <si>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</si>
  <si>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</si>
  <si>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</si>
  <si>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</si>
  <si>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</si>
  <si>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</si>
  <si>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</si>
  <si>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</si>
  <si>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</si>
  <si>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</si>
  <si>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</si>
  <si>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</si>
  <si>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</si>
  <si>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</si>
  <si>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</si>
  <si>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</si>
  <si>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</si>
  <si>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</si>
  <si>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</si>
  <si>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</si>
  <si>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</si>
  <si>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</si>
  <si>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</si>
  <si>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</si>
  <si>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</si>
  <si>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</si>
  <si>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</si>
  <si>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</si>
  <si>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</si>
  <si>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</si>
  <si>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</si>
  <si>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</si>
  <si>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</si>
  <si>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</si>
  <si>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</si>
  <si>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</si>
  <si>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</si>
  <si>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</si>
  <si>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</si>
  <si>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</si>
  <si>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</si>
  <si>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</si>
  <si>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</si>
  <si>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</si>
  <si>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Marco Antonio Corvinos</t>
  </si>
  <si>
    <t>Carlos Picabea</t>
  </si>
  <si>
    <t>Osián Mágoa</t>
  </si>
  <si>
    <t>Carlos Poncela</t>
  </si>
  <si>
    <t>Marc Marsal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</si>
  <si>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</si>
  <si>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</si>
  <si>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</si>
  <si>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</si>
  <si>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</si>
  <si>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</si>
  <si>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</si>
  <si>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</si>
  <si>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</si>
  <si>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</si>
  <si>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</si>
  <si>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</si>
  <si>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</si>
  <si>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</si>
  <si>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</si>
  <si>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</si>
  <si>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</si>
  <si>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</si>
  <si>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</si>
  <si>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</si>
  <si>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</si>
  <si>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</si>
  <si>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</si>
  <si>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</si>
  <si>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</si>
  <si>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</si>
  <si>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</si>
  <si>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</si>
  <si>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</si>
  <si>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</si>
  <si>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</si>
  <si>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</si>
  <si>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</si>
  <si>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</si>
  <si>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</si>
  <si>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</si>
  <si>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</si>
  <si>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</si>
  <si>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</si>
  <si>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</si>
  <si>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</si>
  <si>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</si>
  <si>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</si>
  <si>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</si>
  <si>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</si>
  <si>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</si>
  <si>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</si>
  <si>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</si>
  <si>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</si>
  <si>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</si>
  <si>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</si>
  <si>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</si>
  <si>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</si>
  <si>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</si>
  <si>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</si>
  <si>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</si>
  <si>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</si>
  <si>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</si>
  <si>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</si>
  <si>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</si>
  <si>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</si>
  <si>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</si>
  <si>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</si>
  <si>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</si>
  <si>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</si>
  <si>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</si>
  <si>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</si>
  <si>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</si>
  <si>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</si>
  <si>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</si>
  <si>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</si>
  <si>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</si>
  <si>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</si>
  <si>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</si>
  <si>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</si>
  <si>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</si>
  <si>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</si>
  <si>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</si>
  <si>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</si>
  <si>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</si>
  <si>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</si>
  <si>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</si>
  <si>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</si>
  <si>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</si>
  <si>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</si>
  <si>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</si>
  <si>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</si>
  <si>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</si>
  <si>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</si>
  <si>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</si>
  <si>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</si>
  <si>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</si>
  <si>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</si>
  <si>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</si>
  <si>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</si>
  <si>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</si>
  <si>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</si>
  <si>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</si>
  <si>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</si>
  <si>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</si>
  <si>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</si>
  <si>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</si>
  <si>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</si>
  <si>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</si>
  <si>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</si>
  <si>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</si>
  <si>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</si>
  <si>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</si>
  <si>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</si>
  <si>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</si>
  <si>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</si>
  <si>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</si>
  <si>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</si>
  <si>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</si>
  <si>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</si>
  <si>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</si>
  <si>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</si>
  <si>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</si>
  <si>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</si>
  <si>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</si>
  <si>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</si>
  <si>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</si>
  <si>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</si>
  <si>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</si>
  <si>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</si>
  <si>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</si>
  <si>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</si>
  <si>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</si>
  <si>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</si>
  <si>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</si>
  <si>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</si>
  <si>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</si>
  <si>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</si>
  <si>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</si>
  <si>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</si>
  <si>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</si>
  <si>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</si>
  <si>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</si>
  <si>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</si>
  <si>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</si>
  <si>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</si>
  <si>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</si>
  <si>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</si>
  <si>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</si>
  <si>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</si>
  <si>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</si>
  <si>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</si>
  <si>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</si>
  <si>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</si>
  <si>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</si>
  <si>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</si>
  <si>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</si>
  <si>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</si>
  <si>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</si>
  <si>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</si>
  <si>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Jugadores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</si>
  <si>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</si>
  <si>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</si>
  <si>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</si>
  <si>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</si>
  <si>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</si>
  <si>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</si>
  <si>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</si>
  <si>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</si>
  <si>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</si>
  <si>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</si>
  <si>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</si>
  <si>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</si>
  <si>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</si>
  <si>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</si>
  <si>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</si>
  <si>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</si>
  <si>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</si>
  <si>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</si>
  <si>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</si>
  <si>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</si>
  <si>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</si>
  <si>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</si>
  <si>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</si>
  <si>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</si>
  <si>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</si>
  <si>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</si>
  <si>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</si>
  <si>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</si>
  <si>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</si>
  <si>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</si>
  <si>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</si>
  <si>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</si>
  <si>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</si>
  <si>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</si>
  <si>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</si>
  <si>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</si>
  <si>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</si>
  <si>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</si>
  <si>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</si>
  <si>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</si>
  <si>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</si>
  <si>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</si>
  <si>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</si>
  <si>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</si>
  <si>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</si>
  <si>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</si>
  <si>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</si>
  <si>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</si>
  <si>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</si>
  <si>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</si>
  <si>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</si>
  <si>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</si>
  <si>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</si>
  <si>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</si>
  <si>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</si>
  <si>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</si>
  <si>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</si>
  <si>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</si>
  <si>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</si>
  <si>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</si>
  <si>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</si>
  <si>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</si>
  <si>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</si>
  <si>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</si>
  <si>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</si>
  <si>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</si>
  <si>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</si>
  <si>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</si>
  <si>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</si>
  <si>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</si>
  <si>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</si>
  <si>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</si>
  <si>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</si>
  <si>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</si>
  <si>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</si>
  <si>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</si>
  <si>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</si>
  <si>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</si>
  <si>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</si>
  <si>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</si>
  <si>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</si>
  <si>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</si>
  <si>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</si>
  <si>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</si>
  <si>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</si>
  <si>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</si>
  <si>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</si>
  <si>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</si>
  <si>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</si>
  <si>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</si>
  <si>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</si>
  <si>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</si>
  <si>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</si>
  <si>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</si>
  <si>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</si>
  <si>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</si>
  <si>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</si>
  <si>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</si>
  <si>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</si>
  <si>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</si>
  <si>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</si>
  <si>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</si>
  <si>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</si>
  <si>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</si>
  <si>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</si>
  <si>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</si>
  <si>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</si>
  <si>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</si>
  <si>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</si>
  <si>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</si>
  <si>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</si>
  <si>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</si>
  <si>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</si>
  <si>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</si>
  <si>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</si>
  <si>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</si>
  <si>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</si>
  <si>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</si>
  <si>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</si>
  <si>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</si>
  <si>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</si>
  <si>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</si>
  <si>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</si>
  <si>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</si>
  <si>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</si>
  <si>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</si>
  <si>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</si>
  <si>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</si>
  <si>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</si>
  <si>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</si>
  <si>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</si>
  <si>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</si>
  <si>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</si>
  <si>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</si>
  <si>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</si>
  <si>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</si>
  <si>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</si>
  <si>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</si>
  <si>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</si>
  <si>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</si>
  <si>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</si>
  <si>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</si>
  <si>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</si>
  <si>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</si>
  <si>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</si>
  <si>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</si>
  <si>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</si>
  <si>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</si>
  <si>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</si>
  <si>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</si>
  <si>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</si>
  <si>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</si>
  <si>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</si>
  <si>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</si>
  <si>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</si>
  <si>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</si>
  <si>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</si>
  <si>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</si>
  <si>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</si>
  <si>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</si>
  <si>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</si>
  <si>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</si>
  <si>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</si>
  <si>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</si>
  <si>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</si>
  <si>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</si>
  <si>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</si>
  <si>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</si>
  <si>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</si>
  <si>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</si>
  <si>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</si>
  <si>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</si>
  <si>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</si>
  <si>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</si>
  <si>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</si>
  <si>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</si>
  <si>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</si>
  <si>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</si>
  <si>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</si>
  <si>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</si>
  <si>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</si>
  <si>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</si>
  <si>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</si>
  <si>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</si>
  <si>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</si>
  <si>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</si>
  <si>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</si>
  <si>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</si>
  <si>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</si>
  <si>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</si>
  <si>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</si>
  <si>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</si>
  <si>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</si>
  <si>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</si>
  <si>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</si>
  <si>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</si>
  <si>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</si>
  <si>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</si>
  <si>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</si>
  <si>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</si>
  <si>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</si>
  <si>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</si>
  <si>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</si>
  <si>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</si>
  <si>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</si>
  <si>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</si>
  <si>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</si>
  <si>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</si>
  <si>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</si>
  <si>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</si>
  <si>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</si>
  <si>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</si>
  <si>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</si>
  <si>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</si>
  <si>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</si>
  <si>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</si>
  <si>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</si>
  <si>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</si>
  <si>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</si>
  <si>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</si>
  <si>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</si>
  <si>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</si>
  <si>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</si>
  <si>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</si>
  <si>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</si>
  <si>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</si>
  <si>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</si>
  <si>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</si>
  <si>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</si>
  <si>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</si>
  <si>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</si>
  <si>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</si>
  <si>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</si>
  <si>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</si>
  <si>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</si>
  <si>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</si>
  <si>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</si>
  <si>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</si>
  <si>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</si>
  <si>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</si>
  <si>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</si>
  <si>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</si>
  <si>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</si>
  <si>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</si>
  <si>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</si>
  <si>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</si>
  <si>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</si>
  <si>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</si>
  <si>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</si>
  <si>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</si>
  <si>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</si>
  <si>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</si>
  <si>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</si>
  <si>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</si>
  <si>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</si>
  <si>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</si>
  <si>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</si>
  <si>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</si>
  <si>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</si>
  <si>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</si>
  <si>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</si>
  <si>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</si>
  <si>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</si>
  <si>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</si>
  <si>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</si>
  <si>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</si>
  <si>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</si>
  <si>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</si>
  <si>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</si>
  <si>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</si>
  <si>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</si>
  <si>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</si>
  <si>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</si>
  <si>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</si>
  <si>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</si>
  <si>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</si>
  <si>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</si>
  <si>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</si>
  <si>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</si>
  <si>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</si>
  <si>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</si>
  <si>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</si>
  <si>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</si>
  <si>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</si>
  <si>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</si>
  <si>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</si>
  <si>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</si>
  <si>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</si>
  <si>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</si>
  <si>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</si>
  <si>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</si>
  <si>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</si>
  <si>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</si>
  <si>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</si>
  <si>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</si>
  <si>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</si>
  <si>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</si>
  <si>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</si>
  <si>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</si>
  <si>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V_32</t>
  </si>
  <si>
    <t>Coste_36</t>
  </si>
  <si>
    <t>Coste_34</t>
  </si>
  <si>
    <t>Coste_32</t>
  </si>
  <si>
    <t>C_T36</t>
  </si>
  <si>
    <t>C_T34</t>
  </si>
  <si>
    <t>C_T32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</si>
  <si>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</si>
  <si>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</si>
  <si>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</si>
  <si>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</si>
  <si>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</si>
  <si>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</si>
  <si>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</si>
  <si>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</si>
  <si>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</si>
  <si>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</si>
  <si>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</si>
  <si>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</si>
  <si>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</si>
  <si>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</si>
  <si>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</si>
  <si>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</si>
  <si>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</si>
  <si>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</si>
  <si>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</si>
  <si>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</si>
  <si>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</si>
  <si>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</si>
  <si>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</si>
  <si>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</si>
  <si>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</si>
  <si>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</si>
  <si>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</si>
  <si>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</si>
  <si>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</si>
  <si>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</si>
  <si>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</si>
  <si>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</si>
  <si>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</si>
  <si>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</si>
  <si>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</si>
  <si>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</si>
  <si>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</si>
  <si>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</si>
  <si>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</si>
  <si>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</si>
  <si>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</si>
  <si>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</si>
  <si>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</si>
  <si>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</si>
  <si>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</si>
  <si>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</si>
  <si>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</si>
  <si>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</si>
  <si>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</si>
  <si>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</si>
  <si>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</si>
  <si>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</si>
  <si>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</si>
  <si>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</si>
  <si>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</si>
  <si>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</si>
  <si>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</si>
  <si>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</si>
  <si>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</si>
  <si>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</si>
  <si>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</si>
  <si>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</si>
  <si>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</si>
  <si>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</si>
  <si>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</si>
  <si>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</si>
  <si>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</si>
  <si>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</si>
  <si>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</si>
  <si>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</si>
  <si>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</si>
  <si>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</si>
  <si>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</si>
  <si>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</si>
  <si>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</si>
  <si>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</si>
  <si>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</si>
  <si>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</si>
  <si>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</si>
  <si>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</si>
  <si>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</si>
  <si>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</si>
  <si>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</si>
  <si>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</si>
  <si>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</si>
  <si>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</si>
  <si>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</si>
  <si>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</si>
  <si>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</si>
  <si>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</si>
  <si>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</si>
  <si>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</si>
  <si>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</si>
  <si>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</si>
  <si>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</si>
  <si>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>Reservas</t>
  </si>
  <si>
    <t>Tipo</t>
  </si>
  <si>
    <t>Entrenable</t>
  </si>
  <si>
    <t>Lenadro Faias</t>
  </si>
  <si>
    <t>Kenny Holmen</t>
  </si>
  <si>
    <t>Volkert Copejans</t>
  </si>
  <si>
    <t>Andy Biberstein</t>
  </si>
  <si>
    <t>Mauro Maestroni</t>
  </si>
  <si>
    <t>Roxelio Reborado</t>
  </si>
  <si>
    <t>Davy Bruninx</t>
  </si>
  <si>
    <t>Enrique Riobóo</t>
  </si>
  <si>
    <t>Ruben Drexler</t>
  </si>
  <si>
    <t>Yadin Hajdu</t>
  </si>
  <si>
    <t>Bartłomiej Benka</t>
  </si>
  <si>
    <t>Nicolás Galaz</t>
  </si>
  <si>
    <t>Roxelio Reboredo</t>
  </si>
  <si>
    <t>Leandro Faias</t>
  </si>
  <si>
    <t>Miguel Fernandez</t>
  </si>
  <si>
    <t>Julian Grabitz</t>
  </si>
  <si>
    <t>RESERVA Inicial</t>
  </si>
  <si>
    <t>RESERVA Final</t>
  </si>
  <si>
    <t>Inversión</t>
  </si>
  <si>
    <t>Amortización</t>
  </si>
  <si>
    <t>Fonteboa</t>
  </si>
  <si>
    <t>PrecioContable</t>
  </si>
  <si>
    <t>Pedrajas</t>
  </si>
  <si>
    <t>Duffill</t>
  </si>
  <si>
    <t>Abandero</t>
  </si>
  <si>
    <t>Gomis</t>
  </si>
  <si>
    <t>Grabitz</t>
  </si>
  <si>
    <t>Oset</t>
  </si>
  <si>
    <t>Cubas</t>
  </si>
  <si>
    <t>Añigas</t>
  </si>
  <si>
    <t>El Halcon</t>
  </si>
  <si>
    <t>Peñuela</t>
  </si>
  <si>
    <t>Galaz</t>
  </si>
  <si>
    <t>Figueroa</t>
  </si>
  <si>
    <t>Reboredo</t>
  </si>
  <si>
    <t>Siddiqui</t>
  </si>
  <si>
    <t>Faias</t>
  </si>
  <si>
    <t>Hornet</t>
  </si>
  <si>
    <t>Carni</t>
  </si>
  <si>
    <t>Myller</t>
  </si>
  <si>
    <t>Casula</t>
  </si>
  <si>
    <t>Schaffner</t>
  </si>
  <si>
    <t>Piechocki</t>
  </si>
  <si>
    <t>PrecioComp</t>
  </si>
  <si>
    <t>Amortizacion</t>
  </si>
  <si>
    <t>Reservas de la Junta</t>
  </si>
  <si>
    <t>Inicial</t>
  </si>
  <si>
    <t>Final</t>
  </si>
  <si>
    <t>Valor de Compra</t>
  </si>
  <si>
    <t>Valor Contable Actual</t>
  </si>
  <si>
    <t>Caja</t>
  </si>
  <si>
    <t>Venta Jugadores</t>
  </si>
  <si>
    <t>Compra Jugadores</t>
  </si>
  <si>
    <t>Ingreso a Reservas</t>
  </si>
  <si>
    <t>Pago a Reservas</t>
  </si>
  <si>
    <t>Ingresos Corto Plazo</t>
  </si>
  <si>
    <t>ByP Acumulado</t>
  </si>
  <si>
    <t>ByP Temporada 66</t>
  </si>
  <si>
    <t>Pagos Corto Plazo</t>
  </si>
  <si>
    <t>Mantenimieto</t>
  </si>
  <si>
    <t>ByP  Jugadores</t>
  </si>
  <si>
    <t>ByP Ing-Gas CP</t>
  </si>
  <si>
    <t>Ultima Actu</t>
  </si>
  <si>
    <t>AmortizaciónT66</t>
  </si>
  <si>
    <t>III.12</t>
  </si>
  <si>
    <t>A.D.C. Valadouro</t>
  </si>
  <si>
    <t>Primera (2)</t>
  </si>
  <si>
    <t>31(71)</t>
  </si>
  <si>
    <t>Notable - Neu - Acep</t>
  </si>
  <si>
    <t>253 - 352</t>
  </si>
  <si>
    <t>Estela Reynolds Fan Club</t>
  </si>
  <si>
    <t>Barbecho</t>
  </si>
  <si>
    <t>Kalañita Team</t>
  </si>
  <si>
    <t>Euskadi</t>
  </si>
  <si>
    <t>III (3)</t>
  </si>
  <si>
    <t>27(61)</t>
  </si>
  <si>
    <t>KIMESBE</t>
  </si>
  <si>
    <t>II (2)</t>
  </si>
  <si>
    <t>32(16)</t>
  </si>
  <si>
    <t>Notable - Neu - Deb</t>
  </si>
  <si>
    <t>Club Atlético Gaditano</t>
  </si>
  <si>
    <t>IV (3)</t>
  </si>
  <si>
    <t>Notable - Def - Acep</t>
  </si>
  <si>
    <t>TL</t>
  </si>
  <si>
    <t>Son Rapinya</t>
  </si>
  <si>
    <t>Baleares</t>
  </si>
  <si>
    <t>III (10)</t>
  </si>
  <si>
    <t>27(50)</t>
  </si>
  <si>
    <t>Notable - Neu - Insuf</t>
  </si>
  <si>
    <t>F.C. COMANCHEROS</t>
  </si>
  <si>
    <t>Barcelona</t>
  </si>
  <si>
    <t>III (2)</t>
  </si>
  <si>
    <t>33 (9)</t>
  </si>
  <si>
    <t>28(53)</t>
  </si>
  <si>
    <t>Excelent - Neutro - Insuf</t>
  </si>
  <si>
    <t>27(58)</t>
  </si>
  <si>
    <t>Yoann Defaye</t>
  </si>
  <si>
    <t>Erik-Jan Oude Middendorp</t>
  </si>
  <si>
    <t>Kahidu Gerel</t>
  </si>
  <si>
    <t>Roberto Diprizio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</si>
</sst>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&quot; €&quot;_-;\-* #,##0&quot; €&quot;_-;_-* \-??&quot; €&quot;_-;_-@_-"/>
    <numFmt numFmtId="176" formatCode="m/d/yyyy"/>
    <numFmt numFmtId="177" formatCode="[$-C0A]d\-mmm\-yy;@"/>
  </numFmts>
  <fonts count="63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u/>
      <sz val="11"/>
      <color rgb="FFFFFFFF"/>
      <name val="Calibri"/>
      <family val="2"/>
    </font>
    <font>
      <b/>
      <i/>
      <u/>
      <sz val="11"/>
      <color rgb="FFFF0000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Arial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FF0000"/>
      <name val="Verdana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sz val="16"/>
      <color rgb="FF000000"/>
      <name val="Calibri"/>
      <family val="2"/>
    </font>
  </fonts>
  <fills count="10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85858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52" fillId="0" borderId="0"/>
    <xf numFmtId="44" fontId="52" fillId="0" borderId="0" applyFont="0" applyFill="0" applyBorder="0" applyAlignment="0" applyProtection="0"/>
  </cellStyleXfs>
  <cellXfs count="497">
    <xf numFmtId="0" fontId="0" fillId="0" borderId="0" xfId="0"/>
    <xf numFmtId="164" fontId="0" fillId="0" borderId="0" xfId="1" applyFont="1"/>
    <xf numFmtId="9" fontId="0" fillId="0" borderId="0" xfId="2" applyFont="1"/>
    <xf numFmtId="0" fontId="52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6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52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23" fillId="32" borderId="32" xfId="3" applyFont="1" applyFill="1" applyBorder="1"/>
    <xf numFmtId="0" fontId="23" fillId="32" borderId="32" xfId="3" applyFont="1" applyFill="1" applyBorder="1" applyAlignment="1">
      <alignment horizontal="center"/>
    </xf>
    <xf numFmtId="0" fontId="24" fillId="32" borderId="32" xfId="3" applyFont="1" applyFill="1" applyBorder="1" applyAlignment="1">
      <alignment horizontal="center"/>
    </xf>
    <xf numFmtId="0" fontId="24" fillId="32" borderId="32" xfId="3" applyFont="1" applyFill="1" applyBorder="1"/>
    <xf numFmtId="0" fontId="25" fillId="32" borderId="32" xfId="3" applyFont="1" applyFill="1" applyBorder="1" applyAlignment="1">
      <alignment horizontal="left"/>
    </xf>
    <xf numFmtId="0" fontId="25" fillId="32" borderId="32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center"/>
    </xf>
    <xf numFmtId="0" fontId="25" fillId="33" borderId="33" xfId="3" applyFont="1" applyFill="1" applyBorder="1" applyAlignment="1">
      <alignment horizontal="left"/>
    </xf>
    <xf numFmtId="0" fontId="25" fillId="33" borderId="33" xfId="3" applyFont="1" applyFill="1" applyBorder="1" applyAlignment="1">
      <alignment horizontal="center"/>
    </xf>
    <xf numFmtId="0" fontId="26" fillId="32" borderId="32" xfId="3" applyFont="1" applyFill="1" applyBorder="1" applyAlignment="1">
      <alignment horizontal="left"/>
    </xf>
    <xf numFmtId="0" fontId="27" fillId="34" borderId="34" xfId="3" applyFont="1" applyFill="1" applyBorder="1" applyAlignment="1">
      <alignment horizontal="right"/>
    </xf>
    <xf numFmtId="0" fontId="28" fillId="0" borderId="0" xfId="3" applyFont="1"/>
    <xf numFmtId="1" fontId="28" fillId="0" borderId="0" xfId="3" applyNumberFormat="1" applyFont="1" applyAlignment="1">
      <alignment horizontal="right"/>
    </xf>
    <xf numFmtId="0" fontId="29" fillId="0" borderId="0" xfId="3" applyFont="1" applyAlignment="1">
      <alignment horizontal="center"/>
    </xf>
    <xf numFmtId="1" fontId="30" fillId="0" borderId="0" xfId="3" applyNumberFormat="1" applyFont="1" applyAlignment="1">
      <alignment horizontal="right"/>
    </xf>
    <xf numFmtId="176" fontId="28" fillId="0" borderId="0" xfId="3" applyNumberFormat="1" applyFont="1" applyAlignment="1">
      <alignment horizontal="center"/>
    </xf>
    <xf numFmtId="0" fontId="28" fillId="0" borderId="0" xfId="3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65" fontId="28" fillId="35" borderId="35" xfId="3" applyNumberFormat="1" applyFont="1" applyFill="1" applyBorder="1" applyAlignment="1">
      <alignment horizontal="center"/>
    </xf>
    <xf numFmtId="2" fontId="28" fillId="35" borderId="35" xfId="3" applyNumberFormat="1" applyFont="1" applyFill="1" applyBorder="1" applyAlignment="1">
      <alignment horizontal="right"/>
    </xf>
    <xf numFmtId="165" fontId="32" fillId="35" borderId="35" xfId="3" applyNumberFormat="1" applyFont="1" applyFill="1" applyBorder="1" applyAlignment="1">
      <alignment horizontal="center"/>
    </xf>
    <xf numFmtId="2" fontId="32" fillId="35" borderId="35" xfId="3" applyNumberFormat="1" applyFont="1" applyFill="1" applyBorder="1" applyAlignment="1">
      <alignment horizontal="right"/>
    </xf>
    <xf numFmtId="2" fontId="28" fillId="36" borderId="36" xfId="3" applyNumberFormat="1" applyFont="1" applyFill="1" applyBorder="1" applyAlignment="1">
      <alignment horizontal="right"/>
    </xf>
    <xf numFmtId="1" fontId="28" fillId="0" borderId="0" xfId="3" applyNumberFormat="1" applyFont="1" applyAlignment="1">
      <alignment horizontal="center"/>
    </xf>
    <xf numFmtId="0" fontId="33" fillId="30" borderId="30" xfId="3" applyFont="1" applyFill="1" applyBorder="1" applyAlignment="1">
      <alignment horizontal="center"/>
    </xf>
    <xf numFmtId="0" fontId="23" fillId="13" borderId="13" xfId="3" applyFont="1" applyFill="1" applyBorder="1"/>
    <xf numFmtId="0" fontId="23" fillId="13" borderId="13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center"/>
    </xf>
    <xf numFmtId="0" fontId="24" fillId="13" borderId="13" xfId="3" applyFont="1" applyFill="1" applyBorder="1"/>
    <xf numFmtId="0" fontId="25" fillId="37" borderId="37" xfId="3" applyFont="1" applyFill="1" applyBorder="1"/>
    <xf numFmtId="0" fontId="25" fillId="37" borderId="37" xfId="3" applyFont="1" applyFill="1" applyBorder="1" applyAlignment="1">
      <alignment horizontal="center"/>
    </xf>
    <xf numFmtId="0" fontId="25" fillId="38" borderId="38" xfId="3" applyFont="1" applyFill="1" applyBorder="1" applyAlignment="1">
      <alignment horizontal="center"/>
    </xf>
    <xf numFmtId="0" fontId="26" fillId="38" borderId="38" xfId="3" applyFont="1" applyFill="1" applyBorder="1" applyAlignment="1">
      <alignment horizontal="center"/>
    </xf>
    <xf numFmtId="0" fontId="25" fillId="38" borderId="38" xfId="3" applyFont="1" applyFill="1" applyBorder="1"/>
    <xf numFmtId="0" fontId="26" fillId="39" borderId="39" xfId="3" applyFont="1" applyFill="1" applyBorder="1"/>
    <xf numFmtId="0" fontId="26" fillId="39" borderId="39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0" fontId="25" fillId="13" borderId="13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center"/>
    </xf>
    <xf numFmtId="0" fontId="25" fillId="40" borderId="40" xfId="3" applyFont="1" applyFill="1" applyBorder="1" applyAlignment="1">
      <alignment horizontal="left"/>
    </xf>
    <xf numFmtId="0" fontId="25" fillId="40" borderId="40" xfId="3" applyFont="1" applyFill="1" applyBorder="1" applyAlignment="1">
      <alignment horizontal="center"/>
    </xf>
    <xf numFmtId="0" fontId="26" fillId="13" borderId="13" xfId="3" applyFont="1" applyFill="1" applyBorder="1" applyAlignment="1">
      <alignment horizontal="left"/>
    </xf>
    <xf numFmtId="1" fontId="28" fillId="0" borderId="0" xfId="3" applyNumberFormat="1" applyFont="1"/>
    <xf numFmtId="176" fontId="52" fillId="0" borderId="0" xfId="3" applyNumberFormat="1" applyAlignment="1">
      <alignment horizontal="center"/>
    </xf>
    <xf numFmtId="165" fontId="28" fillId="36" borderId="36" xfId="3" applyNumberFormat="1" applyFont="1" applyFill="1" applyBorder="1" applyAlignment="1">
      <alignment horizontal="center"/>
    </xf>
    <xf numFmtId="2" fontId="31" fillId="36" borderId="36" xfId="3" applyNumberFormat="1" applyFont="1" applyFill="1" applyBorder="1" applyAlignment="1">
      <alignment horizontal="right"/>
    </xf>
    <xf numFmtId="2" fontId="31" fillId="41" borderId="41" xfId="3" applyNumberFormat="1" applyFont="1" applyFill="1" applyBorder="1" applyAlignment="1">
      <alignment horizontal="right"/>
    </xf>
    <xf numFmtId="0" fontId="33" fillId="34" borderId="34" xfId="3" applyFont="1" applyFill="1" applyBorder="1" applyAlignment="1">
      <alignment horizontal="right"/>
    </xf>
    <xf numFmtId="0" fontId="33" fillId="0" borderId="0" xfId="3" applyFont="1" applyAlignment="1">
      <alignment horizontal="center"/>
    </xf>
    <xf numFmtId="0" fontId="23" fillId="42" borderId="42" xfId="3" applyFont="1" applyFill="1" applyBorder="1"/>
    <xf numFmtId="0" fontId="23" fillId="42" borderId="42" xfId="3" applyFont="1" applyFill="1" applyBorder="1" applyAlignment="1">
      <alignment horizontal="center"/>
    </xf>
    <xf numFmtId="0" fontId="24" fillId="42" borderId="42" xfId="3" applyFont="1" applyFill="1" applyBorder="1" applyAlignment="1">
      <alignment horizontal="center"/>
    </xf>
    <xf numFmtId="0" fontId="24" fillId="42" borderId="42" xfId="3" applyFont="1" applyFill="1" applyBorder="1"/>
    <xf numFmtId="0" fontId="25" fillId="43" borderId="43" xfId="3" applyFont="1" applyFill="1" applyBorder="1"/>
    <xf numFmtId="0" fontId="25" fillId="43" borderId="43" xfId="3" applyFont="1" applyFill="1" applyBorder="1" applyAlignment="1">
      <alignment horizontal="center"/>
    </xf>
    <xf numFmtId="0" fontId="25" fillId="44" borderId="44" xfId="3" applyFont="1" applyFill="1" applyBorder="1" applyAlignment="1">
      <alignment horizontal="center"/>
    </xf>
    <xf numFmtId="0" fontId="26" fillId="44" borderId="44" xfId="3" applyFont="1" applyFill="1" applyBorder="1" applyAlignment="1">
      <alignment horizontal="center"/>
    </xf>
    <xf numFmtId="0" fontId="25" fillId="44" borderId="44" xfId="3" applyFont="1" applyFill="1" applyBorder="1"/>
    <xf numFmtId="0" fontId="26" fillId="45" borderId="45" xfId="3" applyFont="1" applyFill="1" applyBorder="1"/>
    <xf numFmtId="0" fontId="26" fillId="45" borderId="45" xfId="3" applyFont="1" applyFill="1" applyBorder="1" applyAlignment="1">
      <alignment horizontal="center"/>
    </xf>
    <xf numFmtId="0" fontId="25" fillId="42" borderId="42" xfId="3" applyFont="1" applyFill="1" applyBorder="1" applyAlignment="1">
      <alignment horizontal="left"/>
    </xf>
    <xf numFmtId="0" fontId="25" fillId="42" borderId="42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center"/>
    </xf>
    <xf numFmtId="0" fontId="25" fillId="46" borderId="46" xfId="3" applyFont="1" applyFill="1" applyBorder="1" applyAlignment="1">
      <alignment horizontal="left"/>
    </xf>
    <xf numFmtId="0" fontId="25" fillId="46" borderId="46" xfId="3" applyFont="1" applyFill="1" applyBorder="1" applyAlignment="1">
      <alignment horizontal="center"/>
    </xf>
    <xf numFmtId="0" fontId="26" fillId="42" borderId="42" xfId="3" applyFont="1" applyFill="1" applyBorder="1" applyAlignment="1">
      <alignment horizontal="left"/>
    </xf>
    <xf numFmtId="176" fontId="34" fillId="0" borderId="0" xfId="3" applyNumberFormat="1" applyFont="1" applyAlignment="1">
      <alignment horizontal="center"/>
    </xf>
    <xf numFmtId="0" fontId="25" fillId="47" borderId="47" xfId="3" applyFont="1" applyFill="1" applyBorder="1"/>
    <xf numFmtId="0" fontId="25" fillId="47" borderId="47" xfId="3" applyFont="1" applyFill="1" applyBorder="1" applyAlignment="1">
      <alignment horizontal="center"/>
    </xf>
    <xf numFmtId="0" fontId="25" fillId="48" borderId="48" xfId="3" applyFont="1" applyFill="1" applyBorder="1" applyAlignment="1">
      <alignment horizontal="center"/>
    </xf>
    <xf numFmtId="0" fontId="26" fillId="48" borderId="48" xfId="3" applyFont="1" applyFill="1" applyBorder="1" applyAlignment="1">
      <alignment horizontal="center"/>
    </xf>
    <xf numFmtId="0" fontId="25" fillId="48" borderId="48" xfId="3" applyFont="1" applyFill="1" applyBorder="1"/>
    <xf numFmtId="0" fontId="26" fillId="49" borderId="49" xfId="3" applyFont="1" applyFill="1" applyBorder="1"/>
    <xf numFmtId="0" fontId="26" fillId="49" borderId="49" xfId="3" applyFont="1" applyFill="1" applyBorder="1" applyAlignment="1">
      <alignment horizontal="center"/>
    </xf>
    <xf numFmtId="0" fontId="25" fillId="50" borderId="50" xfId="3" applyFont="1" applyFill="1" applyBorder="1" applyAlignment="1">
      <alignment horizontal="left"/>
    </xf>
    <xf numFmtId="0" fontId="25" fillId="50" borderId="50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center"/>
    </xf>
    <xf numFmtId="0" fontId="25" fillId="51" borderId="51" xfId="3" applyFont="1" applyFill="1" applyBorder="1" applyAlignment="1">
      <alignment horizontal="left"/>
    </xf>
    <xf numFmtId="0" fontId="25" fillId="52" borderId="52" xfId="3" applyFont="1" applyFill="1" applyBorder="1" applyAlignment="1">
      <alignment horizontal="center"/>
    </xf>
    <xf numFmtId="0" fontId="26" fillId="50" borderId="50" xfId="3" applyFont="1" applyFill="1" applyBorder="1" applyAlignment="1">
      <alignment horizontal="left"/>
    </xf>
    <xf numFmtId="0" fontId="33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9" fillId="0" borderId="3" xfId="3" applyFont="1" applyBorder="1"/>
    <xf numFmtId="176" fontId="29" fillId="0" borderId="3" xfId="3" applyNumberFormat="1" applyFont="1" applyBorder="1"/>
    <xf numFmtId="0" fontId="35" fillId="0" borderId="0" xfId="3" applyFont="1" applyAlignment="1">
      <alignment horizontal="center" wrapText="1"/>
    </xf>
    <xf numFmtId="0" fontId="33" fillId="0" borderId="0" xfId="3" applyFont="1" applyAlignment="1">
      <alignment horizontal="center" wrapText="1"/>
    </xf>
    <xf numFmtId="172" fontId="33" fillId="0" borderId="0" xfId="3" applyNumberFormat="1" applyFont="1"/>
    <xf numFmtId="0" fontId="36" fillId="0" borderId="0" xfId="3" applyFont="1"/>
    <xf numFmtId="0" fontId="9" fillId="53" borderId="53" xfId="3" applyFont="1" applyFill="1" applyBorder="1" applyAlignment="1">
      <alignment horizontal="left"/>
    </xf>
    <xf numFmtId="2" fontId="52" fillId="0" borderId="3" xfId="3" applyNumberFormat="1" applyBorder="1" applyAlignment="1">
      <alignment horizontal="right"/>
    </xf>
    <xf numFmtId="2" fontId="22" fillId="54" borderId="54" xfId="3" applyNumberFormat="1" applyFont="1" applyFill="1" applyBorder="1" applyAlignment="1">
      <alignment horizontal="right"/>
    </xf>
    <xf numFmtId="2" fontId="38" fillId="54" borderId="54" xfId="3" applyNumberFormat="1" applyFont="1" applyFill="1" applyBorder="1" applyAlignment="1">
      <alignment horizontal="right"/>
    </xf>
    <xf numFmtId="2" fontId="52" fillId="55" borderId="55" xfId="3" applyNumberFormat="1" applyFill="1" applyBorder="1" applyAlignment="1">
      <alignment horizontal="right"/>
    </xf>
    <xf numFmtId="176" fontId="0" fillId="0" borderId="3" xfId="0" applyNumberFormat="1" applyBorder="1"/>
    <xf numFmtId="0" fontId="52" fillId="0" borderId="3" xfId="3" applyBorder="1" applyAlignment="1">
      <alignment horizontal="right"/>
    </xf>
    <xf numFmtId="2" fontId="52" fillId="54" borderId="54" xfId="3" applyNumberFormat="1" applyFill="1" applyBorder="1" applyAlignment="1">
      <alignment horizontal="right"/>
    </xf>
    <xf numFmtId="1" fontId="52" fillId="0" borderId="3" xfId="3" applyNumberFormat="1" applyBorder="1" applyAlignment="1">
      <alignment horizontal="right"/>
    </xf>
    <xf numFmtId="2" fontId="28" fillId="0" borderId="3" xfId="3" applyNumberFormat="1" applyFont="1" applyBorder="1" applyAlignment="1">
      <alignment horizontal="right"/>
    </xf>
    <xf numFmtId="2" fontId="28" fillId="55" borderId="55" xfId="3" applyNumberFormat="1" applyFont="1" applyFill="1" applyBorder="1" applyAlignment="1">
      <alignment horizontal="right"/>
    </xf>
    <xf numFmtId="2" fontId="32" fillId="54" borderId="54" xfId="3" applyNumberFormat="1" applyFont="1" applyFill="1" applyBorder="1" applyAlignment="1">
      <alignment horizontal="right"/>
    </xf>
    <xf numFmtId="2" fontId="39" fillId="54" borderId="54" xfId="3" applyNumberFormat="1" applyFont="1" applyFill="1" applyBorder="1" applyAlignment="1">
      <alignment horizontal="right"/>
    </xf>
    <xf numFmtId="2" fontId="28" fillId="54" borderId="54" xfId="3" applyNumberFormat="1" applyFont="1" applyFill="1" applyBorder="1" applyAlignment="1">
      <alignment horizontal="right"/>
    </xf>
    <xf numFmtId="2" fontId="31" fillId="54" borderId="54" xfId="3" applyNumberFormat="1" applyFont="1" applyFill="1" applyBorder="1" applyAlignment="1">
      <alignment horizontal="right"/>
    </xf>
    <xf numFmtId="0" fontId="32" fillId="0" borderId="3" xfId="3" applyFont="1" applyBorder="1" applyAlignment="1">
      <alignment horizontal="right"/>
    </xf>
    <xf numFmtId="2" fontId="31" fillId="55" borderId="55" xfId="3" applyNumberFormat="1" applyFont="1" applyFill="1" applyBorder="1" applyAlignment="1">
      <alignment horizontal="right"/>
    </xf>
    <xf numFmtId="2" fontId="32" fillId="18" borderId="18" xfId="3" applyNumberFormat="1" applyFont="1" applyFill="1" applyBorder="1" applyAlignment="1">
      <alignment horizontal="right"/>
    </xf>
    <xf numFmtId="0" fontId="28" fillId="0" borderId="3" xfId="3" applyFont="1" applyBorder="1"/>
    <xf numFmtId="2" fontId="31" fillId="56" borderId="56" xfId="3" applyNumberFormat="1" applyFont="1" applyFill="1" applyBorder="1" applyAlignment="1">
      <alignment horizontal="right"/>
    </xf>
    <xf numFmtId="176" fontId="28" fillId="0" borderId="3" xfId="3" applyNumberFormat="1" applyFont="1" applyBorder="1" applyAlignment="1">
      <alignment horizontal="center"/>
    </xf>
    <xf numFmtId="176" fontId="52" fillId="0" borderId="3" xfId="3" applyNumberFormat="1" applyBorder="1" applyAlignment="1">
      <alignment horizontal="center"/>
    </xf>
    <xf numFmtId="0" fontId="28" fillId="18" borderId="18" xfId="3" applyFont="1" applyFill="1" applyBorder="1"/>
    <xf numFmtId="0" fontId="37" fillId="57" borderId="57" xfId="3" applyFont="1" applyFill="1" applyBorder="1"/>
    <xf numFmtId="0" fontId="37" fillId="58" borderId="58" xfId="3" applyFont="1" applyFill="1" applyBorder="1"/>
    <xf numFmtId="0" fontId="9" fillId="59" borderId="59" xfId="3" applyFont="1" applyFill="1" applyBorder="1" applyAlignment="1">
      <alignment horizontal="left"/>
    </xf>
    <xf numFmtId="0" fontId="7" fillId="0" borderId="60" xfId="3" applyFont="1" applyBorder="1" applyAlignment="1">
      <alignment horizontal="right"/>
    </xf>
    <xf numFmtId="0" fontId="9" fillId="60" borderId="61" xfId="3" applyFont="1" applyFill="1" applyBorder="1" applyAlignment="1">
      <alignment horizontal="left"/>
    </xf>
    <xf numFmtId="2" fontId="14" fillId="54" borderId="54" xfId="3" applyNumberFormat="1" applyFont="1" applyFill="1" applyBorder="1" applyAlignment="1">
      <alignment horizontal="right"/>
    </xf>
    <xf numFmtId="0" fontId="32" fillId="0" borderId="3" xfId="3" applyFont="1" applyBorder="1"/>
    <xf numFmtId="165" fontId="32" fillId="18" borderId="18" xfId="3" applyNumberFormat="1" applyFont="1" applyFill="1" applyBorder="1" applyAlignment="1">
      <alignment horizontal="center"/>
    </xf>
    <xf numFmtId="165" fontId="32" fillId="54" borderId="54" xfId="3" applyNumberFormat="1" applyFont="1" applyFill="1" applyBorder="1" applyAlignment="1">
      <alignment horizontal="center"/>
    </xf>
    <xf numFmtId="2" fontId="40" fillId="54" borderId="54" xfId="3" applyNumberFormat="1" applyFont="1" applyFill="1" applyBorder="1" applyAlignment="1">
      <alignment horizontal="right"/>
    </xf>
    <xf numFmtId="165" fontId="28" fillId="55" borderId="55" xfId="3" applyNumberFormat="1" applyFont="1" applyFill="1" applyBorder="1" applyAlignment="1">
      <alignment horizontal="center"/>
    </xf>
    <xf numFmtId="165" fontId="28" fillId="54" borderId="54" xfId="3" applyNumberFormat="1" applyFont="1" applyFill="1" applyBorder="1" applyAlignment="1">
      <alignment horizontal="center"/>
    </xf>
    <xf numFmtId="165" fontId="28" fillId="18" borderId="18" xfId="3" applyNumberFormat="1" applyFont="1" applyFill="1" applyBorder="1" applyAlignment="1">
      <alignment horizontal="center"/>
    </xf>
    <xf numFmtId="0" fontId="0" fillId="0" borderId="63" xfId="0" applyBorder="1"/>
    <xf numFmtId="0" fontId="0" fillId="0" borderId="64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52" fillId="4" borderId="4" xfId="3" applyFill="1" applyBorder="1" applyAlignment="1">
      <alignment horizontal="right"/>
    </xf>
    <xf numFmtId="0" fontId="27" fillId="4" borderId="4" xfId="3" applyFont="1" applyFill="1" applyBorder="1" applyAlignment="1">
      <alignment horizontal="right"/>
    </xf>
    <xf numFmtId="1" fontId="28" fillId="0" borderId="3" xfId="3" applyNumberFormat="1" applyFont="1" applyBorder="1" applyAlignment="1">
      <alignment horizontal="right"/>
    </xf>
    <xf numFmtId="0" fontId="29" fillId="0" borderId="3" xfId="3" applyFont="1" applyBorder="1" applyAlignment="1">
      <alignment horizontal="center"/>
    </xf>
    <xf numFmtId="0" fontId="33" fillId="4" borderId="4" xfId="3" applyFont="1" applyFill="1" applyBorder="1" applyAlignment="1">
      <alignment horizontal="right"/>
    </xf>
    <xf numFmtId="0" fontId="7" fillId="70" borderId="67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28" fillId="0" borderId="3" xfId="3" applyNumberFormat="1" applyFont="1" applyBorder="1"/>
    <xf numFmtId="165" fontId="40" fillId="54" borderId="54" xfId="3" applyNumberFormat="1" applyFont="1" applyFill="1" applyBorder="1" applyAlignment="1">
      <alignment horizontal="center"/>
    </xf>
    <xf numFmtId="2" fontId="31" fillId="35" borderId="35" xfId="3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46" fillId="71" borderId="68" xfId="0" applyFont="1" applyFill="1" applyBorder="1" applyAlignment="1">
      <alignment horizontal="center" wrapText="1"/>
    </xf>
    <xf numFmtId="0" fontId="0" fillId="72" borderId="69" xfId="0" applyFill="1" applyBorder="1"/>
    <xf numFmtId="0" fontId="47" fillId="73" borderId="70" xfId="0" applyFont="1" applyFill="1" applyBorder="1" applyAlignment="1">
      <alignment horizontal="center" wrapText="1"/>
    </xf>
    <xf numFmtId="0" fontId="48" fillId="0" borderId="0" xfId="0" applyFont="1" applyAlignment="1">
      <alignment horizontal="center" wrapText="1"/>
    </xf>
    <xf numFmtId="2" fontId="48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0" xfId="0" applyBorder="1" applyAlignment="1">
      <alignment wrapText="1"/>
    </xf>
    <xf numFmtId="1" fontId="0" fillId="0" borderId="65" xfId="0" applyNumberFormat="1" applyBorder="1"/>
    <xf numFmtId="0" fontId="0" fillId="0" borderId="60" xfId="0" applyBorder="1"/>
    <xf numFmtId="0" fontId="48" fillId="74" borderId="71" xfId="0" applyFont="1" applyFill="1" applyBorder="1" applyAlignment="1">
      <alignment horizontal="center" wrapText="1"/>
    </xf>
    <xf numFmtId="0" fontId="47" fillId="74" borderId="71" xfId="0" applyFont="1" applyFill="1" applyBorder="1" applyAlignment="1">
      <alignment horizontal="center" wrapText="1"/>
    </xf>
    <xf numFmtId="1" fontId="0" fillId="75" borderId="72" xfId="0" applyNumberFormat="1" applyFill="1" applyBorder="1"/>
    <xf numFmtId="0" fontId="48" fillId="0" borderId="62" xfId="0" applyFont="1" applyBorder="1" applyAlignment="1">
      <alignment horizontal="center" wrapText="1"/>
    </xf>
    <xf numFmtId="175" fontId="0" fillId="0" borderId="3" xfId="4" applyNumberFormat="1" applyFont="1" applyBorder="1"/>
    <xf numFmtId="0" fontId="48" fillId="0" borderId="3" xfId="0" applyFont="1" applyBorder="1" applyAlignment="1">
      <alignment horizontal="center" wrapText="1"/>
    </xf>
    <xf numFmtId="175" fontId="0" fillId="0" borderId="60" xfId="4" applyNumberFormat="1" applyFont="1" applyBorder="1"/>
    <xf numFmtId="1" fontId="0" fillId="76" borderId="73" xfId="0" applyNumberFormat="1" applyFill="1" applyBorder="1"/>
    <xf numFmtId="0" fontId="48" fillId="77" borderId="74" xfId="0" applyFont="1" applyFill="1" applyBorder="1" applyAlignment="1">
      <alignment horizontal="center" wrapText="1"/>
    </xf>
    <xf numFmtId="0" fontId="48" fillId="78" borderId="75" xfId="0" applyFont="1" applyFill="1" applyBorder="1" applyAlignment="1">
      <alignment horizontal="center" wrapText="1"/>
    </xf>
    <xf numFmtId="1" fontId="0" fillId="79" borderId="76" xfId="0" applyNumberFormat="1" applyFill="1" applyBorder="1"/>
    <xf numFmtId="170" fontId="0" fillId="80" borderId="77" xfId="2" applyNumberFormat="1" applyFont="1" applyFill="1" applyBorder="1"/>
    <xf numFmtId="170" fontId="0" fillId="81" borderId="78" xfId="2" applyNumberFormat="1" applyFont="1" applyFill="1" applyBorder="1"/>
    <xf numFmtId="170" fontId="0" fillId="82" borderId="79" xfId="2" applyNumberFormat="1" applyFont="1" applyFill="1" applyBorder="1"/>
    <xf numFmtId="173" fontId="0" fillId="82" borderId="79" xfId="0" applyNumberFormat="1" applyFill="1" applyBorder="1" applyAlignment="1">
      <alignment wrapText="1"/>
    </xf>
    <xf numFmtId="173" fontId="0" fillId="82" borderId="79" xfId="0" applyNumberFormat="1" applyFill="1" applyBorder="1"/>
    <xf numFmtId="0" fontId="49" fillId="83" borderId="80" xfId="0" applyFont="1" applyFill="1" applyBorder="1" applyAlignment="1">
      <alignment horizontal="right"/>
    </xf>
    <xf numFmtId="173" fontId="7" fillId="84" borderId="81" xfId="0" applyNumberFormat="1" applyFont="1" applyFill="1" applyBorder="1"/>
    <xf numFmtId="0" fontId="7" fillId="85" borderId="82" xfId="0" applyFont="1" applyFill="1" applyBorder="1" applyAlignment="1">
      <alignment horizontal="center"/>
    </xf>
    <xf numFmtId="0" fontId="0" fillId="86" borderId="83" xfId="0" applyFill="1" applyBorder="1"/>
    <xf numFmtId="1" fontId="0" fillId="86" borderId="83" xfId="0" applyNumberFormat="1" applyFill="1" applyBorder="1"/>
    <xf numFmtId="0" fontId="0" fillId="83" borderId="80" xfId="0" applyFill="1" applyBorder="1" applyAlignment="1">
      <alignment horizontal="right"/>
    </xf>
    <xf numFmtId="1" fontId="0" fillId="83" borderId="80" xfId="0" applyNumberFormat="1" applyFill="1" applyBorder="1"/>
    <xf numFmtId="0" fontId="0" fillId="87" borderId="84" xfId="0" applyFill="1" applyBorder="1" applyAlignment="1">
      <alignment horizontal="right" wrapText="1"/>
    </xf>
    <xf numFmtId="174" fontId="0" fillId="87" borderId="84" xfId="0" applyNumberFormat="1" applyFill="1" applyBorder="1"/>
    <xf numFmtId="0" fontId="0" fillId="88" borderId="85" xfId="0" applyFill="1" applyBorder="1" applyAlignment="1">
      <alignment horizontal="right" wrapText="1"/>
    </xf>
    <xf numFmtId="174" fontId="0" fillId="88" borderId="85" xfId="0" applyNumberFormat="1" applyFill="1" applyBorder="1"/>
    <xf numFmtId="0" fontId="6" fillId="86" borderId="83" xfId="0" applyFont="1" applyFill="1" applyBorder="1" applyAlignment="1">
      <alignment horizontal="right" wrapText="1"/>
    </xf>
    <xf numFmtId="174" fontId="12" fillId="86" borderId="83" xfId="0" applyNumberFormat="1" applyFont="1" applyFill="1" applyBorder="1"/>
    <xf numFmtId="0" fontId="12" fillId="86" borderId="83" xfId="0" applyFont="1" applyFill="1" applyBorder="1" applyAlignment="1">
      <alignment horizontal="right" wrapText="1"/>
    </xf>
    <xf numFmtId="0" fontId="7" fillId="86" borderId="83" xfId="0" applyFont="1" applyFill="1" applyBorder="1"/>
    <xf numFmtId="1" fontId="7" fillId="86" borderId="83" xfId="0" applyNumberFormat="1" applyFont="1" applyFill="1" applyBorder="1"/>
    <xf numFmtId="0" fontId="7" fillId="69" borderId="66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51" fillId="5" borderId="5" xfId="0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0" fillId="0" borderId="3" xfId="0" applyFont="1" applyBorder="1" applyAlignment="1">
      <alignment horizontal="center"/>
    </xf>
    <xf numFmtId="165" fontId="45" fillId="35" borderId="35" xfId="3" applyNumberFormat="1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91" borderId="89" xfId="0" applyFill="1" applyBorder="1"/>
    <xf numFmtId="164" fontId="0" fillId="0" borderId="63" xfId="1" applyFont="1" applyBorder="1" applyAlignment="1">
      <alignment horizontal="center"/>
    </xf>
    <xf numFmtId="165" fontId="0" fillId="0" borderId="64" xfId="0" applyNumberForma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0" fillId="0" borderId="64" xfId="0" applyNumberFormat="1" applyBorder="1"/>
    <xf numFmtId="0" fontId="7" fillId="0" borderId="64" xfId="0" applyFont="1" applyBorder="1"/>
    <xf numFmtId="1" fontId="0" fillId="0" borderId="64" xfId="0" applyNumberFormat="1" applyBorder="1"/>
    <xf numFmtId="0" fontId="9" fillId="92" borderId="90" xfId="0" applyFont="1" applyFill="1" applyBorder="1"/>
    <xf numFmtId="0" fontId="9" fillId="93" borderId="91" xfId="0" applyFont="1" applyFill="1" applyBorder="1"/>
    <xf numFmtId="0" fontId="9" fillId="93" borderId="91" xfId="0" applyFont="1" applyFill="1" applyBorder="1" applyAlignment="1">
      <alignment horizontal="center"/>
    </xf>
    <xf numFmtId="0" fontId="9" fillId="94" borderId="92" xfId="0" applyFont="1" applyFill="1" applyBorder="1" applyAlignment="1">
      <alignment horizontal="center"/>
    </xf>
    <xf numFmtId="0" fontId="9" fillId="95" borderId="93" xfId="0" applyFont="1" applyFill="1" applyBorder="1" applyAlignment="1">
      <alignment horizontal="center"/>
    </xf>
    <xf numFmtId="0" fontId="9" fillId="96" borderId="94" xfId="0" applyFont="1" applyFill="1" applyBorder="1" applyAlignment="1">
      <alignment horizontal="center"/>
    </xf>
    <xf numFmtId="0" fontId="9" fillId="97" borderId="95" xfId="0" applyFont="1" applyFill="1" applyBorder="1" applyAlignment="1">
      <alignment horizontal="center"/>
    </xf>
    <xf numFmtId="0" fontId="9" fillId="98" borderId="96" xfId="0" applyFont="1" applyFill="1" applyBorder="1" applyAlignment="1">
      <alignment horizontal="center"/>
    </xf>
    <xf numFmtId="0" fontId="9" fillId="99" borderId="97" xfId="0" applyFont="1" applyFill="1" applyBorder="1"/>
    <xf numFmtId="0" fontId="9" fillId="100" borderId="98" xfId="0" applyFont="1" applyFill="1" applyBorder="1"/>
    <xf numFmtId="0" fontId="9" fillId="101" borderId="99" xfId="0" applyFont="1" applyFill="1" applyBorder="1"/>
    <xf numFmtId="0" fontId="9" fillId="102" borderId="100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70" borderId="85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89" xfId="0" applyBorder="1"/>
    <xf numFmtId="0" fontId="0" fillId="0" borderId="86" xfId="0" applyBorder="1" applyAlignment="1">
      <alignment horizontal="center"/>
    </xf>
    <xf numFmtId="164" fontId="0" fillId="0" borderId="89" xfId="1" applyFont="1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2" fontId="0" fillId="0" borderId="86" xfId="0" applyNumberFormat="1" applyBorder="1"/>
    <xf numFmtId="0" fontId="0" fillId="0" borderId="86" xfId="0" applyBorder="1"/>
    <xf numFmtId="0" fontId="7" fillId="0" borderId="86" xfId="0" applyFont="1" applyBorder="1"/>
    <xf numFmtId="1" fontId="0" fillId="0" borderId="86" xfId="0" applyNumberFormat="1" applyBorder="1"/>
    <xf numFmtId="0" fontId="7" fillId="103" borderId="89" xfId="0" applyFont="1" applyFill="1" applyBorder="1"/>
    <xf numFmtId="0" fontId="0" fillId="0" borderId="0" xfId="0" applyFill="1"/>
    <xf numFmtId="0" fontId="7" fillId="104" borderId="89" xfId="0" applyFont="1" applyFill="1" applyBorder="1"/>
    <xf numFmtId="177" fontId="0" fillId="0" borderId="0" xfId="0" applyNumberFormat="1"/>
    <xf numFmtId="0" fontId="0" fillId="0" borderId="85" xfId="0" applyBorder="1"/>
    <xf numFmtId="0" fontId="7" fillId="0" borderId="85" xfId="0" applyFont="1" applyBorder="1"/>
    <xf numFmtId="0" fontId="7" fillId="0" borderId="105" xfId="0" applyFont="1" applyBorder="1"/>
    <xf numFmtId="0" fontId="0" fillId="0" borderId="105" xfId="0" applyBorder="1"/>
    <xf numFmtId="0" fontId="0" fillId="0" borderId="106" xfId="0" applyBorder="1"/>
    <xf numFmtId="0" fontId="3" fillId="8" borderId="89" xfId="0" applyFont="1" applyFill="1" applyBorder="1" applyAlignment="1">
      <alignment horizontal="center" vertical="center"/>
    </xf>
    <xf numFmtId="0" fontId="3" fillId="8" borderId="101" xfId="0" applyFont="1" applyFill="1" applyBorder="1" applyAlignment="1">
      <alignment horizontal="center" vertical="center"/>
    </xf>
    <xf numFmtId="169" fontId="2" fillId="3" borderId="101" xfId="4" applyNumberFormat="1" applyFont="1" applyFill="1" applyBorder="1" applyAlignment="1">
      <alignment horizontal="center" vertical="center"/>
    </xf>
    <xf numFmtId="0" fontId="0" fillId="0" borderId="101" xfId="0" applyBorder="1"/>
    <xf numFmtId="169" fontId="0" fillId="0" borderId="101" xfId="4" applyNumberFormat="1" applyFont="1" applyBorder="1"/>
    <xf numFmtId="0" fontId="7" fillId="0" borderId="85" xfId="0" applyFont="1" applyBorder="1" applyAlignment="1">
      <alignment horizontal="center"/>
    </xf>
    <xf numFmtId="0" fontId="7" fillId="0" borderId="85" xfId="0" applyFont="1" applyBorder="1" applyAlignment="1">
      <alignment horizontal="right"/>
    </xf>
    <xf numFmtId="0" fontId="12" fillId="0" borderId="85" xfId="0" applyFont="1" applyBorder="1" applyAlignment="1">
      <alignment wrapText="1"/>
    </xf>
    <xf numFmtId="169" fontId="0" fillId="0" borderId="0" xfId="0" applyNumberFormat="1"/>
    <xf numFmtId="1" fontId="0" fillId="0" borderId="85" xfId="0" applyNumberFormat="1" applyBorder="1"/>
    <xf numFmtId="0" fontId="9" fillId="101" borderId="85" xfId="0" applyFont="1" applyFill="1" applyBorder="1"/>
    <xf numFmtId="0" fontId="9" fillId="102" borderId="85" xfId="0" applyFont="1" applyFill="1" applyBorder="1"/>
    <xf numFmtId="2" fontId="0" fillId="0" borderId="85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102" borderId="102" xfId="0" applyFont="1" applyFill="1" applyBorder="1"/>
    <xf numFmtId="0" fontId="9" fillId="101" borderId="103" xfId="0" applyFont="1" applyFill="1" applyBorder="1"/>
    <xf numFmtId="0" fontId="9" fillId="101" borderId="104" xfId="0" applyFont="1" applyFill="1" applyBorder="1"/>
    <xf numFmtId="0" fontId="7" fillId="107" borderId="105" xfId="0" applyFont="1" applyFill="1" applyBorder="1"/>
    <xf numFmtId="0" fontId="7" fillId="0" borderId="106" xfId="0" applyFont="1" applyBorder="1"/>
    <xf numFmtId="0" fontId="7" fillId="0" borderId="107" xfId="0" applyFont="1" applyBorder="1"/>
    <xf numFmtId="0" fontId="7" fillId="0" borderId="108" xfId="0" applyFont="1" applyBorder="1"/>
    <xf numFmtId="0" fontId="7" fillId="0" borderId="109" xfId="0" applyFont="1" applyBorder="1"/>
    <xf numFmtId="0" fontId="9" fillId="102" borderId="103" xfId="0" applyFont="1" applyFill="1" applyBorder="1"/>
    <xf numFmtId="1" fontId="0" fillId="0" borderId="106" xfId="0" applyNumberFormat="1" applyBorder="1"/>
    <xf numFmtId="1" fontId="0" fillId="0" borderId="108" xfId="0" applyNumberFormat="1" applyBorder="1"/>
    <xf numFmtId="1" fontId="0" fillId="0" borderId="109" xfId="0" applyNumberFormat="1" applyBorder="1"/>
    <xf numFmtId="0" fontId="9" fillId="101" borderId="102" xfId="0" applyFont="1" applyFill="1" applyBorder="1"/>
    <xf numFmtId="0" fontId="9" fillId="102" borderId="104" xfId="0" applyFont="1" applyFill="1" applyBorder="1"/>
    <xf numFmtId="0" fontId="0" fillId="0" borderId="105" xfId="0" applyFill="1" applyBorder="1"/>
    <xf numFmtId="0" fontId="0" fillId="0" borderId="107" xfId="0" applyBorder="1"/>
    <xf numFmtId="0" fontId="0" fillId="0" borderId="109" xfId="0" applyBorder="1"/>
    <xf numFmtId="0" fontId="57" fillId="3" borderId="2" xfId="0" applyFont="1" applyFill="1" applyBorder="1" applyAlignment="1">
      <alignment horizontal="right" vertical="center"/>
    </xf>
    <xf numFmtId="0" fontId="52" fillId="103" borderId="4" xfId="3" applyFill="1" applyBorder="1" applyAlignment="1">
      <alignment horizontal="right"/>
    </xf>
    <xf numFmtId="0" fontId="0" fillId="0" borderId="85" xfId="0" applyBorder="1" applyAlignment="1">
      <alignment horizontal="right"/>
    </xf>
    <xf numFmtId="0" fontId="12" fillId="0" borderId="85" xfId="0" applyFont="1" applyBorder="1"/>
    <xf numFmtId="14" fontId="12" fillId="0" borderId="85" xfId="0" applyNumberFormat="1" applyFont="1" applyBorder="1" applyAlignment="1">
      <alignment horizontal="center"/>
    </xf>
    <xf numFmtId="14" fontId="12" fillId="0" borderId="85" xfId="0" applyNumberFormat="1" applyFont="1" applyBorder="1" applyAlignment="1">
      <alignment wrapText="1"/>
    </xf>
    <xf numFmtId="0" fontId="12" fillId="0" borderId="85" xfId="0" applyFont="1" applyBorder="1" applyAlignment="1">
      <alignment horizontal="center"/>
    </xf>
    <xf numFmtId="0" fontId="12" fillId="0" borderId="85" xfId="0" applyFont="1" applyBorder="1" applyAlignment="1">
      <alignment horizontal="center" wrapText="1"/>
    </xf>
    <xf numFmtId="0" fontId="0" fillId="0" borderId="85" xfId="0" applyBorder="1" applyAlignment="1">
      <alignment horizontal="center"/>
    </xf>
    <xf numFmtId="0" fontId="59" fillId="0" borderId="85" xfId="0" applyFont="1" applyBorder="1"/>
    <xf numFmtId="0" fontId="59" fillId="0" borderId="0" xfId="0" applyFont="1"/>
    <xf numFmtId="169" fontId="0" fillId="0" borderId="85" xfId="4" applyNumberFormat="1" applyFont="1" applyBorder="1"/>
    <xf numFmtId="169" fontId="0" fillId="0" borderId="85" xfId="4" applyNumberFormat="1" applyFont="1" applyBorder="1" applyAlignment="1">
      <alignment horizontal="center"/>
    </xf>
    <xf numFmtId="0" fontId="44" fillId="0" borderId="85" xfId="0" applyFont="1" applyBorder="1"/>
    <xf numFmtId="169" fontId="44" fillId="0" borderId="85" xfId="0" applyNumberFormat="1" applyFont="1" applyBorder="1"/>
    <xf numFmtId="0" fontId="44" fillId="0" borderId="0" xfId="0" applyFont="1"/>
    <xf numFmtId="0" fontId="59" fillId="0" borderId="0" xfId="0" applyFont="1" applyAlignment="1">
      <alignment horizontal="right"/>
    </xf>
    <xf numFmtId="0" fontId="7" fillId="108" borderId="85" xfId="0" applyFont="1" applyFill="1" applyBorder="1" applyAlignment="1">
      <alignment horizontal="center"/>
    </xf>
    <xf numFmtId="0" fontId="10" fillId="0" borderId="105" xfId="0" applyFont="1" applyBorder="1"/>
    <xf numFmtId="169" fontId="10" fillId="0" borderId="85" xfId="0" applyNumberFormat="1" applyFont="1" applyBorder="1"/>
    <xf numFmtId="170" fontId="41" fillId="0" borderId="106" xfId="2" applyNumberFormat="1" applyFont="1" applyBorder="1"/>
    <xf numFmtId="0" fontId="59" fillId="0" borderId="105" xfId="0" applyFont="1" applyBorder="1" applyAlignment="1">
      <alignment horizontal="right"/>
    </xf>
    <xf numFmtId="169" fontId="59" fillId="0" borderId="85" xfId="4" applyNumberFormat="1" applyFont="1" applyBorder="1"/>
    <xf numFmtId="170" fontId="59" fillId="0" borderId="106" xfId="2" applyNumberFormat="1" applyFont="1" applyBorder="1"/>
    <xf numFmtId="173" fontId="0" fillId="0" borderId="85" xfId="0" applyNumberFormat="1" applyBorder="1"/>
    <xf numFmtId="0" fontId="10" fillId="0" borderId="105" xfId="0" applyFont="1" applyBorder="1" applyAlignment="1">
      <alignment horizontal="left"/>
    </xf>
    <xf numFmtId="169" fontId="0" fillId="0" borderId="85" xfId="0" applyNumberFormat="1" applyBorder="1"/>
    <xf numFmtId="173" fontId="59" fillId="0" borderId="85" xfId="0" applyNumberFormat="1" applyFont="1" applyBorder="1"/>
    <xf numFmtId="0" fontId="59" fillId="0" borderId="105" xfId="0" applyFont="1" applyBorder="1"/>
    <xf numFmtId="0" fontId="59" fillId="0" borderId="106" xfId="0" applyFont="1" applyBorder="1"/>
    <xf numFmtId="0" fontId="59" fillId="0" borderId="107" xfId="0" applyFont="1" applyBorder="1" applyAlignment="1">
      <alignment horizontal="right"/>
    </xf>
    <xf numFmtId="173" fontId="0" fillId="0" borderId="108" xfId="0" applyNumberFormat="1" applyBorder="1"/>
    <xf numFmtId="170" fontId="59" fillId="0" borderId="109" xfId="2" applyNumberFormat="1" applyFont="1" applyBorder="1"/>
    <xf numFmtId="0" fontId="10" fillId="0" borderId="85" xfId="0" applyFont="1" applyBorder="1"/>
    <xf numFmtId="0" fontId="59" fillId="0" borderId="85" xfId="0" applyFont="1" applyBorder="1" applyAlignment="1">
      <alignment horizontal="right"/>
    </xf>
    <xf numFmtId="0" fontId="10" fillId="0" borderId="85" xfId="0" applyFont="1" applyBorder="1" applyAlignment="1">
      <alignment horizontal="left"/>
    </xf>
    <xf numFmtId="0" fontId="59" fillId="0" borderId="108" xfId="0" applyFont="1" applyBorder="1" applyAlignment="1">
      <alignment horizontal="right"/>
    </xf>
    <xf numFmtId="0" fontId="41" fillId="104" borderId="110" xfId="0" applyFont="1" applyFill="1" applyBorder="1" applyAlignment="1">
      <alignment horizontal="left" wrapText="1"/>
    </xf>
    <xf numFmtId="169" fontId="41" fillId="106" borderId="111" xfId="0" applyNumberFormat="1" applyFont="1" applyFill="1" applyBorder="1"/>
    <xf numFmtId="170" fontId="41" fillId="106" borderId="112" xfId="2" applyNumberFormat="1" applyFont="1" applyFill="1" applyBorder="1"/>
    <xf numFmtId="0" fontId="62" fillId="0" borderId="112" xfId="0" applyFont="1" applyBorder="1"/>
    <xf numFmtId="0" fontId="41" fillId="105" borderId="111" xfId="0" applyFont="1" applyFill="1" applyBorder="1" applyAlignment="1">
      <alignment horizontal="left" wrapText="1"/>
    </xf>
    <xf numFmtId="169" fontId="41" fillId="108" borderId="111" xfId="0" applyNumberFormat="1" applyFont="1" applyFill="1" applyBorder="1"/>
    <xf numFmtId="170" fontId="41" fillId="108" borderId="112" xfId="2" applyNumberFormat="1" applyFont="1" applyFill="1" applyBorder="1"/>
    <xf numFmtId="14" fontId="0" fillId="0" borderId="85" xfId="0" applyNumberFormat="1" applyBorder="1" applyAlignment="1">
      <alignment horizontal="left"/>
    </xf>
    <xf numFmtId="0" fontId="7" fillId="103" borderId="85" xfId="0" applyFont="1" applyFill="1" applyBorder="1" applyAlignment="1">
      <alignment horizontal="left" wrapText="1"/>
    </xf>
    <xf numFmtId="0" fontId="7" fillId="105" borderId="85" xfId="0" applyFont="1" applyFill="1" applyBorder="1" applyAlignment="1">
      <alignment horizontal="left"/>
    </xf>
    <xf numFmtId="0" fontId="7" fillId="61" borderId="102" xfId="0" applyFont="1" applyFill="1" applyBorder="1" applyAlignment="1">
      <alignment horizontal="center" wrapText="1"/>
    </xf>
    <xf numFmtId="0" fontId="7" fillId="61" borderId="103" xfId="0" applyFont="1" applyFill="1" applyBorder="1" applyAlignment="1">
      <alignment horizontal="center" wrapText="1"/>
    </xf>
    <xf numFmtId="0" fontId="7" fillId="61" borderId="104" xfId="0" applyFont="1" applyFill="1" applyBorder="1" applyAlignment="1">
      <alignment horizontal="center" wrapText="1"/>
    </xf>
    <xf numFmtId="1" fontId="7" fillId="62" borderId="107" xfId="0" applyNumberFormat="1" applyFont="1" applyFill="1" applyBorder="1" applyAlignment="1">
      <alignment horizontal="center" wrapText="1"/>
    </xf>
    <xf numFmtId="1" fontId="7" fillId="62" borderId="108" xfId="0" applyNumberFormat="1" applyFont="1" applyFill="1" applyBorder="1" applyAlignment="1">
      <alignment horizontal="center" wrapText="1"/>
    </xf>
    <xf numFmtId="1" fontId="7" fillId="62" borderId="109" xfId="0" applyNumberFormat="1" applyFont="1" applyFill="1" applyBorder="1" applyAlignment="1">
      <alignment horizontal="center" wrapText="1"/>
    </xf>
    <xf numFmtId="173" fontId="58" fillId="64" borderId="107" xfId="0" applyNumberFormat="1" applyFont="1" applyFill="1" applyBorder="1"/>
    <xf numFmtId="173" fontId="58" fillId="64" borderId="108" xfId="0" applyNumberFormat="1" applyFont="1" applyFill="1" applyBorder="1"/>
    <xf numFmtId="173" fontId="58" fillId="66" borderId="107" xfId="0" applyNumberFormat="1" applyFont="1" applyFill="1" applyBorder="1"/>
    <xf numFmtId="173" fontId="58" fillId="66" borderId="108" xfId="0" applyNumberFormat="1" applyFont="1" applyFill="1" applyBorder="1"/>
    <xf numFmtId="173" fontId="58" fillId="66" borderId="109" xfId="0" applyNumberFormat="1" applyFont="1" applyFill="1" applyBorder="1"/>
    <xf numFmtId="173" fontId="60" fillId="67" borderId="107" xfId="0" applyNumberFormat="1" applyFont="1" applyFill="1" applyBorder="1"/>
    <xf numFmtId="173" fontId="60" fillId="67" borderId="108" xfId="0" applyNumberFormat="1" applyFont="1" applyFill="1" applyBorder="1"/>
    <xf numFmtId="173" fontId="60" fillId="67" borderId="109" xfId="0" applyNumberFormat="1" applyFont="1" applyFill="1" applyBorder="1"/>
    <xf numFmtId="173" fontId="61" fillId="68" borderId="107" xfId="0" applyNumberFormat="1" applyFont="1" applyFill="1" applyBorder="1"/>
    <xf numFmtId="173" fontId="61" fillId="68" borderId="108" xfId="0" applyNumberFormat="1" applyFont="1" applyFill="1" applyBorder="1"/>
    <xf numFmtId="173" fontId="61" fillId="68" borderId="109" xfId="0" applyNumberFormat="1" applyFont="1" applyFill="1" applyBorder="1"/>
    <xf numFmtId="0" fontId="7" fillId="103" borderId="105" xfId="0" applyFont="1" applyFill="1" applyBorder="1" applyAlignment="1">
      <alignment horizontal="left" wrapText="1"/>
    </xf>
    <xf numFmtId="0" fontId="7" fillId="105" borderId="105" xfId="0" applyFont="1" applyFill="1" applyBorder="1" applyAlignment="1">
      <alignment horizontal="left" wrapText="1"/>
    </xf>
    <xf numFmtId="0" fontId="58" fillId="66" borderId="107" xfId="0" applyFont="1" applyFill="1" applyBorder="1" applyAlignment="1">
      <alignment horizontal="left"/>
    </xf>
    <xf numFmtId="0" fontId="58" fillId="66" borderId="108" xfId="0" applyFont="1" applyFill="1" applyBorder="1" applyAlignment="1">
      <alignment horizontal="left"/>
    </xf>
    <xf numFmtId="0" fontId="58" fillId="63" borderId="107" xfId="0" applyFont="1" applyFill="1" applyBorder="1" applyAlignment="1">
      <alignment horizontal="left"/>
    </xf>
    <xf numFmtId="0" fontId="58" fillId="63" borderId="108" xfId="0" applyFont="1" applyFill="1" applyBorder="1" applyAlignment="1">
      <alignment horizontal="left"/>
    </xf>
    <xf numFmtId="0" fontId="61" fillId="105" borderId="107" xfId="0" applyFont="1" applyFill="1" applyBorder="1" applyAlignment="1">
      <alignment horizontal="left" wrapText="1"/>
    </xf>
    <xf numFmtId="0" fontId="61" fillId="105" borderId="108" xfId="0" applyFont="1" applyFill="1" applyBorder="1" applyAlignment="1">
      <alignment horizontal="left"/>
    </xf>
    <xf numFmtId="0" fontId="7" fillId="105" borderId="107" xfId="0" applyFont="1" applyFill="1" applyBorder="1" applyAlignment="1">
      <alignment horizontal="left" wrapText="1"/>
    </xf>
    <xf numFmtId="0" fontId="7" fillId="105" borderId="108" xfId="0" applyFont="1" applyFill="1" applyBorder="1" applyAlignment="1">
      <alignment horizontal="left"/>
    </xf>
    <xf numFmtId="0" fontId="60" fillId="103" borderId="107" xfId="0" applyFont="1" applyFill="1" applyBorder="1" applyAlignment="1">
      <alignment horizontal="left"/>
    </xf>
    <xf numFmtId="0" fontId="60" fillId="103" borderId="108" xfId="0" applyFont="1" applyFill="1" applyBorder="1" applyAlignment="1">
      <alignment horizontal="left" wrapText="1"/>
    </xf>
    <xf numFmtId="0" fontId="7" fillId="103" borderId="108" xfId="0" applyFont="1" applyFill="1" applyBorder="1" applyAlignment="1">
      <alignment horizontal="left" wrapText="1"/>
    </xf>
    <xf numFmtId="0" fontId="58" fillId="65" borderId="107" xfId="0" applyFont="1" applyFill="1" applyBorder="1" applyAlignment="1">
      <alignment horizontal="left"/>
    </xf>
    <xf numFmtId="0" fontId="58" fillId="65" borderId="108" xfId="0" applyFont="1" applyFill="1" applyBorder="1" applyAlignment="1">
      <alignment horizontal="left"/>
    </xf>
    <xf numFmtId="0" fontId="58" fillId="63" borderId="110" xfId="0" applyFont="1" applyFill="1" applyBorder="1" applyAlignment="1">
      <alignment horizontal="left"/>
    </xf>
    <xf numFmtId="0" fontId="58" fillId="63" borderId="111" xfId="0" applyFont="1" applyFill="1" applyBorder="1" applyAlignment="1">
      <alignment horizontal="left"/>
    </xf>
    <xf numFmtId="173" fontId="42" fillId="63" borderId="112" xfId="0" applyNumberFormat="1" applyFont="1" applyFill="1" applyBorder="1" applyAlignment="1">
      <alignment horizontal="center"/>
    </xf>
    <xf numFmtId="173" fontId="42" fillId="65" borderId="109" xfId="0" applyNumberFormat="1" applyFont="1" applyFill="1" applyBorder="1" applyAlignment="1">
      <alignment horizontal="center"/>
    </xf>
    <xf numFmtId="173" fontId="10" fillId="103" borderId="106" xfId="0" applyNumberFormat="1" applyFont="1" applyFill="1" applyBorder="1" applyAlignment="1">
      <alignment horizontal="center"/>
    </xf>
    <xf numFmtId="173" fontId="10" fillId="103" borderId="109" xfId="0" applyNumberFormat="1" applyFont="1" applyFill="1" applyBorder="1" applyAlignment="1">
      <alignment horizontal="center"/>
    </xf>
    <xf numFmtId="173" fontId="43" fillId="103" borderId="109" xfId="0" applyNumberFormat="1" applyFont="1" applyFill="1" applyBorder="1" applyAlignment="1">
      <alignment horizontal="center"/>
    </xf>
    <xf numFmtId="173" fontId="10" fillId="105" borderId="106" xfId="0" applyNumberFormat="1" applyFont="1" applyFill="1" applyBorder="1" applyAlignment="1">
      <alignment horizontal="center"/>
    </xf>
    <xf numFmtId="173" fontId="10" fillId="105" borderId="109" xfId="0" applyNumberFormat="1" applyFont="1" applyFill="1" applyBorder="1" applyAlignment="1">
      <alignment horizontal="center"/>
    </xf>
    <xf numFmtId="173" fontId="11" fillId="105" borderId="109" xfId="0" applyNumberFormat="1" applyFont="1" applyFill="1" applyBorder="1" applyAlignment="1">
      <alignment horizontal="center"/>
    </xf>
    <xf numFmtId="173" fontId="42" fillId="63" borderId="109" xfId="0" applyNumberFormat="1" applyFont="1" applyFill="1" applyBorder="1" applyAlignment="1">
      <alignment horizontal="center"/>
    </xf>
    <xf numFmtId="173" fontId="42" fillId="66" borderId="109" xfId="0" applyNumberFormat="1" applyFont="1" applyFill="1" applyBorder="1" applyAlignment="1">
      <alignment horizontal="center"/>
    </xf>
    <xf numFmtId="173" fontId="0" fillId="67" borderId="105" xfId="0" applyNumberFormat="1" applyFont="1" applyFill="1" applyBorder="1"/>
    <xf numFmtId="173" fontId="0" fillId="67" borderId="85" xfId="0" applyNumberFormat="1" applyFont="1" applyFill="1" applyBorder="1"/>
    <xf numFmtId="173" fontId="0" fillId="67" borderId="106" xfId="0" applyNumberFormat="1" applyFont="1" applyFill="1" applyBorder="1"/>
    <xf numFmtId="173" fontId="0" fillId="67" borderId="105" xfId="0" applyNumberFormat="1" applyFont="1" applyFill="1" applyBorder="1" applyAlignment="1">
      <alignment horizontal="center"/>
    </xf>
    <xf numFmtId="173" fontId="0" fillId="67" borderId="85" xfId="0" applyNumberFormat="1" applyFont="1" applyFill="1" applyBorder="1" applyAlignment="1">
      <alignment horizontal="center"/>
    </xf>
    <xf numFmtId="173" fontId="0" fillId="67" borderId="106" xfId="0" applyNumberFormat="1" applyFont="1" applyFill="1" applyBorder="1" applyAlignment="1">
      <alignment horizontal="center"/>
    </xf>
    <xf numFmtId="173" fontId="0" fillId="67" borderId="107" xfId="0" applyNumberFormat="1" applyFont="1" applyFill="1" applyBorder="1" applyAlignment="1">
      <alignment horizontal="center"/>
    </xf>
    <xf numFmtId="173" fontId="0" fillId="67" borderId="108" xfId="0" applyNumberFormat="1" applyFont="1" applyFill="1" applyBorder="1" applyAlignment="1">
      <alignment horizontal="center"/>
    </xf>
    <xf numFmtId="173" fontId="0" fillId="67" borderId="109" xfId="0" applyNumberFormat="1" applyFont="1" applyFill="1" applyBorder="1" applyAlignment="1">
      <alignment horizontal="center"/>
    </xf>
    <xf numFmtId="173" fontId="0" fillId="68" borderId="105" xfId="0" applyNumberFormat="1" applyFont="1" applyFill="1" applyBorder="1"/>
    <xf numFmtId="173" fontId="0" fillId="68" borderId="85" xfId="0" applyNumberFormat="1" applyFont="1" applyFill="1" applyBorder="1"/>
    <xf numFmtId="173" fontId="0" fillId="68" borderId="106" xfId="0" applyNumberFormat="1" applyFont="1" applyFill="1" applyBorder="1"/>
    <xf numFmtId="173" fontId="0" fillId="68" borderId="107" xfId="0" applyNumberFormat="1" applyFont="1" applyFill="1" applyBorder="1"/>
    <xf numFmtId="173" fontId="0" fillId="68" borderId="108" xfId="0" applyNumberFormat="1" applyFont="1" applyFill="1" applyBorder="1"/>
    <xf numFmtId="173" fontId="0" fillId="68" borderId="109" xfId="0" applyNumberFormat="1" applyFont="1" applyFill="1" applyBorder="1"/>
    <xf numFmtId="0" fontId="7" fillId="23" borderId="23" xfId="0" applyFont="1" applyFill="1" applyBorder="1" applyAlignment="1">
      <alignment horizontal="center"/>
    </xf>
    <xf numFmtId="0" fontId="33" fillId="0" borderId="0" xfId="3" applyFont="1" applyAlignment="1">
      <alignment horizontal="left"/>
    </xf>
    <xf numFmtId="0" fontId="7" fillId="103" borderId="105" xfId="0" applyFont="1" applyFill="1" applyBorder="1" applyAlignment="1">
      <alignment horizontal="left" vertical="top" wrapText="1"/>
    </xf>
    <xf numFmtId="0" fontId="7" fillId="103" borderId="107" xfId="0" applyFont="1" applyFill="1" applyBorder="1" applyAlignment="1">
      <alignment horizontal="left" vertical="top" wrapText="1"/>
    </xf>
    <xf numFmtId="0" fontId="7" fillId="105" borderId="105" xfId="0" applyFont="1" applyFill="1" applyBorder="1" applyAlignment="1">
      <alignment horizontal="left" vertical="top" wrapText="1"/>
    </xf>
    <xf numFmtId="0" fontId="0" fillId="81" borderId="78" xfId="0" applyFill="1" applyBorder="1" applyAlignment="1">
      <alignment horizontal="center"/>
    </xf>
    <xf numFmtId="0" fontId="0" fillId="89" borderId="87" xfId="0" applyFill="1" applyBorder="1" applyAlignment="1">
      <alignment horizontal="center"/>
    </xf>
    <xf numFmtId="0" fontId="0" fillId="90" borderId="88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6" borderId="85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1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b val="0"/>
        <color rgb="FF008000"/>
      </font>
      <fill>
        <patternFill patternType="solid">
          <bgColor rgb="FFCCFFFF"/>
        </patternFill>
      </fill>
    </dxf>
    <dxf>
      <font>
        <b val="0"/>
        <color rgb="FF800000"/>
      </font>
      <fill>
        <patternFill patternType="solid">
          <bgColor rgb="FFFFFF9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152400</xdr:rowOff>
    </xdr:from>
    <xdr:to>
      <xdr:col>8</xdr:col>
      <xdr:colOff>685800</xdr:colOff>
      <xdr:row>20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AA4E1B-5805-4AB7-9620-CCFD80CE8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54" t="21356" r="51939" b="53213"/>
        <a:stretch/>
      </xdr:blipFill>
      <xdr:spPr>
        <a:xfrm>
          <a:off x="142875" y="152400"/>
          <a:ext cx="6257925" cy="3686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uny11/HI/projects/current/hattrick/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P46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</cols>
  <sheetData>
    <row r="1" spans="1:16" x14ac:dyDescent="0.25">
      <c r="A1" s="92" t="s">
        <v>0</v>
      </c>
      <c r="F1" s="94" t="s">
        <v>1</v>
      </c>
      <c r="G1" s="485" t="s">
        <v>2</v>
      </c>
      <c r="H1" s="485"/>
      <c r="J1" s="94" t="s">
        <v>1</v>
      </c>
      <c r="K1" s="485" t="s">
        <v>3</v>
      </c>
      <c r="L1" s="485"/>
      <c r="N1" s="94" t="s">
        <v>1</v>
      </c>
      <c r="O1" s="485" t="s">
        <v>4</v>
      </c>
      <c r="P1" s="485"/>
    </row>
    <row r="2" spans="1:16" x14ac:dyDescent="0.25">
      <c r="A2" s="326">
        <v>44263</v>
      </c>
      <c r="F2" s="43">
        <v>1</v>
      </c>
      <c r="G2" s="93" t="s">
        <v>5</v>
      </c>
      <c r="H2" s="42" t="s">
        <v>6</v>
      </c>
      <c r="J2" s="43">
        <v>1</v>
      </c>
      <c r="K2" s="249" t="s">
        <v>14</v>
      </c>
      <c r="L2" s="42">
        <v>200</v>
      </c>
      <c r="N2" s="43">
        <v>1</v>
      </c>
      <c r="O2" s="249" t="s">
        <v>31</v>
      </c>
      <c r="P2" s="42">
        <v>102</v>
      </c>
    </row>
    <row r="3" spans="1:16" x14ac:dyDescent="0.25">
      <c r="F3" s="43">
        <v>2</v>
      </c>
      <c r="G3" s="93" t="s">
        <v>10</v>
      </c>
      <c r="H3" s="42" t="s">
        <v>11</v>
      </c>
      <c r="J3" s="43">
        <v>2</v>
      </c>
      <c r="K3" s="249" t="s">
        <v>34</v>
      </c>
      <c r="L3" s="42">
        <v>192</v>
      </c>
      <c r="N3" s="43">
        <v>2</v>
      </c>
      <c r="O3" s="93" t="s">
        <v>8</v>
      </c>
      <c r="P3" s="42">
        <v>58</v>
      </c>
    </row>
    <row r="4" spans="1:16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249" t="s">
        <v>20</v>
      </c>
      <c r="L4" s="42">
        <v>190</v>
      </c>
      <c r="N4" s="43">
        <v>3</v>
      </c>
      <c r="O4" s="93" t="s">
        <v>13</v>
      </c>
      <c r="P4" s="42">
        <v>57</v>
      </c>
    </row>
    <row r="5" spans="1:16" x14ac:dyDescent="0.25">
      <c r="A5" s="42" t="s">
        <v>21</v>
      </c>
      <c r="B5" t="s">
        <v>22</v>
      </c>
      <c r="C5" s="23">
        <v>42847</v>
      </c>
      <c r="D5" s="43" t="s">
        <v>23</v>
      </c>
      <c r="F5" s="43">
        <v>4</v>
      </c>
      <c r="G5" s="93" t="s">
        <v>24</v>
      </c>
      <c r="H5" s="42" t="s">
        <v>25</v>
      </c>
      <c r="J5" s="43">
        <v>4</v>
      </c>
      <c r="K5" s="93" t="s">
        <v>7</v>
      </c>
      <c r="L5" s="42">
        <v>175</v>
      </c>
      <c r="N5" s="43">
        <v>4</v>
      </c>
      <c r="O5" s="93" t="s">
        <v>10</v>
      </c>
      <c r="P5" s="42">
        <v>44</v>
      </c>
    </row>
    <row r="6" spans="1:16" x14ac:dyDescent="0.25">
      <c r="A6" s="42" t="s">
        <v>28</v>
      </c>
      <c r="B6" t="s">
        <v>29</v>
      </c>
      <c r="C6" s="23">
        <v>42991</v>
      </c>
      <c r="D6" s="43" t="s">
        <v>30</v>
      </c>
      <c r="F6" s="43">
        <v>4</v>
      </c>
      <c r="G6" s="93" t="s">
        <v>8</v>
      </c>
      <c r="H6" s="42" t="s">
        <v>25</v>
      </c>
      <c r="J6" s="43">
        <v>5</v>
      </c>
      <c r="K6" s="249" t="s">
        <v>26</v>
      </c>
      <c r="L6" s="42">
        <v>174</v>
      </c>
      <c r="N6" s="43">
        <v>4</v>
      </c>
      <c r="O6" s="249" t="s">
        <v>26</v>
      </c>
      <c r="P6" s="42">
        <v>44</v>
      </c>
    </row>
    <row r="7" spans="1:16" x14ac:dyDescent="0.25">
      <c r="F7" s="43">
        <v>4</v>
      </c>
      <c r="G7" s="249" t="s">
        <v>853</v>
      </c>
      <c r="H7" s="42" t="s">
        <v>25</v>
      </c>
      <c r="J7" s="43">
        <v>6</v>
      </c>
      <c r="K7" s="249" t="s">
        <v>31</v>
      </c>
      <c r="L7" s="42">
        <v>173</v>
      </c>
      <c r="N7" s="43">
        <v>6</v>
      </c>
      <c r="O7" s="93" t="s">
        <v>5</v>
      </c>
      <c r="P7" s="42">
        <v>42</v>
      </c>
    </row>
    <row r="8" spans="1:16" x14ac:dyDescent="0.25">
      <c r="A8" s="94" t="s">
        <v>1</v>
      </c>
      <c r="B8" s="485" t="s">
        <v>35</v>
      </c>
      <c r="C8" s="485"/>
      <c r="F8" s="43">
        <v>7</v>
      </c>
      <c r="G8" s="93" t="s">
        <v>18</v>
      </c>
      <c r="H8" s="42" t="s">
        <v>32</v>
      </c>
      <c r="J8" s="43">
        <v>7</v>
      </c>
      <c r="K8" s="249" t="s">
        <v>9</v>
      </c>
      <c r="L8" s="42">
        <v>163</v>
      </c>
      <c r="N8" s="43">
        <v>7</v>
      </c>
      <c r="O8" s="93" t="s">
        <v>33</v>
      </c>
      <c r="P8" s="42">
        <v>29</v>
      </c>
    </row>
    <row r="9" spans="1:16" x14ac:dyDescent="0.25">
      <c r="A9" s="43">
        <v>1</v>
      </c>
      <c r="B9" s="93" t="s">
        <v>7</v>
      </c>
      <c r="C9" s="42">
        <v>71</v>
      </c>
      <c r="F9" s="43">
        <v>8</v>
      </c>
      <c r="G9" s="93" t="s">
        <v>36</v>
      </c>
      <c r="H9" s="42" t="s">
        <v>37</v>
      </c>
      <c r="J9" s="43">
        <v>8</v>
      </c>
      <c r="K9" s="93" t="s">
        <v>12</v>
      </c>
      <c r="L9" s="42">
        <v>155</v>
      </c>
      <c r="N9" s="43">
        <v>8</v>
      </c>
      <c r="O9" s="93" t="s">
        <v>16</v>
      </c>
      <c r="P9" s="42">
        <v>27</v>
      </c>
    </row>
    <row r="10" spans="1:16" x14ac:dyDescent="0.25">
      <c r="A10" s="43">
        <v>2</v>
      </c>
      <c r="B10" s="249" t="s">
        <v>9</v>
      </c>
      <c r="C10" s="42">
        <v>57</v>
      </c>
      <c r="F10" s="43">
        <v>8</v>
      </c>
      <c r="G10" s="249" t="s">
        <v>908</v>
      </c>
      <c r="H10" s="42" t="s">
        <v>37</v>
      </c>
      <c r="J10" s="43">
        <v>9</v>
      </c>
      <c r="K10" s="93" t="s">
        <v>18</v>
      </c>
      <c r="L10" s="42">
        <v>145</v>
      </c>
      <c r="N10" s="43">
        <v>9</v>
      </c>
      <c r="O10" s="93" t="s">
        <v>41</v>
      </c>
      <c r="P10" s="42">
        <v>22</v>
      </c>
    </row>
    <row r="11" spans="1:16" x14ac:dyDescent="0.25">
      <c r="A11" s="43">
        <v>3</v>
      </c>
      <c r="B11" s="93" t="s">
        <v>42</v>
      </c>
      <c r="C11" s="42">
        <v>29</v>
      </c>
      <c r="F11" s="43">
        <v>10</v>
      </c>
      <c r="G11" s="93" t="s">
        <v>39</v>
      </c>
      <c r="H11" s="42" t="s">
        <v>40</v>
      </c>
      <c r="J11" s="43">
        <v>10</v>
      </c>
      <c r="K11" s="93" t="s">
        <v>24</v>
      </c>
      <c r="L11" s="42">
        <v>144</v>
      </c>
      <c r="N11" s="43">
        <v>10</v>
      </c>
      <c r="O11" s="93" t="s">
        <v>44</v>
      </c>
      <c r="P11" s="42">
        <v>20</v>
      </c>
    </row>
    <row r="12" spans="1:16" x14ac:dyDescent="0.25">
      <c r="A12" s="43">
        <v>4</v>
      </c>
      <c r="B12" s="93" t="s">
        <v>45</v>
      </c>
      <c r="C12" s="42">
        <v>16</v>
      </c>
      <c r="F12" s="43">
        <v>10</v>
      </c>
      <c r="G12" s="93" t="s">
        <v>43</v>
      </c>
      <c r="H12" s="42" t="s">
        <v>40</v>
      </c>
      <c r="J12" s="43">
        <v>11</v>
      </c>
      <c r="K12" s="93" t="s">
        <v>5</v>
      </c>
      <c r="L12" s="42">
        <v>141</v>
      </c>
      <c r="N12" s="43">
        <v>11</v>
      </c>
      <c r="O12" s="93" t="s">
        <v>48</v>
      </c>
      <c r="P12" s="42">
        <v>13</v>
      </c>
    </row>
    <row r="13" spans="1:16" x14ac:dyDescent="0.25">
      <c r="A13" s="43">
        <v>5</v>
      </c>
      <c r="B13" s="93" t="s">
        <v>52</v>
      </c>
      <c r="C13" s="42">
        <v>12</v>
      </c>
      <c r="F13" s="43">
        <v>10</v>
      </c>
      <c r="G13" s="93" t="s">
        <v>46</v>
      </c>
      <c r="H13" s="42" t="s">
        <v>40</v>
      </c>
      <c r="J13" s="43">
        <v>12</v>
      </c>
      <c r="K13" s="93" t="s">
        <v>13</v>
      </c>
      <c r="L13" s="42">
        <v>140</v>
      </c>
      <c r="N13" s="43">
        <v>12</v>
      </c>
      <c r="O13" s="93" t="s">
        <v>51</v>
      </c>
      <c r="P13" s="42">
        <v>12</v>
      </c>
    </row>
    <row r="14" spans="1:16" x14ac:dyDescent="0.25">
      <c r="A14" s="43">
        <v>6</v>
      </c>
      <c r="B14" s="93" t="s">
        <v>56</v>
      </c>
      <c r="C14" s="42">
        <v>11</v>
      </c>
      <c r="F14" s="43">
        <v>10</v>
      </c>
      <c r="G14" s="93" t="s">
        <v>50</v>
      </c>
      <c r="H14" s="42" t="s">
        <v>40</v>
      </c>
      <c r="J14" s="43">
        <v>13</v>
      </c>
      <c r="K14" s="93" t="s">
        <v>38</v>
      </c>
      <c r="L14" s="42">
        <v>135</v>
      </c>
      <c r="N14" s="43">
        <v>12</v>
      </c>
      <c r="O14" s="93" t="s">
        <v>55</v>
      </c>
      <c r="P14" s="42">
        <v>12</v>
      </c>
    </row>
    <row r="15" spans="1:16" x14ac:dyDescent="0.25">
      <c r="A15" s="43">
        <v>6</v>
      </c>
      <c r="B15" s="93" t="s">
        <v>60</v>
      </c>
      <c r="C15" s="42">
        <v>11</v>
      </c>
      <c r="F15" s="43">
        <v>10</v>
      </c>
      <c r="G15" s="249" t="s">
        <v>9</v>
      </c>
      <c r="H15" s="42" t="s">
        <v>40</v>
      </c>
      <c r="J15" s="43">
        <v>14</v>
      </c>
      <c r="K15" s="249" t="s">
        <v>49</v>
      </c>
      <c r="L15" s="42">
        <v>121</v>
      </c>
      <c r="N15" s="43">
        <v>14</v>
      </c>
      <c r="O15" s="93" t="s">
        <v>58</v>
      </c>
      <c r="P15" s="42">
        <v>11</v>
      </c>
    </row>
    <row r="16" spans="1:16" x14ac:dyDescent="0.25">
      <c r="A16" s="43">
        <v>8</v>
      </c>
      <c r="B16" s="249" t="s">
        <v>65</v>
      </c>
      <c r="C16" s="42">
        <v>10</v>
      </c>
      <c r="F16" s="43">
        <v>10</v>
      </c>
      <c r="G16" s="327" t="s">
        <v>178</v>
      </c>
      <c r="H16" s="42" t="s">
        <v>40</v>
      </c>
      <c r="J16" s="43">
        <v>15</v>
      </c>
      <c r="K16" s="249" t="s">
        <v>68</v>
      </c>
      <c r="L16" s="42">
        <v>118</v>
      </c>
      <c r="N16" s="43">
        <v>14</v>
      </c>
      <c r="O16" s="93" t="s">
        <v>56</v>
      </c>
      <c r="P16" s="42">
        <v>11</v>
      </c>
    </row>
    <row r="17" spans="1:16" x14ac:dyDescent="0.25">
      <c r="A17" s="43">
        <v>8</v>
      </c>
      <c r="B17" s="93" t="s">
        <v>62</v>
      </c>
      <c r="C17" s="42">
        <v>6</v>
      </c>
      <c r="F17" s="43">
        <v>16</v>
      </c>
      <c r="G17" s="93" t="s">
        <v>53</v>
      </c>
      <c r="H17" s="42" t="s">
        <v>54</v>
      </c>
      <c r="J17" s="43">
        <v>16</v>
      </c>
      <c r="K17" s="249" t="s">
        <v>27</v>
      </c>
      <c r="L17" s="42">
        <v>115</v>
      </c>
      <c r="N17" s="43">
        <v>16</v>
      </c>
      <c r="O17" s="93" t="s">
        <v>67</v>
      </c>
      <c r="P17" s="42">
        <v>8</v>
      </c>
    </row>
    <row r="18" spans="1:16" x14ac:dyDescent="0.25">
      <c r="A18" s="43">
        <v>10</v>
      </c>
      <c r="B18" s="93" t="s">
        <v>69</v>
      </c>
      <c r="C18" s="42">
        <v>4</v>
      </c>
      <c r="F18" s="43">
        <v>16</v>
      </c>
      <c r="G18" s="93" t="s">
        <v>57</v>
      </c>
      <c r="H18" s="42" t="s">
        <v>54</v>
      </c>
      <c r="J18" s="43">
        <v>17</v>
      </c>
      <c r="K18" s="93" t="s">
        <v>39</v>
      </c>
      <c r="L18" s="42">
        <v>111</v>
      </c>
      <c r="N18" s="43">
        <v>16</v>
      </c>
      <c r="O18" s="93" t="s">
        <v>73</v>
      </c>
      <c r="P18" s="42">
        <v>8</v>
      </c>
    </row>
    <row r="19" spans="1:16" x14ac:dyDescent="0.25">
      <c r="A19" s="43">
        <v>11</v>
      </c>
      <c r="B19" s="93" t="s">
        <v>75</v>
      </c>
      <c r="C19" s="42">
        <v>3</v>
      </c>
      <c r="F19" s="43">
        <v>16</v>
      </c>
      <c r="G19" s="93" t="s">
        <v>61</v>
      </c>
      <c r="H19" s="42" t="s">
        <v>54</v>
      </c>
      <c r="J19" s="43">
        <v>18</v>
      </c>
      <c r="K19" s="93" t="s">
        <v>47</v>
      </c>
      <c r="L19" s="42">
        <v>105</v>
      </c>
      <c r="N19" s="43">
        <v>16</v>
      </c>
      <c r="O19" s="93" t="s">
        <v>77</v>
      </c>
      <c r="P19" s="42">
        <v>8</v>
      </c>
    </row>
    <row r="20" spans="1:16" x14ac:dyDescent="0.25">
      <c r="A20" s="43">
        <v>12</v>
      </c>
      <c r="B20" s="93" t="s">
        <v>78</v>
      </c>
      <c r="C20" s="42">
        <v>2</v>
      </c>
      <c r="F20" s="43">
        <v>16</v>
      </c>
      <c r="G20" s="93" t="s">
        <v>63</v>
      </c>
      <c r="H20" s="42" t="s">
        <v>54</v>
      </c>
      <c r="J20" s="43">
        <v>19</v>
      </c>
      <c r="K20" s="93" t="s">
        <v>950</v>
      </c>
      <c r="L20" s="42">
        <v>102</v>
      </c>
      <c r="M20" s="42"/>
      <c r="N20" s="43">
        <v>19</v>
      </c>
      <c r="O20" s="93" t="s">
        <v>80</v>
      </c>
      <c r="P20" s="42">
        <v>7</v>
      </c>
    </row>
    <row r="21" spans="1:16" x14ac:dyDescent="0.25">
      <c r="A21" s="43">
        <v>12</v>
      </c>
      <c r="B21" s="93" t="s">
        <v>81</v>
      </c>
      <c r="C21" s="42">
        <v>2</v>
      </c>
      <c r="F21" s="43">
        <v>16</v>
      </c>
      <c r="G21" s="93" t="s">
        <v>7</v>
      </c>
      <c r="H21" s="42" t="s">
        <v>54</v>
      </c>
      <c r="J21" s="43">
        <v>20</v>
      </c>
      <c r="K21" s="93" t="s">
        <v>42</v>
      </c>
      <c r="L21" s="42">
        <v>93</v>
      </c>
      <c r="N21" s="43">
        <v>19</v>
      </c>
      <c r="O21" s="93" t="s">
        <v>84</v>
      </c>
      <c r="P21" s="42">
        <v>7</v>
      </c>
    </row>
    <row r="22" spans="1:16" x14ac:dyDescent="0.25">
      <c r="A22" s="43">
        <v>14</v>
      </c>
      <c r="B22" s="93" t="s">
        <v>85</v>
      </c>
      <c r="C22" s="42">
        <v>1</v>
      </c>
      <c r="F22" s="43">
        <v>16</v>
      </c>
      <c r="G22" s="93" t="s">
        <v>179</v>
      </c>
      <c r="H22" s="42" t="s">
        <v>54</v>
      </c>
      <c r="J22" s="43">
        <v>21</v>
      </c>
      <c r="K22" s="249" t="s">
        <v>74</v>
      </c>
      <c r="L22" s="42">
        <v>84</v>
      </c>
      <c r="N22" s="43">
        <v>19</v>
      </c>
      <c r="O22" s="93" t="s">
        <v>59</v>
      </c>
      <c r="P22" s="42">
        <v>7</v>
      </c>
    </row>
    <row r="23" spans="1:16" x14ac:dyDescent="0.25">
      <c r="A23" s="43">
        <v>14</v>
      </c>
      <c r="B23" s="93" t="s">
        <v>87</v>
      </c>
      <c r="C23" s="42">
        <v>1</v>
      </c>
      <c r="F23" s="43">
        <v>16</v>
      </c>
      <c r="G23" s="327" t="s">
        <v>14</v>
      </c>
      <c r="H23" s="42" t="s">
        <v>54</v>
      </c>
      <c r="J23" s="43">
        <v>22</v>
      </c>
      <c r="K23" s="93" t="s">
        <v>66</v>
      </c>
      <c r="L23" s="42">
        <v>83</v>
      </c>
      <c r="N23" s="43">
        <v>22</v>
      </c>
      <c r="O23" s="93" t="s">
        <v>89</v>
      </c>
      <c r="P23" s="42">
        <v>6</v>
      </c>
    </row>
    <row r="24" spans="1:16" x14ac:dyDescent="0.25">
      <c r="A24" s="43">
        <v>14</v>
      </c>
      <c r="B24" s="93" t="s">
        <v>90</v>
      </c>
      <c r="C24" s="42">
        <v>1</v>
      </c>
      <c r="F24" s="43">
        <v>16</v>
      </c>
      <c r="G24" s="327" t="s">
        <v>949</v>
      </c>
      <c r="H24" s="42" t="s">
        <v>54</v>
      </c>
      <c r="J24" s="43">
        <v>22</v>
      </c>
      <c r="K24" s="249" t="s">
        <v>951</v>
      </c>
      <c r="L24" s="42">
        <v>83</v>
      </c>
      <c r="N24" s="43">
        <v>22</v>
      </c>
      <c r="O24" s="93" t="s">
        <v>91</v>
      </c>
      <c r="P24" s="42">
        <v>6</v>
      </c>
    </row>
    <row r="25" spans="1:16" x14ac:dyDescent="0.25">
      <c r="A25" s="43">
        <v>14</v>
      </c>
      <c r="B25" s="93" t="s">
        <v>92</v>
      </c>
      <c r="C25" s="42">
        <v>1</v>
      </c>
      <c r="F25" s="43">
        <v>16</v>
      </c>
      <c r="G25" s="249" t="s">
        <v>26</v>
      </c>
      <c r="H25" s="42" t="s">
        <v>54</v>
      </c>
      <c r="J25" s="43">
        <v>24</v>
      </c>
      <c r="K25" s="249" t="s">
        <v>853</v>
      </c>
      <c r="L25" s="42">
        <v>79</v>
      </c>
      <c r="N25" s="43">
        <v>22</v>
      </c>
      <c r="O25" s="93" t="s">
        <v>38</v>
      </c>
      <c r="P25" s="42">
        <v>6</v>
      </c>
    </row>
    <row r="26" spans="1:16" x14ac:dyDescent="0.25">
      <c r="A26" s="43">
        <v>14</v>
      </c>
      <c r="B26" s="93" t="s">
        <v>93</v>
      </c>
      <c r="C26" s="42">
        <v>1</v>
      </c>
      <c r="F26" s="43">
        <v>25</v>
      </c>
      <c r="G26" s="93" t="s">
        <v>70</v>
      </c>
      <c r="H26" s="42" t="s">
        <v>71</v>
      </c>
      <c r="J26" s="43">
        <v>25</v>
      </c>
      <c r="K26" s="93" t="s">
        <v>72</v>
      </c>
      <c r="L26" s="42">
        <v>78</v>
      </c>
    </row>
    <row r="27" spans="1:16" x14ac:dyDescent="0.25">
      <c r="A27" s="43">
        <v>14</v>
      </c>
      <c r="B27" s="93" t="s">
        <v>95</v>
      </c>
      <c r="C27" s="42">
        <v>1</v>
      </c>
      <c r="F27" s="43">
        <v>25</v>
      </c>
      <c r="G27" s="93" t="s">
        <v>76</v>
      </c>
      <c r="H27" s="42" t="s">
        <v>71</v>
      </c>
      <c r="J27" s="43">
        <v>26</v>
      </c>
      <c r="K27" s="93" t="s">
        <v>61</v>
      </c>
      <c r="L27" s="42">
        <v>67</v>
      </c>
    </row>
    <row r="28" spans="1:16" x14ac:dyDescent="0.25">
      <c r="A28" s="43">
        <v>14</v>
      </c>
      <c r="B28" s="93" t="s">
        <v>98</v>
      </c>
      <c r="C28" s="42">
        <v>1</v>
      </c>
      <c r="F28" s="43">
        <v>25</v>
      </c>
      <c r="G28" s="93" t="s">
        <v>79</v>
      </c>
      <c r="H28" s="42" t="s">
        <v>71</v>
      </c>
      <c r="J28" s="43">
        <v>27</v>
      </c>
      <c r="K28" s="93" t="s">
        <v>8</v>
      </c>
      <c r="L28" s="42">
        <v>64</v>
      </c>
    </row>
    <row r="29" spans="1:16" x14ac:dyDescent="0.25">
      <c r="A29" s="43">
        <v>14</v>
      </c>
      <c r="B29" s="93" t="s">
        <v>100</v>
      </c>
      <c r="C29" s="42">
        <v>1</v>
      </c>
      <c r="F29" s="43">
        <v>25</v>
      </c>
      <c r="G29" s="93" t="s">
        <v>82</v>
      </c>
      <c r="H29" s="42" t="s">
        <v>71</v>
      </c>
      <c r="J29" s="43">
        <v>28</v>
      </c>
      <c r="K29" s="249" t="s">
        <v>64</v>
      </c>
      <c r="L29" s="42">
        <v>63</v>
      </c>
    </row>
    <row r="30" spans="1:16" x14ac:dyDescent="0.25">
      <c r="A30" s="43">
        <v>14</v>
      </c>
      <c r="B30" s="93" t="s">
        <v>102</v>
      </c>
      <c r="C30" s="42">
        <v>1</v>
      </c>
      <c r="F30" s="43">
        <v>25</v>
      </c>
      <c r="G30" s="93" t="s">
        <v>86</v>
      </c>
      <c r="H30" s="42" t="s">
        <v>71</v>
      </c>
      <c r="J30" s="43">
        <v>29</v>
      </c>
      <c r="K30" s="93" t="s">
        <v>83</v>
      </c>
      <c r="L30" s="42">
        <v>60</v>
      </c>
    </row>
    <row r="31" spans="1:16" x14ac:dyDescent="0.25">
      <c r="A31" s="43">
        <v>14</v>
      </c>
      <c r="B31" s="93" t="s">
        <v>105</v>
      </c>
      <c r="C31" s="42">
        <v>1</v>
      </c>
      <c r="F31" s="43">
        <v>25</v>
      </c>
      <c r="G31" s="93" t="s">
        <v>66</v>
      </c>
      <c r="H31" s="42" t="s">
        <v>71</v>
      </c>
      <c r="J31" s="43">
        <v>29</v>
      </c>
      <c r="K31" s="93" t="s">
        <v>63</v>
      </c>
      <c r="L31" s="42">
        <v>60</v>
      </c>
    </row>
    <row r="32" spans="1:16" x14ac:dyDescent="0.25">
      <c r="A32" s="43">
        <v>14</v>
      </c>
      <c r="B32" s="93" t="s">
        <v>107</v>
      </c>
      <c r="C32" s="42">
        <v>1</v>
      </c>
      <c r="F32" s="43">
        <v>25</v>
      </c>
      <c r="G32" s="93" t="s">
        <v>72</v>
      </c>
      <c r="H32" s="42" t="s">
        <v>71</v>
      </c>
      <c r="J32" s="43">
        <v>31</v>
      </c>
      <c r="K32" s="93" t="s">
        <v>88</v>
      </c>
      <c r="L32" s="42">
        <v>58</v>
      </c>
    </row>
    <row r="33" spans="6:12" x14ac:dyDescent="0.25">
      <c r="F33" s="43">
        <v>25</v>
      </c>
      <c r="G33" s="93" t="s">
        <v>83</v>
      </c>
      <c r="H33" s="42" t="s">
        <v>71</v>
      </c>
      <c r="J33" s="43">
        <v>32</v>
      </c>
      <c r="K33" s="93" t="s">
        <v>41</v>
      </c>
      <c r="L33" s="42">
        <v>57</v>
      </c>
    </row>
    <row r="34" spans="6:12" x14ac:dyDescent="0.25">
      <c r="F34" s="43">
        <v>25</v>
      </c>
      <c r="G34" s="93" t="s">
        <v>94</v>
      </c>
      <c r="H34" s="42" t="s">
        <v>71</v>
      </c>
      <c r="J34" s="43">
        <v>32</v>
      </c>
      <c r="K34" s="93" t="s">
        <v>10</v>
      </c>
      <c r="L34" s="42">
        <v>57</v>
      </c>
    </row>
    <row r="35" spans="6:12" x14ac:dyDescent="0.25">
      <c r="F35" s="43">
        <v>25</v>
      </c>
      <c r="G35" s="93" t="s">
        <v>96</v>
      </c>
      <c r="H35" s="42" t="s">
        <v>71</v>
      </c>
      <c r="J35" s="43">
        <v>34</v>
      </c>
      <c r="K35" s="93" t="s">
        <v>97</v>
      </c>
      <c r="L35" s="42">
        <v>56</v>
      </c>
    </row>
    <row r="36" spans="6:12" x14ac:dyDescent="0.25">
      <c r="F36" s="43">
        <v>25</v>
      </c>
      <c r="G36" s="93" t="s">
        <v>99</v>
      </c>
      <c r="H36" s="42" t="s">
        <v>71</v>
      </c>
      <c r="J36" s="43">
        <v>34</v>
      </c>
      <c r="K36" s="93" t="s">
        <v>76</v>
      </c>
      <c r="L36" s="42">
        <v>56</v>
      </c>
    </row>
    <row r="37" spans="6:12" x14ac:dyDescent="0.25">
      <c r="F37" s="43">
        <v>25</v>
      </c>
      <c r="G37" s="93" t="s">
        <v>101</v>
      </c>
      <c r="H37" s="42" t="s">
        <v>71</v>
      </c>
      <c r="J37" s="43">
        <v>36</v>
      </c>
      <c r="K37" s="93" t="s">
        <v>36</v>
      </c>
      <c r="L37" s="42">
        <v>54</v>
      </c>
    </row>
    <row r="38" spans="6:12" x14ac:dyDescent="0.25">
      <c r="F38" s="43">
        <v>25</v>
      </c>
      <c r="G38" s="93" t="s">
        <v>103</v>
      </c>
      <c r="H38" s="42" t="s">
        <v>71</v>
      </c>
      <c r="J38" s="43">
        <v>37</v>
      </c>
      <c r="K38" s="54" t="s">
        <v>104</v>
      </c>
      <c r="L38" s="42">
        <v>52</v>
      </c>
    </row>
    <row r="39" spans="6:12" x14ac:dyDescent="0.25">
      <c r="F39" s="43">
        <v>25</v>
      </c>
      <c r="G39" s="93" t="s">
        <v>106</v>
      </c>
      <c r="H39" s="42" t="s">
        <v>71</v>
      </c>
      <c r="J39" s="43">
        <v>38</v>
      </c>
      <c r="K39" s="93" t="s">
        <v>99</v>
      </c>
      <c r="L39" s="42">
        <v>51</v>
      </c>
    </row>
    <row r="40" spans="6:12" x14ac:dyDescent="0.25">
      <c r="F40" s="43">
        <v>25</v>
      </c>
      <c r="G40" s="249" t="s">
        <v>49</v>
      </c>
      <c r="H40" s="42" t="s">
        <v>71</v>
      </c>
      <c r="J40" s="43">
        <v>38</v>
      </c>
      <c r="K40" s="93" t="s">
        <v>77</v>
      </c>
      <c r="L40" s="42">
        <v>51</v>
      </c>
    </row>
    <row r="41" spans="6:12" x14ac:dyDescent="0.25">
      <c r="F41" s="43">
        <v>25</v>
      </c>
      <c r="G41" s="249" t="s">
        <v>27</v>
      </c>
      <c r="H41" s="42" t="s">
        <v>71</v>
      </c>
    </row>
    <row r="42" spans="6:12" x14ac:dyDescent="0.25">
      <c r="F42" s="43">
        <v>25</v>
      </c>
      <c r="G42" s="93" t="s">
        <v>854</v>
      </c>
      <c r="H42" s="42" t="s">
        <v>71</v>
      </c>
    </row>
    <row r="43" spans="6:12" x14ac:dyDescent="0.25">
      <c r="F43" s="43">
        <v>25</v>
      </c>
      <c r="G43" s="249" t="s">
        <v>20</v>
      </c>
      <c r="H43" s="42" t="s">
        <v>71</v>
      </c>
    </row>
    <row r="44" spans="6:12" x14ac:dyDescent="0.25">
      <c r="F44" s="43">
        <v>25</v>
      </c>
      <c r="G44" s="93" t="s">
        <v>19</v>
      </c>
      <c r="H44" s="42" t="s">
        <v>71</v>
      </c>
    </row>
    <row r="45" spans="6:12" x14ac:dyDescent="0.25">
      <c r="F45" s="43">
        <v>25</v>
      </c>
      <c r="G45" s="249" t="s">
        <v>34</v>
      </c>
      <c r="H45" s="42" t="s">
        <v>71</v>
      </c>
    </row>
    <row r="46" spans="6:12" x14ac:dyDescent="0.25">
      <c r="F46" s="43">
        <v>25</v>
      </c>
      <c r="G46" s="93" t="s">
        <v>950</v>
      </c>
      <c r="H46" s="42" t="s">
        <v>71</v>
      </c>
    </row>
  </sheetData>
  <mergeCells count="4">
    <mergeCell ref="B8:C8"/>
    <mergeCell ref="G1:H1"/>
    <mergeCell ref="K1:L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38"/>
  <sheetViews>
    <sheetView zoomScale="90" workbookViewId="0">
      <selection activeCell="D4" sqref="D4"/>
    </sheetView>
  </sheetViews>
  <sheetFormatPr baseColWidth="10" defaultColWidth="10.7109375" defaultRowHeight="15" x14ac:dyDescent="0.25"/>
  <cols>
    <col min="1" max="1" width="30.57031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" customWidth="1"/>
    <col min="17" max="17" width="12.42578125" customWidth="1"/>
    <col min="18" max="18" width="12" customWidth="1"/>
    <col min="20" max="20" width="12" customWidth="1"/>
    <col min="22" max="22" width="12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256" t="s">
        <v>650</v>
      </c>
      <c r="N1" s="256" t="s">
        <v>651</v>
      </c>
      <c r="O1" s="256" t="s">
        <v>652</v>
      </c>
      <c r="P1" s="256" t="s">
        <v>653</v>
      </c>
      <c r="Q1" s="256" t="s">
        <v>654</v>
      </c>
      <c r="R1" s="256" t="s">
        <v>655</v>
      </c>
      <c r="S1" s="256" t="s">
        <v>656</v>
      </c>
      <c r="U1" s="256" t="s">
        <v>657</v>
      </c>
    </row>
    <row r="2" spans="1:36" x14ac:dyDescent="0.25">
      <c r="C2" s="257" t="s">
        <v>658</v>
      </c>
      <c r="D2" s="490" t="s">
        <v>659</v>
      </c>
      <c r="E2" s="490"/>
      <c r="F2" s="491" t="s">
        <v>660</v>
      </c>
      <c r="G2" s="491"/>
      <c r="H2" s="492" t="s">
        <v>661</v>
      </c>
      <c r="I2" s="492"/>
      <c r="K2" s="54"/>
      <c r="M2" s="258">
        <v>11</v>
      </c>
      <c r="N2" s="259">
        <v>14.98</v>
      </c>
      <c r="O2" s="259">
        <v>5.95</v>
      </c>
      <c r="P2" s="260">
        <f t="shared" ref="P2:P12" si="0">U2*0.97</f>
        <v>5.3253000000000004</v>
      </c>
      <c r="Q2" s="259">
        <v>0.68000000000000016</v>
      </c>
      <c r="R2" s="261">
        <v>27.09</v>
      </c>
      <c r="U2" s="259">
        <v>5.49</v>
      </c>
    </row>
    <row r="3" spans="1:36" x14ac:dyDescent="0.25">
      <c r="A3" s="262" t="s">
        <v>662</v>
      </c>
      <c r="B3" s="263">
        <f>B4+B5+B6+B7</f>
        <v>61078</v>
      </c>
      <c r="C3" s="264">
        <f>C4+C5+C6+C7</f>
        <v>63658.651880000012</v>
      </c>
      <c r="D3" s="18" t="s">
        <v>663</v>
      </c>
      <c r="E3" s="18" t="s">
        <v>664</v>
      </c>
      <c r="F3" s="18" t="s">
        <v>663</v>
      </c>
      <c r="G3" s="18" t="s">
        <v>665</v>
      </c>
      <c r="H3" s="18" t="s">
        <v>663</v>
      </c>
      <c r="I3" s="265" t="s">
        <v>666</v>
      </c>
      <c r="J3" s="18" t="s">
        <v>667</v>
      </c>
      <c r="K3" s="18" t="s">
        <v>668</v>
      </c>
      <c r="M3" s="258">
        <v>10</v>
      </c>
      <c r="N3" s="266">
        <v>14.23</v>
      </c>
      <c r="O3" s="266">
        <v>5.59</v>
      </c>
      <c r="P3" s="260">
        <f t="shared" si="0"/>
        <v>4.9179000000000004</v>
      </c>
      <c r="Q3" s="266">
        <v>0.62</v>
      </c>
      <c r="R3" s="267">
        <v>25.52</v>
      </c>
      <c r="U3" s="266">
        <v>5.07</v>
      </c>
    </row>
    <row r="4" spans="1:36" x14ac:dyDescent="0.25">
      <c r="A4" s="262" t="s">
        <v>669</v>
      </c>
      <c r="B4" s="263">
        <v>34857</v>
      </c>
      <c r="C4" s="268">
        <v>36877.200000000004</v>
      </c>
      <c r="D4" s="269">
        <v>45</v>
      </c>
      <c r="E4" s="270">
        <f>D4*(C4-B4)</f>
        <v>90909.000000000204</v>
      </c>
      <c r="F4" s="271">
        <v>0.5</v>
      </c>
      <c r="G4" s="270">
        <f>(C4-B4)*F4</f>
        <v>1010.1000000000022</v>
      </c>
      <c r="H4" s="271">
        <v>7</v>
      </c>
      <c r="I4" s="272">
        <f>(C4-B4)*H4</f>
        <v>14141.400000000031</v>
      </c>
      <c r="J4" s="270">
        <f>H4*C4</f>
        <v>258140.40000000002</v>
      </c>
      <c r="K4" s="18">
        <f>B4*F4</f>
        <v>17428.5</v>
      </c>
      <c r="L4" s="27">
        <f>5000*N13*F4</f>
        <v>1382.4289405684756</v>
      </c>
      <c r="M4" s="258">
        <v>9</v>
      </c>
      <c r="N4" s="259">
        <v>13.49</v>
      </c>
      <c r="O4" s="259">
        <v>5.24</v>
      </c>
      <c r="P4" s="260">
        <f t="shared" si="0"/>
        <v>4.5202</v>
      </c>
      <c r="Q4" s="259">
        <v>0.56999999999999995</v>
      </c>
      <c r="R4" s="261">
        <v>23.95</v>
      </c>
      <c r="U4" s="259">
        <v>4.66</v>
      </c>
    </row>
    <row r="5" spans="1:36" x14ac:dyDescent="0.25">
      <c r="A5" s="262" t="s">
        <v>670</v>
      </c>
      <c r="B5" s="263">
        <v>13378</v>
      </c>
      <c r="C5" s="273">
        <v>13921.143000000002</v>
      </c>
      <c r="D5" s="274">
        <v>75</v>
      </c>
      <c r="E5" s="270">
        <f>D5*(C5-B5)</f>
        <v>40735.725000000137</v>
      </c>
      <c r="F5" s="275">
        <v>0.7</v>
      </c>
      <c r="G5" s="270">
        <f>(C5-B5)*F5</f>
        <v>380.20010000000127</v>
      </c>
      <c r="H5" s="275">
        <v>10</v>
      </c>
      <c r="I5" s="272">
        <f>(C5-B5)*H5</f>
        <v>5431.4300000000185</v>
      </c>
      <c r="J5" s="270">
        <f>H5*C5</f>
        <v>139211.43000000002</v>
      </c>
      <c r="K5" s="18">
        <f>B5*F5</f>
        <v>9364.5999999999985</v>
      </c>
      <c r="L5" s="27">
        <f>5000*O13*F5</f>
        <v>768.73385012919903</v>
      </c>
      <c r="M5" s="258">
        <v>8</v>
      </c>
      <c r="N5" s="266">
        <v>12.74</v>
      </c>
      <c r="O5" s="266">
        <v>4.8899999999999997</v>
      </c>
      <c r="P5" s="260">
        <f t="shared" si="0"/>
        <v>4.1224999999999996</v>
      </c>
      <c r="Q5" s="266">
        <v>0.51</v>
      </c>
      <c r="R5" s="267">
        <v>22.39</v>
      </c>
      <c r="U5" s="266">
        <v>4.25</v>
      </c>
    </row>
    <row r="6" spans="1:36" x14ac:dyDescent="0.25">
      <c r="A6" s="262" t="s">
        <v>671</v>
      </c>
      <c r="B6" s="263">
        <v>11448</v>
      </c>
      <c r="C6" s="273">
        <v>11446.68288</v>
      </c>
      <c r="D6" s="269">
        <v>90</v>
      </c>
      <c r="E6" s="270">
        <f>D6*(C6-B6)</f>
        <v>-118.54079999997339</v>
      </c>
      <c r="F6" s="271">
        <v>1</v>
      </c>
      <c r="G6" s="270">
        <f>(C6-B6)*F6</f>
        <v>-1.3171199999997043</v>
      </c>
      <c r="H6" s="271">
        <v>19</v>
      </c>
      <c r="I6" s="272">
        <f>(C6-B6)*H6</f>
        <v>-25.025279999994382</v>
      </c>
      <c r="J6" s="270">
        <f>H6*C6</f>
        <v>217486.97472</v>
      </c>
      <c r="K6" s="18">
        <f>B6*F6</f>
        <v>11448</v>
      </c>
      <c r="L6" s="27">
        <f>5000*P13*F6</f>
        <v>982.89036544850512</v>
      </c>
      <c r="M6" s="258">
        <v>7</v>
      </c>
      <c r="N6" s="259">
        <v>12</v>
      </c>
      <c r="O6" s="259">
        <v>4.53</v>
      </c>
      <c r="P6" s="260">
        <f t="shared" si="0"/>
        <v>3.7247999999999997</v>
      </c>
      <c r="Q6" s="259">
        <v>0.46000000000000008</v>
      </c>
      <c r="R6" s="261">
        <v>20.83</v>
      </c>
      <c r="U6" s="259">
        <v>3.84</v>
      </c>
    </row>
    <row r="7" spans="1:36" x14ac:dyDescent="0.25">
      <c r="A7" s="262" t="s">
        <v>672</v>
      </c>
      <c r="B7" s="263">
        <v>1395</v>
      </c>
      <c r="C7" s="276">
        <v>1413.6260000000004</v>
      </c>
      <c r="D7" s="274">
        <v>300</v>
      </c>
      <c r="E7" s="270">
        <f>D7*(C7-B7)</f>
        <v>5587.8000000001293</v>
      </c>
      <c r="F7" s="275">
        <v>2.5</v>
      </c>
      <c r="G7" s="270">
        <f>(C7-B7)*F7</f>
        <v>46.565000000001078</v>
      </c>
      <c r="H7" s="275">
        <v>35</v>
      </c>
      <c r="I7" s="272">
        <f>(C7-B7)*H7</f>
        <v>651.91000000001509</v>
      </c>
      <c r="J7" s="270">
        <f>H7*C7</f>
        <v>49476.910000000018</v>
      </c>
      <c r="K7" s="18">
        <f>B7*F7</f>
        <v>3487.5</v>
      </c>
      <c r="L7" s="27">
        <f>5000*Q13*F7</f>
        <v>313.76891842008126</v>
      </c>
      <c r="M7" s="258">
        <v>6</v>
      </c>
      <c r="N7" s="266">
        <v>11.26</v>
      </c>
      <c r="O7" s="266">
        <v>4.17</v>
      </c>
      <c r="P7" s="260">
        <f t="shared" si="0"/>
        <v>3.3367999999999998</v>
      </c>
      <c r="Q7" s="266">
        <v>0.41</v>
      </c>
      <c r="R7" s="267">
        <v>19.27</v>
      </c>
      <c r="U7" s="266">
        <v>3.44</v>
      </c>
    </row>
    <row r="8" spans="1:36" x14ac:dyDescent="0.25">
      <c r="C8" s="277">
        <f>C4/$C$3</f>
        <v>0.57929596230714264</v>
      </c>
      <c r="J8" s="270">
        <f>J7+J6+J5+J4</f>
        <v>664315.71472000005</v>
      </c>
      <c r="K8" s="18">
        <f>K7+K6+K5+K4</f>
        <v>41728.6</v>
      </c>
      <c r="L8" s="18">
        <f>L7+L6+L5+L4</f>
        <v>3447.8220745662611</v>
      </c>
      <c r="M8" s="258">
        <v>5</v>
      </c>
      <c r="N8" s="259">
        <v>10.52</v>
      </c>
      <c r="O8" s="259">
        <v>3.81</v>
      </c>
      <c r="P8" s="260">
        <f t="shared" si="0"/>
        <v>2.9390999999999998</v>
      </c>
      <c r="Q8" s="259">
        <v>0.35</v>
      </c>
      <c r="R8" s="261">
        <v>17.719999999999995</v>
      </c>
      <c r="U8" s="259">
        <v>3.03</v>
      </c>
    </row>
    <row r="9" spans="1:36" x14ac:dyDescent="0.25">
      <c r="C9" s="278">
        <f>C5/$C$3</f>
        <v>0.21868422577094637</v>
      </c>
      <c r="E9" s="25">
        <f>C4-B4</f>
        <v>2020.2000000000044</v>
      </c>
      <c r="F9">
        <f>D4*C4</f>
        <v>1659474.0000000002</v>
      </c>
      <c r="H9">
        <f>H10+H11+H12+H13</f>
        <v>71304</v>
      </c>
      <c r="M9" s="258">
        <v>4</v>
      </c>
      <c r="N9" s="266">
        <v>9.8000000000000007</v>
      </c>
      <c r="O9" s="266">
        <v>3.46</v>
      </c>
      <c r="P9" s="260">
        <f t="shared" si="0"/>
        <v>2.5510999999999999</v>
      </c>
      <c r="Q9" s="266">
        <v>0.3</v>
      </c>
      <c r="R9" s="267">
        <v>16.170000000000002</v>
      </c>
      <c r="U9" s="266">
        <v>2.63</v>
      </c>
    </row>
    <row r="10" spans="1:36" x14ac:dyDescent="0.25">
      <c r="B10" s="279">
        <f>B11/B13</f>
        <v>6.7974503269553663E-2</v>
      </c>
      <c r="C10" s="278">
        <f>C6/$C$3</f>
        <v>0.17981346670013706</v>
      </c>
      <c r="E10" s="25">
        <f>C5-B5</f>
        <v>543.14300000000185</v>
      </c>
      <c r="F10">
        <f t="shared" ref="F10:F12" si="1">D5*C5</f>
        <v>1044085.7250000001</v>
      </c>
      <c r="H10">
        <v>40146</v>
      </c>
      <c r="I10" s="58">
        <f>H10/$H$9</f>
        <v>0.56302591719959605</v>
      </c>
      <c r="M10" s="258">
        <v>3</v>
      </c>
      <c r="N10" s="259">
        <v>9.09</v>
      </c>
      <c r="O10" s="259">
        <v>3.1</v>
      </c>
      <c r="P10" s="260">
        <f t="shared" si="0"/>
        <v>2.1436999999999999</v>
      </c>
      <c r="Q10" s="259">
        <v>0.24</v>
      </c>
      <c r="R10" s="261">
        <v>14.63</v>
      </c>
      <c r="U10" s="259">
        <v>2.21</v>
      </c>
    </row>
    <row r="11" spans="1:36" x14ac:dyDescent="0.25">
      <c r="A11" s="241" t="s">
        <v>673</v>
      </c>
      <c r="B11" s="280">
        <v>10000</v>
      </c>
      <c r="C11" s="278">
        <f>C7/$C$3</f>
        <v>2.2206345221773807E-2</v>
      </c>
      <c r="E11" s="25">
        <f>C6-B6</f>
        <v>-1.3171199999997043</v>
      </c>
      <c r="F11">
        <f t="shared" si="1"/>
        <v>1030201.4592</v>
      </c>
      <c r="H11">
        <v>15594</v>
      </c>
      <c r="I11" s="58">
        <f>H11/$H$9</f>
        <v>0.21869740828004039</v>
      </c>
      <c r="M11" s="258">
        <v>2</v>
      </c>
      <c r="N11" s="266">
        <v>8.42</v>
      </c>
      <c r="O11" s="266">
        <v>2.73</v>
      </c>
      <c r="P11" s="260">
        <f t="shared" si="0"/>
        <v>1.7168999999999999</v>
      </c>
      <c r="Q11" s="266">
        <v>0.17999999999999997</v>
      </c>
      <c r="R11" s="267">
        <v>13.090000000000002</v>
      </c>
      <c r="U11" s="266">
        <v>1.77</v>
      </c>
    </row>
    <row r="12" spans="1:36" x14ac:dyDescent="0.25">
      <c r="A12" s="241" t="s">
        <v>674</v>
      </c>
      <c r="B12" s="281">
        <f>E7+E6+E5+E4</f>
        <v>137113.9842000005</v>
      </c>
      <c r="E12" s="25">
        <f>C7-B7</f>
        <v>18.626000000000431</v>
      </c>
      <c r="F12">
        <f t="shared" si="1"/>
        <v>424087.8000000001</v>
      </c>
      <c r="H12">
        <v>13868</v>
      </c>
      <c r="I12" s="58">
        <f>H12/$H$9</f>
        <v>0.19449119263996409</v>
      </c>
      <c r="M12" s="258">
        <v>1</v>
      </c>
      <c r="N12" s="259">
        <v>7.8499999999999988</v>
      </c>
      <c r="O12" s="259">
        <v>2.34</v>
      </c>
      <c r="P12" s="260">
        <f t="shared" si="0"/>
        <v>1.1931</v>
      </c>
      <c r="Q12" s="259">
        <v>0.1</v>
      </c>
      <c r="R12" s="261">
        <v>11.53</v>
      </c>
      <c r="U12" s="259">
        <v>1.23</v>
      </c>
    </row>
    <row r="13" spans="1:36" x14ac:dyDescent="0.25">
      <c r="A13" s="282" t="s">
        <v>543</v>
      </c>
      <c r="B13" s="283">
        <f>B11+B12</f>
        <v>147113.9842000005</v>
      </c>
      <c r="H13">
        <v>1696</v>
      </c>
      <c r="I13" s="58">
        <f>H13/$H$9</f>
        <v>2.3785481880399417E-2</v>
      </c>
      <c r="N13">
        <f>N2/R2</f>
        <v>0.55297157622739024</v>
      </c>
      <c r="O13">
        <f>O2/R2</f>
        <v>0.21963824289405687</v>
      </c>
      <c r="P13" s="260">
        <f>P2/R2</f>
        <v>0.19657807308970102</v>
      </c>
      <c r="Q13">
        <f>Q2/R2</f>
        <v>2.5101513473606504E-2</v>
      </c>
    </row>
    <row r="15" spans="1:36" x14ac:dyDescent="0.25">
      <c r="A15" s="43"/>
      <c r="B15" s="284" t="s">
        <v>497</v>
      </c>
      <c r="C15" s="284" t="s">
        <v>498</v>
      </c>
      <c r="D15" s="284" t="s">
        <v>499</v>
      </c>
      <c r="E15" s="284" t="s">
        <v>500</v>
      </c>
      <c r="F15" s="284" t="s">
        <v>501</v>
      </c>
      <c r="G15" s="284" t="s">
        <v>502</v>
      </c>
      <c r="H15" s="284" t="s">
        <v>503</v>
      </c>
      <c r="I15" s="284" t="s">
        <v>504</v>
      </c>
      <c r="J15" s="284" t="s">
        <v>505</v>
      </c>
      <c r="K15" s="284" t="s">
        <v>506</v>
      </c>
      <c r="L15" s="284" t="s">
        <v>507</v>
      </c>
      <c r="M15" s="284" t="s">
        <v>508</v>
      </c>
      <c r="N15" s="284" t="s">
        <v>509</v>
      </c>
      <c r="O15" s="284" t="s">
        <v>510</v>
      </c>
      <c r="P15" s="284" t="s">
        <v>511</v>
      </c>
      <c r="Q15" s="284" t="s">
        <v>512</v>
      </c>
      <c r="R15" s="284" t="s">
        <v>497</v>
      </c>
      <c r="S15" s="284" t="s">
        <v>498</v>
      </c>
      <c r="T15" s="284" t="s">
        <v>499</v>
      </c>
      <c r="U15" s="284" t="s">
        <v>500</v>
      </c>
      <c r="V15" s="284" t="s">
        <v>501</v>
      </c>
      <c r="W15" s="284" t="s">
        <v>502</v>
      </c>
      <c r="X15" s="284" t="s">
        <v>503</v>
      </c>
      <c r="Y15" s="284" t="s">
        <v>504</v>
      </c>
      <c r="Z15" s="284" t="s">
        <v>505</v>
      </c>
      <c r="AA15" s="284" t="s">
        <v>506</v>
      </c>
      <c r="AB15" s="284" t="s">
        <v>507</v>
      </c>
      <c r="AC15" s="284" t="s">
        <v>508</v>
      </c>
      <c r="AD15" s="284" t="s">
        <v>509</v>
      </c>
      <c r="AE15" s="284" t="s">
        <v>510</v>
      </c>
      <c r="AF15" s="284" t="s">
        <v>511</v>
      </c>
      <c r="AG15" s="284" t="s">
        <v>512</v>
      </c>
      <c r="AH15" s="284"/>
      <c r="AI15" s="284"/>
    </row>
    <row r="16" spans="1:36" x14ac:dyDescent="0.25">
      <c r="A16" s="285" t="s">
        <v>675</v>
      </c>
      <c r="B16" s="286">
        <v>2781</v>
      </c>
      <c r="C16" s="286">
        <f>B16*1.1</f>
        <v>3059.1000000000004</v>
      </c>
      <c r="D16" s="286">
        <f>C16+1</f>
        <v>3060.1000000000004</v>
      </c>
      <c r="E16" s="286">
        <f t="shared" ref="E16:AD16" si="2">D16+1</f>
        <v>3061.1000000000004</v>
      </c>
      <c r="F16" s="286">
        <f t="shared" si="2"/>
        <v>3062.1000000000004</v>
      </c>
      <c r="G16" s="286">
        <f t="shared" si="2"/>
        <v>3063.1000000000004</v>
      </c>
      <c r="H16" s="286">
        <f t="shared" si="2"/>
        <v>3064.1000000000004</v>
      </c>
      <c r="I16" s="286">
        <f t="shared" si="2"/>
        <v>3065.1000000000004</v>
      </c>
      <c r="J16" s="286">
        <f t="shared" si="2"/>
        <v>3066.1000000000004</v>
      </c>
      <c r="K16" s="286">
        <f t="shared" si="2"/>
        <v>3067.1000000000004</v>
      </c>
      <c r="L16" s="286">
        <f t="shared" si="2"/>
        <v>3068.1000000000004</v>
      </c>
      <c r="M16" s="286">
        <f t="shared" si="2"/>
        <v>3069.1000000000004</v>
      </c>
      <c r="N16" s="286">
        <f t="shared" si="2"/>
        <v>3070.1000000000004</v>
      </c>
      <c r="O16" s="286">
        <f t="shared" si="2"/>
        <v>3071.1000000000004</v>
      </c>
      <c r="P16" s="286">
        <f t="shared" si="2"/>
        <v>3072.1000000000004</v>
      </c>
      <c r="Q16" s="286">
        <f t="shared" si="2"/>
        <v>3073.1000000000004</v>
      </c>
      <c r="R16" s="286">
        <f t="shared" si="2"/>
        <v>3074.1000000000004</v>
      </c>
      <c r="S16" s="286">
        <f t="shared" si="2"/>
        <v>3075.1000000000004</v>
      </c>
      <c r="T16" s="286">
        <f t="shared" si="2"/>
        <v>3076.1000000000004</v>
      </c>
      <c r="U16" s="286">
        <f t="shared" si="2"/>
        <v>3077.1000000000004</v>
      </c>
      <c r="V16" s="286">
        <f t="shared" si="2"/>
        <v>3078.1000000000004</v>
      </c>
      <c r="W16" s="286">
        <f t="shared" si="2"/>
        <v>3079.1000000000004</v>
      </c>
      <c r="X16" s="286">
        <f t="shared" si="2"/>
        <v>3080.1000000000004</v>
      </c>
      <c r="Y16" s="286">
        <f t="shared" si="2"/>
        <v>3081.1000000000004</v>
      </c>
      <c r="Z16" s="286">
        <f t="shared" si="2"/>
        <v>3082.1000000000004</v>
      </c>
      <c r="AA16" s="286">
        <f t="shared" si="2"/>
        <v>3083.1000000000004</v>
      </c>
      <c r="AB16" s="286">
        <f t="shared" si="2"/>
        <v>3084.1000000000004</v>
      </c>
      <c r="AC16" s="286">
        <f t="shared" si="2"/>
        <v>3085.1000000000004</v>
      </c>
      <c r="AD16" s="286">
        <f t="shared" si="2"/>
        <v>3086.1000000000004</v>
      </c>
      <c r="AE16" s="286">
        <f t="shared" ref="AE16:AG16" si="3">AD16+2</f>
        <v>3088.1000000000004</v>
      </c>
      <c r="AF16" s="286">
        <f t="shared" si="3"/>
        <v>3090.1000000000004</v>
      </c>
      <c r="AG16" s="286">
        <f t="shared" si="3"/>
        <v>3092.1000000000004</v>
      </c>
      <c r="AH16" s="286">
        <f>AG16+4</f>
        <v>3096.1000000000004</v>
      </c>
      <c r="AI16" s="286">
        <f>AH16+4</f>
        <v>3100.1000000000004</v>
      </c>
      <c r="AJ16" s="286">
        <f>AI16+4</f>
        <v>3104.1000000000004</v>
      </c>
    </row>
    <row r="17" spans="1:48" s="41" customFormat="1" x14ac:dyDescent="0.25">
      <c r="A17" s="296"/>
      <c r="B17" s="297">
        <f t="shared" ref="B17:AD17" si="4">B18+B19+B20+B21</f>
        <v>57607.858800000002</v>
      </c>
      <c r="C17" s="297">
        <f t="shared" si="4"/>
        <v>63368.644680000012</v>
      </c>
      <c r="D17" s="297">
        <f t="shared" si="4"/>
        <v>63389.359480000006</v>
      </c>
      <c r="E17" s="297">
        <f t="shared" si="4"/>
        <v>63410.074280000008</v>
      </c>
      <c r="F17" s="297">
        <f t="shared" si="4"/>
        <v>63430.78908000001</v>
      </c>
      <c r="G17" s="297">
        <f t="shared" si="4"/>
        <v>63451.503880000004</v>
      </c>
      <c r="H17" s="297">
        <f t="shared" si="4"/>
        <v>63472.218679999998</v>
      </c>
      <c r="I17" s="297">
        <f t="shared" si="4"/>
        <v>63492.933480000007</v>
      </c>
      <c r="J17" s="297">
        <f t="shared" si="4"/>
        <v>63513.648280000009</v>
      </c>
      <c r="K17" s="297">
        <f t="shared" si="4"/>
        <v>63534.36308000001</v>
      </c>
      <c r="L17" s="297">
        <f t="shared" si="4"/>
        <v>63555.077880000012</v>
      </c>
      <c r="M17" s="297">
        <f t="shared" si="4"/>
        <v>63575.792680000006</v>
      </c>
      <c r="N17" s="297">
        <f t="shared" si="4"/>
        <v>63596.50748</v>
      </c>
      <c r="O17" s="297">
        <f t="shared" si="4"/>
        <v>63617.222280000009</v>
      </c>
      <c r="P17" s="297">
        <f t="shared" si="4"/>
        <v>63637.937080000003</v>
      </c>
      <c r="Q17" s="297">
        <f t="shared" si="4"/>
        <v>63658.651880000012</v>
      </c>
      <c r="R17" s="297">
        <f t="shared" si="4"/>
        <v>63679.366680000014</v>
      </c>
      <c r="S17" s="297">
        <f t="shared" si="4"/>
        <v>63700.081480000008</v>
      </c>
      <c r="T17" s="297">
        <f t="shared" si="4"/>
        <v>63720.796280000002</v>
      </c>
      <c r="U17" s="297">
        <f t="shared" si="4"/>
        <v>63741.511080000004</v>
      </c>
      <c r="V17" s="297">
        <f t="shared" si="4"/>
        <v>63762.225880000005</v>
      </c>
      <c r="W17" s="297">
        <f t="shared" si="4"/>
        <v>63782.940680000007</v>
      </c>
      <c r="X17" s="297">
        <f t="shared" si="4"/>
        <v>63803.655480000009</v>
      </c>
      <c r="Y17" s="297">
        <f t="shared" si="4"/>
        <v>63824.370280000003</v>
      </c>
      <c r="Z17" s="297">
        <f t="shared" si="4"/>
        <v>63845.085080000004</v>
      </c>
      <c r="AA17" s="297">
        <f t="shared" si="4"/>
        <v>63865.799880000013</v>
      </c>
      <c r="AB17" s="297">
        <f t="shared" si="4"/>
        <v>63886.514680000008</v>
      </c>
      <c r="AC17" s="297">
        <f t="shared" si="4"/>
        <v>63907.229480000009</v>
      </c>
      <c r="AD17" s="297">
        <f t="shared" si="4"/>
        <v>63927.944280000011</v>
      </c>
      <c r="AE17" s="297"/>
      <c r="AF17" s="297"/>
      <c r="AG17" s="297"/>
      <c r="AH17" s="297"/>
      <c r="AI17" s="297"/>
    </row>
    <row r="18" spans="1:48" x14ac:dyDescent="0.25">
      <c r="A18" s="287" t="s">
        <v>676</v>
      </c>
      <c r="B18" s="288">
        <f>B16*$N$6</f>
        <v>33372</v>
      </c>
      <c r="C18" s="288">
        <f t="shared" ref="C18:AD18" si="5">C16*$N$6</f>
        <v>36709.200000000004</v>
      </c>
      <c r="D18" s="288">
        <f t="shared" si="5"/>
        <v>36721.200000000004</v>
      </c>
      <c r="E18" s="288">
        <f t="shared" si="5"/>
        <v>36733.200000000004</v>
      </c>
      <c r="F18" s="288">
        <f t="shared" si="5"/>
        <v>36745.200000000004</v>
      </c>
      <c r="G18" s="288">
        <f t="shared" si="5"/>
        <v>36757.200000000004</v>
      </c>
      <c r="H18" s="288">
        <f t="shared" si="5"/>
        <v>36769.200000000004</v>
      </c>
      <c r="I18" s="288">
        <f t="shared" si="5"/>
        <v>36781.200000000004</v>
      </c>
      <c r="J18" s="288">
        <f t="shared" si="5"/>
        <v>36793.200000000004</v>
      </c>
      <c r="K18" s="288">
        <f t="shared" si="5"/>
        <v>36805.200000000004</v>
      </c>
      <c r="L18" s="288">
        <f t="shared" si="5"/>
        <v>36817.200000000004</v>
      </c>
      <c r="M18" s="288">
        <f t="shared" si="5"/>
        <v>36829.200000000004</v>
      </c>
      <c r="N18" s="288">
        <f t="shared" si="5"/>
        <v>36841.200000000004</v>
      </c>
      <c r="O18" s="288">
        <f t="shared" si="5"/>
        <v>36853.200000000004</v>
      </c>
      <c r="P18" s="288">
        <f t="shared" si="5"/>
        <v>36865.200000000004</v>
      </c>
      <c r="Q18" s="288">
        <f t="shared" si="5"/>
        <v>36877.200000000004</v>
      </c>
      <c r="R18" s="288">
        <f t="shared" si="5"/>
        <v>36889.200000000004</v>
      </c>
      <c r="S18" s="288">
        <f t="shared" si="5"/>
        <v>36901.200000000004</v>
      </c>
      <c r="T18" s="288">
        <f t="shared" si="5"/>
        <v>36913.200000000004</v>
      </c>
      <c r="U18" s="288">
        <f t="shared" si="5"/>
        <v>36925.200000000004</v>
      </c>
      <c r="V18" s="288">
        <f t="shared" si="5"/>
        <v>36937.200000000004</v>
      </c>
      <c r="W18" s="288">
        <f t="shared" si="5"/>
        <v>36949.200000000004</v>
      </c>
      <c r="X18" s="288">
        <f t="shared" si="5"/>
        <v>36961.200000000004</v>
      </c>
      <c r="Y18" s="288">
        <f t="shared" si="5"/>
        <v>36973.200000000004</v>
      </c>
      <c r="Z18" s="288">
        <f t="shared" si="5"/>
        <v>36985.200000000004</v>
      </c>
      <c r="AA18" s="288">
        <f t="shared" si="5"/>
        <v>36997.200000000004</v>
      </c>
      <c r="AB18" s="288">
        <f t="shared" si="5"/>
        <v>37009.200000000004</v>
      </c>
      <c r="AC18" s="288">
        <f t="shared" si="5"/>
        <v>37021.200000000004</v>
      </c>
      <c r="AD18" s="288">
        <f t="shared" si="5"/>
        <v>37033.200000000004</v>
      </c>
      <c r="AE18" s="288">
        <f t="shared" ref="AE18:AK18" si="6">AE16*$N$5</f>
        <v>39342.394000000008</v>
      </c>
      <c r="AF18" s="288">
        <f t="shared" si="6"/>
        <v>39367.874000000003</v>
      </c>
      <c r="AG18" s="288">
        <f t="shared" si="6"/>
        <v>39393.354000000007</v>
      </c>
      <c r="AH18" s="288">
        <f t="shared" si="6"/>
        <v>39444.314000000006</v>
      </c>
      <c r="AI18" s="288">
        <f t="shared" si="6"/>
        <v>39495.274000000005</v>
      </c>
      <c r="AJ18" s="288">
        <f t="shared" si="6"/>
        <v>39546.234000000004</v>
      </c>
      <c r="AK18" s="288">
        <f t="shared" si="6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287" t="s">
        <v>677</v>
      </c>
      <c r="B19" s="288">
        <f>B16*$O$6</f>
        <v>12597.93</v>
      </c>
      <c r="C19" s="288">
        <f t="shared" ref="C19:AD19" si="7">C16*$O$6</f>
        <v>13857.723000000002</v>
      </c>
      <c r="D19" s="288">
        <f t="shared" si="7"/>
        <v>13862.253000000002</v>
      </c>
      <c r="E19" s="288">
        <f t="shared" si="7"/>
        <v>13866.783000000003</v>
      </c>
      <c r="F19" s="288">
        <f t="shared" si="7"/>
        <v>13871.313000000002</v>
      </c>
      <c r="G19" s="288">
        <f t="shared" si="7"/>
        <v>13875.843000000003</v>
      </c>
      <c r="H19" s="288">
        <f t="shared" si="7"/>
        <v>13880.373000000003</v>
      </c>
      <c r="I19" s="288">
        <f t="shared" si="7"/>
        <v>13884.903000000002</v>
      </c>
      <c r="J19" s="288">
        <f t="shared" si="7"/>
        <v>13889.433000000003</v>
      </c>
      <c r="K19" s="288">
        <f t="shared" si="7"/>
        <v>13893.963000000002</v>
      </c>
      <c r="L19" s="288">
        <f t="shared" si="7"/>
        <v>13898.493000000002</v>
      </c>
      <c r="M19" s="288">
        <f t="shared" si="7"/>
        <v>13903.023000000003</v>
      </c>
      <c r="N19" s="288">
        <f t="shared" si="7"/>
        <v>13907.553000000002</v>
      </c>
      <c r="O19" s="288">
        <f t="shared" si="7"/>
        <v>13912.083000000002</v>
      </c>
      <c r="P19" s="288">
        <f t="shared" si="7"/>
        <v>13916.613000000003</v>
      </c>
      <c r="Q19" s="288">
        <f t="shared" si="7"/>
        <v>13921.143000000002</v>
      </c>
      <c r="R19" s="288">
        <f t="shared" si="7"/>
        <v>13925.673000000003</v>
      </c>
      <c r="S19" s="288">
        <f t="shared" si="7"/>
        <v>13930.203000000003</v>
      </c>
      <c r="T19" s="288">
        <f t="shared" si="7"/>
        <v>13934.733000000002</v>
      </c>
      <c r="U19" s="288">
        <f t="shared" si="7"/>
        <v>13939.263000000003</v>
      </c>
      <c r="V19" s="288">
        <f t="shared" si="7"/>
        <v>13943.793000000003</v>
      </c>
      <c r="W19" s="288">
        <f t="shared" si="7"/>
        <v>13948.323000000002</v>
      </c>
      <c r="X19" s="288">
        <f t="shared" si="7"/>
        <v>13952.853000000003</v>
      </c>
      <c r="Y19" s="288">
        <f t="shared" si="7"/>
        <v>13957.383000000002</v>
      </c>
      <c r="Z19" s="288">
        <f t="shared" si="7"/>
        <v>13961.913000000002</v>
      </c>
      <c r="AA19" s="288">
        <f t="shared" si="7"/>
        <v>13966.443000000003</v>
      </c>
      <c r="AB19" s="288">
        <f t="shared" si="7"/>
        <v>13970.973000000002</v>
      </c>
      <c r="AC19" s="288">
        <f t="shared" si="7"/>
        <v>13975.503000000002</v>
      </c>
      <c r="AD19" s="288">
        <f t="shared" si="7"/>
        <v>13980.033000000003</v>
      </c>
      <c r="AE19" s="288">
        <f t="shared" ref="AE19:AK19" si="8">AE16*$O$5</f>
        <v>15100.809000000001</v>
      </c>
      <c r="AF19" s="288">
        <f t="shared" si="8"/>
        <v>15110.589</v>
      </c>
      <c r="AG19" s="288">
        <f t="shared" si="8"/>
        <v>15120.369000000001</v>
      </c>
      <c r="AH19" s="288">
        <f t="shared" si="8"/>
        <v>15139.929</v>
      </c>
      <c r="AI19" s="288">
        <f t="shared" si="8"/>
        <v>15159.489000000001</v>
      </c>
      <c r="AJ19" s="288">
        <f t="shared" si="8"/>
        <v>15179.049000000001</v>
      </c>
      <c r="AK19" s="288">
        <f t="shared" si="8"/>
        <v>0</v>
      </c>
    </row>
    <row r="20" spans="1:48" x14ac:dyDescent="0.25">
      <c r="A20" s="287" t="s">
        <v>678</v>
      </c>
      <c r="B20" s="288">
        <f>B16*$P$6</f>
        <v>10358.668799999999</v>
      </c>
      <c r="C20" s="288">
        <f t="shared" ref="C20:AD20" si="9">C16*$P$6</f>
        <v>11394.535680000001</v>
      </c>
      <c r="D20" s="288">
        <f t="shared" si="9"/>
        <v>11398.260480000001</v>
      </c>
      <c r="E20" s="288">
        <f t="shared" si="9"/>
        <v>11401.985280000001</v>
      </c>
      <c r="F20" s="288">
        <f t="shared" si="9"/>
        <v>11405.710080000001</v>
      </c>
      <c r="G20" s="288">
        <f t="shared" si="9"/>
        <v>11409.434880000001</v>
      </c>
      <c r="H20" s="288">
        <f t="shared" si="9"/>
        <v>11413.159680000001</v>
      </c>
      <c r="I20" s="288">
        <f t="shared" si="9"/>
        <v>11416.884480000001</v>
      </c>
      <c r="J20" s="288">
        <f t="shared" si="9"/>
        <v>11420.609280000001</v>
      </c>
      <c r="K20" s="288">
        <f t="shared" si="9"/>
        <v>11424.334080000001</v>
      </c>
      <c r="L20" s="288">
        <f t="shared" si="9"/>
        <v>11428.05888</v>
      </c>
      <c r="M20" s="288">
        <f t="shared" si="9"/>
        <v>11431.78368</v>
      </c>
      <c r="N20" s="288">
        <f t="shared" si="9"/>
        <v>11435.50848</v>
      </c>
      <c r="O20" s="288">
        <f t="shared" si="9"/>
        <v>11439.23328</v>
      </c>
      <c r="P20" s="288">
        <f t="shared" si="9"/>
        <v>11442.95808</v>
      </c>
      <c r="Q20" s="288">
        <f t="shared" si="9"/>
        <v>11446.68288</v>
      </c>
      <c r="R20" s="288">
        <f t="shared" si="9"/>
        <v>11450.40768</v>
      </c>
      <c r="S20" s="288">
        <f t="shared" si="9"/>
        <v>11454.13248</v>
      </c>
      <c r="T20" s="288">
        <f t="shared" si="9"/>
        <v>11457.85728</v>
      </c>
      <c r="U20" s="288">
        <f t="shared" si="9"/>
        <v>11461.58208</v>
      </c>
      <c r="V20" s="288">
        <f t="shared" si="9"/>
        <v>11465.30688</v>
      </c>
      <c r="W20" s="288">
        <f t="shared" si="9"/>
        <v>11469.03168</v>
      </c>
      <c r="X20" s="288">
        <f t="shared" si="9"/>
        <v>11472.75648</v>
      </c>
      <c r="Y20" s="288">
        <f t="shared" si="9"/>
        <v>11476.48128</v>
      </c>
      <c r="Z20" s="288">
        <f t="shared" si="9"/>
        <v>11480.20608</v>
      </c>
      <c r="AA20" s="288">
        <f t="shared" si="9"/>
        <v>11483.93088</v>
      </c>
      <c r="AB20" s="288">
        <f t="shared" si="9"/>
        <v>11487.65568</v>
      </c>
      <c r="AC20" s="288">
        <f t="shared" si="9"/>
        <v>11491.38048</v>
      </c>
      <c r="AD20" s="288">
        <f t="shared" si="9"/>
        <v>11495.10528</v>
      </c>
      <c r="AE20" s="288">
        <f t="shared" ref="AE20:AK20" si="10">AE16*$P$5</f>
        <v>12730.69225</v>
      </c>
      <c r="AF20" s="288">
        <f t="shared" si="10"/>
        <v>12738.937250000001</v>
      </c>
      <c r="AG20" s="288">
        <f t="shared" si="10"/>
        <v>12747.18225</v>
      </c>
      <c r="AH20" s="288">
        <f t="shared" si="10"/>
        <v>12763.67225</v>
      </c>
      <c r="AI20" s="288">
        <f t="shared" si="10"/>
        <v>12780.162249999999</v>
      </c>
      <c r="AJ20" s="288">
        <f t="shared" si="10"/>
        <v>12796.652250000001</v>
      </c>
      <c r="AK20" s="288">
        <f t="shared" si="10"/>
        <v>0</v>
      </c>
    </row>
    <row r="21" spans="1:48" x14ac:dyDescent="0.25">
      <c r="A21" s="287" t="s">
        <v>679</v>
      </c>
      <c r="B21" s="288">
        <f>B16*$Q$6</f>
        <v>1279.2600000000002</v>
      </c>
      <c r="C21" s="288">
        <f t="shared" ref="C21:AD21" si="11">C16*$Q$6</f>
        <v>1407.1860000000004</v>
      </c>
      <c r="D21" s="288">
        <f t="shared" si="11"/>
        <v>1407.6460000000004</v>
      </c>
      <c r="E21" s="288">
        <f t="shared" si="11"/>
        <v>1408.1060000000004</v>
      </c>
      <c r="F21" s="288">
        <f t="shared" si="11"/>
        <v>1408.5660000000005</v>
      </c>
      <c r="G21" s="288">
        <f t="shared" si="11"/>
        <v>1409.0260000000003</v>
      </c>
      <c r="H21" s="288">
        <f t="shared" si="11"/>
        <v>1409.4860000000003</v>
      </c>
      <c r="I21" s="288">
        <f t="shared" si="11"/>
        <v>1409.9460000000004</v>
      </c>
      <c r="J21" s="288">
        <f t="shared" si="11"/>
        <v>1410.4060000000004</v>
      </c>
      <c r="K21" s="288">
        <f t="shared" si="11"/>
        <v>1410.8660000000004</v>
      </c>
      <c r="L21" s="288">
        <f t="shared" si="11"/>
        <v>1411.3260000000005</v>
      </c>
      <c r="M21" s="288">
        <f t="shared" si="11"/>
        <v>1411.7860000000003</v>
      </c>
      <c r="N21" s="288">
        <f t="shared" si="11"/>
        <v>1412.2460000000003</v>
      </c>
      <c r="O21" s="288">
        <f t="shared" si="11"/>
        <v>1412.7060000000004</v>
      </c>
      <c r="P21" s="288">
        <f t="shared" si="11"/>
        <v>1413.1660000000004</v>
      </c>
      <c r="Q21" s="288">
        <f t="shared" si="11"/>
        <v>1413.6260000000004</v>
      </c>
      <c r="R21" s="288">
        <f t="shared" si="11"/>
        <v>1414.0860000000005</v>
      </c>
      <c r="S21" s="288">
        <f t="shared" si="11"/>
        <v>1414.5460000000005</v>
      </c>
      <c r="T21" s="288">
        <f t="shared" si="11"/>
        <v>1415.0060000000003</v>
      </c>
      <c r="U21" s="288">
        <f t="shared" si="11"/>
        <v>1415.4660000000003</v>
      </c>
      <c r="V21" s="288">
        <f t="shared" si="11"/>
        <v>1415.9260000000004</v>
      </c>
      <c r="W21" s="288">
        <f t="shared" si="11"/>
        <v>1416.3860000000004</v>
      </c>
      <c r="X21" s="288">
        <f t="shared" si="11"/>
        <v>1416.8460000000005</v>
      </c>
      <c r="Y21" s="288">
        <f t="shared" si="11"/>
        <v>1417.3060000000005</v>
      </c>
      <c r="Z21" s="288">
        <f t="shared" si="11"/>
        <v>1417.7660000000003</v>
      </c>
      <c r="AA21" s="288">
        <f t="shared" si="11"/>
        <v>1418.2260000000003</v>
      </c>
      <c r="AB21" s="288">
        <f t="shared" si="11"/>
        <v>1418.6860000000004</v>
      </c>
      <c r="AC21" s="288">
        <f t="shared" si="11"/>
        <v>1419.1460000000004</v>
      </c>
      <c r="AD21" s="288">
        <f t="shared" si="11"/>
        <v>1419.6060000000004</v>
      </c>
      <c r="AE21" s="288">
        <f t="shared" ref="AE21:AK21" si="12">AE16*$Q$5</f>
        <v>1574.9310000000003</v>
      </c>
      <c r="AF21" s="288">
        <f t="shared" si="12"/>
        <v>1575.9510000000002</v>
      </c>
      <c r="AG21" s="288">
        <f t="shared" si="12"/>
        <v>1576.9710000000002</v>
      </c>
      <c r="AH21" s="288">
        <f t="shared" si="12"/>
        <v>1579.0110000000002</v>
      </c>
      <c r="AI21" s="288">
        <f t="shared" si="12"/>
        <v>1581.0510000000002</v>
      </c>
      <c r="AJ21" s="288">
        <f t="shared" si="12"/>
        <v>1583.0910000000001</v>
      </c>
      <c r="AK21" s="288">
        <f t="shared" si="12"/>
        <v>0</v>
      </c>
    </row>
    <row r="22" spans="1:48" x14ac:dyDescent="0.25">
      <c r="A22" s="287" t="s">
        <v>680</v>
      </c>
      <c r="B22" s="288">
        <f t="shared" ref="B22:AD22" si="13">MIN(B$18,$C$4)</f>
        <v>33372</v>
      </c>
      <c r="C22" s="288">
        <f t="shared" si="13"/>
        <v>36709.200000000004</v>
      </c>
      <c r="D22" s="288">
        <f t="shared" si="13"/>
        <v>36721.200000000004</v>
      </c>
      <c r="E22" s="288">
        <f t="shared" si="13"/>
        <v>36733.200000000004</v>
      </c>
      <c r="F22" s="288">
        <f t="shared" si="13"/>
        <v>36745.200000000004</v>
      </c>
      <c r="G22" s="288">
        <f t="shared" si="13"/>
        <v>36757.200000000004</v>
      </c>
      <c r="H22" s="288">
        <f t="shared" si="13"/>
        <v>36769.200000000004</v>
      </c>
      <c r="I22" s="288">
        <f t="shared" si="13"/>
        <v>36781.200000000004</v>
      </c>
      <c r="J22" s="288">
        <f t="shared" si="13"/>
        <v>36793.200000000004</v>
      </c>
      <c r="K22" s="288">
        <f t="shared" si="13"/>
        <v>36805.200000000004</v>
      </c>
      <c r="L22" s="288">
        <f t="shared" si="13"/>
        <v>36817.200000000004</v>
      </c>
      <c r="M22" s="288">
        <f t="shared" si="13"/>
        <v>36829.200000000004</v>
      </c>
      <c r="N22" s="288">
        <f t="shared" si="13"/>
        <v>36841.200000000004</v>
      </c>
      <c r="O22" s="288">
        <f t="shared" si="13"/>
        <v>36853.200000000004</v>
      </c>
      <c r="P22" s="288">
        <f t="shared" si="13"/>
        <v>36865.200000000004</v>
      </c>
      <c r="Q22" s="288">
        <f t="shared" si="13"/>
        <v>36877.200000000004</v>
      </c>
      <c r="R22" s="288">
        <f t="shared" si="13"/>
        <v>36877.200000000004</v>
      </c>
      <c r="S22" s="288">
        <f t="shared" si="13"/>
        <v>36877.200000000004</v>
      </c>
      <c r="T22" s="288">
        <f t="shared" si="13"/>
        <v>36877.200000000004</v>
      </c>
      <c r="U22" s="288">
        <f t="shared" si="13"/>
        <v>36877.200000000004</v>
      </c>
      <c r="V22" s="288">
        <f t="shared" si="13"/>
        <v>36877.200000000004</v>
      </c>
      <c r="W22" s="288">
        <f t="shared" si="13"/>
        <v>36877.200000000004</v>
      </c>
      <c r="X22" s="288">
        <f t="shared" si="13"/>
        <v>36877.200000000004</v>
      </c>
      <c r="Y22" s="288">
        <f t="shared" si="13"/>
        <v>36877.200000000004</v>
      </c>
      <c r="Z22" s="288">
        <f t="shared" si="13"/>
        <v>36877.200000000004</v>
      </c>
      <c r="AA22" s="288">
        <f t="shared" si="13"/>
        <v>36877.200000000004</v>
      </c>
      <c r="AB22" s="288">
        <f t="shared" si="13"/>
        <v>36877.200000000004</v>
      </c>
      <c r="AC22" s="288">
        <f t="shared" si="13"/>
        <v>36877.200000000004</v>
      </c>
      <c r="AD22" s="288">
        <f t="shared" si="13"/>
        <v>36877.200000000004</v>
      </c>
      <c r="AE22" s="288"/>
      <c r="AF22" s="288"/>
      <c r="AG22" s="288"/>
      <c r="AH22" s="288"/>
      <c r="AI22" s="288"/>
    </row>
    <row r="23" spans="1:48" x14ac:dyDescent="0.25">
      <c r="A23" s="287" t="s">
        <v>681</v>
      </c>
      <c r="B23" s="288">
        <f t="shared" ref="B23:AD23" si="14">MIN(B$19,$C$5)</f>
        <v>12597.93</v>
      </c>
      <c r="C23" s="288">
        <f t="shared" si="14"/>
        <v>13857.723000000002</v>
      </c>
      <c r="D23" s="288">
        <f t="shared" si="14"/>
        <v>13862.253000000002</v>
      </c>
      <c r="E23" s="288">
        <f t="shared" si="14"/>
        <v>13866.783000000003</v>
      </c>
      <c r="F23" s="288">
        <f t="shared" si="14"/>
        <v>13871.313000000002</v>
      </c>
      <c r="G23" s="288">
        <f t="shared" si="14"/>
        <v>13875.843000000003</v>
      </c>
      <c r="H23" s="288">
        <f t="shared" si="14"/>
        <v>13880.373000000003</v>
      </c>
      <c r="I23" s="288">
        <f t="shared" si="14"/>
        <v>13884.903000000002</v>
      </c>
      <c r="J23" s="288">
        <f t="shared" si="14"/>
        <v>13889.433000000003</v>
      </c>
      <c r="K23" s="288">
        <f t="shared" si="14"/>
        <v>13893.963000000002</v>
      </c>
      <c r="L23" s="288">
        <f t="shared" si="14"/>
        <v>13898.493000000002</v>
      </c>
      <c r="M23" s="288">
        <f t="shared" si="14"/>
        <v>13903.023000000003</v>
      </c>
      <c r="N23" s="288">
        <f t="shared" si="14"/>
        <v>13907.553000000002</v>
      </c>
      <c r="O23" s="288">
        <f t="shared" si="14"/>
        <v>13912.083000000002</v>
      </c>
      <c r="P23" s="288">
        <f t="shared" si="14"/>
        <v>13916.613000000003</v>
      </c>
      <c r="Q23" s="288">
        <f t="shared" si="14"/>
        <v>13921.143000000002</v>
      </c>
      <c r="R23" s="288">
        <f t="shared" si="14"/>
        <v>13921.143000000002</v>
      </c>
      <c r="S23" s="288">
        <f t="shared" si="14"/>
        <v>13921.143000000002</v>
      </c>
      <c r="T23" s="288">
        <f t="shared" si="14"/>
        <v>13921.143000000002</v>
      </c>
      <c r="U23" s="288">
        <f t="shared" si="14"/>
        <v>13921.143000000002</v>
      </c>
      <c r="V23" s="288">
        <f t="shared" si="14"/>
        <v>13921.143000000002</v>
      </c>
      <c r="W23" s="288">
        <f t="shared" si="14"/>
        <v>13921.143000000002</v>
      </c>
      <c r="X23" s="288">
        <f t="shared" si="14"/>
        <v>13921.143000000002</v>
      </c>
      <c r="Y23" s="288">
        <f t="shared" si="14"/>
        <v>13921.143000000002</v>
      </c>
      <c r="Z23" s="288">
        <f t="shared" si="14"/>
        <v>13921.143000000002</v>
      </c>
      <c r="AA23" s="288">
        <f t="shared" si="14"/>
        <v>13921.143000000002</v>
      </c>
      <c r="AB23" s="288">
        <f t="shared" si="14"/>
        <v>13921.143000000002</v>
      </c>
      <c r="AC23" s="288">
        <f t="shared" si="14"/>
        <v>13921.143000000002</v>
      </c>
      <c r="AD23" s="288">
        <f t="shared" si="14"/>
        <v>13921.143000000002</v>
      </c>
      <c r="AE23" s="288"/>
      <c r="AF23" s="288"/>
      <c r="AG23" s="288"/>
      <c r="AH23" s="288"/>
      <c r="AI23" s="288"/>
    </row>
    <row r="24" spans="1:48" x14ac:dyDescent="0.25">
      <c r="A24" s="287" t="s">
        <v>682</v>
      </c>
      <c r="B24" s="288">
        <f t="shared" ref="B24:AD24" si="15">MIN(B$20,$C$6)</f>
        <v>10358.668799999999</v>
      </c>
      <c r="C24" s="288">
        <f t="shared" si="15"/>
        <v>11394.535680000001</v>
      </c>
      <c r="D24" s="288">
        <f t="shared" si="15"/>
        <v>11398.260480000001</v>
      </c>
      <c r="E24" s="288">
        <f t="shared" si="15"/>
        <v>11401.985280000001</v>
      </c>
      <c r="F24" s="288">
        <f t="shared" si="15"/>
        <v>11405.710080000001</v>
      </c>
      <c r="G24" s="288">
        <f t="shared" si="15"/>
        <v>11409.434880000001</v>
      </c>
      <c r="H24" s="288">
        <f t="shared" si="15"/>
        <v>11413.159680000001</v>
      </c>
      <c r="I24" s="288">
        <f t="shared" si="15"/>
        <v>11416.884480000001</v>
      </c>
      <c r="J24" s="288">
        <f t="shared" si="15"/>
        <v>11420.609280000001</v>
      </c>
      <c r="K24" s="288">
        <f t="shared" si="15"/>
        <v>11424.334080000001</v>
      </c>
      <c r="L24" s="288">
        <f t="shared" si="15"/>
        <v>11428.05888</v>
      </c>
      <c r="M24" s="288">
        <f t="shared" si="15"/>
        <v>11431.78368</v>
      </c>
      <c r="N24" s="288">
        <f t="shared" si="15"/>
        <v>11435.50848</v>
      </c>
      <c r="O24" s="288">
        <f t="shared" si="15"/>
        <v>11439.23328</v>
      </c>
      <c r="P24" s="288">
        <f t="shared" si="15"/>
        <v>11442.95808</v>
      </c>
      <c r="Q24" s="288">
        <f t="shared" si="15"/>
        <v>11446.68288</v>
      </c>
      <c r="R24" s="288">
        <f t="shared" si="15"/>
        <v>11446.68288</v>
      </c>
      <c r="S24" s="288">
        <f t="shared" si="15"/>
        <v>11446.68288</v>
      </c>
      <c r="T24" s="288">
        <f t="shared" si="15"/>
        <v>11446.68288</v>
      </c>
      <c r="U24" s="288">
        <f t="shared" si="15"/>
        <v>11446.68288</v>
      </c>
      <c r="V24" s="288">
        <f t="shared" si="15"/>
        <v>11446.68288</v>
      </c>
      <c r="W24" s="288">
        <f t="shared" si="15"/>
        <v>11446.68288</v>
      </c>
      <c r="X24" s="288">
        <f t="shared" si="15"/>
        <v>11446.68288</v>
      </c>
      <c r="Y24" s="288">
        <f t="shared" si="15"/>
        <v>11446.68288</v>
      </c>
      <c r="Z24" s="288">
        <f t="shared" si="15"/>
        <v>11446.68288</v>
      </c>
      <c r="AA24" s="288">
        <f t="shared" si="15"/>
        <v>11446.68288</v>
      </c>
      <c r="AB24" s="288">
        <f t="shared" si="15"/>
        <v>11446.68288</v>
      </c>
      <c r="AC24" s="288">
        <f t="shared" si="15"/>
        <v>11446.68288</v>
      </c>
      <c r="AD24" s="288">
        <f t="shared" si="15"/>
        <v>11446.68288</v>
      </c>
      <c r="AE24" s="288"/>
      <c r="AF24" s="288"/>
      <c r="AG24" s="288"/>
      <c r="AH24" s="288"/>
      <c r="AI24" s="288"/>
    </row>
    <row r="25" spans="1:48" x14ac:dyDescent="0.25">
      <c r="A25" s="287" t="s">
        <v>683</v>
      </c>
      <c r="B25" s="288">
        <f t="shared" ref="B25:AD25" si="16">MIN(B$21,$C$7)</f>
        <v>1279.2600000000002</v>
      </c>
      <c r="C25" s="288">
        <f t="shared" si="16"/>
        <v>1407.1860000000004</v>
      </c>
      <c r="D25" s="288">
        <f t="shared" si="16"/>
        <v>1407.6460000000004</v>
      </c>
      <c r="E25" s="288">
        <f t="shared" si="16"/>
        <v>1408.1060000000004</v>
      </c>
      <c r="F25" s="288">
        <f t="shared" si="16"/>
        <v>1408.5660000000005</v>
      </c>
      <c r="G25" s="288">
        <f t="shared" si="16"/>
        <v>1409.0260000000003</v>
      </c>
      <c r="H25" s="288">
        <f t="shared" si="16"/>
        <v>1409.4860000000003</v>
      </c>
      <c r="I25" s="288">
        <f t="shared" si="16"/>
        <v>1409.9460000000004</v>
      </c>
      <c r="J25" s="288">
        <f t="shared" si="16"/>
        <v>1410.4060000000004</v>
      </c>
      <c r="K25" s="288">
        <f t="shared" si="16"/>
        <v>1410.8660000000004</v>
      </c>
      <c r="L25" s="288">
        <f t="shared" si="16"/>
        <v>1411.3260000000005</v>
      </c>
      <c r="M25" s="288">
        <f t="shared" si="16"/>
        <v>1411.7860000000003</v>
      </c>
      <c r="N25" s="288">
        <f t="shared" si="16"/>
        <v>1412.2460000000003</v>
      </c>
      <c r="O25" s="288">
        <f t="shared" si="16"/>
        <v>1412.7060000000004</v>
      </c>
      <c r="P25" s="288">
        <f t="shared" si="16"/>
        <v>1413.1660000000004</v>
      </c>
      <c r="Q25" s="288">
        <f t="shared" si="16"/>
        <v>1413.6260000000004</v>
      </c>
      <c r="R25" s="288">
        <f t="shared" si="16"/>
        <v>1413.6260000000004</v>
      </c>
      <c r="S25" s="288">
        <f t="shared" si="16"/>
        <v>1413.6260000000004</v>
      </c>
      <c r="T25" s="288">
        <f t="shared" si="16"/>
        <v>1413.6260000000004</v>
      </c>
      <c r="U25" s="288">
        <f t="shared" si="16"/>
        <v>1413.6260000000004</v>
      </c>
      <c r="V25" s="288">
        <f t="shared" si="16"/>
        <v>1413.6260000000004</v>
      </c>
      <c r="W25" s="288">
        <f t="shared" si="16"/>
        <v>1413.6260000000004</v>
      </c>
      <c r="X25" s="288">
        <f t="shared" si="16"/>
        <v>1413.6260000000004</v>
      </c>
      <c r="Y25" s="288">
        <f t="shared" si="16"/>
        <v>1413.6260000000004</v>
      </c>
      <c r="Z25" s="288">
        <f t="shared" si="16"/>
        <v>1413.6260000000004</v>
      </c>
      <c r="AA25" s="288">
        <f t="shared" si="16"/>
        <v>1413.6260000000004</v>
      </c>
      <c r="AB25" s="288">
        <f t="shared" si="16"/>
        <v>1413.6260000000004</v>
      </c>
      <c r="AC25" s="288">
        <f t="shared" si="16"/>
        <v>1413.6260000000004</v>
      </c>
      <c r="AD25" s="288">
        <f t="shared" si="16"/>
        <v>1413.6260000000004</v>
      </c>
      <c r="AE25" s="288"/>
      <c r="AF25" s="288"/>
      <c r="AG25" s="288"/>
      <c r="AH25" s="288"/>
      <c r="AI25" s="288"/>
    </row>
    <row r="26" spans="1:48" x14ac:dyDescent="0.25">
      <c r="A26" s="289" t="s">
        <v>684</v>
      </c>
      <c r="B26" s="290">
        <f>IF(B22&gt;$B$4,(B22-$B$4)*$H$4,0)</f>
        <v>0</v>
      </c>
      <c r="C26" s="290">
        <v>0</v>
      </c>
      <c r="D26" s="290">
        <f>IF(D22&gt;$B$4,(D22-$B$4)*$H$4,0)</f>
        <v>13049.400000000031</v>
      </c>
      <c r="E26" s="290">
        <v>0</v>
      </c>
      <c r="F26" s="290">
        <f>IF(F22&gt;$B$4,(F22-$B$4)*$H$4,0)</f>
        <v>13217.400000000031</v>
      </c>
      <c r="G26" s="290">
        <v>0</v>
      </c>
      <c r="H26" s="290">
        <f>IF(H22&gt;$B$4,(H22-$B$4)*$H$4,0)</f>
        <v>13385.400000000031</v>
      </c>
      <c r="I26" s="290">
        <v>0</v>
      </c>
      <c r="J26" s="290">
        <f>IF(J22&gt;$B$4,(J22-$B$4)*$H$4,0)</f>
        <v>13553.400000000031</v>
      </c>
      <c r="K26" s="290">
        <v>0</v>
      </c>
      <c r="L26" s="290">
        <f>IF(L22&gt;$B$4,(L22-$B$4)*$H$4,0)</f>
        <v>13721.400000000031</v>
      </c>
      <c r="M26" s="290">
        <v>0</v>
      </c>
      <c r="N26" s="290">
        <f>IF(N22&gt;$B$4,(N22-$B$4)*$H$4,0)</f>
        <v>13889.400000000031</v>
      </c>
      <c r="O26" s="290">
        <v>0</v>
      </c>
      <c r="P26" s="290">
        <f>IF(P22&gt;$B$4,(P22-$B$4)*$H$4,0)</f>
        <v>14057.400000000031</v>
      </c>
      <c r="Q26" s="290">
        <v>0</v>
      </c>
      <c r="R26" s="290">
        <f>IF(R22&gt;$B$4,(R22-$B$4)*$H$4,0)</f>
        <v>14141.400000000031</v>
      </c>
      <c r="S26" s="290">
        <v>0</v>
      </c>
      <c r="T26" s="290">
        <f>IF(T22&gt;$B$4,(T22-$B$4)*$H$4,0)</f>
        <v>14141.400000000031</v>
      </c>
      <c r="U26" s="290">
        <v>0</v>
      </c>
      <c r="V26" s="290">
        <f>IF(V22&gt;$B$4,(V22-$B$4)*$H$4,0)</f>
        <v>14141.400000000031</v>
      </c>
      <c r="W26" s="290">
        <v>0</v>
      </c>
      <c r="X26" s="290">
        <f>IF(X22&gt;$B$4,(X22-$B$4)*$H$4,0)</f>
        <v>14141.400000000031</v>
      </c>
      <c r="Y26" s="290">
        <v>0</v>
      </c>
      <c r="Z26" s="290">
        <f>IF(Z22&gt;$B$4,(Z22-$B$4)*$H$4,0)</f>
        <v>14141.400000000031</v>
      </c>
      <c r="AA26" s="290">
        <v>0</v>
      </c>
      <c r="AB26" s="290">
        <f>IF(AB22&gt;$B$4,(AB22-$B$4)*$H$4,0)</f>
        <v>14141.400000000031</v>
      </c>
      <c r="AC26" s="290">
        <v>0</v>
      </c>
      <c r="AD26" s="290">
        <f>IF(AD22&gt;$B$4,(AD22-$B$4)*$H$4,0)</f>
        <v>14141.400000000031</v>
      </c>
      <c r="AE26" s="290">
        <v>0</v>
      </c>
      <c r="AF26" s="290">
        <f>IF(AF22&gt;$B$4,(AF22-$B$4)*$H$4,0)</f>
        <v>0</v>
      </c>
      <c r="AG26" s="290">
        <v>0</v>
      </c>
      <c r="AH26" s="290">
        <f>IF(AH22&gt;$B$4,(AH22-$B$4)*$H$4,0)</f>
        <v>0</v>
      </c>
      <c r="AI26" s="290">
        <v>0</v>
      </c>
      <c r="AJ26" s="290">
        <f>IF(AJ22&gt;$B$4,(AJ22-$B$4)*$H$4,0)</f>
        <v>0</v>
      </c>
      <c r="AK26" s="290">
        <v>0</v>
      </c>
    </row>
    <row r="27" spans="1:48" x14ac:dyDescent="0.25">
      <c r="A27" s="289" t="s">
        <v>685</v>
      </c>
      <c r="B27" s="290">
        <f>IF(B23&gt;$B$5,(B23-$B$5)*$H$5,0)</f>
        <v>0</v>
      </c>
      <c r="C27" s="290">
        <v>0</v>
      </c>
      <c r="D27" s="290">
        <f>IF(D23&gt;$B$5,(D23-$B$5)*$H$5,0)</f>
        <v>4842.5300000000243</v>
      </c>
      <c r="E27" s="290">
        <v>0</v>
      </c>
      <c r="F27" s="290">
        <f>IF(F23&gt;$B$5,(F23-$B$5)*$H$5,0)</f>
        <v>4933.1300000000192</v>
      </c>
      <c r="G27" s="290">
        <v>0</v>
      </c>
      <c r="H27" s="290">
        <f>IF(H23&gt;$B$5,(H23-$B$5)*$H$5,0)</f>
        <v>5023.7300000000323</v>
      </c>
      <c r="I27" s="290">
        <v>0</v>
      </c>
      <c r="J27" s="290">
        <f>IF(J23&gt;$B$5,(J23-$B$5)*$H$5,0)</f>
        <v>5114.3300000000272</v>
      </c>
      <c r="K27" s="290">
        <v>0</v>
      </c>
      <c r="L27" s="290">
        <f>IF(L23&gt;$B$5,(L23-$B$5)*$H$5,0)</f>
        <v>5204.9300000000221</v>
      </c>
      <c r="M27" s="290">
        <v>0</v>
      </c>
      <c r="N27" s="290">
        <f>IF(N23&gt;$B$5,(N23-$B$5)*$H$5,0)</f>
        <v>5295.530000000017</v>
      </c>
      <c r="O27" s="290">
        <v>0</v>
      </c>
      <c r="P27" s="290">
        <f>IF(P23&gt;$B$5,(P23-$B$5)*$H$5,0)</f>
        <v>5386.1300000000301</v>
      </c>
      <c r="Q27" s="290">
        <v>0</v>
      </c>
      <c r="R27" s="290">
        <f>IF(R23&gt;$B$5,(R23-$B$5)*$H$5,0)</f>
        <v>5431.4300000000185</v>
      </c>
      <c r="S27" s="290">
        <v>0</v>
      </c>
      <c r="T27" s="290">
        <f>IF(T23&gt;$B$5,(T23-$B$5)*$H$5,0)</f>
        <v>5431.4300000000185</v>
      </c>
      <c r="U27" s="290">
        <v>0</v>
      </c>
      <c r="V27" s="290">
        <f>IF(V23&gt;$B$5,(V23-$B$5)*$H$5,0)</f>
        <v>5431.4300000000185</v>
      </c>
      <c r="W27" s="290">
        <v>0</v>
      </c>
      <c r="X27" s="290">
        <f>IF(X23&gt;$B$5,(X23-$B$5)*$H$5,0)</f>
        <v>5431.4300000000185</v>
      </c>
      <c r="Y27" s="290">
        <v>0</v>
      </c>
      <c r="Z27" s="290">
        <f>IF(Z23&gt;$B$5,(Z23-$B$5)*$H$5,0)</f>
        <v>5431.4300000000185</v>
      </c>
      <c r="AA27" s="290">
        <v>0</v>
      </c>
      <c r="AB27" s="290">
        <f>IF(AB23&gt;$B$5,(AB23-$B$5)*$H$5,0)</f>
        <v>5431.4300000000185</v>
      </c>
      <c r="AC27" s="290">
        <v>0</v>
      </c>
      <c r="AD27" s="290">
        <f>IF(AD23&gt;$B$5,(AD23-$B$5)*$H$5,0)</f>
        <v>5431.4300000000185</v>
      </c>
      <c r="AE27" s="290">
        <v>0</v>
      </c>
      <c r="AF27" s="290">
        <f>IF(AF23&gt;$B$5,(AF23-$B$5)*$H$5,0)</f>
        <v>0</v>
      </c>
      <c r="AG27" s="290">
        <v>0</v>
      </c>
      <c r="AH27" s="290">
        <f>IF(AH23&gt;$B$5,(AH23-$B$5)*$H$5,0)</f>
        <v>0</v>
      </c>
      <c r="AI27" s="290">
        <v>0</v>
      </c>
      <c r="AJ27" s="290">
        <f>IF(AJ23&gt;$B$5,(AJ23-$B$5)*$H$5,0)</f>
        <v>0</v>
      </c>
      <c r="AK27" s="290">
        <v>0</v>
      </c>
    </row>
    <row r="28" spans="1:48" x14ac:dyDescent="0.25">
      <c r="A28" s="289" t="s">
        <v>686</v>
      </c>
      <c r="B28" s="290">
        <f>IF(B24&gt;$B$6,(B24-$B$6)*$H$6,0)</f>
        <v>0</v>
      </c>
      <c r="C28" s="290">
        <v>0</v>
      </c>
      <c r="D28" s="290">
        <f>IF(D24&gt;$B$6,(D24-$B$6)*$H$6,0)</f>
        <v>0</v>
      </c>
      <c r="E28" s="290">
        <v>0</v>
      </c>
      <c r="F28" s="290">
        <f>IF(F24&gt;$B$6,(F24-$B$6)*$H$6,0)</f>
        <v>0</v>
      </c>
      <c r="G28" s="290">
        <v>0</v>
      </c>
      <c r="H28" s="290">
        <f>IF(H24&gt;$B$6,(H24-$B$6)*$H$6,0)</f>
        <v>0</v>
      </c>
      <c r="I28" s="290">
        <v>0</v>
      </c>
      <c r="J28" s="290">
        <f>IF(J24&gt;$B$6,(J24-$B$6)*$H$6,0)</f>
        <v>0</v>
      </c>
      <c r="K28" s="290">
        <v>0</v>
      </c>
      <c r="L28" s="290">
        <f>IF(L24&gt;$B$6,(L24-$B$6)*$H$6,0)</f>
        <v>0</v>
      </c>
      <c r="M28" s="290">
        <v>0</v>
      </c>
      <c r="N28" s="290">
        <f>IF(N24&gt;$B$6,(N24-$B$6)*$H$6,0)</f>
        <v>0</v>
      </c>
      <c r="O28" s="290">
        <v>0</v>
      </c>
      <c r="P28" s="290">
        <f>IF(P24&gt;$B$6,(P24-$B$6)*$H$6,0)</f>
        <v>0</v>
      </c>
      <c r="Q28" s="290">
        <v>0</v>
      </c>
      <c r="R28" s="290">
        <f>IF(R24&gt;$B$6,(R24-$B$6)*$H$6,0)</f>
        <v>0</v>
      </c>
      <c r="S28" s="290">
        <v>0</v>
      </c>
      <c r="T28" s="290">
        <f>IF(T24&gt;$B$6,(T24-$B$6)*$H$6,0)</f>
        <v>0</v>
      </c>
      <c r="U28" s="290">
        <v>0</v>
      </c>
      <c r="V28" s="290">
        <f>IF(V24&gt;$B$6,(V24-$B$6)*$H$6,0)</f>
        <v>0</v>
      </c>
      <c r="W28" s="290">
        <v>0</v>
      </c>
      <c r="X28" s="290">
        <f>IF(X24&gt;$B$6,(X24-$B$6)*$H$6,0)</f>
        <v>0</v>
      </c>
      <c r="Y28" s="290">
        <v>0</v>
      </c>
      <c r="Z28" s="290">
        <f>IF(Z24&gt;$B$6,(Z24-$B$6)*$H$6,0)</f>
        <v>0</v>
      </c>
      <c r="AA28" s="290">
        <v>0</v>
      </c>
      <c r="AB28" s="290">
        <f>IF(AB24&gt;$B$6,(AB24-$B$6)*$H$6,0)</f>
        <v>0</v>
      </c>
      <c r="AC28" s="290">
        <v>0</v>
      </c>
      <c r="AD28" s="290">
        <f>IF(AD24&gt;$B$6,(AD24-$B$6)*$H$6,0)</f>
        <v>0</v>
      </c>
      <c r="AE28" s="290">
        <v>0</v>
      </c>
      <c r="AF28" s="290">
        <f>IF(AF24&gt;$B$6,(AF24-$B$6)*$H$6,0)</f>
        <v>0</v>
      </c>
      <c r="AG28" s="290">
        <v>0</v>
      </c>
      <c r="AH28" s="290">
        <f>IF(AH24&gt;$B$6,(AH24-$B$6)*$H$6,0)</f>
        <v>0</v>
      </c>
      <c r="AI28" s="290">
        <v>0</v>
      </c>
      <c r="AJ28" s="290">
        <f>IF(AJ24&gt;$B$6,(AJ24-$B$6)*$H$6,0)</f>
        <v>0</v>
      </c>
      <c r="AK28" s="290">
        <v>0</v>
      </c>
    </row>
    <row r="29" spans="1:48" x14ac:dyDescent="0.25">
      <c r="A29" s="289" t="s">
        <v>687</v>
      </c>
      <c r="B29" s="290">
        <f>IF(B25&gt;$B$7,(B25-$B$7)*$H$7,0)</f>
        <v>0</v>
      </c>
      <c r="C29" s="290">
        <v>0</v>
      </c>
      <c r="D29" s="290">
        <f>IF(D25&gt;$B$7,(D25-$B$7)*$H$7,0)</f>
        <v>442.61000000001445</v>
      </c>
      <c r="E29" s="290">
        <v>0</v>
      </c>
      <c r="F29" s="290">
        <f>IF(F25&gt;$B$7,(F25-$B$7)*$H$7,0)</f>
        <v>474.810000000017</v>
      </c>
      <c r="G29" s="290">
        <v>0</v>
      </c>
      <c r="H29" s="290">
        <f>IF(H25&gt;$B$7,(H25-$B$7)*$H$7,0)</f>
        <v>507.01000000001159</v>
      </c>
      <c r="I29" s="290">
        <v>0</v>
      </c>
      <c r="J29" s="290">
        <f>IF(J25&gt;$B$7,(J25-$B$7)*$H$7,0)</f>
        <v>539.21000000001413</v>
      </c>
      <c r="K29" s="290">
        <v>0</v>
      </c>
      <c r="L29" s="290">
        <f>IF(L25&gt;$B$7,(L25-$B$7)*$H$7,0)</f>
        <v>571.41000000001668</v>
      </c>
      <c r="M29" s="290">
        <v>0</v>
      </c>
      <c r="N29" s="290">
        <f>IF(N25&gt;$B$7,(N25-$B$7)*$H$7,0)</f>
        <v>603.61000000001127</v>
      </c>
      <c r="O29" s="290">
        <v>0</v>
      </c>
      <c r="P29" s="290">
        <f>IF(P25&gt;$B$7,(P25-$B$7)*$H$7,0)</f>
        <v>635.81000000001382</v>
      </c>
      <c r="Q29" s="290">
        <v>0</v>
      </c>
      <c r="R29" s="290">
        <f>IF(R25&gt;$B$7,(R25-$B$7)*$H$7,0)</f>
        <v>651.91000000001509</v>
      </c>
      <c r="S29" s="290">
        <v>0</v>
      </c>
      <c r="T29" s="290">
        <f>IF(T25&gt;$B$7,(T25-$B$7)*$H$7,0)</f>
        <v>651.91000000001509</v>
      </c>
      <c r="U29" s="290">
        <v>0</v>
      </c>
      <c r="V29" s="290">
        <f>IF(V25&gt;$B$7,(V25-$B$7)*$H$7,0)</f>
        <v>651.91000000001509</v>
      </c>
      <c r="W29" s="290">
        <v>0</v>
      </c>
      <c r="X29" s="290">
        <f>IF(X25&gt;$B$7,(X25-$B$7)*$H$7,0)</f>
        <v>651.91000000001509</v>
      </c>
      <c r="Y29" s="290">
        <v>0</v>
      </c>
      <c r="Z29" s="290">
        <f>IF(Z25&gt;$B$7,(Z25-$B$7)*$H$7,0)</f>
        <v>651.91000000001509</v>
      </c>
      <c r="AA29" s="290">
        <v>0</v>
      </c>
      <c r="AB29" s="290">
        <f>IF(AB25&gt;$B$7,(AB25-$B$7)*$H$7,0)</f>
        <v>651.91000000001509</v>
      </c>
      <c r="AC29" s="290">
        <v>0</v>
      </c>
      <c r="AD29" s="290">
        <f>IF(AD25&gt;$B$7,(AD25-$B$7)*$H$7,0)</f>
        <v>651.91000000001509</v>
      </c>
      <c r="AE29" s="290">
        <v>0</v>
      </c>
      <c r="AF29" s="290">
        <f>IF(AF25&gt;$B$7,(AF25-$B$7)*$H$7,0)</f>
        <v>0</v>
      </c>
      <c r="AG29" s="290">
        <v>0</v>
      </c>
      <c r="AH29" s="290">
        <f>IF(AH25&gt;$B$7,(AH25-$B$7)*$H$7,0)</f>
        <v>0</v>
      </c>
      <c r="AI29" s="290">
        <v>0</v>
      </c>
      <c r="AJ29" s="290">
        <f>IF(AJ25&gt;$B$7,(AJ25-$B$7)*$H$7,0)</f>
        <v>0</v>
      </c>
      <c r="AK29" s="290">
        <v>0</v>
      </c>
    </row>
    <row r="30" spans="1:48" x14ac:dyDescent="0.25">
      <c r="A30" s="291" t="s">
        <v>688</v>
      </c>
      <c r="B30" s="292">
        <f>G4+G5+G6+G7</f>
        <v>1435.5479800000048</v>
      </c>
      <c r="C30" s="292">
        <f t="shared" ref="C30:AD30" si="17">B30</f>
        <v>1435.5479800000048</v>
      </c>
      <c r="D30" s="292">
        <f t="shared" si="17"/>
        <v>1435.5479800000048</v>
      </c>
      <c r="E30" s="292">
        <f t="shared" si="17"/>
        <v>1435.5479800000048</v>
      </c>
      <c r="F30" s="292">
        <f t="shared" si="17"/>
        <v>1435.5479800000048</v>
      </c>
      <c r="G30" s="292">
        <f t="shared" si="17"/>
        <v>1435.5479800000048</v>
      </c>
      <c r="H30" s="292">
        <f t="shared" si="17"/>
        <v>1435.5479800000048</v>
      </c>
      <c r="I30" s="292">
        <f t="shared" si="17"/>
        <v>1435.5479800000048</v>
      </c>
      <c r="J30" s="292">
        <f t="shared" si="17"/>
        <v>1435.5479800000048</v>
      </c>
      <c r="K30" s="292">
        <f t="shared" si="17"/>
        <v>1435.5479800000048</v>
      </c>
      <c r="L30" s="292">
        <f t="shared" si="17"/>
        <v>1435.5479800000048</v>
      </c>
      <c r="M30" s="292">
        <f t="shared" si="17"/>
        <v>1435.5479800000048</v>
      </c>
      <c r="N30" s="292">
        <f t="shared" si="17"/>
        <v>1435.5479800000048</v>
      </c>
      <c r="O30" s="292">
        <f t="shared" si="17"/>
        <v>1435.5479800000048</v>
      </c>
      <c r="P30" s="292">
        <f t="shared" si="17"/>
        <v>1435.5479800000048</v>
      </c>
      <c r="Q30" s="292">
        <f t="shared" si="17"/>
        <v>1435.5479800000048</v>
      </c>
      <c r="R30" s="292">
        <f t="shared" si="17"/>
        <v>1435.5479800000048</v>
      </c>
      <c r="S30" s="292">
        <f t="shared" si="17"/>
        <v>1435.5479800000048</v>
      </c>
      <c r="T30" s="292">
        <f t="shared" si="17"/>
        <v>1435.5479800000048</v>
      </c>
      <c r="U30" s="292">
        <f t="shared" si="17"/>
        <v>1435.5479800000048</v>
      </c>
      <c r="V30" s="292">
        <f t="shared" si="17"/>
        <v>1435.5479800000048</v>
      </c>
      <c r="W30" s="292">
        <f t="shared" si="17"/>
        <v>1435.5479800000048</v>
      </c>
      <c r="X30" s="292">
        <f t="shared" si="17"/>
        <v>1435.5479800000048</v>
      </c>
      <c r="Y30" s="292">
        <f t="shared" si="17"/>
        <v>1435.5479800000048</v>
      </c>
      <c r="Z30" s="292">
        <f t="shared" si="17"/>
        <v>1435.5479800000048</v>
      </c>
      <c r="AA30" s="292">
        <f t="shared" si="17"/>
        <v>1435.5479800000048</v>
      </c>
      <c r="AB30" s="292">
        <f t="shared" si="17"/>
        <v>1435.5479800000048</v>
      </c>
      <c r="AC30" s="292">
        <f t="shared" si="17"/>
        <v>1435.5479800000048</v>
      </c>
      <c r="AD30" s="292">
        <f t="shared" si="17"/>
        <v>1435.5479800000048</v>
      </c>
      <c r="AE30" s="292"/>
      <c r="AF30" s="292"/>
      <c r="AG30" s="292"/>
      <c r="AH30" s="292"/>
      <c r="AI30" s="292"/>
    </row>
    <row r="31" spans="1:48" x14ac:dyDescent="0.25">
      <c r="A31" s="293" t="s">
        <v>689</v>
      </c>
      <c r="B31" s="294">
        <f t="shared" ref="B31:AD31" si="18">B26+B27+B28+B29-B30</f>
        <v>-1435.5479800000048</v>
      </c>
      <c r="C31" s="294">
        <f t="shared" si="18"/>
        <v>-1435.5479800000048</v>
      </c>
      <c r="D31" s="294">
        <f t="shared" si="18"/>
        <v>16898.992020000063</v>
      </c>
      <c r="E31" s="294">
        <f t="shared" si="18"/>
        <v>-1435.5479800000048</v>
      </c>
      <c r="F31" s="294">
        <f t="shared" si="18"/>
        <v>17189.792020000059</v>
      </c>
      <c r="G31" s="294">
        <f t="shared" si="18"/>
        <v>-1435.5479800000048</v>
      </c>
      <c r="H31" s="294">
        <f t="shared" si="18"/>
        <v>17480.592020000069</v>
      </c>
      <c r="I31" s="294">
        <f t="shared" si="18"/>
        <v>-1435.5479800000048</v>
      </c>
      <c r="J31" s="294">
        <f t="shared" si="18"/>
        <v>17771.392020000065</v>
      </c>
      <c r="K31" s="294">
        <f t="shared" si="18"/>
        <v>-1435.5479800000048</v>
      </c>
      <c r="L31" s="294">
        <f t="shared" si="18"/>
        <v>18062.192020000068</v>
      </c>
      <c r="M31" s="294">
        <f t="shared" si="18"/>
        <v>-1435.5479800000048</v>
      </c>
      <c r="N31" s="294">
        <f t="shared" si="18"/>
        <v>18352.992020000056</v>
      </c>
      <c r="O31" s="294">
        <f t="shared" si="18"/>
        <v>-1435.5479800000048</v>
      </c>
      <c r="P31" s="294">
        <f t="shared" si="18"/>
        <v>18643.792020000066</v>
      </c>
      <c r="Q31" s="294">
        <f t="shared" si="18"/>
        <v>-1435.5479800000048</v>
      </c>
      <c r="R31" s="294">
        <f t="shared" si="18"/>
        <v>18789.19202000006</v>
      </c>
      <c r="S31" s="294">
        <f t="shared" si="18"/>
        <v>-1435.5479800000048</v>
      </c>
      <c r="T31" s="294">
        <f t="shared" si="18"/>
        <v>18789.19202000006</v>
      </c>
      <c r="U31" s="294">
        <f t="shared" si="18"/>
        <v>-1435.5479800000048</v>
      </c>
      <c r="V31" s="294">
        <f t="shared" si="18"/>
        <v>18789.19202000006</v>
      </c>
      <c r="W31" s="294">
        <f t="shared" si="18"/>
        <v>-1435.5479800000048</v>
      </c>
      <c r="X31" s="294">
        <f t="shared" si="18"/>
        <v>18789.19202000006</v>
      </c>
      <c r="Y31" s="294">
        <f t="shared" si="18"/>
        <v>-1435.5479800000048</v>
      </c>
      <c r="Z31" s="294">
        <f t="shared" si="18"/>
        <v>18789.19202000006</v>
      </c>
      <c r="AA31" s="294">
        <f t="shared" si="18"/>
        <v>-1435.5479800000048</v>
      </c>
      <c r="AB31" s="294">
        <f t="shared" si="18"/>
        <v>18789.19202000006</v>
      </c>
      <c r="AC31" s="294">
        <f t="shared" si="18"/>
        <v>-1435.5479800000048</v>
      </c>
      <c r="AD31" s="294">
        <f t="shared" si="18"/>
        <v>18789.19202000006</v>
      </c>
      <c r="AE31" s="294"/>
      <c r="AF31" s="294"/>
      <c r="AG31" s="294"/>
      <c r="AH31" s="294"/>
      <c r="AI31" s="294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295" t="s">
        <v>690</v>
      </c>
      <c r="B32" s="294">
        <f>-B12-B11+B31</f>
        <v>-148549.5321800005</v>
      </c>
      <c r="C32" s="294">
        <f t="shared" ref="C32:AD32" si="19">B32+C31</f>
        <v>-149985.08016000051</v>
      </c>
      <c r="D32" s="294">
        <f t="shared" si="19"/>
        <v>-133086.08814000044</v>
      </c>
      <c r="E32" s="294">
        <f t="shared" si="19"/>
        <v>-134521.63612000045</v>
      </c>
      <c r="F32" s="294">
        <f t="shared" si="19"/>
        <v>-117331.84410000039</v>
      </c>
      <c r="G32" s="294">
        <f t="shared" si="19"/>
        <v>-118767.3920800004</v>
      </c>
      <c r="H32" s="294">
        <f t="shared" si="19"/>
        <v>-101286.80006000033</v>
      </c>
      <c r="I32" s="294">
        <f t="shared" si="19"/>
        <v>-102722.34804000033</v>
      </c>
      <c r="J32" s="294">
        <f t="shared" si="19"/>
        <v>-84950.956020000274</v>
      </c>
      <c r="K32" s="294">
        <f t="shared" si="19"/>
        <v>-86386.504000000277</v>
      </c>
      <c r="L32" s="294">
        <f t="shared" si="19"/>
        <v>-68324.311980000202</v>
      </c>
      <c r="M32" s="294">
        <f t="shared" si="19"/>
        <v>-69759.859960000205</v>
      </c>
      <c r="N32" s="294">
        <f t="shared" si="19"/>
        <v>-51406.867940000149</v>
      </c>
      <c r="O32" s="294">
        <f t="shared" si="19"/>
        <v>-52842.415920000152</v>
      </c>
      <c r="P32" s="294">
        <f t="shared" si="19"/>
        <v>-34198.623900000086</v>
      </c>
      <c r="Q32" s="294">
        <f t="shared" si="19"/>
        <v>-35634.171880000089</v>
      </c>
      <c r="R32" s="294">
        <f t="shared" si="19"/>
        <v>-16844.979860000029</v>
      </c>
      <c r="S32" s="294">
        <f t="shared" si="19"/>
        <v>-18280.527840000032</v>
      </c>
      <c r="T32" s="294">
        <f t="shared" si="19"/>
        <v>508.66418000002886</v>
      </c>
      <c r="U32" s="294">
        <f t="shared" si="19"/>
        <v>-926.88379999997596</v>
      </c>
      <c r="V32" s="294">
        <f t="shared" si="19"/>
        <v>17862.308220000086</v>
      </c>
      <c r="W32" s="294">
        <f t="shared" si="19"/>
        <v>16426.760240000083</v>
      </c>
      <c r="X32" s="294">
        <f t="shared" si="19"/>
        <v>35215.952260000144</v>
      </c>
      <c r="Y32" s="294">
        <f t="shared" si="19"/>
        <v>33780.404280000141</v>
      </c>
      <c r="Z32" s="294">
        <f t="shared" si="19"/>
        <v>52569.596300000201</v>
      </c>
      <c r="AA32" s="294">
        <f t="shared" si="19"/>
        <v>51134.048320000198</v>
      </c>
      <c r="AB32" s="294">
        <f t="shared" si="19"/>
        <v>69923.240340000251</v>
      </c>
      <c r="AC32" s="294">
        <f t="shared" si="19"/>
        <v>68487.692360000248</v>
      </c>
      <c r="AD32" s="294">
        <f t="shared" si="19"/>
        <v>87276.884380000309</v>
      </c>
      <c r="AE32" s="294"/>
      <c r="AF32" s="294"/>
      <c r="AG32" s="294"/>
      <c r="AH32" s="294"/>
      <c r="AI32" s="294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2:35" x14ac:dyDescent="0.25">
      <c r="B33" s="58">
        <f t="shared" ref="B33:AD33" si="20">B32/$B$13</f>
        <v>-1.009758066086011</v>
      </c>
      <c r="C33" s="58">
        <f t="shared" si="20"/>
        <v>-1.0195161321720223</v>
      </c>
      <c r="D33" s="58">
        <f t="shared" si="20"/>
        <v>-0.90464607334045677</v>
      </c>
      <c r="E33" s="58">
        <f t="shared" si="20"/>
        <v>-0.91440413942646781</v>
      </c>
      <c r="F33" s="58">
        <f t="shared" si="20"/>
        <v>-0.79755738203982374</v>
      </c>
      <c r="G33" s="58">
        <f t="shared" si="20"/>
        <v>-0.80731544812583489</v>
      </c>
      <c r="H33" s="58">
        <f t="shared" si="20"/>
        <v>-0.68849199218411206</v>
      </c>
      <c r="I33" s="58">
        <f t="shared" si="20"/>
        <v>-0.69825005827012321</v>
      </c>
      <c r="J33" s="58">
        <f t="shared" si="20"/>
        <v>-0.57744990377332184</v>
      </c>
      <c r="K33" s="58">
        <f t="shared" si="20"/>
        <v>-0.58720796985933299</v>
      </c>
      <c r="L33" s="58">
        <f t="shared" si="20"/>
        <v>-0.4644311168074528</v>
      </c>
      <c r="M33" s="58">
        <f t="shared" si="20"/>
        <v>-0.47418918289346396</v>
      </c>
      <c r="N33" s="58">
        <f t="shared" si="20"/>
        <v>-0.34943563128650534</v>
      </c>
      <c r="O33" s="58">
        <f t="shared" si="20"/>
        <v>-0.3591936973725165</v>
      </c>
      <c r="P33" s="58">
        <f t="shared" si="20"/>
        <v>-0.23246344721047918</v>
      </c>
      <c r="Q33" s="58">
        <f t="shared" si="20"/>
        <v>-0.24222151329649033</v>
      </c>
      <c r="R33" s="58">
        <f t="shared" si="20"/>
        <v>-0.11450291385691376</v>
      </c>
      <c r="S33" s="58">
        <f t="shared" si="20"/>
        <v>-0.12426097994292488</v>
      </c>
      <c r="T33" s="58">
        <f t="shared" si="20"/>
        <v>3.4576194966516793E-3</v>
      </c>
      <c r="U33" s="58">
        <f t="shared" si="20"/>
        <v>-6.3004465893594687E-3</v>
      </c>
      <c r="V33" s="58">
        <f t="shared" si="20"/>
        <v>0.12141815285021712</v>
      </c>
      <c r="W33" s="58">
        <f t="shared" si="20"/>
        <v>0.11166008676420598</v>
      </c>
      <c r="X33" s="58">
        <f t="shared" si="20"/>
        <v>0.23937868620378255</v>
      </c>
      <c r="Y33" s="58">
        <f t="shared" si="20"/>
        <v>0.2296206201177714</v>
      </c>
      <c r="Z33" s="58">
        <f t="shared" si="20"/>
        <v>0.35733921955734799</v>
      </c>
      <c r="AA33" s="58">
        <f t="shared" si="20"/>
        <v>0.34758115347133683</v>
      </c>
      <c r="AB33" s="58">
        <f t="shared" si="20"/>
        <v>0.47529975291091336</v>
      </c>
      <c r="AC33" s="58">
        <f t="shared" si="20"/>
        <v>0.46554168682490221</v>
      </c>
      <c r="AD33" s="58">
        <f t="shared" si="20"/>
        <v>0.5932602862644788</v>
      </c>
      <c r="AE33" s="58"/>
      <c r="AF33" s="58"/>
      <c r="AG33" s="58"/>
      <c r="AH33" s="58"/>
      <c r="AI33" s="58"/>
    </row>
    <row r="36" spans="2:35" x14ac:dyDescent="0.25">
      <c r="K36" s="58"/>
    </row>
    <row r="37" spans="2:35" x14ac:dyDescent="0.25">
      <c r="K37" s="58"/>
    </row>
    <row r="38" spans="2:35" x14ac:dyDescent="0.25">
      <c r="K38" s="58"/>
    </row>
  </sheetData>
  <mergeCells count="3">
    <mergeCell ref="D2:E2"/>
    <mergeCell ref="F2:G2"/>
    <mergeCell ref="H2:I2"/>
  </mergeCells>
  <conditionalFormatting sqref="B32:AD32">
    <cfRule type="cellIs" dxfId="13" priority="1" operator="lessThan">
      <formula>0</formula>
    </cfRule>
  </conditionalFormatting>
  <conditionalFormatting sqref="B32:AD32">
    <cfRule type="cellIs" dxfId="1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F21" sqref="F21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493" t="s">
        <v>691</v>
      </c>
      <c r="B1" s="493"/>
      <c r="C1" s="493"/>
      <c r="D1" s="493"/>
      <c r="F1" s="13" t="s">
        <v>183</v>
      </c>
      <c r="G1" s="13" t="s">
        <v>112</v>
      </c>
      <c r="H1" s="13" t="s">
        <v>113</v>
      </c>
      <c r="I1" s="26" t="s">
        <v>692</v>
      </c>
      <c r="J1" s="26" t="s">
        <v>115</v>
      </c>
      <c r="K1" s="26" t="s">
        <v>468</v>
      </c>
      <c r="L1" s="26" t="s">
        <v>693</v>
      </c>
      <c r="M1" s="26" t="s">
        <v>694</v>
      </c>
      <c r="N1" s="64" t="s">
        <v>695</v>
      </c>
      <c r="O1" s="64" t="s">
        <v>696</v>
      </c>
      <c r="P1" s="64" t="s">
        <v>697</v>
      </c>
      <c r="Q1" s="64" t="s">
        <v>698</v>
      </c>
      <c r="R1" s="65" t="s">
        <v>699</v>
      </c>
      <c r="S1" s="65" t="s">
        <v>700</v>
      </c>
      <c r="T1" s="65" t="s">
        <v>697</v>
      </c>
      <c r="U1" s="65" t="s">
        <v>698</v>
      </c>
    </row>
    <row r="2" spans="1:21" x14ac:dyDescent="0.25">
      <c r="A2" s="494" t="s">
        <v>701</v>
      </c>
      <c r="B2" s="495" t="s">
        <v>702</v>
      </c>
      <c r="C2" s="495" t="s">
        <v>703</v>
      </c>
      <c r="D2" s="495" t="s">
        <v>704</v>
      </c>
      <c r="F2" s="88" t="s">
        <v>705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494"/>
      <c r="B3" s="495"/>
      <c r="C3" s="495"/>
      <c r="D3" s="495"/>
      <c r="F3" s="88" t="s">
        <v>706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702</v>
      </c>
      <c r="B4" s="73" t="s">
        <v>707</v>
      </c>
      <c r="C4" s="73" t="s">
        <v>708</v>
      </c>
      <c r="D4" s="73" t="s">
        <v>708</v>
      </c>
      <c r="F4" s="88" t="s">
        <v>709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703</v>
      </c>
      <c r="B5" s="75" t="s">
        <v>710</v>
      </c>
      <c r="C5" s="75" t="s">
        <v>711</v>
      </c>
      <c r="D5" s="75" t="s">
        <v>708</v>
      </c>
      <c r="F5" s="88" t="s">
        <v>712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704</v>
      </c>
      <c r="B6" s="73" t="s">
        <v>713</v>
      </c>
      <c r="C6" s="73" t="s">
        <v>714</v>
      </c>
      <c r="D6" s="73" t="s">
        <v>715</v>
      </c>
      <c r="F6" s="88" t="s">
        <v>716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717</v>
      </c>
      <c r="B7" s="75" t="s">
        <v>718</v>
      </c>
      <c r="C7" s="75" t="s">
        <v>719</v>
      </c>
      <c r="D7" s="75" t="s">
        <v>720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721</v>
      </c>
      <c r="B8" s="73" t="s">
        <v>722</v>
      </c>
      <c r="C8" s="73" t="s">
        <v>723</v>
      </c>
      <c r="D8" s="73" t="s">
        <v>724</v>
      </c>
      <c r="F8" s="88" t="s">
        <v>725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726</v>
      </c>
      <c r="B9" s="75" t="s">
        <v>727</v>
      </c>
      <c r="C9" s="75" t="s">
        <v>728</v>
      </c>
      <c r="D9" s="75" t="s">
        <v>729</v>
      </c>
      <c r="F9" s="88" t="s">
        <v>730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731</v>
      </c>
      <c r="B10" s="73" t="s">
        <v>732</v>
      </c>
      <c r="C10" s="73" t="s">
        <v>733</v>
      </c>
      <c r="D10" s="73" t="s">
        <v>734</v>
      </c>
      <c r="F10" s="88" t="s">
        <v>735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736</v>
      </c>
      <c r="B11" s="75" t="s">
        <v>737</v>
      </c>
      <c r="C11" s="75" t="s">
        <v>738</v>
      </c>
      <c r="D11" s="75" t="s">
        <v>739</v>
      </c>
      <c r="F11" s="88" t="s">
        <v>740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741</v>
      </c>
      <c r="B12" s="73" t="s">
        <v>742</v>
      </c>
      <c r="C12" s="73" t="s">
        <v>743</v>
      </c>
      <c r="D12" s="73" t="s">
        <v>744</v>
      </c>
      <c r="F12" s="88" t="s">
        <v>745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746</v>
      </c>
      <c r="B13" s="75" t="s">
        <v>747</v>
      </c>
      <c r="C13" s="75" t="s">
        <v>748</v>
      </c>
      <c r="D13" s="75" t="s">
        <v>749</v>
      </c>
      <c r="F13" s="88" t="s">
        <v>750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751</v>
      </c>
      <c r="B14" s="73" t="s">
        <v>752</v>
      </c>
      <c r="C14" s="73" t="s">
        <v>753</v>
      </c>
      <c r="D14" s="73" t="s">
        <v>754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755</v>
      </c>
      <c r="B15" s="75" t="s">
        <v>756</v>
      </c>
      <c r="C15" s="75" t="s">
        <v>757</v>
      </c>
      <c r="D15" s="75" t="s">
        <v>758</v>
      </c>
      <c r="F15" s="88" t="s">
        <v>759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760</v>
      </c>
      <c r="B16" s="73" t="s">
        <v>761</v>
      </c>
      <c r="C16" s="73" t="s">
        <v>762</v>
      </c>
      <c r="D16" s="73" t="s">
        <v>763</v>
      </c>
      <c r="F16" s="88" t="s">
        <v>764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765</v>
      </c>
      <c r="B17" s="75" t="s">
        <v>766</v>
      </c>
      <c r="C17" s="75" t="s">
        <v>767</v>
      </c>
      <c r="D17" s="75" t="s">
        <v>768</v>
      </c>
      <c r="F17" s="88" t="s">
        <v>769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770</v>
      </c>
      <c r="B18" s="73" t="s">
        <v>771</v>
      </c>
      <c r="C18" s="73" t="s">
        <v>772</v>
      </c>
      <c r="D18" s="73" t="s">
        <v>773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F19" s="496" t="s">
        <v>1032</v>
      </c>
      <c r="G19">
        <v>38</v>
      </c>
      <c r="H19">
        <v>68</v>
      </c>
      <c r="I19" s="55">
        <v>13.3</v>
      </c>
      <c r="J19" s="56">
        <v>6</v>
      </c>
      <c r="K19" s="45">
        <v>900</v>
      </c>
      <c r="L19" s="45">
        <v>750000</v>
      </c>
      <c r="M19" s="61">
        <v>3</v>
      </c>
      <c r="N19" s="45">
        <v>350000</v>
      </c>
      <c r="O19" s="45">
        <f t="shared" si="0"/>
        <v>1100000</v>
      </c>
      <c r="P19" s="66">
        <v>9</v>
      </c>
      <c r="Q19" s="76">
        <f t="shared" si="1"/>
        <v>122222.22222222222</v>
      </c>
      <c r="R19" s="45">
        <v>2500000</v>
      </c>
      <c r="S19" s="45">
        <f t="shared" si="2"/>
        <v>3250000</v>
      </c>
      <c r="T19" s="67">
        <f t="shared" si="3"/>
        <v>9</v>
      </c>
      <c r="U19" s="76">
        <f t="shared" si="4"/>
        <v>361111.11111111112</v>
      </c>
    </row>
    <row r="20" spans="1:21" x14ac:dyDescent="0.25">
      <c r="A20" s="13" t="s">
        <v>774</v>
      </c>
      <c r="B20" s="13" t="s">
        <v>775</v>
      </c>
      <c r="F20" s="496" t="s">
        <v>1033</v>
      </c>
      <c r="G20">
        <v>38</v>
      </c>
      <c r="H20">
        <v>65</v>
      </c>
      <c r="I20" s="55">
        <v>13.3</v>
      </c>
      <c r="J20" s="56">
        <v>6</v>
      </c>
      <c r="K20" s="45">
        <v>360</v>
      </c>
      <c r="L20" s="45">
        <v>1100000</v>
      </c>
      <c r="M20" s="61">
        <v>3</v>
      </c>
      <c r="N20" s="45">
        <v>350000</v>
      </c>
      <c r="O20" s="45">
        <f t="shared" si="0"/>
        <v>1450000</v>
      </c>
      <c r="P20" s="66">
        <v>9</v>
      </c>
      <c r="Q20" s="76">
        <f t="shared" si="1"/>
        <v>161111.11111111112</v>
      </c>
      <c r="R20" s="45">
        <v>2500000</v>
      </c>
      <c r="S20" s="45">
        <f t="shared" si="2"/>
        <v>3600000</v>
      </c>
      <c r="T20" s="67">
        <f t="shared" si="3"/>
        <v>9</v>
      </c>
      <c r="U20" s="76">
        <f t="shared" si="4"/>
        <v>400000</v>
      </c>
    </row>
    <row r="21" spans="1:21" x14ac:dyDescent="0.25">
      <c r="A21" s="42" t="s">
        <v>776</v>
      </c>
      <c r="B21" s="42">
        <v>2</v>
      </c>
      <c r="F21" s="496" t="s">
        <v>1034</v>
      </c>
      <c r="G21">
        <v>41</v>
      </c>
      <c r="H21">
        <v>70</v>
      </c>
      <c r="I21" s="55">
        <v>14</v>
      </c>
      <c r="J21" s="56">
        <v>6</v>
      </c>
      <c r="K21" s="45">
        <v>336</v>
      </c>
      <c r="L21" s="45">
        <v>1000000</v>
      </c>
      <c r="M21" s="61">
        <v>3</v>
      </c>
      <c r="N21" s="68">
        <v>316900</v>
      </c>
      <c r="O21" s="45">
        <f t="shared" si="0"/>
        <v>1316900</v>
      </c>
      <c r="P21" s="66">
        <v>9</v>
      </c>
      <c r="Q21" s="76">
        <f t="shared" si="1"/>
        <v>146322.22222222222</v>
      </c>
      <c r="R21" s="45">
        <v>2400000</v>
      </c>
      <c r="S21" s="45">
        <f t="shared" si="2"/>
        <v>3400000</v>
      </c>
      <c r="T21" s="67">
        <f t="shared" si="3"/>
        <v>9</v>
      </c>
      <c r="U21" s="76">
        <f t="shared" si="4"/>
        <v>377777.77777777775</v>
      </c>
    </row>
    <row r="22" spans="1:21" x14ac:dyDescent="0.25">
      <c r="A22" s="42" t="s">
        <v>777</v>
      </c>
      <c r="B22" s="42">
        <v>1.5</v>
      </c>
      <c r="F22" s="496" t="s">
        <v>1035</v>
      </c>
      <c r="G22">
        <v>38</v>
      </c>
      <c r="H22">
        <v>45</v>
      </c>
      <c r="I22" s="55">
        <v>16.399999999999999</v>
      </c>
      <c r="J22" s="56">
        <v>6</v>
      </c>
      <c r="K22" s="45">
        <v>900</v>
      </c>
      <c r="L22" s="45">
        <v>1500000</v>
      </c>
      <c r="M22" s="61">
        <v>3</v>
      </c>
      <c r="N22" s="45">
        <v>282000</v>
      </c>
      <c r="O22" s="45">
        <f t="shared" si="0"/>
        <v>1782000</v>
      </c>
      <c r="P22" s="66">
        <v>9</v>
      </c>
      <c r="Q22" s="76">
        <f t="shared" si="1"/>
        <v>198000</v>
      </c>
      <c r="R22" s="45">
        <v>2000000</v>
      </c>
      <c r="S22" s="45">
        <f t="shared" si="2"/>
        <v>3500000</v>
      </c>
      <c r="T22" s="67">
        <f t="shared" si="3"/>
        <v>9</v>
      </c>
      <c r="U22" s="76">
        <f t="shared" si="4"/>
        <v>388888.88888888888</v>
      </c>
    </row>
    <row r="23" spans="1:21" x14ac:dyDescent="0.25">
      <c r="A23" s="42" t="s">
        <v>778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779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780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781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782</v>
      </c>
      <c r="B28" s="13" t="s">
        <v>783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784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785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786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787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788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789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790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A9694"/>
  </sheetPr>
  <dimension ref="A26"/>
  <sheetViews>
    <sheetView workbookViewId="0">
      <selection activeCell="B23" sqref="B23"/>
    </sheetView>
  </sheetViews>
  <sheetFormatPr baseColWidth="10" defaultColWidth="10.7109375" defaultRowHeight="15" x14ac:dyDescent="0.25"/>
  <sheetData>
    <row r="26" spans="1:1" x14ac:dyDescent="0.25">
      <c r="A26" s="343">
        <v>44082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AJ3" activePane="bottomRight" state="frozen"/>
      <selection pane="topRight"/>
      <selection pane="bottomLeft"/>
      <selection pane="bottomRight" activeCell="AP1" sqref="AP1:BC1048576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791</v>
      </c>
      <c r="Z1" t="s">
        <v>792</v>
      </c>
      <c r="AD1" t="s">
        <v>793</v>
      </c>
      <c r="AH1" t="s">
        <v>794</v>
      </c>
      <c r="AL1" t="s">
        <v>795</v>
      </c>
      <c r="AP1" t="s">
        <v>796</v>
      </c>
      <c r="AW1" t="s">
        <v>797</v>
      </c>
      <c r="BD1" t="s">
        <v>798</v>
      </c>
      <c r="BI1" t="s">
        <v>799</v>
      </c>
      <c r="BN1" t="s">
        <v>800</v>
      </c>
      <c r="BS1" t="s">
        <v>801</v>
      </c>
      <c r="BX1" t="s">
        <v>802</v>
      </c>
      <c r="CB1" t="s">
        <v>177</v>
      </c>
    </row>
    <row r="2" spans="1:83" x14ac:dyDescent="0.25">
      <c r="A2" s="31" t="s">
        <v>183</v>
      </c>
      <c r="B2" s="31" t="s">
        <v>803</v>
      </c>
      <c r="C2" s="31" t="s">
        <v>113</v>
      </c>
      <c r="D2" s="51" t="s">
        <v>465</v>
      </c>
      <c r="E2" s="31" t="s">
        <v>804</v>
      </c>
      <c r="F2" s="39" t="s">
        <v>805</v>
      </c>
      <c r="G2" s="39" t="s">
        <v>125</v>
      </c>
      <c r="H2" s="39" t="s">
        <v>126</v>
      </c>
      <c r="I2" s="40" t="s">
        <v>121</v>
      </c>
      <c r="J2" s="32" t="s">
        <v>692</v>
      </c>
      <c r="K2" s="32" t="s">
        <v>153</v>
      </c>
      <c r="L2" s="32" t="s">
        <v>191</v>
      </c>
      <c r="M2" s="32" t="s">
        <v>192</v>
      </c>
      <c r="N2" s="32" t="s">
        <v>489</v>
      </c>
      <c r="O2" s="32" t="s">
        <v>194</v>
      </c>
      <c r="P2" s="32" t="s">
        <v>195</v>
      </c>
      <c r="Q2" s="32" t="s">
        <v>196</v>
      </c>
      <c r="R2" s="33" t="s">
        <v>139</v>
      </c>
      <c r="S2" s="33" t="s">
        <v>806</v>
      </c>
      <c r="T2" s="33" t="s">
        <v>807</v>
      </c>
      <c r="U2" s="33" t="s">
        <v>808</v>
      </c>
      <c r="V2" s="33" t="s">
        <v>809</v>
      </c>
      <c r="W2" s="34" t="s">
        <v>810</v>
      </c>
      <c r="X2" s="34" t="s">
        <v>811</v>
      </c>
      <c r="Y2" s="34" t="s">
        <v>810</v>
      </c>
      <c r="Z2" s="35" t="s">
        <v>810</v>
      </c>
      <c r="AA2" s="35" t="s">
        <v>811</v>
      </c>
      <c r="AB2" s="35" t="s">
        <v>810</v>
      </c>
      <c r="AC2" s="35" t="s">
        <v>172</v>
      </c>
      <c r="AD2" s="35" t="s">
        <v>810</v>
      </c>
      <c r="AE2" s="35" t="s">
        <v>811</v>
      </c>
      <c r="AF2" s="35" t="s">
        <v>810</v>
      </c>
      <c r="AG2" s="35" t="s">
        <v>172</v>
      </c>
      <c r="AH2" s="34" t="s">
        <v>810</v>
      </c>
      <c r="AI2" s="34" t="s">
        <v>811</v>
      </c>
      <c r="AJ2" s="34" t="s">
        <v>172</v>
      </c>
      <c r="AK2" s="34" t="s">
        <v>812</v>
      </c>
      <c r="AL2" s="34" t="s">
        <v>810</v>
      </c>
      <c r="AM2" s="34" t="s">
        <v>811</v>
      </c>
      <c r="AN2" s="34" t="s">
        <v>172</v>
      </c>
      <c r="AO2" s="34" t="s">
        <v>812</v>
      </c>
      <c r="AP2" s="34" t="s">
        <v>810</v>
      </c>
      <c r="AQ2" s="34" t="s">
        <v>811</v>
      </c>
      <c r="AR2" s="34" t="s">
        <v>810</v>
      </c>
      <c r="AS2" s="34" t="s">
        <v>172</v>
      </c>
      <c r="AT2" s="34" t="s">
        <v>812</v>
      </c>
      <c r="AU2" s="34" t="s">
        <v>813</v>
      </c>
      <c r="AV2" s="34" t="s">
        <v>812</v>
      </c>
      <c r="AW2" s="34" t="s">
        <v>810</v>
      </c>
      <c r="AX2" s="34" t="s">
        <v>811</v>
      </c>
      <c r="AY2" s="34" t="s">
        <v>810</v>
      </c>
      <c r="AZ2" s="34" t="s">
        <v>172</v>
      </c>
      <c r="BA2" s="34" t="s">
        <v>812</v>
      </c>
      <c r="BB2" s="34" t="s">
        <v>813</v>
      </c>
      <c r="BC2" s="34" t="s">
        <v>812</v>
      </c>
      <c r="BD2" s="35" t="s">
        <v>810</v>
      </c>
      <c r="BE2" s="35" t="s">
        <v>811</v>
      </c>
      <c r="BF2" s="35" t="s">
        <v>172</v>
      </c>
      <c r="BG2" s="35" t="s">
        <v>812</v>
      </c>
      <c r="BH2" s="35" t="s">
        <v>813</v>
      </c>
      <c r="BI2" s="35" t="s">
        <v>810</v>
      </c>
      <c r="BJ2" s="35" t="s">
        <v>811</v>
      </c>
      <c r="BK2" s="35" t="s">
        <v>172</v>
      </c>
      <c r="BL2" s="35" t="s">
        <v>812</v>
      </c>
      <c r="BM2" s="35" t="s">
        <v>813</v>
      </c>
      <c r="BN2" s="34" t="s">
        <v>810</v>
      </c>
      <c r="BO2" s="34" t="s">
        <v>811</v>
      </c>
      <c r="BP2" s="34" t="s">
        <v>172</v>
      </c>
      <c r="BQ2" s="34" t="s">
        <v>812</v>
      </c>
      <c r="BR2" s="34" t="s">
        <v>813</v>
      </c>
      <c r="BS2" s="34" t="s">
        <v>810</v>
      </c>
      <c r="BT2" s="34" t="s">
        <v>811</v>
      </c>
      <c r="BU2" s="34" t="s">
        <v>172</v>
      </c>
      <c r="BV2" s="34" t="s">
        <v>812</v>
      </c>
      <c r="BW2" s="34" t="s">
        <v>813</v>
      </c>
      <c r="BX2" s="35" t="s">
        <v>172</v>
      </c>
      <c r="BY2" s="35" t="s">
        <v>812</v>
      </c>
      <c r="BZ2" s="35" t="s">
        <v>813</v>
      </c>
      <c r="CA2" s="35" t="s">
        <v>812</v>
      </c>
      <c r="CB2" s="34" t="s">
        <v>812</v>
      </c>
      <c r="CC2" s="34" t="s">
        <v>813</v>
      </c>
      <c r="CD2" s="34" t="s">
        <v>812</v>
      </c>
      <c r="CE2" s="34" t="s">
        <v>172</v>
      </c>
    </row>
    <row r="3" spans="1:83" x14ac:dyDescent="0.25">
      <c r="A3" t="str">
        <f>PLANTILLA!D4</f>
        <v>Cosme Fonteboa</v>
      </c>
      <c r="B3">
        <f>PLANTILLA!E4</f>
        <v>28</v>
      </c>
      <c r="C3" s="25">
        <f ca="1">PLANTILLA!F4</f>
        <v>51</v>
      </c>
      <c r="D3" s="42">
        <f>PLANTILLA!G4</f>
        <v>0</v>
      </c>
      <c r="E3" s="23">
        <f>PLANTILLA!M4</f>
        <v>43415</v>
      </c>
      <c r="F3" s="37">
        <f>PLANTILLA!Q4</f>
        <v>6</v>
      </c>
      <c r="G3" s="38">
        <f t="shared" ref="G3" si="0">(F3/7)^0.5</f>
        <v>0.92582009977255142</v>
      </c>
      <c r="H3" s="38">
        <f t="shared" ref="H3" si="1">IF(F3=7,1,((F3+0.99)/7)^0.5)</f>
        <v>0.99928545900129484</v>
      </c>
      <c r="I3" s="104">
        <f ca="1">PLANTILLA!N4</f>
        <v>1</v>
      </c>
      <c r="J3" s="29">
        <f>PLANTILLA!I4</f>
        <v>10.6</v>
      </c>
      <c r="K3" s="36">
        <f>PLANTILLA!X4</f>
        <v>15</v>
      </c>
      <c r="L3" s="36">
        <f>PLANTILLA!Y4</f>
        <v>13.153846153846153</v>
      </c>
      <c r="M3" s="36">
        <f>PLANTILLA!Z4</f>
        <v>0</v>
      </c>
      <c r="N3" s="36">
        <f>PLANTILLA!AA4</f>
        <v>1</v>
      </c>
      <c r="O3" s="36">
        <f>PLANTILLA!AB4</f>
        <v>1</v>
      </c>
      <c r="P3" s="36">
        <f>PLANTILLA!AC4</f>
        <v>1</v>
      </c>
      <c r="Q3" s="36">
        <f>PLANTILLA!AD4</f>
        <v>16.333333333333332</v>
      </c>
      <c r="R3" s="36">
        <f t="shared" ref="R3" si="2">((2*(O3+1))+(L3+1))/8</f>
        <v>2.2692307692307692</v>
      </c>
      <c r="S3" s="36">
        <f t="shared" ref="S3" si="3">(0.5*P3+0.3*Q3)/10</f>
        <v>0.53999999999999992</v>
      </c>
      <c r="T3" s="36">
        <f t="shared" ref="T3" si="4">(0.4*L3+0.3*Q3)/10</f>
        <v>1.0161538461538462</v>
      </c>
      <c r="U3" s="36">
        <f t="shared" ref="U3" ca="1" si="5">(Q3+I3+(LOG(J3)*4/3))*(F3/7)^0.5</f>
        <v>17.31321343402664</v>
      </c>
      <c r="V3" s="36">
        <f t="shared" ref="V3" ca="1" si="6">IF(F3=7,U3,(Q3+I3+(LOG(J3)*4/3))*((F3+0.99)/7)^0.5)</f>
        <v>18.687045612272875</v>
      </c>
      <c r="W3" s="27">
        <f t="shared" ref="W3" ca="1" si="7">((K3+I3+(LOG(J3)*4/3))*0.597)+((L3+I3+(LOG(J3)*4/3))*0.276)</f>
        <v>14.651917565629729</v>
      </c>
      <c r="X3" s="27">
        <f t="shared" ref="X3" ca="1" si="8">((K3+I3+(LOG(J3)*4/3))*0.866)+((L3+I3+(LOG(J3)*4/3))*0.425)</f>
        <v>21.636277778127038</v>
      </c>
      <c r="Y3" s="27">
        <f t="shared" ref="Y3" ca="1" si="9">W3</f>
        <v>14.651917565629729</v>
      </c>
      <c r="Z3" s="27">
        <f t="shared" ref="Z3" ca="1" si="10">((L3+I3+(LOG(J3)*4/3))*0.516)</f>
        <v>8.0087950506867767</v>
      </c>
      <c r="AA3" s="27">
        <f t="shared" ref="AA3" ca="1" si="11">((L3+I3+(LOG(J3)*4/3))*1)</f>
        <v>15.520920640865846</v>
      </c>
      <c r="AB3" s="27">
        <f t="shared" ref="AB3" ca="1" si="12">Z3/2</f>
        <v>4.0043975253433883</v>
      </c>
      <c r="AC3" s="27">
        <f t="shared" ref="AC3" ca="1" si="13">((M3+I3+(LOG(J3)*4/3))*0.238)</f>
        <v>0.56336372791068701</v>
      </c>
      <c r="AD3" s="27">
        <f t="shared" ref="AD3" ca="1" si="14">((L3+I3+(LOG(J3)*4/3))*0.378)</f>
        <v>5.8669080022472899</v>
      </c>
      <c r="AE3" s="27">
        <f t="shared" ref="AE3" ca="1" si="15">((L3+I3+(LOG(J3)*4/3))*0.723)</f>
        <v>11.221625623346005</v>
      </c>
      <c r="AF3" s="27">
        <f t="shared" ref="AF3" ca="1" si="16">AD3/2</f>
        <v>2.933454001123645</v>
      </c>
      <c r="AG3" s="27">
        <f t="shared" ref="AG3" ca="1" si="17">((M3+I3+(LOG(J3)*4/3))*0.385)</f>
        <v>0.91132367750258203</v>
      </c>
      <c r="AH3" s="27">
        <f t="shared" ref="AH3" ca="1" si="18">((L3+I3+(LOG(J3)*4/3))*0.92)</f>
        <v>14.279246989596579</v>
      </c>
      <c r="AI3" s="27">
        <f t="shared" ref="AI3" ca="1" si="19">((L3+I3+(LOG(J3)*4/3))*0.414)</f>
        <v>6.4256611453184602</v>
      </c>
      <c r="AJ3" s="27">
        <f t="shared" ref="AJ3" ca="1" si="20">((M3+I3+(LOG(J3)*4/3))*0.167)</f>
        <v>0.39530143933228884</v>
      </c>
      <c r="AK3" s="27">
        <f t="shared" ref="AK3" ca="1" si="21">((N3+I3+(LOG(J3)*4/3))*0.588)</f>
        <v>1.9798397983675797</v>
      </c>
      <c r="AL3" s="27">
        <f t="shared" ref="AL3" ca="1" si="22">((L3+I3+(LOG(J3)*4/3))*0.754)</f>
        <v>11.702774163212847</v>
      </c>
      <c r="AM3" s="27">
        <f t="shared" ref="AM3" ca="1" si="23">((L3+I3+(LOG(J3)*4/3))*0.708)</f>
        <v>10.988811813733019</v>
      </c>
      <c r="AN3" s="27">
        <f t="shared" ref="AN3" ca="1" si="24">((Q3+I3+(LOG(J3)*4/3))*0.167)</f>
        <v>3.1229681059989551</v>
      </c>
      <c r="AO3" s="27">
        <f t="shared" ref="AO3" ca="1" si="25">((R3+I3+(LOG(J3)*4/3))*0.288)</f>
        <v>1.3352559138001332</v>
      </c>
      <c r="AP3" s="27">
        <f t="shared" ref="AP3" ca="1" si="26">((L3+I3+(LOG(J3)*4/3))*0.27)</f>
        <v>4.190648573033779</v>
      </c>
      <c r="AQ3" s="27">
        <f t="shared" ref="AQ3" ca="1" si="27">((L3+I3+(LOG(J3)*4/3))*0.594)</f>
        <v>9.2194268606743126</v>
      </c>
      <c r="AR3" s="27">
        <f t="shared" ref="AR3" ca="1" si="28">AP3/2</f>
        <v>2.0953242865168895</v>
      </c>
      <c r="AS3" s="27">
        <f t="shared" ref="AS3" ca="1" si="29">((M3+I3+(LOG(J3)*4/3))*0.944)</f>
        <v>2.2345183157465907</v>
      </c>
      <c r="AT3" s="27">
        <f t="shared" ref="AT3" ca="1" si="30">((O3+I3+(LOG(J3)*4/3))*0.13)</f>
        <v>0.43771968331256017</v>
      </c>
      <c r="AU3" s="27">
        <f t="shared" ref="AU3" ca="1" si="31">((P3+I3+(LOG(J3)*4/3))*0.173)+((O3+I3+(LOG(J3)*4/3))*0.12)</f>
        <v>0.98655282469677019</v>
      </c>
      <c r="AV3" s="27">
        <f t="shared" ref="AV3" ca="1" si="32">AT3/2</f>
        <v>0.21885984165628009</v>
      </c>
      <c r="AW3" s="27">
        <f t="shared" ref="AW3" ca="1" si="33">((L3+I3+(LOG(J3)*4/3))*0.189)</f>
        <v>2.933454001123645</v>
      </c>
      <c r="AX3" s="27">
        <f t="shared" ref="AX3" ca="1" si="34">((L3+I3+(LOG(J3)*4/3))*0.4)</f>
        <v>6.2083682563463389</v>
      </c>
      <c r="AY3" s="27">
        <f t="shared" ref="AY3" ca="1" si="35">AW3/2</f>
        <v>1.4667270005618225</v>
      </c>
      <c r="AZ3" s="27">
        <f t="shared" ref="AZ3" ca="1" si="36">((M3+I3+(LOG(J3)*4/3))*1)</f>
        <v>2.3670744870196936</v>
      </c>
      <c r="BA3" s="27">
        <f t="shared" ref="BA3" ca="1" si="37">((O3+I3+(LOG(J3)*4/3))*0.253)</f>
        <v>0.85186984521598252</v>
      </c>
      <c r="BB3" s="27">
        <f t="shared" ref="BB3" ca="1" si="38">((P3+I3+(LOG(J3)*4/3))*0.21)+((O3+I3+(LOG(J3)*4/3))*0.341)</f>
        <v>1.8552580423478513</v>
      </c>
      <c r="BC3" s="27">
        <f t="shared" ref="BC3" ca="1" si="39">BA3/2</f>
        <v>0.42593492260799126</v>
      </c>
      <c r="BD3" s="27">
        <f t="shared" ref="BD3" ca="1" si="40">((L3+I3+(LOG(J3)*4/3))*0.291)</f>
        <v>4.516587906491961</v>
      </c>
      <c r="BE3" s="27">
        <f t="shared" ref="BE3" ca="1" si="41">((L3+I3+(LOG(J3)*4/3))*0.348)</f>
        <v>5.4012803830213141</v>
      </c>
      <c r="BF3" s="27">
        <f t="shared" ref="BF3" ca="1" si="42">((M3+I3+(LOG(J3)*4/3))*0.881)</f>
        <v>2.08539262306435</v>
      </c>
      <c r="BG3" s="27">
        <f t="shared" ref="BG3" ca="1" si="43">((N3+I3+(LOG(J3)*4/3))*0.574)+((O3+I3+(LOG(J3)*4/3))*0.315)</f>
        <v>2.9933292189605076</v>
      </c>
      <c r="BH3" s="27">
        <f t="shared" ref="BH3" ca="1" si="44">((O3+I3+(LOG(J3)*4/3))*0.241)</f>
        <v>0.81146495137174612</v>
      </c>
      <c r="BI3" s="27">
        <f t="shared" ref="BI3" ca="1" si="45">((L3+I3+(LOG(J3)*4/3))*0.485)</f>
        <v>7.5276465108199355</v>
      </c>
      <c r="BJ3" s="27">
        <f t="shared" ref="BJ3" ca="1" si="46">((L3+I3+(LOG(J3)*4/3))*0.264)</f>
        <v>4.0975230491885837</v>
      </c>
      <c r="BK3" s="27">
        <f t="shared" ref="BK3" ca="1" si="47">((M3+I3+(LOG(J3)*4/3))*0.381)</f>
        <v>0.90185537955450323</v>
      </c>
      <c r="BL3" s="27">
        <f t="shared" ref="BL3" ca="1" si="48">((N3+I3+(LOG(J3)*4/3))*0.673)+((O3+I3+(LOG(J3)*4/3))*0.201)</f>
        <v>2.9428231016552124</v>
      </c>
      <c r="BM3" s="27">
        <f t="shared" ref="BM3" ca="1" si="49">((O3+I3+(LOG(J3)*4/3))*0.052)</f>
        <v>0.17508787332502407</v>
      </c>
      <c r="BN3" s="27">
        <f t="shared" ref="BN3" ca="1" si="50">((L3+I3+(LOG(J3)*4/3))*0.18)</f>
        <v>2.7937657153558524</v>
      </c>
      <c r="BO3" s="27">
        <f t="shared" ref="BO3" ca="1" si="51">((L3+I3+(LOG(J3)*4/3))*0.068)</f>
        <v>1.0554226035788776</v>
      </c>
      <c r="BP3" s="27">
        <f t="shared" ref="BP3" ca="1" si="52">((M3+I3+(LOG(J3)*4/3))*0.305)</f>
        <v>0.72195771854100654</v>
      </c>
      <c r="BQ3" s="27">
        <f t="shared" ref="BQ3" ca="1" si="53">((N3+I3+(LOG(J3)*4/3))*1)+((O3+I3+(LOG(J3)*4/3))*0.286)</f>
        <v>4.3300577903073254</v>
      </c>
      <c r="BR3" s="27">
        <f t="shared" ref="BR3" ca="1" si="54">((O3+I3+(LOG(J3)*4/3))*0.135)</f>
        <v>0.45455505574765864</v>
      </c>
      <c r="BS3" s="27">
        <f t="shared" ref="BS3" ca="1" si="55">((L3+I3+(LOG(J3)*4/3))*0.284)</f>
        <v>4.4079414620059003</v>
      </c>
      <c r="BT3" s="27">
        <f t="shared" ref="BT3" ca="1" si="56">((L3+I3+(LOG(J3)*4/3))*0.244)</f>
        <v>3.7871046363712662</v>
      </c>
      <c r="BU3" s="27">
        <f t="shared" ref="BU3" ca="1" si="57">((M3+I3+(LOG(J3)*4/3))*0.631)</f>
        <v>1.4936240013094266</v>
      </c>
      <c r="BV3" s="27">
        <f t="shared" ref="BV3" ca="1" si="58">((N3+I3+(LOG(J3)*4/3))*0.702)+((O3+I3+(LOG(J3)*4/3))*0.193)</f>
        <v>3.0135316658826259</v>
      </c>
      <c r="BW3" s="27">
        <f t="shared" ref="BW3" ca="1" si="59">((O3+I3+(LOG(J3)*4/3))*0.148)</f>
        <v>0.4983270240789146</v>
      </c>
      <c r="BX3" s="27">
        <f t="shared" ref="BX3" ca="1" si="60">((M3+I3+(LOG(J3)*4/3))*0.406)</f>
        <v>0.96103224172999568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1.7542458077372605</v>
      </c>
      <c r="BZ3" s="27">
        <f t="shared" ref="BZ3" ca="1" si="62">IF(D3="TEC",((O3+I3+(LOG(J3)*4/3))*0.543)+((P3+I3+(LOG(J3)*4/3))*0.583),((O3+I3+(LOG(J3)*4/3))*0.543)+((P3+I3+(LOG(J3)*4/3))*0.583))</f>
        <v>3.7913258723841752</v>
      </c>
      <c r="CA3" s="27">
        <f t="shared" ref="CA3" ca="1" si="63">BY3</f>
        <v>1.7542458077372605</v>
      </c>
      <c r="CB3" s="27">
        <f t="shared" ref="CB3" ca="1" si="64">((P3+I3+(LOG(J3)*4/3))*0.26)+((N3+I3+(LOG(J3)*4/3))*0.221)+((O3+I3+(LOG(J3)*4/3))*0.142)</f>
        <v>2.0976874054132688</v>
      </c>
      <c r="CC3" s="27">
        <f t="shared" ref="CC3" ca="1" si="65">((P3+I3+(LOG(J3)*4/3))*1)+((O3+I3+(LOG(J3)*4/3))*0.369)</f>
        <v>4.609524972729961</v>
      </c>
      <c r="CD3" s="27">
        <f t="shared" ref="CD3" ca="1" si="66">CB3</f>
        <v>2.0976874054132688</v>
      </c>
      <c r="CE3" s="27">
        <f t="shared" ref="CE3" ca="1" si="67">((M3+I3+(LOG(J3)*4/3))*0.25)</f>
        <v>0.5917686217549234</v>
      </c>
    </row>
    <row r="4" spans="1:83" x14ac:dyDescent="0.25">
      <c r="A4" t="str">
        <f>PLANTILLA!D5</f>
        <v>Nicolae Hornet</v>
      </c>
      <c r="B4">
        <f>PLANTILLA!E5</f>
        <v>28</v>
      </c>
      <c r="C4" s="25">
        <f ca="1">PLANTILLA!F5</f>
        <v>76</v>
      </c>
      <c r="D4" s="42">
        <f>PLANTILLA!G5</f>
        <v>0</v>
      </c>
      <c r="E4" s="23">
        <f>PLANTILLA!M5</f>
        <v>43190</v>
      </c>
      <c r="F4" s="37">
        <f>PLANTILLA!Q5</f>
        <v>7</v>
      </c>
      <c r="G4" s="38">
        <f t="shared" ref="G4:G19" si="68">(F4/7)^0.5</f>
        <v>1</v>
      </c>
      <c r="H4" s="38">
        <f t="shared" ref="H4:H19" si="69">IF(F4=7,1,((F4+0.99)/7)^0.5)</f>
        <v>1</v>
      </c>
      <c r="I4" s="104">
        <f ca="1">PLANTILLA!N5</f>
        <v>1</v>
      </c>
      <c r="J4" s="29">
        <f>PLANTILLA!I5</f>
        <v>2.2999999999999998</v>
      </c>
      <c r="K4" s="36">
        <f>PLANTILLA!X5</f>
        <v>6</v>
      </c>
      <c r="L4" s="36">
        <f>PLANTILLA!Y5</f>
        <v>6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5</v>
      </c>
      <c r="R4" s="36">
        <f t="shared" ref="R4:R19" si="70">((2*(O4+1))+(L4+1))/8</f>
        <v>1.375</v>
      </c>
      <c r="S4" s="36">
        <f t="shared" ref="S4:S19" si="71">(0.5*P4+0.3*Q4)/10</f>
        <v>0.2</v>
      </c>
      <c r="T4" s="36">
        <f t="shared" ref="T4:T19" si="72">(0.4*L4+0.3*Q4)/10</f>
        <v>0.39</v>
      </c>
      <c r="U4" s="36">
        <f t="shared" ref="U4:U19" ca="1" si="73">(Q4+I4+(LOG(J4)*4/3))*(F4/7)^0.5</f>
        <v>6.4823037813567908</v>
      </c>
      <c r="V4" s="36">
        <f t="shared" ref="V4:V19" ca="1" si="74">IF(F4=7,U4,(Q4+I4+(LOG(J4)*4/3))*((F4+0.99)/7)^0.5)</f>
        <v>6.4823037813567908</v>
      </c>
      <c r="W4" s="27">
        <f t="shared" ref="W4:W19" ca="1" si="75">((K4+I4+(LOG(J4)*4/3))*0.597)+((L4+I4+(LOG(J4)*4/3))*0.276)</f>
        <v>6.532051201124478</v>
      </c>
      <c r="X4" s="27">
        <f t="shared" ref="X4:X19" ca="1" si="76">((K4+I4+(LOG(J4)*4/3))*0.866)+((L4+I4+(LOG(J4)*4/3))*0.425)</f>
        <v>9.6596541817316179</v>
      </c>
      <c r="Y4" s="27">
        <f t="shared" ref="Y4:Y19" ca="1" si="77">W4</f>
        <v>6.532051201124478</v>
      </c>
      <c r="Z4" s="27">
        <f t="shared" ref="Z4:Z19" ca="1" si="78">((L4+I4+(LOG(J4)*4/3))*0.516)</f>
        <v>3.8608687511801043</v>
      </c>
      <c r="AA4" s="27">
        <f t="shared" ref="AA4:AA19" ca="1" si="79">((L4+I4+(LOG(J4)*4/3))*1)</f>
        <v>7.4823037813567908</v>
      </c>
      <c r="AB4" s="27">
        <f t="shared" ref="AB4:AB19" ca="1" si="80">Z4/2</f>
        <v>1.9304343755900522</v>
      </c>
      <c r="AC4" s="27">
        <f t="shared" ref="AC4:AC19" ca="1" si="81">((M4+I4+(LOG(J4)*4/3))*0.238)</f>
        <v>0.35278829996291611</v>
      </c>
      <c r="AD4" s="27">
        <f t="shared" ref="AD4:AD19" ca="1" si="82">((L4+I4+(LOG(J4)*4/3))*0.378)</f>
        <v>2.8283108293528669</v>
      </c>
      <c r="AE4" s="27">
        <f t="shared" ref="AE4:AE19" ca="1" si="83">((L4+I4+(LOG(J4)*4/3))*0.723)</f>
        <v>5.4097056339209599</v>
      </c>
      <c r="AF4" s="27">
        <f t="shared" ref="AF4:AF19" ca="1" si="84">AD4/2</f>
        <v>1.4141554146764335</v>
      </c>
      <c r="AG4" s="27">
        <f t="shared" ref="AG4:AG19" ca="1" si="85">((M4+I4+(LOG(J4)*4/3))*0.385)</f>
        <v>0.57068695582236439</v>
      </c>
      <c r="AH4" s="27">
        <f t="shared" ref="AH4:AH19" ca="1" si="86">((L4+I4+(LOG(J4)*4/3))*0.92)</f>
        <v>6.8837194788482474</v>
      </c>
      <c r="AI4" s="27">
        <f t="shared" ref="AI4:AI19" ca="1" si="87">((L4+I4+(LOG(J4)*4/3))*0.414)</f>
        <v>3.0976737654817112</v>
      </c>
      <c r="AJ4" s="27">
        <f t="shared" ref="AJ4:AJ19" ca="1" si="88">((M4+I4+(LOG(J4)*4/3))*0.167)</f>
        <v>0.24754473148658404</v>
      </c>
      <c r="AK4" s="27">
        <f t="shared" ref="AK4:AK19" ca="1" si="89">((N4+I4+(LOG(J4)*4/3))*0.588)</f>
        <v>2.6355946234377927</v>
      </c>
      <c r="AL4" s="27">
        <f t="shared" ref="AL4:AL19" ca="1" si="90">((L4+I4+(LOG(J4)*4/3))*0.754)</f>
        <v>5.64165705114302</v>
      </c>
      <c r="AM4" s="27">
        <f t="shared" ref="AM4:AM19" ca="1" si="91">((L4+I4+(LOG(J4)*4/3))*0.708)</f>
        <v>5.2974710772006075</v>
      </c>
      <c r="AN4" s="27">
        <f t="shared" ref="AN4:AN19" ca="1" si="92">((Q4+I4+(LOG(J4)*4/3))*0.167)</f>
        <v>1.0825447314865841</v>
      </c>
      <c r="AO4" s="27">
        <f t="shared" ref="AO4:AO19" ca="1" si="93">((R4+I4+(LOG(J4)*4/3))*0.288)</f>
        <v>0.8229034890307555</v>
      </c>
      <c r="AP4" s="27">
        <f t="shared" ref="AP4:AP19" ca="1" si="94">((L4+I4+(LOG(J4)*4/3))*0.27)</f>
        <v>2.0202220209663335</v>
      </c>
      <c r="AQ4" s="27">
        <f t="shared" ref="AQ4:AQ19" ca="1" si="95">((L4+I4+(LOG(J4)*4/3))*0.594)</f>
        <v>4.4444884461259333</v>
      </c>
      <c r="AR4" s="27">
        <f t="shared" ref="AR4:AR19" ca="1" si="96">AP4/2</f>
        <v>1.0101110104831668</v>
      </c>
      <c r="AS4" s="27">
        <f t="shared" ref="AS4:AS19" ca="1" si="97">((M4+I4+(LOG(J4)*4/3))*0.944)</f>
        <v>1.3992947696008102</v>
      </c>
      <c r="AT4" s="27">
        <f t="shared" ref="AT4:AT19" ca="1" si="98">((O4+I4+(LOG(J4)*4/3))*0.13)</f>
        <v>0.32269949157638272</v>
      </c>
      <c r="AU4" s="27">
        <f t="shared" ref="AU4:AU19" ca="1" si="99">((P4+I4+(LOG(J4)*4/3))*0.173)+((O4+I4+(LOG(J4)*4/3))*0.12)</f>
        <v>0.72731500793753956</v>
      </c>
      <c r="AV4" s="27">
        <f t="shared" ref="AV4:AV19" ca="1" si="100">AT4/2</f>
        <v>0.16134974578819136</v>
      </c>
      <c r="AW4" s="27">
        <f t="shared" ref="AW4:AW19" ca="1" si="101">((L4+I4+(LOG(J4)*4/3))*0.189)</f>
        <v>1.4141554146764335</v>
      </c>
      <c r="AX4" s="27">
        <f t="shared" ref="AX4:AX19" ca="1" si="102">((L4+I4+(LOG(J4)*4/3))*0.4)</f>
        <v>2.9929215125427167</v>
      </c>
      <c r="AY4" s="27">
        <f t="shared" ref="AY4:AY19" ca="1" si="103">AW4/2</f>
        <v>0.70707770733821673</v>
      </c>
      <c r="AZ4" s="27">
        <f t="shared" ref="AZ4:AZ19" ca="1" si="104">((M4+I4+(LOG(J4)*4/3))*1)</f>
        <v>1.4823037813567905</v>
      </c>
      <c r="BA4" s="27">
        <f t="shared" ref="BA4:BA19" ca="1" si="105">((O4+I4+(LOG(J4)*4/3))*0.253)</f>
        <v>0.62802285668326796</v>
      </c>
      <c r="BB4" s="27">
        <f t="shared" ref="BB4:BB19" ca="1" si="106">((P4+I4+(LOG(J4)*4/3))*0.21)+((O4+I4+(LOG(J4)*4/3))*0.341)</f>
        <v>1.3677493835275916</v>
      </c>
      <c r="BC4" s="27">
        <f t="shared" ref="BC4:BC19" ca="1" si="107">BA4/2</f>
        <v>0.31401142834163398</v>
      </c>
      <c r="BD4" s="27">
        <f t="shared" ref="BD4:BD19" ca="1" si="108">((L4+I4+(LOG(J4)*4/3))*0.291)</f>
        <v>2.1773504003748259</v>
      </c>
      <c r="BE4" s="27">
        <f t="shared" ref="BE4:BE19" ca="1" si="109">((L4+I4+(LOG(J4)*4/3))*0.348)</f>
        <v>2.603841715912163</v>
      </c>
      <c r="BF4" s="27">
        <f t="shared" ref="BF4:BF19" ca="1" si="110">((M4+I4+(LOG(J4)*4/3))*0.881)</f>
        <v>1.3059096313753324</v>
      </c>
      <c r="BG4" s="27">
        <f t="shared" ref="BG4:BG19" ca="1" si="111">((N4+I4+(LOG(J4)*4/3))*0.574)+((O4+I4+(LOG(J4)*4/3))*0.315)</f>
        <v>3.3547680616261863</v>
      </c>
      <c r="BH4" s="27">
        <f t="shared" ref="BH4:BH19" ca="1" si="112">((O4+I4+(LOG(J4)*4/3))*0.241)</f>
        <v>0.59823521130698643</v>
      </c>
      <c r="BI4" s="27">
        <f t="shared" ref="BI4:BI19" ca="1" si="113">((L4+I4+(LOG(J4)*4/3))*0.485)</f>
        <v>3.6289173339580434</v>
      </c>
      <c r="BJ4" s="27">
        <f t="shared" ref="BJ4:BJ19" ca="1" si="114">((L4+I4+(LOG(J4)*4/3))*0.264)</f>
        <v>1.9753281982781929</v>
      </c>
      <c r="BK4" s="27">
        <f t="shared" ref="BK4:BK19" ca="1" si="115">((M4+I4+(LOG(J4)*4/3))*0.381)</f>
        <v>0.56475774069693718</v>
      </c>
      <c r="BL4" s="27">
        <f t="shared" ref="BL4:BL19" ca="1" si="116">((N4+I4+(LOG(J4)*4/3))*0.673)+((O4+I4+(LOG(J4)*4/3))*0.201)</f>
        <v>3.5155335049058354</v>
      </c>
      <c r="BM4" s="27">
        <f t="shared" ref="BM4:BM19" ca="1" si="117">((O4+I4+(LOG(J4)*4/3))*0.052)</f>
        <v>0.12907979663055308</v>
      </c>
      <c r="BN4" s="27">
        <f t="shared" ref="BN4:BN19" ca="1" si="118">((L4+I4+(LOG(J4)*4/3))*0.18)</f>
        <v>1.3468146806442223</v>
      </c>
      <c r="BO4" s="27">
        <f t="shared" ref="BO4:BO19" ca="1" si="119">((L4+I4+(LOG(J4)*4/3))*0.068)</f>
        <v>0.50879665713226185</v>
      </c>
      <c r="BP4" s="27">
        <f t="shared" ref="BP4:BP19" ca="1" si="120">((M4+I4+(LOG(J4)*4/3))*0.305)</f>
        <v>0.4521026533138211</v>
      </c>
      <c r="BQ4" s="27">
        <f t="shared" ref="BQ4:BQ19" ca="1" si="121">((N4+I4+(LOG(J4)*4/3))*1)+((O4+I4+(LOG(J4)*4/3))*0.286)</f>
        <v>5.1922426628248326</v>
      </c>
      <c r="BR4" s="27">
        <f t="shared" ref="BR4:BR19" ca="1" si="122">((O4+I4+(LOG(J4)*4/3))*0.135)</f>
        <v>0.33511101048316672</v>
      </c>
      <c r="BS4" s="27">
        <f t="shared" ref="BS4:BS19" ca="1" si="123">((L4+I4+(LOG(J4)*4/3))*0.284)</f>
        <v>2.1249742739053286</v>
      </c>
      <c r="BT4" s="27">
        <f t="shared" ref="BT4:BT19" ca="1" si="124">((L4+I4+(LOG(J4)*4/3))*0.244)</f>
        <v>1.8256821226510569</v>
      </c>
      <c r="BU4" s="27">
        <f t="shared" ref="BU4:BU19" ca="1" si="125">((M4+I4+(LOG(J4)*4/3))*0.631)</f>
        <v>0.93533368603613487</v>
      </c>
      <c r="BV4" s="27">
        <f t="shared" ref="BV4:BV19" ca="1" si="126">((N4+I4+(LOG(J4)*4/3))*0.702)+((O4+I4+(LOG(J4)*4/3))*0.193)</f>
        <v>3.6256618843143276</v>
      </c>
      <c r="BW4" s="27">
        <f t="shared" ref="BW4:BW19" ca="1" si="127">((O4+I4+(LOG(J4)*4/3))*0.148)</f>
        <v>0.36738095964080497</v>
      </c>
      <c r="BX4" s="27">
        <f t="shared" ref="BX4:BX19" ca="1" si="128">((M4+I4+(LOG(J4)*4/3))*0.406)</f>
        <v>0.60181533523085695</v>
      </c>
      <c r="BY4" s="27">
        <f t="shared" ref="BY4:BY19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9" ca="1" si="130">IF(D4="TEC",((O4+I4+(LOG(J4)*4/3))*0.543)+((P4+I4+(LOG(J4)*4/3))*0.583),((O4+I4+(LOG(J4)*4/3))*0.543)+((P4+I4+(LOG(J4)*4/3))*0.583))</f>
        <v>2.7950740578077458</v>
      </c>
      <c r="CA4" s="27">
        <f t="shared" ref="CA4:CA19" ca="1" si="131">BY4</f>
        <v>1.581280270086888</v>
      </c>
      <c r="CB4" s="27">
        <f t="shared" ref="CB4:CB19" ca="1" si="132">((P4+I4+(LOG(J4)*4/3))*0.26)+((N4+I4+(LOG(J4)*4/3))*0.221)+((O4+I4+(LOG(J4)*4/3))*0.142)</f>
        <v>1.9884752557852803</v>
      </c>
      <c r="CC4" s="27">
        <f t="shared" ref="CC4:CC19" ca="1" si="133">((P4+I4+(LOG(J4)*4/3))*1)+((O4+I4+(LOG(J4)*4/3))*0.369)</f>
        <v>3.3982738766774458</v>
      </c>
      <c r="CD4" s="27">
        <f t="shared" ref="CD4:CD19" ca="1" si="134">CB4</f>
        <v>1.9884752557852803</v>
      </c>
      <c r="CE4" s="27">
        <f t="shared" ref="CE4:CE19" ca="1" si="135">((M4+I4+(LOG(J4)*4/3))*0.25)</f>
        <v>0.37057594533919763</v>
      </c>
    </row>
    <row r="5" spans="1:83" x14ac:dyDescent="0.25">
      <c r="A5" t="str">
        <f>PLANTILLA!D17</f>
        <v>Roxelio Reboredo</v>
      </c>
      <c r="B5">
        <f>PLANTILLA!E17</f>
        <v>33</v>
      </c>
      <c r="C5" s="25">
        <f ca="1">PLANTILLA!F17</f>
        <v>34</v>
      </c>
      <c r="D5" s="42">
        <f>PLANTILLA!G17</f>
        <v>0</v>
      </c>
      <c r="E5" s="23">
        <f>PLANTILLA!M17</f>
        <v>44251</v>
      </c>
      <c r="F5" s="37">
        <f>PLANTILLA!Q17</f>
        <v>6</v>
      </c>
      <c r="G5" s="38">
        <f t="shared" si="68"/>
        <v>0.92582009977255142</v>
      </c>
      <c r="H5" s="38">
        <f t="shared" si="69"/>
        <v>0.99928545900129484</v>
      </c>
      <c r="I5" s="104">
        <f ca="1">PLANTILLA!N17</f>
        <v>0.33554746092703608</v>
      </c>
      <c r="J5" s="29">
        <f>PLANTILLA!I17</f>
        <v>10</v>
      </c>
      <c r="K5" s="36">
        <f>PLANTILLA!X17</f>
        <v>0</v>
      </c>
      <c r="L5" s="36">
        <f>PLANTILLA!Y17</f>
        <v>5.95</v>
      </c>
      <c r="M5" s="36">
        <f>PLANTILLA!Z17</f>
        <v>13</v>
      </c>
      <c r="N5" s="36">
        <f>PLANTILLA!AA17</f>
        <v>7</v>
      </c>
      <c r="O5" s="36">
        <f>PLANTILLA!AB17</f>
        <v>12</v>
      </c>
      <c r="P5" s="36">
        <f>PLANTILLA!AC17</f>
        <v>4</v>
      </c>
      <c r="Q5" s="36">
        <f>PLANTILLA!AD17</f>
        <v>16</v>
      </c>
      <c r="R5" s="36">
        <f t="shared" si="70"/>
        <v>4.1187500000000004</v>
      </c>
      <c r="S5" s="36">
        <f t="shared" si="71"/>
        <v>0.67999999999999994</v>
      </c>
      <c r="T5" s="36">
        <f t="shared" si="72"/>
        <v>0.71799999999999997</v>
      </c>
      <c r="U5" s="36">
        <f t="shared" ca="1" si="73"/>
        <v>16.35820497981145</v>
      </c>
      <c r="V5" s="36">
        <f t="shared" ca="1" si="74"/>
        <v>17.656255654531634</v>
      </c>
      <c r="W5" s="27">
        <f t="shared" ca="1" si="75"/>
        <v>3.0991329333893027</v>
      </c>
      <c r="X5" s="27">
        <f t="shared" ca="1" si="76"/>
        <v>4.6832751053901367</v>
      </c>
      <c r="Y5" s="27">
        <f t="shared" ca="1" si="77"/>
        <v>3.0991329333893027</v>
      </c>
      <c r="Z5" s="27">
        <f t="shared" ca="1" si="78"/>
        <v>3.9313424898383507</v>
      </c>
      <c r="AA5" s="27">
        <f t="shared" ca="1" si="79"/>
        <v>7.6188807942603693</v>
      </c>
      <c r="AB5" s="27">
        <f t="shared" ca="1" si="80"/>
        <v>1.9656712449191753</v>
      </c>
      <c r="AC5" s="27">
        <f t="shared" ca="1" si="81"/>
        <v>3.4911936290339676</v>
      </c>
      <c r="AD5" s="27">
        <f t="shared" ca="1" si="82"/>
        <v>2.8799369402304196</v>
      </c>
      <c r="AE5" s="27">
        <f t="shared" ca="1" si="83"/>
        <v>5.5084508142502466</v>
      </c>
      <c r="AF5" s="27">
        <f t="shared" ca="1" si="84"/>
        <v>1.4399684701152098</v>
      </c>
      <c r="AG5" s="27">
        <f t="shared" ca="1" si="85"/>
        <v>5.6475191057902423</v>
      </c>
      <c r="AH5" s="27">
        <f t="shared" ca="1" si="86"/>
        <v>7.0093703307195403</v>
      </c>
      <c r="AI5" s="27">
        <f t="shared" ca="1" si="87"/>
        <v>3.1542166488237928</v>
      </c>
      <c r="AJ5" s="27">
        <f t="shared" ca="1" si="88"/>
        <v>2.449703092641482</v>
      </c>
      <c r="AK5" s="27">
        <f t="shared" ca="1" si="89"/>
        <v>5.0973019070250967</v>
      </c>
      <c r="AL5" s="27">
        <f t="shared" ca="1" si="90"/>
        <v>5.744636118872319</v>
      </c>
      <c r="AM5" s="27">
        <f t="shared" ca="1" si="91"/>
        <v>5.3941676023363412</v>
      </c>
      <c r="AN5" s="27">
        <f t="shared" ca="1" si="92"/>
        <v>2.9507030926414815</v>
      </c>
      <c r="AO5" s="27">
        <f t="shared" ca="1" si="93"/>
        <v>1.6668376687469864</v>
      </c>
      <c r="AP5" s="27">
        <f t="shared" ca="1" si="94"/>
        <v>2.0570978144502998</v>
      </c>
      <c r="AQ5" s="27">
        <f t="shared" ca="1" si="95"/>
        <v>4.5256151917906591</v>
      </c>
      <c r="AR5" s="27">
        <f t="shared" ca="1" si="96"/>
        <v>1.0285489072251499</v>
      </c>
      <c r="AS5" s="27">
        <f t="shared" ca="1" si="97"/>
        <v>13.847423469781788</v>
      </c>
      <c r="AT5" s="27">
        <f t="shared" ca="1" si="98"/>
        <v>1.7769545032538481</v>
      </c>
      <c r="AU5" s="27">
        <f t="shared" ca="1" si="99"/>
        <v>2.620982072718288</v>
      </c>
      <c r="AV5" s="27">
        <f t="shared" ca="1" si="100"/>
        <v>0.88847725162692404</v>
      </c>
      <c r="AW5" s="27">
        <f t="shared" ca="1" si="101"/>
        <v>1.4399684701152098</v>
      </c>
      <c r="AX5" s="27">
        <f t="shared" ca="1" si="102"/>
        <v>3.0475523177041479</v>
      </c>
      <c r="AY5" s="27">
        <f t="shared" ca="1" si="103"/>
        <v>0.71998423505760489</v>
      </c>
      <c r="AZ5" s="27">
        <f t="shared" ca="1" si="104"/>
        <v>14.668880794260369</v>
      </c>
      <c r="BA5" s="27">
        <f t="shared" ca="1" si="105"/>
        <v>3.4582268409478734</v>
      </c>
      <c r="BB5" s="27">
        <f t="shared" ca="1" si="106"/>
        <v>5.8515533176374639</v>
      </c>
      <c r="BC5" s="27">
        <f t="shared" ca="1" si="107"/>
        <v>1.7291134204739367</v>
      </c>
      <c r="BD5" s="27">
        <f t="shared" ca="1" si="108"/>
        <v>2.2170943111297672</v>
      </c>
      <c r="BE5" s="27">
        <f t="shared" ca="1" si="109"/>
        <v>2.6513705164026082</v>
      </c>
      <c r="BF5" s="27">
        <f t="shared" ca="1" si="110"/>
        <v>12.923283979743385</v>
      </c>
      <c r="BG5" s="27">
        <f t="shared" ca="1" si="111"/>
        <v>9.2816350260974687</v>
      </c>
      <c r="BH5" s="27">
        <f t="shared" ca="1" si="112"/>
        <v>3.2942002714167486</v>
      </c>
      <c r="BI5" s="27">
        <f t="shared" ca="1" si="113"/>
        <v>3.6951571852162792</v>
      </c>
      <c r="BJ5" s="27">
        <f t="shared" ca="1" si="114"/>
        <v>2.0113845296847375</v>
      </c>
      <c r="BK5" s="27">
        <f t="shared" ca="1" si="115"/>
        <v>5.588843582613201</v>
      </c>
      <c r="BL5" s="27">
        <f t="shared" ca="1" si="116"/>
        <v>8.5816018141835642</v>
      </c>
      <c r="BM5" s="27">
        <f t="shared" ca="1" si="117"/>
        <v>0.71078180130153912</v>
      </c>
      <c r="BN5" s="27">
        <f t="shared" ca="1" si="118"/>
        <v>1.3713985429668665</v>
      </c>
      <c r="BO5" s="27">
        <f t="shared" ca="1" si="119"/>
        <v>0.51808389400970511</v>
      </c>
      <c r="BP5" s="27">
        <f t="shared" ca="1" si="120"/>
        <v>4.4740086422494123</v>
      </c>
      <c r="BQ5" s="27">
        <f t="shared" ca="1" si="121"/>
        <v>12.578180701418834</v>
      </c>
      <c r="BR5" s="27">
        <f t="shared" ca="1" si="122"/>
        <v>1.84529890722515</v>
      </c>
      <c r="BS5" s="27">
        <f t="shared" ca="1" si="123"/>
        <v>2.1637621455699447</v>
      </c>
      <c r="BT5" s="27">
        <f t="shared" ca="1" si="124"/>
        <v>1.85900691379953</v>
      </c>
      <c r="BU5" s="27">
        <f t="shared" ca="1" si="125"/>
        <v>9.2560637811782929</v>
      </c>
      <c r="BV5" s="27">
        <f t="shared" ca="1" si="126"/>
        <v>8.7236483108630303</v>
      </c>
      <c r="BW5" s="27">
        <f t="shared" ca="1" si="127"/>
        <v>2.0229943575505347</v>
      </c>
      <c r="BX5" s="27">
        <f t="shared" ca="1" si="128"/>
        <v>5.9555656024697106</v>
      </c>
      <c r="BY5" s="27">
        <f t="shared" ca="1" si="129"/>
        <v>5.3854868938096523</v>
      </c>
      <c r="BZ5" s="27">
        <f t="shared" ca="1" si="130"/>
        <v>10.727159774337176</v>
      </c>
      <c r="CA5" s="27">
        <f t="shared" ca="1" si="131"/>
        <v>5.3854868938096523</v>
      </c>
      <c r="CB5" s="27">
        <f t="shared" ca="1" si="132"/>
        <v>5.3307127348242105</v>
      </c>
      <c r="CC5" s="27">
        <f t="shared" ca="1" si="133"/>
        <v>10.712697807342446</v>
      </c>
      <c r="CD5" s="27">
        <f t="shared" ca="1" si="134"/>
        <v>5.3307127348242105</v>
      </c>
      <c r="CE5" s="27">
        <f t="shared" ca="1" si="135"/>
        <v>3.6672201985650923</v>
      </c>
    </row>
    <row r="6" spans="1:83" x14ac:dyDescent="0.25">
      <c r="A6" t="str">
        <f>PLANTILLA!D6</f>
        <v>Iván Real Figueroa</v>
      </c>
      <c r="B6">
        <f>PLANTILLA!E6</f>
        <v>28</v>
      </c>
      <c r="C6" s="25">
        <f ca="1">PLANTILLA!F6</f>
        <v>29</v>
      </c>
      <c r="D6" s="42">
        <f>PLANTILLA!G6</f>
        <v>0</v>
      </c>
      <c r="E6" s="23">
        <f>PLANTILLA!M6</f>
        <v>43410</v>
      </c>
      <c r="F6" s="37">
        <f>PLANTILLA!Q6</f>
        <v>7</v>
      </c>
      <c r="G6" s="38">
        <f t="shared" si="68"/>
        <v>1</v>
      </c>
      <c r="H6" s="38">
        <f t="shared" si="69"/>
        <v>1</v>
      </c>
      <c r="I6" s="104">
        <f ca="1">PLANTILLA!N6</f>
        <v>1</v>
      </c>
      <c r="J6" s="29">
        <f>PLANTILLA!I6</f>
        <v>7.6</v>
      </c>
      <c r="K6" s="36">
        <f>PLANTILLA!X6</f>
        <v>0</v>
      </c>
      <c r="L6" s="36">
        <f>PLANTILLA!Y6</f>
        <v>16</v>
      </c>
      <c r="M6" s="36">
        <f>PLANTILLA!Z6</f>
        <v>5</v>
      </c>
      <c r="N6" s="36">
        <f>PLANTILLA!AA6</f>
        <v>8.875</v>
      </c>
      <c r="O6" s="36">
        <f>PLANTILLA!AB6</f>
        <v>9</v>
      </c>
      <c r="P6" s="36">
        <f>PLANTILLA!AC6</f>
        <v>1</v>
      </c>
      <c r="Q6" s="36">
        <f>PLANTILLA!AD6</f>
        <v>15</v>
      </c>
      <c r="R6" s="36">
        <f t="shared" si="70"/>
        <v>4.625</v>
      </c>
      <c r="S6" s="36">
        <f t="shared" si="71"/>
        <v>0.5</v>
      </c>
      <c r="T6" s="36">
        <f t="shared" si="72"/>
        <v>1.0900000000000001</v>
      </c>
      <c r="U6" s="36">
        <f t="shared" ca="1" si="73"/>
        <v>17.174418123041054</v>
      </c>
      <c r="V6" s="36">
        <f t="shared" ca="1" si="74"/>
        <v>17.174418123041054</v>
      </c>
      <c r="W6" s="27">
        <f t="shared" ca="1" si="75"/>
        <v>6.3142670214148415</v>
      </c>
      <c r="X6" s="27">
        <f t="shared" ca="1" si="76"/>
        <v>9.6071737968460003</v>
      </c>
      <c r="Y6" s="27">
        <f t="shared" ca="1" si="77"/>
        <v>6.3142670214148415</v>
      </c>
      <c r="Z6" s="27">
        <f t="shared" ca="1" si="78"/>
        <v>9.3779997514891846</v>
      </c>
      <c r="AA6" s="27">
        <f t="shared" ca="1" si="79"/>
        <v>18.174418123041054</v>
      </c>
      <c r="AB6" s="27">
        <f t="shared" ca="1" si="80"/>
        <v>4.6889998757445923</v>
      </c>
      <c r="AC6" s="27">
        <f t="shared" ca="1" si="81"/>
        <v>1.707511513283771</v>
      </c>
      <c r="AD6" s="27">
        <f t="shared" ca="1" si="82"/>
        <v>6.8699300505095184</v>
      </c>
      <c r="AE6" s="27">
        <f t="shared" ca="1" si="83"/>
        <v>13.140104302958681</v>
      </c>
      <c r="AF6" s="27">
        <f t="shared" ca="1" si="84"/>
        <v>3.4349650252547592</v>
      </c>
      <c r="AG6" s="27">
        <f t="shared" ca="1" si="85"/>
        <v>2.7621509773708062</v>
      </c>
      <c r="AH6" s="27">
        <f t="shared" ca="1" si="86"/>
        <v>16.720464673197771</v>
      </c>
      <c r="AI6" s="27">
        <f t="shared" ca="1" si="87"/>
        <v>7.5242091029389959</v>
      </c>
      <c r="AJ6" s="27">
        <f t="shared" ca="1" si="88"/>
        <v>1.1981278265478563</v>
      </c>
      <c r="AK6" s="27">
        <f t="shared" ca="1" si="89"/>
        <v>6.4970578563481407</v>
      </c>
      <c r="AL6" s="27">
        <f t="shared" ca="1" si="90"/>
        <v>13.703511264772954</v>
      </c>
      <c r="AM6" s="27">
        <f t="shared" ca="1" si="91"/>
        <v>12.867488031113066</v>
      </c>
      <c r="AN6" s="27">
        <f t="shared" ca="1" si="92"/>
        <v>2.8681278265478563</v>
      </c>
      <c r="AO6" s="27">
        <f t="shared" ca="1" si="93"/>
        <v>1.9582324194358236</v>
      </c>
      <c r="AP6" s="27">
        <f t="shared" ca="1" si="94"/>
        <v>4.9070928932210851</v>
      </c>
      <c r="AQ6" s="27">
        <f t="shared" ca="1" si="95"/>
        <v>10.795604365086385</v>
      </c>
      <c r="AR6" s="27">
        <f t="shared" ca="1" si="96"/>
        <v>2.4535464466105426</v>
      </c>
      <c r="AS6" s="27">
        <f t="shared" ca="1" si="97"/>
        <v>6.7726507081507554</v>
      </c>
      <c r="AT6" s="27">
        <f t="shared" ca="1" si="98"/>
        <v>1.4526743559953372</v>
      </c>
      <c r="AU6" s="27">
        <f t="shared" ca="1" si="99"/>
        <v>1.8901045100510292</v>
      </c>
      <c r="AV6" s="27">
        <f t="shared" ca="1" si="100"/>
        <v>0.72633717799766861</v>
      </c>
      <c r="AW6" s="27">
        <f t="shared" ca="1" si="101"/>
        <v>3.4349650252547592</v>
      </c>
      <c r="AX6" s="27">
        <f t="shared" ca="1" si="102"/>
        <v>7.2697672492164216</v>
      </c>
      <c r="AY6" s="27">
        <f t="shared" ca="1" si="103"/>
        <v>1.7174825126273796</v>
      </c>
      <c r="AZ6" s="27">
        <f t="shared" ca="1" si="104"/>
        <v>7.1744181230410549</v>
      </c>
      <c r="BA6" s="27">
        <f t="shared" ca="1" si="105"/>
        <v>2.8271277851293872</v>
      </c>
      <c r="BB6" s="27">
        <f t="shared" ca="1" si="106"/>
        <v>4.4771043857956219</v>
      </c>
      <c r="BC6" s="27">
        <f t="shared" ca="1" si="107"/>
        <v>1.4135638925646936</v>
      </c>
      <c r="BD6" s="27">
        <f t="shared" ca="1" si="108"/>
        <v>5.2887556738049462</v>
      </c>
      <c r="BE6" s="27">
        <f t="shared" ca="1" si="109"/>
        <v>6.3246975068182865</v>
      </c>
      <c r="BF6" s="27">
        <f t="shared" ca="1" si="110"/>
        <v>6.3206623663991692</v>
      </c>
      <c r="BG6" s="27">
        <f t="shared" ca="1" si="111"/>
        <v>9.8623077113834974</v>
      </c>
      <c r="BH6" s="27">
        <f t="shared" ca="1" si="112"/>
        <v>2.6930347676528945</v>
      </c>
      <c r="BI6" s="27">
        <f t="shared" ca="1" si="113"/>
        <v>8.8145927896749114</v>
      </c>
      <c r="BJ6" s="27">
        <f t="shared" ca="1" si="114"/>
        <v>4.7980463844828387</v>
      </c>
      <c r="BK6" s="27">
        <f t="shared" ca="1" si="115"/>
        <v>2.7334533048786418</v>
      </c>
      <c r="BL6" s="27">
        <f t="shared" ca="1" si="116"/>
        <v>9.6823164395378836</v>
      </c>
      <c r="BM6" s="27">
        <f t="shared" ca="1" si="117"/>
        <v>0.58106974239813491</v>
      </c>
      <c r="BN6" s="27">
        <f t="shared" ca="1" si="118"/>
        <v>3.2713952621473896</v>
      </c>
      <c r="BO6" s="27">
        <f t="shared" ca="1" si="119"/>
        <v>1.2358604323667917</v>
      </c>
      <c r="BP6" s="27">
        <f t="shared" ca="1" si="120"/>
        <v>2.1881975275275218</v>
      </c>
      <c r="BQ6" s="27">
        <f t="shared" ca="1" si="121"/>
        <v>14.245301706230798</v>
      </c>
      <c r="BR6" s="27">
        <f t="shared" ca="1" si="122"/>
        <v>1.5085464466105427</v>
      </c>
      <c r="BS6" s="27">
        <f t="shared" ca="1" si="123"/>
        <v>5.1615347469436585</v>
      </c>
      <c r="BT6" s="27">
        <f t="shared" ca="1" si="124"/>
        <v>4.4345580220220171</v>
      </c>
      <c r="BU6" s="27">
        <f t="shared" ca="1" si="125"/>
        <v>4.5270578356389057</v>
      </c>
      <c r="BV6" s="27">
        <f t="shared" ca="1" si="126"/>
        <v>9.9133542201217448</v>
      </c>
      <c r="BW6" s="27">
        <f t="shared" ca="1" si="127"/>
        <v>1.6538138822100761</v>
      </c>
      <c r="BX6" s="27">
        <f t="shared" ca="1" si="128"/>
        <v>2.9128137579546687</v>
      </c>
      <c r="BY6" s="27">
        <f t="shared" ca="1" si="129"/>
        <v>4.7878718421043907</v>
      </c>
      <c r="BZ6" s="27">
        <f t="shared" ca="1" si="130"/>
        <v>7.9183948065442289</v>
      </c>
      <c r="CA6" s="27">
        <f t="shared" ca="1" si="131"/>
        <v>4.7878718421043907</v>
      </c>
      <c r="CB6" s="27">
        <f t="shared" ca="1" si="132"/>
        <v>4.8540374906545773</v>
      </c>
      <c r="CC6" s="27">
        <f t="shared" ca="1" si="133"/>
        <v>7.297778410443204</v>
      </c>
      <c r="CD6" s="27">
        <f t="shared" ca="1" si="134"/>
        <v>4.8540374906545773</v>
      </c>
      <c r="CE6" s="27">
        <f t="shared" ca="1" si="135"/>
        <v>1.7936045307602637</v>
      </c>
    </row>
    <row r="7" spans="1:83" x14ac:dyDescent="0.25">
      <c r="A7" t="str">
        <f>PLANTILLA!D7</f>
        <v>Berto Abandero</v>
      </c>
      <c r="B7">
        <f>PLANTILLA!E7</f>
        <v>28</v>
      </c>
      <c r="C7" s="25">
        <f ca="1">PLANTILLA!F7</f>
        <v>79</v>
      </c>
      <c r="D7" s="42">
        <f>PLANTILLA!G7</f>
        <v>0</v>
      </c>
      <c r="E7" s="23">
        <f>PLANTILLA!M7</f>
        <v>43383</v>
      </c>
      <c r="F7" s="37">
        <f>PLANTILLA!Q7</f>
        <v>4</v>
      </c>
      <c r="G7" s="38">
        <f t="shared" si="68"/>
        <v>0.7559289460184544</v>
      </c>
      <c r="H7" s="38">
        <f t="shared" si="69"/>
        <v>0.84430867747355465</v>
      </c>
      <c r="I7" s="104">
        <f ca="1">PLANTILLA!N7</f>
        <v>1</v>
      </c>
      <c r="J7" s="29">
        <f>PLANTILLA!I7</f>
        <v>7.7</v>
      </c>
      <c r="K7" s="36">
        <f>PLANTILLA!X7</f>
        <v>0</v>
      </c>
      <c r="L7" s="36">
        <f>PLANTILLA!Y7</f>
        <v>14.75</v>
      </c>
      <c r="M7" s="36">
        <f>PLANTILLA!Z7</f>
        <v>3.25</v>
      </c>
      <c r="N7" s="36">
        <f>PLANTILLA!AA7</f>
        <v>9</v>
      </c>
      <c r="O7" s="36">
        <f>PLANTILLA!AB7</f>
        <v>12</v>
      </c>
      <c r="P7" s="36">
        <f>PLANTILLA!AC7</f>
        <v>3.95</v>
      </c>
      <c r="Q7" s="36">
        <f>PLANTILLA!AD7</f>
        <v>15.333333333333334</v>
      </c>
      <c r="R7" s="36">
        <f t="shared" si="70"/>
        <v>5.21875</v>
      </c>
      <c r="S7" s="36">
        <f t="shared" si="71"/>
        <v>0.65749999999999997</v>
      </c>
      <c r="T7" s="36">
        <f t="shared" si="72"/>
        <v>1.05</v>
      </c>
      <c r="U7" s="36">
        <f t="shared" ca="1" si="73"/>
        <v>13.240338117681116</v>
      </c>
      <c r="V7" s="36">
        <f t="shared" ca="1" si="74"/>
        <v>14.788337481085328</v>
      </c>
      <c r="W7" s="27">
        <f t="shared" ca="1" si="75"/>
        <v>5.9758752041007694</v>
      </c>
      <c r="X7" s="27">
        <f t="shared" ca="1" si="76"/>
        <v>9.0856960349302316</v>
      </c>
      <c r="Y7" s="27">
        <f t="shared" ca="1" si="77"/>
        <v>5.9758752041007694</v>
      </c>
      <c r="Z7" s="27">
        <f t="shared" ca="1" si="78"/>
        <v>8.7369056189186676</v>
      </c>
      <c r="AA7" s="27">
        <f t="shared" ca="1" si="79"/>
        <v>16.93198763356331</v>
      </c>
      <c r="AB7" s="27">
        <f t="shared" ca="1" si="80"/>
        <v>4.3684528094593338</v>
      </c>
      <c r="AC7" s="27">
        <f t="shared" ca="1" si="81"/>
        <v>1.2928130567880673</v>
      </c>
      <c r="AD7" s="27">
        <f t="shared" ca="1" si="82"/>
        <v>6.4002913254869309</v>
      </c>
      <c r="AE7" s="27">
        <f t="shared" ca="1" si="83"/>
        <v>12.241827059066273</v>
      </c>
      <c r="AF7" s="27">
        <f t="shared" ca="1" si="84"/>
        <v>3.2001456627434655</v>
      </c>
      <c r="AG7" s="27">
        <f t="shared" ca="1" si="85"/>
        <v>2.0913152389218741</v>
      </c>
      <c r="AH7" s="27">
        <f t="shared" ca="1" si="86"/>
        <v>15.577428622878246</v>
      </c>
      <c r="AI7" s="27">
        <f t="shared" ca="1" si="87"/>
        <v>7.00984288029521</v>
      </c>
      <c r="AJ7" s="27">
        <f t="shared" ca="1" si="88"/>
        <v>0.90714193480507266</v>
      </c>
      <c r="AK7" s="27">
        <f t="shared" ca="1" si="89"/>
        <v>6.5750087285352254</v>
      </c>
      <c r="AL7" s="27">
        <f t="shared" ca="1" si="90"/>
        <v>12.766718675706736</v>
      </c>
      <c r="AM7" s="27">
        <f t="shared" ca="1" si="91"/>
        <v>11.987847244562822</v>
      </c>
      <c r="AN7" s="27">
        <f t="shared" ca="1" si="92"/>
        <v>2.9250586014717399</v>
      </c>
      <c r="AO7" s="27">
        <f t="shared" ca="1" si="93"/>
        <v>2.1314124384662327</v>
      </c>
      <c r="AP7" s="27">
        <f t="shared" ca="1" si="94"/>
        <v>4.5716366610620938</v>
      </c>
      <c r="AQ7" s="27">
        <f t="shared" ca="1" si="95"/>
        <v>10.057600654336605</v>
      </c>
      <c r="AR7" s="27">
        <f t="shared" ca="1" si="96"/>
        <v>2.2858183305310469</v>
      </c>
      <c r="AS7" s="27">
        <f t="shared" ca="1" si="97"/>
        <v>5.1277963260837636</v>
      </c>
      <c r="AT7" s="27">
        <f t="shared" ca="1" si="98"/>
        <v>1.8436583923632304</v>
      </c>
      <c r="AU7" s="27">
        <f t="shared" ca="1" si="99"/>
        <v>2.7626723766340495</v>
      </c>
      <c r="AV7" s="27">
        <f t="shared" ca="1" si="100"/>
        <v>0.92182919618161518</v>
      </c>
      <c r="AW7" s="27">
        <f t="shared" ca="1" si="101"/>
        <v>3.2001456627434655</v>
      </c>
      <c r="AX7" s="27">
        <f t="shared" ca="1" si="102"/>
        <v>6.7727950534253241</v>
      </c>
      <c r="AY7" s="27">
        <f t="shared" ca="1" si="103"/>
        <v>1.6000728313717327</v>
      </c>
      <c r="AZ7" s="27">
        <f t="shared" ca="1" si="104"/>
        <v>5.4319876335633088</v>
      </c>
      <c r="BA7" s="27">
        <f t="shared" ca="1" si="105"/>
        <v>3.5880428712915173</v>
      </c>
      <c r="BB7" s="27">
        <f t="shared" ca="1" si="106"/>
        <v>6.1237751860933836</v>
      </c>
      <c r="BC7" s="27">
        <f t="shared" ca="1" si="107"/>
        <v>1.7940214356457587</v>
      </c>
      <c r="BD7" s="27">
        <f t="shared" ca="1" si="108"/>
        <v>4.9272084013669231</v>
      </c>
      <c r="BE7" s="27">
        <f t="shared" ca="1" si="109"/>
        <v>5.8923316964800314</v>
      </c>
      <c r="BF7" s="27">
        <f t="shared" ca="1" si="110"/>
        <v>4.7855811051692747</v>
      </c>
      <c r="BG7" s="27">
        <f t="shared" ca="1" si="111"/>
        <v>10.885787006237781</v>
      </c>
      <c r="BH7" s="27">
        <f t="shared" ca="1" si="112"/>
        <v>3.4178590196887577</v>
      </c>
      <c r="BI7" s="27">
        <f t="shared" ca="1" si="113"/>
        <v>8.2120140022782042</v>
      </c>
      <c r="BJ7" s="27">
        <f t="shared" ca="1" si="114"/>
        <v>4.4700447352607142</v>
      </c>
      <c r="BK7" s="27">
        <f t="shared" ca="1" si="115"/>
        <v>2.0695872883876207</v>
      </c>
      <c r="BL7" s="27">
        <f t="shared" ca="1" si="116"/>
        <v>10.376057191734333</v>
      </c>
      <c r="BM7" s="27">
        <f t="shared" ca="1" si="117"/>
        <v>0.73746335694529208</v>
      </c>
      <c r="BN7" s="27">
        <f t="shared" ca="1" si="118"/>
        <v>3.0477577740413957</v>
      </c>
      <c r="BO7" s="27">
        <f t="shared" ca="1" si="119"/>
        <v>1.1513751590823051</v>
      </c>
      <c r="BP7" s="27">
        <f t="shared" ca="1" si="120"/>
        <v>1.6567562282368091</v>
      </c>
      <c r="BQ7" s="27">
        <f t="shared" ca="1" si="121"/>
        <v>15.238036096762416</v>
      </c>
      <c r="BR7" s="27">
        <f t="shared" ca="1" si="122"/>
        <v>1.914568330531047</v>
      </c>
      <c r="BS7" s="27">
        <f t="shared" ca="1" si="123"/>
        <v>4.8086844879319797</v>
      </c>
      <c r="BT7" s="27">
        <f t="shared" ca="1" si="124"/>
        <v>4.1314049825894479</v>
      </c>
      <c r="BU7" s="27">
        <f t="shared" ca="1" si="125"/>
        <v>3.4275841967784477</v>
      </c>
      <c r="BV7" s="27">
        <f t="shared" ca="1" si="126"/>
        <v>10.586878932039163</v>
      </c>
      <c r="BW7" s="27">
        <f t="shared" ca="1" si="127"/>
        <v>2.0989341697673698</v>
      </c>
      <c r="BX7" s="27">
        <f t="shared" ca="1" si="128"/>
        <v>2.2053869792267036</v>
      </c>
      <c r="BY7" s="27">
        <f t="shared" ca="1" si="129"/>
        <v>5.9344655570864848</v>
      </c>
      <c r="BZ7" s="27">
        <f t="shared" ca="1" si="130"/>
        <v>11.275768075392286</v>
      </c>
      <c r="CA7" s="27">
        <f t="shared" ca="1" si="131"/>
        <v>5.9344655570864848</v>
      </c>
      <c r="CB7" s="27">
        <f t="shared" ca="1" si="132"/>
        <v>6.0793782957099411</v>
      </c>
      <c r="CC7" s="27">
        <f t="shared" ca="1" si="133"/>
        <v>11.365141070348169</v>
      </c>
      <c r="CD7" s="27">
        <f t="shared" ca="1" si="134"/>
        <v>6.0793782957099411</v>
      </c>
      <c r="CE7" s="27">
        <f t="shared" ca="1" si="135"/>
        <v>1.3579969083908272</v>
      </c>
    </row>
    <row r="8" spans="1:83" x14ac:dyDescent="0.25">
      <c r="A8" t="str">
        <f>PLANTILLA!D8</f>
        <v>Guillermo Pedrajas</v>
      </c>
      <c r="B8">
        <f>PLANTILLA!E8</f>
        <v>28</v>
      </c>
      <c r="C8" s="25">
        <f ca="1">PLANTILLA!F8</f>
        <v>64</v>
      </c>
      <c r="D8" s="42">
        <f>PLANTILLA!G8</f>
        <v>0</v>
      </c>
      <c r="E8" s="23">
        <f>PLANTILLA!M8</f>
        <v>43419</v>
      </c>
      <c r="F8" s="37">
        <f>PLANTILLA!Q8</f>
        <v>6</v>
      </c>
      <c r="G8" s="38">
        <f t="shared" si="68"/>
        <v>0.92582009977255142</v>
      </c>
      <c r="H8" s="38">
        <f t="shared" si="69"/>
        <v>0.99928545900129484</v>
      </c>
      <c r="I8" s="104">
        <f ca="1">PLANTILLA!N8</f>
        <v>1</v>
      </c>
      <c r="J8" s="29">
        <f>PLANTILLA!I8</f>
        <v>8.5</v>
      </c>
      <c r="K8" s="36">
        <f>PLANTILLA!X8</f>
        <v>0</v>
      </c>
      <c r="L8" s="36">
        <f>PLANTILLA!Y8</f>
        <v>13.066666666666666</v>
      </c>
      <c r="M8" s="36">
        <f>PLANTILLA!Z8</f>
        <v>11.444444444444445</v>
      </c>
      <c r="N8" s="36">
        <f>PLANTILLA!AA8</f>
        <v>5</v>
      </c>
      <c r="O8" s="36">
        <f>PLANTILLA!AB8</f>
        <v>11.142857142857142</v>
      </c>
      <c r="P8" s="36">
        <f>PLANTILLA!AC8</f>
        <v>4</v>
      </c>
      <c r="Q8" s="36">
        <f>PLANTILLA!AD8</f>
        <v>15</v>
      </c>
      <c r="R8" s="36">
        <f t="shared" si="70"/>
        <v>4.7940476190476193</v>
      </c>
      <c r="S8" s="36">
        <f t="shared" si="71"/>
        <v>0.65</v>
      </c>
      <c r="T8" s="36">
        <f t="shared" si="72"/>
        <v>0.97266666666666668</v>
      </c>
      <c r="U8" s="36">
        <f t="shared" ca="1" si="73"/>
        <v>15.960421226407894</v>
      </c>
      <c r="V8" s="36">
        <f t="shared" ca="1" si="74"/>
        <v>17.226907101069912</v>
      </c>
      <c r="W8" s="27">
        <f t="shared" ca="1" si="75"/>
        <v>5.5612436295314378</v>
      </c>
      <c r="X8" s="27">
        <f t="shared" ca="1" si="76"/>
        <v>8.4441731107962017</v>
      </c>
      <c r="Y8" s="27">
        <f t="shared" ca="1" si="77"/>
        <v>5.5612436295314378</v>
      </c>
      <c r="Z8" s="27">
        <f t="shared" ca="1" si="78"/>
        <v>7.8978402208914336</v>
      </c>
      <c r="AA8" s="27">
        <f t="shared" ca="1" si="79"/>
        <v>15.305891900952391</v>
      </c>
      <c r="AB8" s="27">
        <f t="shared" ca="1" si="80"/>
        <v>3.9489201104457168</v>
      </c>
      <c r="AC8" s="27">
        <f t="shared" ca="1" si="81"/>
        <v>3.2567133835377802</v>
      </c>
      <c r="AD8" s="27">
        <f t="shared" ca="1" si="82"/>
        <v>5.7856271385600042</v>
      </c>
      <c r="AE8" s="27">
        <f t="shared" ca="1" si="83"/>
        <v>11.066159844388578</v>
      </c>
      <c r="AF8" s="27">
        <f t="shared" ca="1" si="84"/>
        <v>2.8928135692800021</v>
      </c>
      <c r="AG8" s="27">
        <f t="shared" ca="1" si="85"/>
        <v>5.2682128263111148</v>
      </c>
      <c r="AH8" s="27">
        <f t="shared" ca="1" si="86"/>
        <v>14.081420548876201</v>
      </c>
      <c r="AI8" s="27">
        <f t="shared" ca="1" si="87"/>
        <v>6.3366392469942898</v>
      </c>
      <c r="AJ8" s="27">
        <f t="shared" ca="1" si="88"/>
        <v>2.2851728363479382</v>
      </c>
      <c r="AK8" s="27">
        <f t="shared" ca="1" si="89"/>
        <v>4.2566644377600049</v>
      </c>
      <c r="AL8" s="27">
        <f t="shared" ca="1" si="90"/>
        <v>11.540642493318103</v>
      </c>
      <c r="AM8" s="27">
        <f t="shared" ca="1" si="91"/>
        <v>10.836571465874291</v>
      </c>
      <c r="AN8" s="27">
        <f t="shared" ca="1" si="92"/>
        <v>2.8789506141257157</v>
      </c>
      <c r="AO8" s="27">
        <f t="shared" ca="1" si="93"/>
        <v>2.0255825817600024</v>
      </c>
      <c r="AP8" s="27">
        <f t="shared" ca="1" si="94"/>
        <v>4.1325908132571456</v>
      </c>
      <c r="AQ8" s="27">
        <f t="shared" ca="1" si="95"/>
        <v>9.0916997891657196</v>
      </c>
      <c r="AR8" s="27">
        <f t="shared" ca="1" si="96"/>
        <v>2.0662954066285728</v>
      </c>
      <c r="AS8" s="27">
        <f t="shared" ca="1" si="97"/>
        <v>12.91738417672128</v>
      </c>
      <c r="AT8" s="27">
        <f t="shared" ca="1" si="98"/>
        <v>1.7396707090285728</v>
      </c>
      <c r="AU8" s="27">
        <f t="shared" ca="1" si="99"/>
        <v>2.6852358507885743</v>
      </c>
      <c r="AV8" s="27">
        <f t="shared" ca="1" si="100"/>
        <v>0.8698353545142864</v>
      </c>
      <c r="AW8" s="27">
        <f t="shared" ca="1" si="101"/>
        <v>2.8928135692800021</v>
      </c>
      <c r="AX8" s="27">
        <f t="shared" ca="1" si="102"/>
        <v>6.1223567603809563</v>
      </c>
      <c r="AY8" s="27">
        <f t="shared" ca="1" si="103"/>
        <v>1.4464067846400011</v>
      </c>
      <c r="AZ8" s="27">
        <f t="shared" ca="1" si="104"/>
        <v>13.683669678730169</v>
      </c>
      <c r="BA8" s="27">
        <f t="shared" ca="1" si="105"/>
        <v>3.3856668414171454</v>
      </c>
      <c r="BB8" s="27">
        <f t="shared" ca="1" si="106"/>
        <v>5.8735273898057194</v>
      </c>
      <c r="BC8" s="27">
        <f t="shared" ca="1" si="107"/>
        <v>1.6928334207085727</v>
      </c>
      <c r="BD8" s="27">
        <f t="shared" ca="1" si="108"/>
        <v>4.4540145431771458</v>
      </c>
      <c r="BE8" s="27">
        <f t="shared" ca="1" si="109"/>
        <v>5.3264503815314317</v>
      </c>
      <c r="BF8" s="27">
        <f t="shared" ca="1" si="110"/>
        <v>12.05531298696128</v>
      </c>
      <c r="BG8" s="27">
        <f t="shared" ca="1" si="111"/>
        <v>8.3706712332800066</v>
      </c>
      <c r="BH8" s="27">
        <f t="shared" ca="1" si="112"/>
        <v>3.2250818528914307</v>
      </c>
      <c r="BI8" s="27">
        <f t="shared" ca="1" si="113"/>
        <v>7.4233575719619092</v>
      </c>
      <c r="BJ8" s="27">
        <f t="shared" ca="1" si="114"/>
        <v>4.0407554618514316</v>
      </c>
      <c r="BK8" s="27">
        <f t="shared" ca="1" si="115"/>
        <v>5.2134781475961942</v>
      </c>
      <c r="BL8" s="27">
        <f t="shared" ca="1" si="116"/>
        <v>7.5617971404800084</v>
      </c>
      <c r="BM8" s="27">
        <f t="shared" ca="1" si="117"/>
        <v>0.69586828361142905</v>
      </c>
      <c r="BN8" s="27">
        <f t="shared" ca="1" si="118"/>
        <v>2.7550605421714303</v>
      </c>
      <c r="BO8" s="27">
        <f t="shared" ca="1" si="119"/>
        <v>1.0408006492647626</v>
      </c>
      <c r="BP8" s="27">
        <f t="shared" ca="1" si="120"/>
        <v>4.1735192520127011</v>
      </c>
      <c r="BQ8" s="27">
        <f t="shared" ca="1" si="121"/>
        <v>11.066500794148583</v>
      </c>
      <c r="BR8" s="27">
        <f t="shared" ca="1" si="122"/>
        <v>1.806581120914287</v>
      </c>
      <c r="BS8" s="27">
        <f t="shared" ca="1" si="123"/>
        <v>4.3468732998704782</v>
      </c>
      <c r="BT8" s="27">
        <f t="shared" ca="1" si="124"/>
        <v>3.7346376238323833</v>
      </c>
      <c r="BU8" s="27">
        <f t="shared" ca="1" si="125"/>
        <v>8.6343955672787374</v>
      </c>
      <c r="BV8" s="27">
        <f t="shared" ca="1" si="126"/>
        <v>7.6646780132571504</v>
      </c>
      <c r="BW8" s="27">
        <f t="shared" ca="1" si="127"/>
        <v>1.9805481918171441</v>
      </c>
      <c r="BX8" s="27">
        <f t="shared" ca="1" si="128"/>
        <v>5.555569889564449</v>
      </c>
      <c r="BY8" s="27">
        <f t="shared" ca="1" si="129"/>
        <v>5.1803506327771469</v>
      </c>
      <c r="BZ8" s="27">
        <f t="shared" ca="1" si="130"/>
        <v>10.903939042377154</v>
      </c>
      <c r="CA8" s="27">
        <f t="shared" ca="1" si="131"/>
        <v>5.1803506327771469</v>
      </c>
      <c r="CB8" s="27">
        <f t="shared" ca="1" si="132"/>
        <v>5.1223230352457199</v>
      </c>
      <c r="CC8" s="27">
        <f t="shared" ca="1" si="133"/>
        <v>11.177213631451441</v>
      </c>
      <c r="CD8" s="27">
        <f t="shared" ca="1" si="134"/>
        <v>5.1223230352457199</v>
      </c>
      <c r="CE8" s="27">
        <f t="shared" ca="1" si="135"/>
        <v>3.4209174196825423</v>
      </c>
    </row>
    <row r="9" spans="1:83" x14ac:dyDescent="0.25">
      <c r="A9" t="str">
        <f>PLANTILLA!D9</f>
        <v>Venanci Oset</v>
      </c>
      <c r="B9">
        <f>PLANTILLA!E9</f>
        <v>28</v>
      </c>
      <c r="C9" s="25">
        <f ca="1">PLANTILLA!F9</f>
        <v>107</v>
      </c>
      <c r="D9" s="42">
        <f>PLANTILLA!G9</f>
        <v>0</v>
      </c>
      <c r="E9" s="23">
        <f>PLANTILLA!M9</f>
        <v>43706</v>
      </c>
      <c r="F9" s="37">
        <f>PLANTILLA!Q9</f>
        <v>5</v>
      </c>
      <c r="G9" s="38">
        <f t="shared" si="68"/>
        <v>0.84515425472851657</v>
      </c>
      <c r="H9" s="38">
        <f t="shared" si="69"/>
        <v>0.92504826128926143</v>
      </c>
      <c r="I9" s="104">
        <f ca="1">PLANTILLA!N9</f>
        <v>1</v>
      </c>
      <c r="J9" s="29">
        <f>PLANTILLA!I9</f>
        <v>7.7</v>
      </c>
      <c r="K9" s="36">
        <f>PLANTILLA!X9</f>
        <v>0</v>
      </c>
      <c r="L9" s="36">
        <f>PLANTILLA!Y9</f>
        <v>14.75</v>
      </c>
      <c r="M9" s="36">
        <f>PLANTILLA!Z9</f>
        <v>5.125</v>
      </c>
      <c r="N9" s="36">
        <f>PLANTILLA!AA9</f>
        <v>3</v>
      </c>
      <c r="O9" s="36">
        <f>PLANTILLA!AB9</f>
        <v>12.222222222222221</v>
      </c>
      <c r="P9" s="36">
        <f>PLANTILLA!AC9</f>
        <v>6</v>
      </c>
      <c r="Q9" s="36">
        <f>PLANTILLA!AD9</f>
        <v>14</v>
      </c>
      <c r="R9" s="36">
        <f t="shared" si="70"/>
        <v>5.2743055555555554</v>
      </c>
      <c r="S9" s="36">
        <f t="shared" si="71"/>
        <v>0.72</v>
      </c>
      <c r="T9" s="36">
        <f t="shared" si="72"/>
        <v>1.0100000000000002</v>
      </c>
      <c r="U9" s="36">
        <f t="shared" ca="1" si="73"/>
        <v>13.67627569847027</v>
      </c>
      <c r="V9" s="36">
        <f t="shared" ca="1" si="74"/>
        <v>14.96911952463207</v>
      </c>
      <c r="W9" s="27">
        <f t="shared" ca="1" si="75"/>
        <v>5.9758752041007694</v>
      </c>
      <c r="X9" s="27">
        <f t="shared" ca="1" si="76"/>
        <v>9.0856960349302316</v>
      </c>
      <c r="Y9" s="27">
        <f t="shared" ca="1" si="77"/>
        <v>5.9758752041007694</v>
      </c>
      <c r="Z9" s="27">
        <f t="shared" ca="1" si="78"/>
        <v>8.7369056189186676</v>
      </c>
      <c r="AA9" s="27">
        <f t="shared" ca="1" si="79"/>
        <v>16.93198763356331</v>
      </c>
      <c r="AB9" s="27">
        <f t="shared" ca="1" si="80"/>
        <v>4.3684528094593338</v>
      </c>
      <c r="AC9" s="27">
        <f t="shared" ca="1" si="81"/>
        <v>1.7390630567880674</v>
      </c>
      <c r="AD9" s="27">
        <f t="shared" ca="1" si="82"/>
        <v>6.4002913254869309</v>
      </c>
      <c r="AE9" s="27">
        <f t="shared" ca="1" si="83"/>
        <v>12.241827059066273</v>
      </c>
      <c r="AF9" s="27">
        <f t="shared" ca="1" si="84"/>
        <v>3.2001456627434655</v>
      </c>
      <c r="AG9" s="27">
        <f t="shared" ca="1" si="85"/>
        <v>2.8131902389218739</v>
      </c>
      <c r="AH9" s="27">
        <f t="shared" ca="1" si="86"/>
        <v>15.577428622878246</v>
      </c>
      <c r="AI9" s="27">
        <f t="shared" ca="1" si="87"/>
        <v>7.00984288029521</v>
      </c>
      <c r="AJ9" s="27">
        <f t="shared" ca="1" si="88"/>
        <v>1.2202669348050725</v>
      </c>
      <c r="AK9" s="27">
        <f t="shared" ca="1" si="89"/>
        <v>3.0470087285352254</v>
      </c>
      <c r="AL9" s="27">
        <f t="shared" ca="1" si="90"/>
        <v>12.766718675706736</v>
      </c>
      <c r="AM9" s="27">
        <f t="shared" ca="1" si="91"/>
        <v>11.987847244562822</v>
      </c>
      <c r="AN9" s="27">
        <f t="shared" ca="1" si="92"/>
        <v>2.7023919348050729</v>
      </c>
      <c r="AO9" s="27">
        <f t="shared" ca="1" si="93"/>
        <v>2.1474124384662328</v>
      </c>
      <c r="AP9" s="27">
        <f t="shared" ca="1" si="94"/>
        <v>4.5716366610620938</v>
      </c>
      <c r="AQ9" s="27">
        <f t="shared" ca="1" si="95"/>
        <v>10.057600654336605</v>
      </c>
      <c r="AR9" s="27">
        <f t="shared" ca="1" si="96"/>
        <v>2.2858183305310469</v>
      </c>
      <c r="AS9" s="27">
        <f t="shared" ca="1" si="97"/>
        <v>6.8977963260837631</v>
      </c>
      <c r="AT9" s="27">
        <f t="shared" ca="1" si="98"/>
        <v>1.8725472812521191</v>
      </c>
      <c r="AU9" s="27">
        <f t="shared" ca="1" si="99"/>
        <v>3.1439890433007163</v>
      </c>
      <c r="AV9" s="27">
        <f t="shared" ca="1" si="100"/>
        <v>0.93627364062605956</v>
      </c>
      <c r="AW9" s="27">
        <f t="shared" ca="1" si="101"/>
        <v>3.2001456627434655</v>
      </c>
      <c r="AX9" s="27">
        <f t="shared" ca="1" si="102"/>
        <v>6.7727950534253241</v>
      </c>
      <c r="AY9" s="27">
        <f t="shared" ca="1" si="103"/>
        <v>1.6000728313717327</v>
      </c>
      <c r="AZ9" s="27">
        <f t="shared" ca="1" si="104"/>
        <v>7.3069876335633088</v>
      </c>
      <c r="BA9" s="27">
        <f t="shared" ca="1" si="105"/>
        <v>3.6442650935137393</v>
      </c>
      <c r="BB9" s="27">
        <f t="shared" ca="1" si="106"/>
        <v>6.6300529638711616</v>
      </c>
      <c r="BC9" s="27">
        <f t="shared" ca="1" si="107"/>
        <v>1.8221325467568696</v>
      </c>
      <c r="BD9" s="27">
        <f t="shared" ca="1" si="108"/>
        <v>4.9272084013669231</v>
      </c>
      <c r="BE9" s="27">
        <f t="shared" ca="1" si="109"/>
        <v>5.8923316964800314</v>
      </c>
      <c r="BF9" s="27">
        <f t="shared" ca="1" si="110"/>
        <v>6.4374561051692751</v>
      </c>
      <c r="BG9" s="27">
        <f t="shared" ca="1" si="111"/>
        <v>7.5117870062377818</v>
      </c>
      <c r="BH9" s="27">
        <f t="shared" ca="1" si="112"/>
        <v>3.4714145752443129</v>
      </c>
      <c r="BI9" s="27">
        <f t="shared" ca="1" si="113"/>
        <v>8.2120140022782042</v>
      </c>
      <c r="BJ9" s="27">
        <f t="shared" ca="1" si="114"/>
        <v>4.4700447352607142</v>
      </c>
      <c r="BK9" s="27">
        <f t="shared" ca="1" si="115"/>
        <v>2.7839622883876207</v>
      </c>
      <c r="BL9" s="27">
        <f t="shared" ca="1" si="116"/>
        <v>6.3827238584009987</v>
      </c>
      <c r="BM9" s="27">
        <f t="shared" ca="1" si="117"/>
        <v>0.74901891250084762</v>
      </c>
      <c r="BN9" s="27">
        <f t="shared" ca="1" si="118"/>
        <v>3.0477577740413957</v>
      </c>
      <c r="BO9" s="27">
        <f t="shared" ca="1" si="119"/>
        <v>1.1513751590823051</v>
      </c>
      <c r="BP9" s="27">
        <f t="shared" ca="1" si="120"/>
        <v>2.228631228236809</v>
      </c>
      <c r="BQ9" s="27">
        <f t="shared" ca="1" si="121"/>
        <v>9.3015916523179705</v>
      </c>
      <c r="BR9" s="27">
        <f t="shared" ca="1" si="122"/>
        <v>1.9445683305310468</v>
      </c>
      <c r="BS9" s="27">
        <f t="shared" ca="1" si="123"/>
        <v>4.8086844879319797</v>
      </c>
      <c r="BT9" s="27">
        <f t="shared" ca="1" si="124"/>
        <v>4.1314049825894479</v>
      </c>
      <c r="BU9" s="27">
        <f t="shared" ca="1" si="125"/>
        <v>4.6107091967784477</v>
      </c>
      <c r="BV9" s="27">
        <f t="shared" ca="1" si="126"/>
        <v>6.4177678209280504</v>
      </c>
      <c r="BW9" s="27">
        <f t="shared" ca="1" si="127"/>
        <v>2.1318230586562583</v>
      </c>
      <c r="BX9" s="27">
        <f t="shared" ca="1" si="128"/>
        <v>2.9666369792267036</v>
      </c>
      <c r="BY9" s="27">
        <f t="shared" ca="1" si="129"/>
        <v>5.3863711126420393</v>
      </c>
      <c r="BZ9" s="27">
        <f t="shared" ca="1" si="130"/>
        <v>12.591584742058954</v>
      </c>
      <c r="CA9" s="27">
        <f t="shared" ca="1" si="131"/>
        <v>5.3863711126420393</v>
      </c>
      <c r="CB9" s="27">
        <f t="shared" ca="1" si="132"/>
        <v>5.3179338512654972</v>
      </c>
      <c r="CC9" s="27">
        <f t="shared" ca="1" si="133"/>
        <v>13.497141070348171</v>
      </c>
      <c r="CD9" s="27">
        <f t="shared" ca="1" si="134"/>
        <v>5.3179338512654972</v>
      </c>
      <c r="CE9" s="27">
        <f t="shared" ca="1" si="135"/>
        <v>1.8267469083908272</v>
      </c>
    </row>
    <row r="10" spans="1:83" x14ac:dyDescent="0.25">
      <c r="A10" t="str">
        <f>PLANTILLA!D10</f>
        <v>Francesc Añigas</v>
      </c>
      <c r="B10">
        <f>PLANTILLA!E10</f>
        <v>28</v>
      </c>
      <c r="C10" s="25">
        <f ca="1">PLANTILLA!F10</f>
        <v>44</v>
      </c>
      <c r="D10" s="42" t="str">
        <f>PLANTILLA!G10</f>
        <v>IMP</v>
      </c>
      <c r="E10" s="23">
        <f>PLANTILLA!M10</f>
        <v>43137</v>
      </c>
      <c r="F10" s="37">
        <f>PLANTILLA!Q10</f>
        <v>6</v>
      </c>
      <c r="G10" s="38">
        <f t="shared" si="68"/>
        <v>0.92582009977255142</v>
      </c>
      <c r="H10" s="38">
        <f t="shared" si="69"/>
        <v>0.99928545900129484</v>
      </c>
      <c r="I10" s="104">
        <f ca="1">PLANTILLA!N10</f>
        <v>1</v>
      </c>
      <c r="J10" s="29">
        <f>PLANTILLA!I10</f>
        <v>9.5</v>
      </c>
      <c r="K10" s="36">
        <f>PLANTILLA!X10</f>
        <v>0</v>
      </c>
      <c r="L10" s="36">
        <f>PLANTILLA!Y10</f>
        <v>14.25</v>
      </c>
      <c r="M10" s="36">
        <f>PLANTILLA!Z10</f>
        <v>4.25</v>
      </c>
      <c r="N10" s="36">
        <f>PLANTILLA!AA10</f>
        <v>13.8</v>
      </c>
      <c r="O10" s="36">
        <f>PLANTILLA!AB10</f>
        <v>8.1999999999999993</v>
      </c>
      <c r="P10" s="36">
        <f>PLANTILLA!AC10</f>
        <v>7</v>
      </c>
      <c r="Q10" s="36">
        <f>PLANTILLA!AD10</f>
        <v>15.333333333333334</v>
      </c>
      <c r="R10" s="36">
        <f t="shared" si="70"/>
        <v>4.2062499999999998</v>
      </c>
      <c r="S10" s="36">
        <f t="shared" si="71"/>
        <v>0.80999999999999994</v>
      </c>
      <c r="T10" s="36">
        <f t="shared" si="72"/>
        <v>1.03</v>
      </c>
      <c r="U10" s="36">
        <f t="shared" ca="1" si="73"/>
        <v>16.328656517349675</v>
      </c>
      <c r="V10" s="36">
        <f t="shared" ca="1" si="74"/>
        <v>17.624362472604442</v>
      </c>
      <c r="W10" s="27">
        <f t="shared" ca="1" si="75"/>
        <v>5.9440702765562197</v>
      </c>
      <c r="X10" s="27">
        <f t="shared" ca="1" si="76"/>
        <v>9.0302382325705377</v>
      </c>
      <c r="Y10" s="27">
        <f t="shared" ca="1" si="77"/>
        <v>5.9440702765562197</v>
      </c>
      <c r="Z10" s="27">
        <f t="shared" ca="1" si="78"/>
        <v>8.5416738404387278</v>
      </c>
      <c r="AA10" s="27">
        <f t="shared" ca="1" si="79"/>
        <v>16.553631473718465</v>
      </c>
      <c r="AB10" s="27">
        <f t="shared" ca="1" si="80"/>
        <v>4.2708369202193639</v>
      </c>
      <c r="AC10" s="27">
        <f t="shared" ca="1" si="81"/>
        <v>1.5597642907449942</v>
      </c>
      <c r="AD10" s="27">
        <f t="shared" ca="1" si="82"/>
        <v>6.2572726970655799</v>
      </c>
      <c r="AE10" s="27">
        <f t="shared" ca="1" si="83"/>
        <v>11.968275555498449</v>
      </c>
      <c r="AF10" s="27">
        <f t="shared" ca="1" si="84"/>
        <v>3.1286363485327899</v>
      </c>
      <c r="AG10" s="27">
        <f t="shared" ca="1" si="85"/>
        <v>2.5231481173816088</v>
      </c>
      <c r="AH10" s="27">
        <f t="shared" ca="1" si="86"/>
        <v>15.229340955820987</v>
      </c>
      <c r="AI10" s="27">
        <f t="shared" ca="1" si="87"/>
        <v>6.8532034301194438</v>
      </c>
      <c r="AJ10" s="27">
        <f t="shared" ca="1" si="88"/>
        <v>1.0944564561109835</v>
      </c>
      <c r="AK10" s="27">
        <f t="shared" ca="1" si="89"/>
        <v>9.4689353065464577</v>
      </c>
      <c r="AL10" s="27">
        <f t="shared" ca="1" si="90"/>
        <v>12.481438131183722</v>
      </c>
      <c r="AM10" s="27">
        <f t="shared" ca="1" si="91"/>
        <v>11.719971083392672</v>
      </c>
      <c r="AN10" s="27">
        <f t="shared" ca="1" si="92"/>
        <v>2.9453731227776507</v>
      </c>
      <c r="AO10" s="27">
        <f t="shared" ca="1" si="93"/>
        <v>1.8748458644309174</v>
      </c>
      <c r="AP10" s="27">
        <f t="shared" ca="1" si="94"/>
        <v>4.4694804979039855</v>
      </c>
      <c r="AQ10" s="27">
        <f t="shared" ca="1" si="95"/>
        <v>9.8328570953887677</v>
      </c>
      <c r="AR10" s="27">
        <f t="shared" ca="1" si="96"/>
        <v>2.2347402489519927</v>
      </c>
      <c r="AS10" s="27">
        <f t="shared" ca="1" si="97"/>
        <v>6.1866281111902293</v>
      </c>
      <c r="AT10" s="27">
        <f t="shared" ca="1" si="98"/>
        <v>1.3654720915834002</v>
      </c>
      <c r="AU10" s="27">
        <f t="shared" ca="1" si="99"/>
        <v>2.8699640217995093</v>
      </c>
      <c r="AV10" s="27">
        <f t="shared" ca="1" si="100"/>
        <v>0.68273604579170011</v>
      </c>
      <c r="AW10" s="27">
        <f t="shared" ca="1" si="101"/>
        <v>3.1286363485327899</v>
      </c>
      <c r="AX10" s="27">
        <f t="shared" ca="1" si="102"/>
        <v>6.6214525894873866</v>
      </c>
      <c r="AY10" s="27">
        <f t="shared" ca="1" si="103"/>
        <v>1.564318174266395</v>
      </c>
      <c r="AZ10" s="27">
        <f t="shared" ca="1" si="104"/>
        <v>6.5536314737184638</v>
      </c>
      <c r="BA10" s="27">
        <f t="shared" ca="1" si="105"/>
        <v>2.6574187628507708</v>
      </c>
      <c r="BB10" s="27">
        <f t="shared" ca="1" si="106"/>
        <v>5.5355009420188725</v>
      </c>
      <c r="BC10" s="27">
        <f t="shared" ca="1" si="107"/>
        <v>1.3287093814253854</v>
      </c>
      <c r="BD10" s="27">
        <f t="shared" ca="1" si="108"/>
        <v>4.8171067588520726</v>
      </c>
      <c r="BE10" s="27">
        <f t="shared" ca="1" si="109"/>
        <v>5.7606637528540254</v>
      </c>
      <c r="BF10" s="27">
        <f t="shared" ca="1" si="110"/>
        <v>5.7737493283459669</v>
      </c>
      <c r="BG10" s="27">
        <f t="shared" ca="1" si="111"/>
        <v>12.552128380135715</v>
      </c>
      <c r="BH10" s="27">
        <f t="shared" ca="1" si="112"/>
        <v>2.5313751851661492</v>
      </c>
      <c r="BI10" s="27">
        <f t="shared" ca="1" si="113"/>
        <v>8.0285112647534547</v>
      </c>
      <c r="BJ10" s="27">
        <f t="shared" ca="1" si="114"/>
        <v>4.3701587090616751</v>
      </c>
      <c r="BK10" s="27">
        <f t="shared" ca="1" si="115"/>
        <v>2.4969335914867345</v>
      </c>
      <c r="BL10" s="27">
        <f t="shared" ca="1" si="116"/>
        <v>12.948973908029938</v>
      </c>
      <c r="BM10" s="27">
        <f t="shared" ca="1" si="117"/>
        <v>0.54618883663336004</v>
      </c>
      <c r="BN10" s="27">
        <f t="shared" ca="1" si="118"/>
        <v>2.9796536652693235</v>
      </c>
      <c r="BO10" s="27">
        <f t="shared" ca="1" si="119"/>
        <v>1.1256469402128557</v>
      </c>
      <c r="BP10" s="27">
        <f t="shared" ca="1" si="120"/>
        <v>1.9988575994841313</v>
      </c>
      <c r="BQ10" s="27">
        <f t="shared" ca="1" si="121"/>
        <v>19.107670075201945</v>
      </c>
      <c r="BR10" s="27">
        <f t="shared" ca="1" si="122"/>
        <v>1.4179902489519924</v>
      </c>
      <c r="BS10" s="27">
        <f t="shared" ca="1" si="123"/>
        <v>4.7012313385360436</v>
      </c>
      <c r="BT10" s="27">
        <f t="shared" ca="1" si="124"/>
        <v>4.0390860795873049</v>
      </c>
      <c r="BU10" s="27">
        <f t="shared" ca="1" si="125"/>
        <v>4.1353414599163507</v>
      </c>
      <c r="BV10" s="27">
        <f t="shared" ca="1" si="126"/>
        <v>13.331950168978025</v>
      </c>
      <c r="BW10" s="27">
        <f t="shared" ca="1" si="127"/>
        <v>1.5545374581103324</v>
      </c>
      <c r="BX10" s="27">
        <f t="shared" ca="1" si="128"/>
        <v>2.6607743783296964</v>
      </c>
      <c r="BY10" s="27">
        <f t="shared" ca="1" si="129"/>
        <v>6.1263919978073194</v>
      </c>
      <c r="BZ10" s="27">
        <f t="shared" ca="1" si="130"/>
        <v>11.127489039406989</v>
      </c>
      <c r="CA10" s="27">
        <f t="shared" ca="1" si="131"/>
        <v>6.1263919978073194</v>
      </c>
      <c r="CB10" s="27">
        <f t="shared" ca="1" si="132"/>
        <v>7.469362408126603</v>
      </c>
      <c r="CC10" s="27">
        <f t="shared" ca="1" si="133"/>
        <v>13.179471487520576</v>
      </c>
      <c r="CD10" s="27">
        <f t="shared" ca="1" si="134"/>
        <v>7.469362408126603</v>
      </c>
      <c r="CE10" s="27">
        <f t="shared" ca="1" si="135"/>
        <v>1.6384078684296159</v>
      </c>
    </row>
    <row r="11" spans="1:83" x14ac:dyDescent="0.25">
      <c r="A11" t="str">
        <f>PLANTILLA!D11</f>
        <v>Will Duffill</v>
      </c>
      <c r="B11">
        <f>PLANTILLA!E11</f>
        <v>28</v>
      </c>
      <c r="C11" s="25">
        <f ca="1">PLANTILLA!F11</f>
        <v>5</v>
      </c>
      <c r="D11" s="42" t="str">
        <f>PLANTILLA!G11</f>
        <v>RAP</v>
      </c>
      <c r="E11" s="23">
        <f>PLANTILLA!M11</f>
        <v>43122</v>
      </c>
      <c r="F11" s="37">
        <f>PLANTILLA!Q11</f>
        <v>7</v>
      </c>
      <c r="G11" s="38">
        <f t="shared" si="68"/>
        <v>1</v>
      </c>
      <c r="H11" s="38">
        <f t="shared" si="69"/>
        <v>1</v>
      </c>
      <c r="I11" s="104">
        <f ca="1">PLANTILLA!N11</f>
        <v>1</v>
      </c>
      <c r="J11" s="29">
        <f>PLANTILLA!I11</f>
        <v>9.5</v>
      </c>
      <c r="K11" s="36">
        <f>PLANTILLA!X11</f>
        <v>0</v>
      </c>
      <c r="L11" s="36">
        <f>PLANTILLA!Y11</f>
        <v>13.692307692307692</v>
      </c>
      <c r="M11" s="36">
        <f>PLANTILLA!Z11</f>
        <v>4.25</v>
      </c>
      <c r="N11" s="36">
        <f>PLANTILLA!AA11</f>
        <v>14.75</v>
      </c>
      <c r="O11" s="36">
        <f>PLANTILLA!AB11</f>
        <v>10</v>
      </c>
      <c r="P11" s="36">
        <f>PLANTILLA!AC11</f>
        <v>7</v>
      </c>
      <c r="Q11" s="36">
        <f>PLANTILLA!AD11</f>
        <v>16</v>
      </c>
      <c r="R11" s="36">
        <f t="shared" si="70"/>
        <v>4.5865384615384617</v>
      </c>
      <c r="S11" s="36">
        <f t="shared" si="71"/>
        <v>0.83000000000000007</v>
      </c>
      <c r="T11" s="36">
        <f t="shared" si="72"/>
        <v>1.0276923076923077</v>
      </c>
      <c r="U11" s="36">
        <f t="shared" ca="1" si="73"/>
        <v>18.303631473718465</v>
      </c>
      <c r="V11" s="36">
        <f t="shared" ca="1" si="74"/>
        <v>18.303631473718465</v>
      </c>
      <c r="W11" s="27">
        <f t="shared" ca="1" si="75"/>
        <v>5.7901471996331422</v>
      </c>
      <c r="X11" s="27">
        <f t="shared" ca="1" si="76"/>
        <v>8.7932190018013046</v>
      </c>
      <c r="Y11" s="27">
        <f t="shared" ca="1" si="77"/>
        <v>5.7901471996331422</v>
      </c>
      <c r="Z11" s="27">
        <f t="shared" ca="1" si="78"/>
        <v>8.2539046096694957</v>
      </c>
      <c r="AA11" s="27">
        <f t="shared" ca="1" si="79"/>
        <v>15.995939166026155</v>
      </c>
      <c r="AB11" s="27">
        <f t="shared" ca="1" si="80"/>
        <v>4.1269523048347478</v>
      </c>
      <c r="AC11" s="27">
        <f t="shared" ca="1" si="81"/>
        <v>1.5597642907449942</v>
      </c>
      <c r="AD11" s="27">
        <f t="shared" ca="1" si="82"/>
        <v>6.0464650047578861</v>
      </c>
      <c r="AE11" s="27">
        <f t="shared" ca="1" si="83"/>
        <v>11.56506401703691</v>
      </c>
      <c r="AF11" s="27">
        <f t="shared" ca="1" si="84"/>
        <v>3.023232502378943</v>
      </c>
      <c r="AG11" s="27">
        <f t="shared" ca="1" si="85"/>
        <v>2.5231481173816088</v>
      </c>
      <c r="AH11" s="27">
        <f t="shared" ca="1" si="86"/>
        <v>14.716264032744062</v>
      </c>
      <c r="AI11" s="27">
        <f t="shared" ca="1" si="87"/>
        <v>6.622318814734828</v>
      </c>
      <c r="AJ11" s="27">
        <f t="shared" ca="1" si="88"/>
        <v>1.0944564561109835</v>
      </c>
      <c r="AK11" s="27">
        <f t="shared" ca="1" si="89"/>
        <v>10.027535306546456</v>
      </c>
      <c r="AL11" s="27">
        <f t="shared" ca="1" si="90"/>
        <v>12.06093813118372</v>
      </c>
      <c r="AM11" s="27">
        <f t="shared" ca="1" si="91"/>
        <v>11.325124929546517</v>
      </c>
      <c r="AN11" s="27">
        <f t="shared" ca="1" si="92"/>
        <v>3.0567064561109838</v>
      </c>
      <c r="AO11" s="27">
        <f t="shared" ca="1" si="93"/>
        <v>1.9843689413539944</v>
      </c>
      <c r="AP11" s="27">
        <f t="shared" ca="1" si="94"/>
        <v>4.3189035748270621</v>
      </c>
      <c r="AQ11" s="27">
        <f t="shared" ca="1" si="95"/>
        <v>9.5015878646195358</v>
      </c>
      <c r="AR11" s="27">
        <f t="shared" ca="1" si="96"/>
        <v>2.1594517874135311</v>
      </c>
      <c r="AS11" s="27">
        <f t="shared" ca="1" si="97"/>
        <v>6.1866281111902293</v>
      </c>
      <c r="AT11" s="27">
        <f t="shared" ca="1" si="98"/>
        <v>1.5994720915834002</v>
      </c>
      <c r="AU11" s="27">
        <f t="shared" ca="1" si="99"/>
        <v>3.0859640217995095</v>
      </c>
      <c r="AV11" s="27">
        <f t="shared" ca="1" si="100"/>
        <v>0.7997360457917001</v>
      </c>
      <c r="AW11" s="27">
        <f t="shared" ca="1" si="101"/>
        <v>3.023232502378943</v>
      </c>
      <c r="AX11" s="27">
        <f t="shared" ca="1" si="102"/>
        <v>6.3983756664104625</v>
      </c>
      <c r="AY11" s="27">
        <f t="shared" ca="1" si="103"/>
        <v>1.5116162511894715</v>
      </c>
      <c r="AZ11" s="27">
        <f t="shared" ca="1" si="104"/>
        <v>6.5536314737184638</v>
      </c>
      <c r="BA11" s="27">
        <f t="shared" ca="1" si="105"/>
        <v>3.1128187628507713</v>
      </c>
      <c r="BB11" s="27">
        <f t="shared" ca="1" si="106"/>
        <v>6.1493009420188738</v>
      </c>
      <c r="BC11" s="27">
        <f t="shared" ca="1" si="107"/>
        <v>1.5564093814253857</v>
      </c>
      <c r="BD11" s="27">
        <f t="shared" ca="1" si="108"/>
        <v>4.6548182973136107</v>
      </c>
      <c r="BE11" s="27">
        <f t="shared" ca="1" si="109"/>
        <v>5.5665868297771013</v>
      </c>
      <c r="BF11" s="27">
        <f t="shared" ca="1" si="110"/>
        <v>5.7737493283459669</v>
      </c>
      <c r="BG11" s="27">
        <f t="shared" ca="1" si="111"/>
        <v>13.664428380135714</v>
      </c>
      <c r="BH11" s="27">
        <f t="shared" ca="1" si="112"/>
        <v>2.9651751851661494</v>
      </c>
      <c r="BI11" s="27">
        <f t="shared" ca="1" si="113"/>
        <v>7.7580304955226849</v>
      </c>
      <c r="BJ11" s="27">
        <f t="shared" ca="1" si="114"/>
        <v>4.222927939830905</v>
      </c>
      <c r="BK11" s="27">
        <f t="shared" ca="1" si="115"/>
        <v>2.4969335914867345</v>
      </c>
      <c r="BL11" s="27">
        <f t="shared" ca="1" si="116"/>
        <v>13.950123908029939</v>
      </c>
      <c r="BM11" s="27">
        <f t="shared" ca="1" si="117"/>
        <v>0.63978883663336006</v>
      </c>
      <c r="BN11" s="27">
        <f t="shared" ca="1" si="118"/>
        <v>2.8792690498847078</v>
      </c>
      <c r="BO11" s="27">
        <f t="shared" ca="1" si="119"/>
        <v>1.0877238632897785</v>
      </c>
      <c r="BP11" s="27">
        <f t="shared" ca="1" si="120"/>
        <v>1.9988575994841313</v>
      </c>
      <c r="BQ11" s="27">
        <f t="shared" ca="1" si="121"/>
        <v>20.572470075201945</v>
      </c>
      <c r="BR11" s="27">
        <f t="shared" ca="1" si="122"/>
        <v>1.6609902489519925</v>
      </c>
      <c r="BS11" s="27">
        <f t="shared" ca="1" si="123"/>
        <v>4.5428467231514276</v>
      </c>
      <c r="BT11" s="27">
        <f t="shared" ca="1" si="124"/>
        <v>3.9030091565103815</v>
      </c>
      <c r="BU11" s="27">
        <f t="shared" ca="1" si="125"/>
        <v>4.1353414599163507</v>
      </c>
      <c r="BV11" s="27">
        <f t="shared" ca="1" si="126"/>
        <v>14.346250168978026</v>
      </c>
      <c r="BW11" s="27">
        <f t="shared" ca="1" si="127"/>
        <v>1.8209374581103324</v>
      </c>
      <c r="BX11" s="27">
        <f t="shared" ca="1" si="128"/>
        <v>2.6607743783296964</v>
      </c>
      <c r="BY11" s="27">
        <f t="shared" ca="1" si="129"/>
        <v>6.7131919978073196</v>
      </c>
      <c r="BZ11" s="27">
        <f t="shared" ca="1" si="130"/>
        <v>12.10488903940699</v>
      </c>
      <c r="CA11" s="27">
        <f t="shared" ca="1" si="131"/>
        <v>6.7131919978073196</v>
      </c>
      <c r="CB11" s="27">
        <f t="shared" ca="1" si="132"/>
        <v>7.9349124081266034</v>
      </c>
      <c r="CC11" s="27">
        <f t="shared" ca="1" si="133"/>
        <v>13.843671487520576</v>
      </c>
      <c r="CD11" s="27">
        <f t="shared" ca="1" si="134"/>
        <v>7.9349124081266034</v>
      </c>
      <c r="CE11" s="27">
        <f t="shared" ca="1" si="135"/>
        <v>1.6384078684296159</v>
      </c>
    </row>
    <row r="12" spans="1:83" x14ac:dyDescent="0.25">
      <c r="A12" t="str">
        <f>PLANTILLA!D12</f>
        <v>Valeri Gomis</v>
      </c>
      <c r="B12">
        <f>PLANTILLA!E12</f>
        <v>28</v>
      </c>
      <c r="C12" s="25">
        <f ca="1">PLANTILLA!F12</f>
        <v>44</v>
      </c>
      <c r="D12" s="42" t="str">
        <f>PLANTILLA!G12</f>
        <v>IMP</v>
      </c>
      <c r="E12" s="23">
        <f>PLANTILLA!M12</f>
        <v>43051</v>
      </c>
      <c r="F12" s="37">
        <f>PLANTILLA!Q12</f>
        <v>6</v>
      </c>
      <c r="G12" s="38">
        <f t="shared" si="68"/>
        <v>0.92582009977255142</v>
      </c>
      <c r="H12" s="38">
        <f t="shared" si="69"/>
        <v>0.99928545900129484</v>
      </c>
      <c r="I12" s="104">
        <f ca="1">PLANTILLA!N12</f>
        <v>1</v>
      </c>
      <c r="J12" s="29">
        <f>PLANTILLA!I12</f>
        <v>8.6</v>
      </c>
      <c r="K12" s="36">
        <f>PLANTILLA!X12</f>
        <v>0</v>
      </c>
      <c r="L12" s="36">
        <f>PLANTILLA!Y12</f>
        <v>13.2</v>
      </c>
      <c r="M12" s="36">
        <f>PLANTILLA!Z12</f>
        <v>4.25</v>
      </c>
      <c r="N12" s="36">
        <f>PLANTILLA!AA12</f>
        <v>13.2</v>
      </c>
      <c r="O12" s="36">
        <f>PLANTILLA!AB12</f>
        <v>9.1666666666666661</v>
      </c>
      <c r="P12" s="36">
        <f>PLANTILLA!AC12</f>
        <v>7.25</v>
      </c>
      <c r="Q12" s="36">
        <f>PLANTILLA!AD12</f>
        <v>16</v>
      </c>
      <c r="R12" s="36">
        <f t="shared" si="70"/>
        <v>4.3166666666666664</v>
      </c>
      <c r="S12" s="36">
        <f t="shared" si="71"/>
        <v>0.84250000000000003</v>
      </c>
      <c r="T12" s="36">
        <f t="shared" si="72"/>
        <v>1.008</v>
      </c>
      <c r="U12" s="36">
        <f t="shared" ca="1" si="73"/>
        <v>16.892511628623527</v>
      </c>
      <c r="V12" s="36">
        <f t="shared" ca="1" si="74"/>
        <v>18.232960421404581</v>
      </c>
      <c r="W12" s="27">
        <f t="shared" ca="1" si="75"/>
        <v>5.6039561972475127</v>
      </c>
      <c r="X12" s="27">
        <f t="shared" ca="1" si="76"/>
        <v>8.5095833340739269</v>
      </c>
      <c r="Y12" s="27">
        <f t="shared" ca="1" si="77"/>
        <v>5.6039561972475127</v>
      </c>
      <c r="Z12" s="27">
        <f t="shared" ca="1" si="78"/>
        <v>7.970134934455575</v>
      </c>
      <c r="AA12" s="27">
        <f t="shared" ca="1" si="79"/>
        <v>15.445997934991423</v>
      </c>
      <c r="AB12" s="27">
        <f t="shared" ca="1" si="80"/>
        <v>3.9850674672277875</v>
      </c>
      <c r="AC12" s="27">
        <f t="shared" ca="1" si="81"/>
        <v>1.5460475085279588</v>
      </c>
      <c r="AD12" s="27">
        <f t="shared" ca="1" si="82"/>
        <v>5.8385872194267581</v>
      </c>
      <c r="AE12" s="27">
        <f t="shared" ca="1" si="83"/>
        <v>11.167456506998798</v>
      </c>
      <c r="AF12" s="27">
        <f t="shared" ca="1" si="84"/>
        <v>2.919293609713379</v>
      </c>
      <c r="AG12" s="27">
        <f t="shared" ca="1" si="85"/>
        <v>2.5009592049716982</v>
      </c>
      <c r="AH12" s="27">
        <f t="shared" ca="1" si="86"/>
        <v>14.21031810019211</v>
      </c>
      <c r="AI12" s="27">
        <f t="shared" ca="1" si="87"/>
        <v>6.3946431450864489</v>
      </c>
      <c r="AJ12" s="27">
        <f t="shared" ca="1" si="88"/>
        <v>1.0848316551435679</v>
      </c>
      <c r="AK12" s="27">
        <f t="shared" ca="1" si="89"/>
        <v>9.0822467857749558</v>
      </c>
      <c r="AL12" s="27">
        <f t="shared" ca="1" si="90"/>
        <v>11.646282442983534</v>
      </c>
      <c r="AM12" s="27">
        <f t="shared" ca="1" si="91"/>
        <v>10.935766537973928</v>
      </c>
      <c r="AN12" s="27">
        <f t="shared" ca="1" si="92"/>
        <v>3.0470816551435678</v>
      </c>
      <c r="AO12" s="27">
        <f t="shared" ca="1" si="93"/>
        <v>1.8900474052775298</v>
      </c>
      <c r="AP12" s="27">
        <f t="shared" ca="1" si="94"/>
        <v>4.1704194424476846</v>
      </c>
      <c r="AQ12" s="27">
        <f t="shared" ca="1" si="95"/>
        <v>9.174922773384905</v>
      </c>
      <c r="AR12" s="27">
        <f t="shared" ca="1" si="96"/>
        <v>2.0852097212238423</v>
      </c>
      <c r="AS12" s="27">
        <f t="shared" ca="1" si="97"/>
        <v>6.1322220506319036</v>
      </c>
      <c r="AT12" s="27">
        <f t="shared" ca="1" si="98"/>
        <v>1.4836463982155517</v>
      </c>
      <c r="AU12" s="27">
        <f t="shared" ca="1" si="99"/>
        <v>3.0123273949524867</v>
      </c>
      <c r="AV12" s="27">
        <f t="shared" ca="1" si="100"/>
        <v>0.74182319910777583</v>
      </c>
      <c r="AW12" s="27">
        <f t="shared" ca="1" si="101"/>
        <v>2.919293609713379</v>
      </c>
      <c r="AX12" s="27">
        <f t="shared" ca="1" si="102"/>
        <v>6.1783991739965698</v>
      </c>
      <c r="AY12" s="27">
        <f t="shared" ca="1" si="103"/>
        <v>1.4596468048566895</v>
      </c>
      <c r="AZ12" s="27">
        <f t="shared" ca="1" si="104"/>
        <v>6.4959979349914239</v>
      </c>
      <c r="BA12" s="27">
        <f t="shared" ca="1" si="105"/>
        <v>2.8874041442194969</v>
      </c>
      <c r="BB12" s="27">
        <f t="shared" ca="1" si="106"/>
        <v>5.8858781955136079</v>
      </c>
      <c r="BC12" s="27">
        <f t="shared" ca="1" si="107"/>
        <v>1.4437020721097484</v>
      </c>
      <c r="BD12" s="27">
        <f t="shared" ca="1" si="108"/>
        <v>4.4947853990825042</v>
      </c>
      <c r="BE12" s="27">
        <f t="shared" ca="1" si="109"/>
        <v>5.3752072813770146</v>
      </c>
      <c r="BF12" s="27">
        <f t="shared" ca="1" si="110"/>
        <v>5.7229741807274443</v>
      </c>
      <c r="BG12" s="27">
        <f t="shared" ca="1" si="111"/>
        <v>12.460992164207376</v>
      </c>
      <c r="BH12" s="27">
        <f t="shared" ca="1" si="112"/>
        <v>2.7504521689995998</v>
      </c>
      <c r="BI12" s="27">
        <f t="shared" ca="1" si="113"/>
        <v>7.4913089984708403</v>
      </c>
      <c r="BJ12" s="27">
        <f t="shared" ca="1" si="114"/>
        <v>4.0777434548377363</v>
      </c>
      <c r="BK12" s="27">
        <f t="shared" ca="1" si="115"/>
        <v>2.4749752132317324</v>
      </c>
      <c r="BL12" s="27">
        <f t="shared" ca="1" si="116"/>
        <v>12.689102195182505</v>
      </c>
      <c r="BM12" s="27">
        <f t="shared" ca="1" si="117"/>
        <v>0.5934585592862206</v>
      </c>
      <c r="BN12" s="27">
        <f t="shared" ca="1" si="118"/>
        <v>2.7802796282984561</v>
      </c>
      <c r="BO12" s="27">
        <f t="shared" ca="1" si="119"/>
        <v>1.0503278595794168</v>
      </c>
      <c r="BP12" s="27">
        <f t="shared" ca="1" si="120"/>
        <v>1.9812793701723843</v>
      </c>
      <c r="BQ12" s="27">
        <f t="shared" ca="1" si="121"/>
        <v>18.710020011065637</v>
      </c>
      <c r="BR12" s="27">
        <f t="shared" ca="1" si="122"/>
        <v>1.5407097212238423</v>
      </c>
      <c r="BS12" s="27">
        <f t="shared" ca="1" si="123"/>
        <v>4.3866634135375637</v>
      </c>
      <c r="BT12" s="27">
        <f t="shared" ca="1" si="124"/>
        <v>3.768823496137907</v>
      </c>
      <c r="BU12" s="27">
        <f t="shared" ca="1" si="125"/>
        <v>4.0989746969795888</v>
      </c>
      <c r="BV12" s="27">
        <f t="shared" ca="1" si="126"/>
        <v>13.045734818483989</v>
      </c>
      <c r="BW12" s="27">
        <f t="shared" ca="1" si="127"/>
        <v>1.6890743610453973</v>
      </c>
      <c r="BX12" s="27">
        <f t="shared" ca="1" si="128"/>
        <v>2.6373751616065184</v>
      </c>
      <c r="BY12" s="27">
        <f t="shared" ca="1" si="129"/>
        <v>6.2833815907971982</v>
      </c>
      <c r="BZ12" s="27">
        <f t="shared" ca="1" si="130"/>
        <v>11.733243674800343</v>
      </c>
      <c r="CA12" s="27">
        <f t="shared" ca="1" si="131"/>
        <v>6.2833815907971982</v>
      </c>
      <c r="CB12" s="27">
        <f t="shared" ca="1" si="132"/>
        <v>7.5031233801663237</v>
      </c>
      <c r="CC12" s="27">
        <f t="shared" ca="1" si="133"/>
        <v>13.70727117300326</v>
      </c>
      <c r="CD12" s="27">
        <f t="shared" ca="1" si="134"/>
        <v>7.5031233801663237</v>
      </c>
      <c r="CE12" s="27">
        <f t="shared" ca="1" si="135"/>
        <v>1.623999483747856</v>
      </c>
    </row>
    <row r="13" spans="1:83" x14ac:dyDescent="0.25">
      <c r="A13" t="str">
        <f>PLANTILLA!D13</f>
        <v>Enrique Cubas</v>
      </c>
      <c r="B13">
        <f>PLANTILLA!E13</f>
        <v>28</v>
      </c>
      <c r="C13" s="25">
        <f ca="1">PLANTILLA!F13</f>
        <v>40</v>
      </c>
      <c r="D13" s="42" t="str">
        <f>PLANTILLA!G13</f>
        <v>RAP</v>
      </c>
      <c r="E13" s="23">
        <f>PLANTILLA!M13</f>
        <v>43046</v>
      </c>
      <c r="F13" s="37">
        <f>PLANTILLA!Q13</f>
        <v>6</v>
      </c>
      <c r="G13" s="38">
        <f t="shared" si="68"/>
        <v>0.92582009977255142</v>
      </c>
      <c r="H13" s="38">
        <f t="shared" si="69"/>
        <v>0.99928545900129484</v>
      </c>
      <c r="I13" s="104">
        <f>PLANTILLA!N13</f>
        <v>1.5</v>
      </c>
      <c r="J13" s="29">
        <f>PLANTILLA!I13</f>
        <v>9.8000000000000007</v>
      </c>
      <c r="K13" s="36">
        <f>PLANTILLA!X13</f>
        <v>0</v>
      </c>
      <c r="L13" s="36">
        <f>PLANTILLA!Y13</f>
        <v>12.416666666666666</v>
      </c>
      <c r="M13" s="36">
        <f>PLANTILLA!Z13</f>
        <v>6.2</v>
      </c>
      <c r="N13" s="36">
        <f>PLANTILLA!AA13</f>
        <v>15.666666666666666</v>
      </c>
      <c r="O13" s="36">
        <f>PLANTILLA!AB13</f>
        <v>9.5</v>
      </c>
      <c r="P13" s="36">
        <f>PLANTILLA!AC13</f>
        <v>7.8</v>
      </c>
      <c r="Q13" s="36">
        <f>PLANTILLA!AD13</f>
        <v>16.666666666666668</v>
      </c>
      <c r="R13" s="36">
        <f t="shared" si="70"/>
        <v>4.302083333333333</v>
      </c>
      <c r="S13" s="36">
        <f t="shared" si="71"/>
        <v>0.89</v>
      </c>
      <c r="T13" s="36">
        <f t="shared" si="72"/>
        <v>0.9966666666666667</v>
      </c>
      <c r="U13" s="36">
        <f t="shared" si="73"/>
        <v>18.04266117826106</v>
      </c>
      <c r="V13" s="36">
        <f t="shared" si="74"/>
        <v>19.474376243886763</v>
      </c>
      <c r="W13" s="27">
        <f t="shared" si="75"/>
        <v>5.8902871521060645</v>
      </c>
      <c r="X13" s="27">
        <f t="shared" si="76"/>
        <v>8.9198138182920133</v>
      </c>
      <c r="Y13" s="27">
        <f t="shared" si="77"/>
        <v>5.8902871521060645</v>
      </c>
      <c r="Z13" s="27">
        <f t="shared" si="78"/>
        <v>7.8629635400764366</v>
      </c>
      <c r="AA13" s="27">
        <f t="shared" si="79"/>
        <v>15.238301434256659</v>
      </c>
      <c r="AB13" s="27">
        <f t="shared" si="80"/>
        <v>3.9314817700382183</v>
      </c>
      <c r="AC13" s="27">
        <f t="shared" si="81"/>
        <v>2.1471490746864186</v>
      </c>
      <c r="AD13" s="27">
        <f t="shared" si="82"/>
        <v>5.7600779421490174</v>
      </c>
      <c r="AE13" s="27">
        <f t="shared" si="83"/>
        <v>11.017291936967563</v>
      </c>
      <c r="AF13" s="27">
        <f t="shared" si="84"/>
        <v>2.8800389710745087</v>
      </c>
      <c r="AG13" s="27">
        <f t="shared" si="85"/>
        <v>3.4733293855221476</v>
      </c>
      <c r="AH13" s="27">
        <f t="shared" si="86"/>
        <v>14.019237319516128</v>
      </c>
      <c r="AI13" s="27">
        <f t="shared" si="87"/>
        <v>6.3086567937822569</v>
      </c>
      <c r="AJ13" s="27">
        <f t="shared" si="88"/>
        <v>1.5066130061875291</v>
      </c>
      <c r="AK13" s="27">
        <f t="shared" si="89"/>
        <v>10.871121243342914</v>
      </c>
      <c r="AL13" s="27">
        <f t="shared" si="90"/>
        <v>11.48967928142952</v>
      </c>
      <c r="AM13" s="27">
        <f t="shared" si="91"/>
        <v>10.788717415453714</v>
      </c>
      <c r="AN13" s="27">
        <f t="shared" si="92"/>
        <v>3.2545463395208629</v>
      </c>
      <c r="AO13" s="27">
        <f t="shared" si="93"/>
        <v>2.0516308130659175</v>
      </c>
      <c r="AP13" s="27">
        <f t="shared" si="94"/>
        <v>4.114341387249298</v>
      </c>
      <c r="AQ13" s="27">
        <f t="shared" si="95"/>
        <v>9.0515510519484543</v>
      </c>
      <c r="AR13" s="27">
        <f t="shared" si="96"/>
        <v>2.057170693624649</v>
      </c>
      <c r="AS13" s="27">
        <f t="shared" si="97"/>
        <v>8.5164232206049544</v>
      </c>
      <c r="AT13" s="27">
        <f t="shared" si="98"/>
        <v>1.601812519786699</v>
      </c>
      <c r="AU13" s="27">
        <f t="shared" si="99"/>
        <v>3.316138986903868</v>
      </c>
      <c r="AV13" s="27">
        <f t="shared" si="100"/>
        <v>0.80090625989334951</v>
      </c>
      <c r="AW13" s="27">
        <f t="shared" si="101"/>
        <v>2.8800389710745087</v>
      </c>
      <c r="AX13" s="27">
        <f t="shared" si="102"/>
        <v>6.0953205737026641</v>
      </c>
      <c r="AY13" s="27">
        <f t="shared" si="103"/>
        <v>1.4400194855372543</v>
      </c>
      <c r="AZ13" s="27">
        <f t="shared" si="104"/>
        <v>9.0216347675899939</v>
      </c>
      <c r="BA13" s="27">
        <f t="shared" si="105"/>
        <v>3.1173735962002684</v>
      </c>
      <c r="BB13" s="27">
        <f t="shared" si="106"/>
        <v>6.4322207569420868</v>
      </c>
      <c r="BC13" s="27">
        <f t="shared" si="107"/>
        <v>1.5586867981001342</v>
      </c>
      <c r="BD13" s="27">
        <f t="shared" si="108"/>
        <v>4.4343457173686875</v>
      </c>
      <c r="BE13" s="27">
        <f t="shared" si="109"/>
        <v>5.3029288991213166</v>
      </c>
      <c r="BF13" s="27">
        <f t="shared" si="110"/>
        <v>7.9480602302467851</v>
      </c>
      <c r="BG13" s="27">
        <f t="shared" si="111"/>
        <v>14.49359997505417</v>
      </c>
      <c r="BH13" s="27">
        <f t="shared" si="112"/>
        <v>2.969513978989188</v>
      </c>
      <c r="BI13" s="27">
        <f t="shared" si="113"/>
        <v>7.3905761956144795</v>
      </c>
      <c r="BJ13" s="27">
        <f t="shared" si="114"/>
        <v>4.0229115786437584</v>
      </c>
      <c r="BK13" s="27">
        <f t="shared" si="115"/>
        <v>3.4372428464517877</v>
      </c>
      <c r="BL13" s="27">
        <f t="shared" si="116"/>
        <v>14.919275453540321</v>
      </c>
      <c r="BM13" s="27">
        <f t="shared" si="117"/>
        <v>0.64072500791467957</v>
      </c>
      <c r="BN13" s="27">
        <f t="shared" si="118"/>
        <v>2.7428942581661984</v>
      </c>
      <c r="BO13" s="27">
        <f t="shared" si="119"/>
        <v>1.0362044975294529</v>
      </c>
      <c r="BP13" s="27">
        <f t="shared" si="120"/>
        <v>2.7515986041149483</v>
      </c>
      <c r="BQ13" s="27">
        <f t="shared" si="121"/>
        <v>22.012288977787396</v>
      </c>
      <c r="BR13" s="27">
        <f t="shared" si="122"/>
        <v>1.6634206936246492</v>
      </c>
      <c r="BS13" s="27">
        <f t="shared" si="123"/>
        <v>4.3276776073288907</v>
      </c>
      <c r="BT13" s="27">
        <f t="shared" si="124"/>
        <v>3.7181455499586247</v>
      </c>
      <c r="BU13" s="27">
        <f t="shared" si="125"/>
        <v>5.6926515383492866</v>
      </c>
      <c r="BV13" s="27">
        <f t="shared" si="126"/>
        <v>15.356863116993043</v>
      </c>
      <c r="BW13" s="27">
        <f t="shared" si="127"/>
        <v>1.8236019456033188</v>
      </c>
      <c r="BX13" s="27">
        <f t="shared" si="128"/>
        <v>3.6627837156415377</v>
      </c>
      <c r="BY13" s="27">
        <f t="shared" si="129"/>
        <v>7.091671713914387</v>
      </c>
      <c r="BZ13" s="27">
        <f t="shared" si="130"/>
        <v>12.883060748306331</v>
      </c>
      <c r="CA13" s="27">
        <f t="shared" si="131"/>
        <v>7.091671713914387</v>
      </c>
      <c r="CB13" s="27">
        <f t="shared" si="132"/>
        <v>8.5972117935418986</v>
      </c>
      <c r="CC13" s="27">
        <f t="shared" si="133"/>
        <v>15.168317996830702</v>
      </c>
      <c r="CD13" s="27">
        <f t="shared" si="134"/>
        <v>8.5972117935418986</v>
      </c>
      <c r="CE13" s="27">
        <f t="shared" si="135"/>
        <v>2.2554086918974985</v>
      </c>
    </row>
    <row r="14" spans="1:83" x14ac:dyDescent="0.25">
      <c r="A14" t="str">
        <f>PLANTILLA!D14</f>
        <v>J. G. Peñuela</v>
      </c>
      <c r="B14">
        <f>PLANTILLA!E14</f>
        <v>28</v>
      </c>
      <c r="C14" s="25">
        <f ca="1">PLANTILLA!F14</f>
        <v>40</v>
      </c>
      <c r="D14" s="42" t="str">
        <f>PLANTILLA!G14</f>
        <v>IMP</v>
      </c>
      <c r="E14" s="23">
        <f>PLANTILLA!M14</f>
        <v>43054</v>
      </c>
      <c r="F14" s="37">
        <f>PLANTILLA!Q14</f>
        <v>7</v>
      </c>
      <c r="G14" s="38">
        <f t="shared" si="68"/>
        <v>1</v>
      </c>
      <c r="H14" s="38">
        <f t="shared" si="69"/>
        <v>1</v>
      </c>
      <c r="I14" s="104">
        <f ca="1">PLANTILLA!N14</f>
        <v>1</v>
      </c>
      <c r="J14" s="29">
        <f>PLANTILLA!I14</f>
        <v>8.5</v>
      </c>
      <c r="K14" s="36">
        <f>PLANTILLA!X14</f>
        <v>0</v>
      </c>
      <c r="L14" s="36">
        <f>PLANTILLA!Y14</f>
        <v>12.75</v>
      </c>
      <c r="M14" s="36">
        <f>PLANTILLA!Z14</f>
        <v>6</v>
      </c>
      <c r="N14" s="36">
        <f>PLANTILLA!AA14</f>
        <v>14.833333333333334</v>
      </c>
      <c r="O14" s="36">
        <f>PLANTILLA!AB14</f>
        <v>8.8571428571428577</v>
      </c>
      <c r="P14" s="36">
        <f>PLANTILLA!AC14</f>
        <v>8</v>
      </c>
      <c r="Q14" s="36">
        <f>PLANTILLA!AD14</f>
        <v>15.666666666666666</v>
      </c>
      <c r="R14" s="36">
        <f t="shared" si="70"/>
        <v>4.1830357142857144</v>
      </c>
      <c r="S14" s="36">
        <f t="shared" si="71"/>
        <v>0.86999999999999988</v>
      </c>
      <c r="T14" s="36">
        <f t="shared" si="72"/>
        <v>0.98000000000000009</v>
      </c>
      <c r="U14" s="36">
        <f t="shared" ca="1" si="73"/>
        <v>17.905891900952387</v>
      </c>
      <c r="V14" s="36">
        <f t="shared" ca="1" si="74"/>
        <v>17.905891900952387</v>
      </c>
      <c r="W14" s="27">
        <f t="shared" ca="1" si="75"/>
        <v>5.4738436295314372</v>
      </c>
      <c r="X14" s="27">
        <f t="shared" ca="1" si="76"/>
        <v>8.3095897774628682</v>
      </c>
      <c r="Y14" s="27">
        <f t="shared" ca="1" si="77"/>
        <v>5.4738436295314372</v>
      </c>
      <c r="Z14" s="27">
        <f t="shared" ca="1" si="78"/>
        <v>7.7344402208914342</v>
      </c>
      <c r="AA14" s="27">
        <f t="shared" ca="1" si="79"/>
        <v>14.989225234285724</v>
      </c>
      <c r="AB14" s="27">
        <f t="shared" ca="1" si="80"/>
        <v>3.8672201104457171</v>
      </c>
      <c r="AC14" s="27">
        <f t="shared" ca="1" si="81"/>
        <v>1.9609356057600023</v>
      </c>
      <c r="AD14" s="27">
        <f t="shared" ca="1" si="82"/>
        <v>5.6659271385600043</v>
      </c>
      <c r="AE14" s="27">
        <f t="shared" ca="1" si="83"/>
        <v>10.837209844388578</v>
      </c>
      <c r="AF14" s="27">
        <f t="shared" ca="1" si="84"/>
        <v>2.8329635692800021</v>
      </c>
      <c r="AG14" s="27">
        <f t="shared" ca="1" si="85"/>
        <v>3.1721017152000042</v>
      </c>
      <c r="AH14" s="27">
        <f t="shared" ca="1" si="86"/>
        <v>13.790087215542867</v>
      </c>
      <c r="AI14" s="27">
        <f t="shared" ca="1" si="87"/>
        <v>6.2055392469942898</v>
      </c>
      <c r="AJ14" s="27">
        <f t="shared" ca="1" si="88"/>
        <v>1.3759506141257161</v>
      </c>
      <c r="AK14" s="27">
        <f t="shared" ca="1" si="89"/>
        <v>10.038664437760005</v>
      </c>
      <c r="AL14" s="27">
        <f t="shared" ca="1" si="90"/>
        <v>11.301875826651436</v>
      </c>
      <c r="AM14" s="27">
        <f t="shared" ca="1" si="91"/>
        <v>10.612371465874292</v>
      </c>
      <c r="AN14" s="27">
        <f t="shared" ca="1" si="92"/>
        <v>2.9902839474590488</v>
      </c>
      <c r="AO14" s="27">
        <f t="shared" ca="1" si="93"/>
        <v>1.8496111531885739</v>
      </c>
      <c r="AP14" s="27">
        <f t="shared" ca="1" si="94"/>
        <v>4.0470908132571459</v>
      </c>
      <c r="AQ14" s="27">
        <f t="shared" ca="1" si="95"/>
        <v>8.9035997891657193</v>
      </c>
      <c r="AR14" s="27">
        <f t="shared" ca="1" si="96"/>
        <v>2.023545406628573</v>
      </c>
      <c r="AS14" s="27">
        <f t="shared" ca="1" si="97"/>
        <v>7.7778286211657237</v>
      </c>
      <c r="AT14" s="27">
        <f t="shared" ca="1" si="98"/>
        <v>1.4425278518857156</v>
      </c>
      <c r="AU14" s="27">
        <f t="shared" ca="1" si="99"/>
        <v>3.10295013650286</v>
      </c>
      <c r="AV14" s="27">
        <f t="shared" ca="1" si="100"/>
        <v>0.72126392594285782</v>
      </c>
      <c r="AW14" s="27">
        <f t="shared" ca="1" si="101"/>
        <v>2.8329635692800021</v>
      </c>
      <c r="AX14" s="27">
        <f t="shared" ca="1" si="102"/>
        <v>5.9956900937142903</v>
      </c>
      <c r="AY14" s="27">
        <f t="shared" ca="1" si="103"/>
        <v>1.4164817846400011</v>
      </c>
      <c r="AZ14" s="27">
        <f t="shared" ca="1" si="104"/>
        <v>8.2392252342857244</v>
      </c>
      <c r="BA14" s="27">
        <f t="shared" ca="1" si="105"/>
        <v>2.8073811271314315</v>
      </c>
      <c r="BB14" s="27">
        <f t="shared" ca="1" si="106"/>
        <v>5.9340988183771488</v>
      </c>
      <c r="BC14" s="27">
        <f t="shared" ca="1" si="107"/>
        <v>1.4036905635657158</v>
      </c>
      <c r="BD14" s="27">
        <f t="shared" ca="1" si="108"/>
        <v>4.3618645431771457</v>
      </c>
      <c r="BE14" s="27">
        <f t="shared" ca="1" si="109"/>
        <v>5.2162503815314318</v>
      </c>
      <c r="BF14" s="27">
        <f t="shared" ca="1" si="110"/>
        <v>7.2587574314057228</v>
      </c>
      <c r="BG14" s="27">
        <f t="shared" ca="1" si="111"/>
        <v>13.295004566613343</v>
      </c>
      <c r="BH14" s="27">
        <f t="shared" ca="1" si="112"/>
        <v>2.674224710034288</v>
      </c>
      <c r="BI14" s="27">
        <f t="shared" ca="1" si="113"/>
        <v>7.2697742386285764</v>
      </c>
      <c r="BJ14" s="27">
        <f t="shared" ca="1" si="114"/>
        <v>3.9571554618514315</v>
      </c>
      <c r="BK14" s="27">
        <f t="shared" ca="1" si="115"/>
        <v>3.1391448142628611</v>
      </c>
      <c r="BL14" s="27">
        <f t="shared" ca="1" si="116"/>
        <v>13.720201902384773</v>
      </c>
      <c r="BM14" s="27">
        <f t="shared" ca="1" si="117"/>
        <v>0.57701114075428628</v>
      </c>
      <c r="BN14" s="27">
        <f t="shared" ca="1" si="118"/>
        <v>2.6980605421714303</v>
      </c>
      <c r="BO14" s="27">
        <f t="shared" ca="1" si="119"/>
        <v>1.0192673159314294</v>
      </c>
      <c r="BP14" s="27">
        <f t="shared" ca="1" si="120"/>
        <v>2.5129636964571458</v>
      </c>
      <c r="BQ14" s="27">
        <f t="shared" ca="1" si="121"/>
        <v>20.246119841767634</v>
      </c>
      <c r="BR14" s="27">
        <f t="shared" ca="1" si="122"/>
        <v>1.4980096923428587</v>
      </c>
      <c r="BS14" s="27">
        <f t="shared" ca="1" si="123"/>
        <v>4.2569399665371455</v>
      </c>
      <c r="BT14" s="27">
        <f t="shared" ca="1" si="124"/>
        <v>3.6573709571657167</v>
      </c>
      <c r="BU14" s="27">
        <f t="shared" ca="1" si="125"/>
        <v>5.1989511228342922</v>
      </c>
      <c r="BV14" s="27">
        <f t="shared" ca="1" si="126"/>
        <v>14.126535156114294</v>
      </c>
      <c r="BW14" s="27">
        <f t="shared" ca="1" si="127"/>
        <v>1.6422624775314301</v>
      </c>
      <c r="BX14" s="27">
        <f t="shared" ca="1" si="128"/>
        <v>3.3451254451200043</v>
      </c>
      <c r="BY14" s="27">
        <f t="shared" ca="1" si="129"/>
        <v>6.532922061348577</v>
      </c>
      <c r="BZ14" s="27">
        <f t="shared" ca="1" si="130"/>
        <v>11.994796185234296</v>
      </c>
      <c r="CA14" s="27">
        <f t="shared" ca="1" si="131"/>
        <v>6.532922061348577</v>
      </c>
      <c r="CB14" s="27">
        <f t="shared" ca="1" si="132"/>
        <v>8.010918273340959</v>
      </c>
      <c r="CC14" s="27">
        <f t="shared" ca="1" si="133"/>
        <v>14.333785060022871</v>
      </c>
      <c r="CD14" s="27">
        <f t="shared" ca="1" si="134"/>
        <v>8.010918273340959</v>
      </c>
      <c r="CE14" s="27">
        <f t="shared" ca="1" si="135"/>
        <v>2.0598063085714311</v>
      </c>
    </row>
    <row r="15" spans="1:83" x14ac:dyDescent="0.25">
      <c r="A15" t="str">
        <f>PLANTILLA!D15</f>
        <v>Julian Gräbitz</v>
      </c>
      <c r="B15">
        <f>PLANTILLA!E15</f>
        <v>28</v>
      </c>
      <c r="C15" s="25">
        <f ca="1">PLANTILLA!F15</f>
        <v>14</v>
      </c>
      <c r="D15" s="42" t="str">
        <f>PLANTILLA!G15</f>
        <v>RAP</v>
      </c>
      <c r="E15" s="23">
        <f>PLANTILLA!M15</f>
        <v>43744</v>
      </c>
      <c r="F15" s="37">
        <f>PLANTILLA!Q15</f>
        <v>5</v>
      </c>
      <c r="G15" s="38">
        <f t="shared" si="68"/>
        <v>0.84515425472851657</v>
      </c>
      <c r="H15" s="38">
        <f t="shared" si="69"/>
        <v>0.92504826128926143</v>
      </c>
      <c r="I15" s="104">
        <f ca="1">PLANTILLA!N15</f>
        <v>1</v>
      </c>
      <c r="J15" s="29">
        <f>PLANTILLA!I15</f>
        <v>6.4</v>
      </c>
      <c r="K15" s="36">
        <f>PLANTILLA!X15</f>
        <v>0</v>
      </c>
      <c r="L15" s="36">
        <f>PLANTILLA!Y15</f>
        <v>13.571428571428571</v>
      </c>
      <c r="M15" s="36">
        <f>PLANTILLA!Z15</f>
        <v>9.7142857142857135</v>
      </c>
      <c r="N15" s="36">
        <f>PLANTILLA!AA15</f>
        <v>5</v>
      </c>
      <c r="O15" s="36">
        <f>PLANTILLA!AB15</f>
        <v>9</v>
      </c>
      <c r="P15" s="36">
        <f>PLANTILLA!AC15</f>
        <v>4</v>
      </c>
      <c r="Q15" s="36">
        <f>PLANTILLA!AD15</f>
        <v>21</v>
      </c>
      <c r="R15" s="36">
        <f t="shared" si="70"/>
        <v>4.3214285714285712</v>
      </c>
      <c r="S15" s="36">
        <f t="shared" si="71"/>
        <v>0.83000000000000007</v>
      </c>
      <c r="T15" s="36">
        <f t="shared" si="72"/>
        <v>1.1728571428571428</v>
      </c>
      <c r="U15" s="36">
        <f t="shared" ca="1" si="73"/>
        <v>19.50185551747991</v>
      </c>
      <c r="V15" s="36">
        <f t="shared" ca="1" si="74"/>
        <v>21.345402259323777</v>
      </c>
      <c r="W15" s="27">
        <f t="shared" ca="1" si="75"/>
        <v>5.5571077754315308</v>
      </c>
      <c r="X15" s="27">
        <f t="shared" ca="1" si="76"/>
        <v>8.446561604741408</v>
      </c>
      <c r="Y15" s="27">
        <f t="shared" ca="1" si="77"/>
        <v>5.5571077754315308</v>
      </c>
      <c r="Z15" s="27">
        <f t="shared" ca="1" si="78"/>
        <v>8.0735089649580569</v>
      </c>
      <c r="AA15" s="27">
        <f t="shared" ca="1" si="79"/>
        <v>15.646335203407087</v>
      </c>
      <c r="AB15" s="27">
        <f t="shared" ca="1" si="80"/>
        <v>4.0367544824790285</v>
      </c>
      <c r="AC15" s="27">
        <f t="shared" ca="1" si="81"/>
        <v>2.8058277784108867</v>
      </c>
      <c r="AD15" s="27">
        <f t="shared" ca="1" si="82"/>
        <v>5.914314706887879</v>
      </c>
      <c r="AE15" s="27">
        <f t="shared" ca="1" si="83"/>
        <v>11.312300352063323</v>
      </c>
      <c r="AF15" s="27">
        <f t="shared" ca="1" si="84"/>
        <v>2.9571573534439395</v>
      </c>
      <c r="AG15" s="27">
        <f t="shared" ca="1" si="85"/>
        <v>4.5388390533117287</v>
      </c>
      <c r="AH15" s="27">
        <f t="shared" ca="1" si="86"/>
        <v>14.394628387134521</v>
      </c>
      <c r="AI15" s="27">
        <f t="shared" ca="1" si="87"/>
        <v>6.4775827742105339</v>
      </c>
      <c r="AJ15" s="27">
        <f t="shared" ca="1" si="88"/>
        <v>1.9687951218261264</v>
      </c>
      <c r="AK15" s="27">
        <f t="shared" ca="1" si="89"/>
        <v>4.1600450996033675</v>
      </c>
      <c r="AL15" s="27">
        <f t="shared" ca="1" si="90"/>
        <v>11.797336743368945</v>
      </c>
      <c r="AM15" s="27">
        <f t="shared" ca="1" si="91"/>
        <v>11.077605324012218</v>
      </c>
      <c r="AN15" s="27">
        <f t="shared" ca="1" si="92"/>
        <v>3.8535094075404128</v>
      </c>
      <c r="AO15" s="27">
        <f t="shared" ca="1" si="93"/>
        <v>1.8421445385812409</v>
      </c>
      <c r="AP15" s="27">
        <f t="shared" ca="1" si="94"/>
        <v>4.2245105049199134</v>
      </c>
      <c r="AQ15" s="27">
        <f t="shared" ca="1" si="95"/>
        <v>9.2939231108238101</v>
      </c>
      <c r="AR15" s="27">
        <f t="shared" ca="1" si="96"/>
        <v>2.1122552524599567</v>
      </c>
      <c r="AS15" s="27">
        <f t="shared" ca="1" si="97"/>
        <v>11.128997574873432</v>
      </c>
      <c r="AT15" s="27">
        <f t="shared" ca="1" si="98"/>
        <v>1.4397378621572072</v>
      </c>
      <c r="AU15" s="27">
        <f t="shared" ca="1" si="99"/>
        <v>2.3799476431697051</v>
      </c>
      <c r="AV15" s="27">
        <f t="shared" ca="1" si="100"/>
        <v>0.71986893107860361</v>
      </c>
      <c r="AW15" s="27">
        <f t="shared" ca="1" si="101"/>
        <v>2.9571573534439395</v>
      </c>
      <c r="AX15" s="27">
        <f t="shared" ca="1" si="102"/>
        <v>6.2585340813628356</v>
      </c>
      <c r="AY15" s="27">
        <f t="shared" ca="1" si="103"/>
        <v>1.4785786767219697</v>
      </c>
      <c r="AZ15" s="27">
        <f t="shared" ca="1" si="104"/>
        <v>11.78919234626423</v>
      </c>
      <c r="BA15" s="27">
        <f t="shared" ca="1" si="105"/>
        <v>2.8019513778905645</v>
      </c>
      <c r="BB15" s="27">
        <f t="shared" ca="1" si="106"/>
        <v>5.0522735542201627</v>
      </c>
      <c r="BC15" s="27">
        <f t="shared" ca="1" si="107"/>
        <v>1.4009756889452822</v>
      </c>
      <c r="BD15" s="27">
        <f t="shared" ca="1" si="108"/>
        <v>4.5530835441914617</v>
      </c>
      <c r="BE15" s="27">
        <f t="shared" ca="1" si="109"/>
        <v>5.4449246507856657</v>
      </c>
      <c r="BF15" s="27">
        <f t="shared" ca="1" si="110"/>
        <v>10.386278457058786</v>
      </c>
      <c r="BG15" s="27">
        <f t="shared" ca="1" si="111"/>
        <v>7.5495919958288997</v>
      </c>
      <c r="BH15" s="27">
        <f t="shared" ca="1" si="112"/>
        <v>2.6690524983068222</v>
      </c>
      <c r="BI15" s="27">
        <f t="shared" ca="1" si="113"/>
        <v>7.588472573652437</v>
      </c>
      <c r="BJ15" s="27">
        <f t="shared" ca="1" si="114"/>
        <v>4.1306324936994709</v>
      </c>
      <c r="BK15" s="27">
        <f t="shared" ca="1" si="115"/>
        <v>4.4916822839266715</v>
      </c>
      <c r="BL15" s="27">
        <f t="shared" ca="1" si="116"/>
        <v>6.9874683963492235</v>
      </c>
      <c r="BM15" s="27">
        <f t="shared" ca="1" si="117"/>
        <v>0.57589514486288285</v>
      </c>
      <c r="BN15" s="27">
        <f t="shared" ca="1" si="118"/>
        <v>2.8163403366132758</v>
      </c>
      <c r="BO15" s="27">
        <f t="shared" ca="1" si="119"/>
        <v>1.0639507938316821</v>
      </c>
      <c r="BP15" s="27">
        <f t="shared" ca="1" si="120"/>
        <v>3.5957036656105901</v>
      </c>
      <c r="BQ15" s="27">
        <f t="shared" ca="1" si="121"/>
        <v>10.242329928724372</v>
      </c>
      <c r="BR15" s="27">
        <f t="shared" ca="1" si="122"/>
        <v>1.4951123953170997</v>
      </c>
      <c r="BS15" s="27">
        <f t="shared" ca="1" si="123"/>
        <v>4.4435591977676125</v>
      </c>
      <c r="BT15" s="27">
        <f t="shared" ca="1" si="124"/>
        <v>3.8177057896313293</v>
      </c>
      <c r="BU15" s="27">
        <f t="shared" ca="1" si="125"/>
        <v>7.4389803704927289</v>
      </c>
      <c r="BV15" s="27">
        <f t="shared" ca="1" si="126"/>
        <v>7.1040414356207719</v>
      </c>
      <c r="BW15" s="27">
        <f t="shared" ca="1" si="127"/>
        <v>1.6390861815328204</v>
      </c>
      <c r="BX15" s="27">
        <f t="shared" ca="1" si="128"/>
        <v>4.7864120925832774</v>
      </c>
      <c r="BY15" s="27">
        <f t="shared" ca="1" si="129"/>
        <v>4.5590263552608068</v>
      </c>
      <c r="BZ15" s="27">
        <f t="shared" ca="1" si="130"/>
        <v>9.5553448676078094</v>
      </c>
      <c r="CA15" s="27">
        <f t="shared" ca="1" si="131"/>
        <v>4.5590263552608068</v>
      </c>
      <c r="CB15" s="27">
        <f t="shared" ca="1" si="132"/>
        <v>4.7156668317226149</v>
      </c>
      <c r="CC15" s="27">
        <f t="shared" ca="1" si="133"/>
        <v>10.161547179178587</v>
      </c>
      <c r="CD15" s="27">
        <f t="shared" ca="1" si="134"/>
        <v>4.7156668317226149</v>
      </c>
      <c r="CE15" s="27">
        <f t="shared" ca="1" si="135"/>
        <v>2.9472980865660574</v>
      </c>
    </row>
    <row r="16" spans="1:83" x14ac:dyDescent="0.25">
      <c r="A16" t="str">
        <f>PLANTILLA!D16</f>
        <v>Lenadro Faias</v>
      </c>
      <c r="B16">
        <f>PLANTILLA!E16</f>
        <v>31</v>
      </c>
      <c r="C16" s="25">
        <f ca="1">PLANTILLA!F16</f>
        <v>42</v>
      </c>
      <c r="D16" s="42" t="str">
        <f>PLANTILLA!G16</f>
        <v>RAP</v>
      </c>
      <c r="E16" s="23">
        <f>PLANTILLA!M16</f>
        <v>44094</v>
      </c>
      <c r="F16" s="37">
        <f>PLANTILLA!Q16</f>
        <v>6</v>
      </c>
      <c r="G16" s="38">
        <f t="shared" si="68"/>
        <v>0.92582009977255142</v>
      </c>
      <c r="H16" s="38">
        <f t="shared" si="69"/>
        <v>0.99928545900129484</v>
      </c>
      <c r="I16" s="104">
        <f ca="1">PLANTILLA!N16</f>
        <v>0.7581497888884271</v>
      </c>
      <c r="J16" s="29">
        <f>PLANTILLA!I16</f>
        <v>7.2</v>
      </c>
      <c r="K16" s="36">
        <f>PLANTILLA!X16</f>
        <v>0</v>
      </c>
      <c r="L16" s="36">
        <f>PLANTILLA!Y16</f>
        <v>10</v>
      </c>
      <c r="M16" s="36">
        <f>PLANTILLA!Z16</f>
        <v>14</v>
      </c>
      <c r="N16" s="36">
        <f>PLANTILLA!AA16</f>
        <v>3</v>
      </c>
      <c r="O16" s="36">
        <f>PLANTILLA!AB16</f>
        <v>10</v>
      </c>
      <c r="P16" s="36">
        <f>PLANTILLA!AC16</f>
        <v>8</v>
      </c>
      <c r="Q16" s="36">
        <f>PLANTILLA!AD16</f>
        <v>15.333333333333334</v>
      </c>
      <c r="R16" s="36">
        <f t="shared" si="70"/>
        <v>4.125</v>
      </c>
      <c r="S16" s="36">
        <f t="shared" si="71"/>
        <v>0.86</v>
      </c>
      <c r="T16" s="36">
        <f t="shared" si="72"/>
        <v>0.86</v>
      </c>
      <c r="U16" s="36">
        <f t="shared" ca="1" si="73"/>
        <v>15.956132719549339</v>
      </c>
      <c r="V16" s="36">
        <f t="shared" ca="1" si="74"/>
        <v>17.222278294085022</v>
      </c>
      <c r="W16" s="27">
        <f t="shared" ca="1" si="75"/>
        <v>4.4197997915455938</v>
      </c>
      <c r="X16" s="27">
        <f t="shared" ca="1" si="76"/>
        <v>6.7045263813119824</v>
      </c>
      <c r="Y16" s="27">
        <f t="shared" ca="1" si="77"/>
        <v>4.4197997915455938</v>
      </c>
      <c r="Z16" s="27">
        <f t="shared" ca="1" si="78"/>
        <v>6.1410500486111417</v>
      </c>
      <c r="AA16" s="27">
        <f t="shared" ca="1" si="79"/>
        <v>11.901259784130119</v>
      </c>
      <c r="AB16" s="27">
        <f t="shared" ca="1" si="80"/>
        <v>3.0705250243055708</v>
      </c>
      <c r="AC16" s="27">
        <f t="shared" ca="1" si="81"/>
        <v>3.7844998286229679</v>
      </c>
      <c r="AD16" s="27">
        <f t="shared" ca="1" si="82"/>
        <v>4.4986761984011849</v>
      </c>
      <c r="AE16" s="27">
        <f t="shared" ca="1" si="83"/>
        <v>8.604610823926075</v>
      </c>
      <c r="AF16" s="27">
        <f t="shared" ca="1" si="84"/>
        <v>2.2493380992005925</v>
      </c>
      <c r="AG16" s="27">
        <f t="shared" ca="1" si="85"/>
        <v>6.121985016890096</v>
      </c>
      <c r="AH16" s="27">
        <f t="shared" ca="1" si="86"/>
        <v>10.94915900139971</v>
      </c>
      <c r="AI16" s="27">
        <f t="shared" ca="1" si="87"/>
        <v>4.9271215506298685</v>
      </c>
      <c r="AJ16" s="27">
        <f t="shared" ca="1" si="88"/>
        <v>2.6555103839497298</v>
      </c>
      <c r="AK16" s="27">
        <f t="shared" ca="1" si="89"/>
        <v>2.8819407530685095</v>
      </c>
      <c r="AL16" s="27">
        <f t="shared" ca="1" si="90"/>
        <v>8.9735498772341096</v>
      </c>
      <c r="AM16" s="27">
        <f t="shared" ca="1" si="91"/>
        <v>8.4260919271641228</v>
      </c>
      <c r="AN16" s="27">
        <f t="shared" ca="1" si="92"/>
        <v>2.8781770506163964</v>
      </c>
      <c r="AO16" s="27">
        <f t="shared" ca="1" si="93"/>
        <v>1.735562817829474</v>
      </c>
      <c r="AP16" s="27">
        <f t="shared" ca="1" si="94"/>
        <v>3.2133401417151322</v>
      </c>
      <c r="AQ16" s="27">
        <f t="shared" ca="1" si="95"/>
        <v>7.0693483117732905</v>
      </c>
      <c r="AR16" s="27">
        <f t="shared" ca="1" si="96"/>
        <v>1.6066700708575661</v>
      </c>
      <c r="AS16" s="27">
        <f t="shared" ca="1" si="97"/>
        <v>15.010789236218832</v>
      </c>
      <c r="AT16" s="27">
        <f t="shared" ca="1" si="98"/>
        <v>1.5471637719369156</v>
      </c>
      <c r="AU16" s="27">
        <f t="shared" ca="1" si="99"/>
        <v>3.1410691167501246</v>
      </c>
      <c r="AV16" s="27">
        <f t="shared" ca="1" si="100"/>
        <v>0.77358188596845778</v>
      </c>
      <c r="AW16" s="27">
        <f t="shared" ca="1" si="101"/>
        <v>2.2493380992005925</v>
      </c>
      <c r="AX16" s="27">
        <f t="shared" ca="1" si="102"/>
        <v>4.7605039136520473</v>
      </c>
      <c r="AY16" s="27">
        <f t="shared" ca="1" si="103"/>
        <v>1.1246690496002962</v>
      </c>
      <c r="AZ16" s="27">
        <f t="shared" ca="1" si="104"/>
        <v>15.901259784130119</v>
      </c>
      <c r="BA16" s="27">
        <f t="shared" ca="1" si="105"/>
        <v>3.0110187253849201</v>
      </c>
      <c r="BB16" s="27">
        <f t="shared" ca="1" si="106"/>
        <v>6.1375941410556951</v>
      </c>
      <c r="BC16" s="27">
        <f t="shared" ca="1" si="107"/>
        <v>1.5055093626924601</v>
      </c>
      <c r="BD16" s="27">
        <f t="shared" ca="1" si="108"/>
        <v>3.4632665971818644</v>
      </c>
      <c r="BE16" s="27">
        <f t="shared" ca="1" si="109"/>
        <v>4.1416384048772814</v>
      </c>
      <c r="BF16" s="27">
        <f t="shared" ca="1" si="110"/>
        <v>14.009009869818634</v>
      </c>
      <c r="BG16" s="27">
        <f t="shared" ca="1" si="111"/>
        <v>6.5622199480916752</v>
      </c>
      <c r="BH16" s="27">
        <f t="shared" ca="1" si="112"/>
        <v>2.8682036079753583</v>
      </c>
      <c r="BI16" s="27">
        <f t="shared" ca="1" si="113"/>
        <v>5.7721109953031071</v>
      </c>
      <c r="BJ16" s="27">
        <f t="shared" ca="1" si="114"/>
        <v>3.1419325830103513</v>
      </c>
      <c r="BK16" s="27">
        <f t="shared" ca="1" si="115"/>
        <v>6.0583799777535754</v>
      </c>
      <c r="BL16" s="27">
        <f t="shared" ca="1" si="116"/>
        <v>5.6907010513297234</v>
      </c>
      <c r="BM16" s="27">
        <f t="shared" ca="1" si="117"/>
        <v>0.61886550877476609</v>
      </c>
      <c r="BN16" s="27">
        <f t="shared" ca="1" si="118"/>
        <v>2.1422267611434211</v>
      </c>
      <c r="BO16" s="27">
        <f t="shared" ca="1" si="119"/>
        <v>0.80928566532084811</v>
      </c>
      <c r="BP16" s="27">
        <f t="shared" ca="1" si="120"/>
        <v>4.8498842341596857</v>
      </c>
      <c r="BQ16" s="27">
        <f t="shared" ca="1" si="121"/>
        <v>8.3050200823913318</v>
      </c>
      <c r="BR16" s="27">
        <f t="shared" ca="1" si="122"/>
        <v>1.6066700708575661</v>
      </c>
      <c r="BS16" s="27">
        <f t="shared" ca="1" si="123"/>
        <v>3.3799577786929533</v>
      </c>
      <c r="BT16" s="27">
        <f t="shared" ca="1" si="124"/>
        <v>2.9039073873277488</v>
      </c>
      <c r="BU16" s="27">
        <f t="shared" ca="1" si="125"/>
        <v>10.033694923786104</v>
      </c>
      <c r="BV16" s="27">
        <f t="shared" ca="1" si="126"/>
        <v>5.7376275067964562</v>
      </c>
      <c r="BW16" s="27">
        <f t="shared" ca="1" si="127"/>
        <v>1.7613864480512575</v>
      </c>
      <c r="BX16" s="27">
        <f t="shared" ca="1" si="128"/>
        <v>6.4559114723568287</v>
      </c>
      <c r="BY16" s="27">
        <f t="shared" ca="1" si="129"/>
        <v>4.938556347531792</v>
      </c>
      <c r="BZ16" s="27">
        <f t="shared" ca="1" si="130"/>
        <v>12.234818516930513</v>
      </c>
      <c r="CA16" s="27">
        <f t="shared" ca="1" si="131"/>
        <v>4.938556347531792</v>
      </c>
      <c r="CB16" s="27">
        <f t="shared" ca="1" si="132"/>
        <v>5.3474848455130637</v>
      </c>
      <c r="CC16" s="27">
        <f t="shared" ca="1" si="133"/>
        <v>14.292824644474132</v>
      </c>
      <c r="CD16" s="27">
        <f t="shared" ca="1" si="134"/>
        <v>5.3474848455130637</v>
      </c>
      <c r="CE16" s="27">
        <f t="shared" ca="1" si="135"/>
        <v>3.9753149460325297</v>
      </c>
    </row>
    <row r="17" spans="1:83" x14ac:dyDescent="0.25">
      <c r="A17" t="str">
        <f>PLANTILLA!D18</f>
        <v>Nicolás Galaz</v>
      </c>
      <c r="B17">
        <f>PLANTILLA!E18</f>
        <v>28</v>
      </c>
      <c r="C17" s="25">
        <f ca="1">PLANTILLA!F18</f>
        <v>72</v>
      </c>
      <c r="D17" s="42">
        <f>PLANTILLA!G18</f>
        <v>0</v>
      </c>
      <c r="E17" s="23">
        <f>PLANTILLA!M18</f>
        <v>44262</v>
      </c>
      <c r="F17" s="37">
        <f>PLANTILLA!Q18</f>
        <v>5</v>
      </c>
      <c r="G17" s="38">
        <f t="shared" si="68"/>
        <v>0.84515425472851657</v>
      </c>
      <c r="H17" s="38">
        <f t="shared" si="69"/>
        <v>0.92504826128926143</v>
      </c>
      <c r="I17" s="104">
        <f ca="1">PLANTILLA!N18</f>
        <v>0.29544977613407919</v>
      </c>
      <c r="J17" s="29">
        <f>PLANTILLA!I18</f>
        <v>7</v>
      </c>
      <c r="K17" s="36">
        <f>PLANTILLA!X18</f>
        <v>0</v>
      </c>
      <c r="L17" s="36">
        <f>PLANTILLA!Y18</f>
        <v>4</v>
      </c>
      <c r="M17" s="36">
        <f>PLANTILLA!Z18</f>
        <v>2</v>
      </c>
      <c r="N17" s="36">
        <f>PLANTILLA!AA18</f>
        <v>9.125</v>
      </c>
      <c r="O17" s="36">
        <f>PLANTILLA!AB18</f>
        <v>14</v>
      </c>
      <c r="P17" s="36">
        <f>PLANTILLA!AC18</f>
        <v>14</v>
      </c>
      <c r="Q17" s="36">
        <f>PLANTILLA!AD18</f>
        <v>2</v>
      </c>
      <c r="R17" s="36">
        <f t="shared" si="70"/>
        <v>4.375</v>
      </c>
      <c r="S17" s="36">
        <f t="shared" si="71"/>
        <v>0.76</v>
      </c>
      <c r="T17" s="36">
        <f t="shared" si="72"/>
        <v>0.22000000000000003</v>
      </c>
      <c r="U17" s="36">
        <f t="shared" ca="1" si="73"/>
        <v>2.8923267503897105</v>
      </c>
      <c r="V17" s="36">
        <f t="shared" ca="1" si="74"/>
        <v>3.1657437876685224</v>
      </c>
      <c r="W17" s="27">
        <f t="shared" ca="1" si="75"/>
        <v>2.3456217731416462</v>
      </c>
      <c r="X17" s="27">
        <f t="shared" ca="1" si="76"/>
        <v>3.5361210872003035</v>
      </c>
      <c r="Y17" s="27">
        <f t="shared" ca="1" si="77"/>
        <v>2.3456217731416462</v>
      </c>
      <c r="Z17" s="27">
        <f t="shared" ca="1" si="78"/>
        <v>2.7978795360149933</v>
      </c>
      <c r="AA17" s="27">
        <f t="shared" ca="1" si="79"/>
        <v>5.4222471628197546</v>
      </c>
      <c r="AB17" s="27">
        <f t="shared" ca="1" si="80"/>
        <v>1.3989397680074966</v>
      </c>
      <c r="AC17" s="27">
        <f t="shared" ca="1" si="81"/>
        <v>0.81449482475110169</v>
      </c>
      <c r="AD17" s="27">
        <f t="shared" ca="1" si="82"/>
        <v>2.0496094275458674</v>
      </c>
      <c r="AE17" s="27">
        <f t="shared" ca="1" si="83"/>
        <v>3.9202846987186826</v>
      </c>
      <c r="AF17" s="27">
        <f t="shared" ca="1" si="84"/>
        <v>1.0248047137729337</v>
      </c>
      <c r="AG17" s="27">
        <f t="shared" ca="1" si="85"/>
        <v>1.3175651576856058</v>
      </c>
      <c r="AH17" s="27">
        <f t="shared" ca="1" si="86"/>
        <v>4.9884673897941747</v>
      </c>
      <c r="AI17" s="27">
        <f t="shared" ca="1" si="87"/>
        <v>2.2448103254073781</v>
      </c>
      <c r="AJ17" s="27">
        <f t="shared" ca="1" si="88"/>
        <v>0.57151527619089915</v>
      </c>
      <c r="AK17" s="27">
        <f t="shared" ca="1" si="89"/>
        <v>6.2017813317380153</v>
      </c>
      <c r="AL17" s="27">
        <f t="shared" ca="1" si="90"/>
        <v>4.0883743607660952</v>
      </c>
      <c r="AM17" s="27">
        <f t="shared" ca="1" si="91"/>
        <v>3.8389509912763859</v>
      </c>
      <c r="AN17" s="27">
        <f t="shared" ca="1" si="92"/>
        <v>0.57151527619089915</v>
      </c>
      <c r="AO17" s="27">
        <f t="shared" ca="1" si="93"/>
        <v>1.6696071828920891</v>
      </c>
      <c r="AP17" s="27">
        <f t="shared" ca="1" si="94"/>
        <v>1.4640067339613339</v>
      </c>
      <c r="AQ17" s="27">
        <f t="shared" ca="1" si="95"/>
        <v>3.220814814714934</v>
      </c>
      <c r="AR17" s="27">
        <f t="shared" ca="1" si="96"/>
        <v>0.73200336698066693</v>
      </c>
      <c r="AS17" s="27">
        <f t="shared" ca="1" si="97"/>
        <v>3.2306013217018488</v>
      </c>
      <c r="AT17" s="27">
        <f t="shared" ca="1" si="98"/>
        <v>2.0048921311665682</v>
      </c>
      <c r="AU17" s="27">
        <f t="shared" ca="1" si="99"/>
        <v>4.5187184187061877</v>
      </c>
      <c r="AV17" s="27">
        <f t="shared" ca="1" si="100"/>
        <v>1.0024460655832841</v>
      </c>
      <c r="AW17" s="27">
        <f t="shared" ca="1" si="101"/>
        <v>1.0248047137729337</v>
      </c>
      <c r="AX17" s="27">
        <f t="shared" ca="1" si="102"/>
        <v>2.1688988651279018</v>
      </c>
      <c r="AY17" s="27">
        <f t="shared" ca="1" si="103"/>
        <v>0.51240235688646685</v>
      </c>
      <c r="AZ17" s="27">
        <f t="shared" ca="1" si="104"/>
        <v>3.4222471628197551</v>
      </c>
      <c r="BA17" s="27">
        <f t="shared" ca="1" si="105"/>
        <v>3.9018285321933979</v>
      </c>
      <c r="BB17" s="27">
        <f t="shared" ca="1" si="106"/>
        <v>8.4976581867136858</v>
      </c>
      <c r="BC17" s="27">
        <f t="shared" ca="1" si="107"/>
        <v>1.9509142660966989</v>
      </c>
      <c r="BD17" s="27">
        <f t="shared" ca="1" si="108"/>
        <v>1.5778739243805484</v>
      </c>
      <c r="BE17" s="27">
        <f t="shared" ca="1" si="109"/>
        <v>1.8869420126612744</v>
      </c>
      <c r="BF17" s="27">
        <f t="shared" ca="1" si="110"/>
        <v>3.0149997504442041</v>
      </c>
      <c r="BG17" s="27">
        <f t="shared" ca="1" si="111"/>
        <v>10.912127727746761</v>
      </c>
      <c r="BH17" s="27">
        <f t="shared" ca="1" si="112"/>
        <v>3.7167615662395606</v>
      </c>
      <c r="BI17" s="27">
        <f t="shared" ca="1" si="113"/>
        <v>2.6297898739675811</v>
      </c>
      <c r="BJ17" s="27">
        <f t="shared" ca="1" si="114"/>
        <v>1.4314732509844152</v>
      </c>
      <c r="BK17" s="27">
        <f t="shared" ca="1" si="115"/>
        <v>1.3038761690343268</v>
      </c>
      <c r="BL17" s="27">
        <f t="shared" ca="1" si="116"/>
        <v>10.198169020304466</v>
      </c>
      <c r="BM17" s="27">
        <f t="shared" ca="1" si="117"/>
        <v>0.80195685246662718</v>
      </c>
      <c r="BN17" s="27">
        <f t="shared" ca="1" si="118"/>
        <v>0.97600448930755579</v>
      </c>
      <c r="BO17" s="27">
        <f t="shared" ca="1" si="119"/>
        <v>0.36871280707174336</v>
      </c>
      <c r="BP17" s="27">
        <f t="shared" ca="1" si="120"/>
        <v>1.0437853846600254</v>
      </c>
      <c r="BQ17" s="27">
        <f t="shared" ca="1" si="121"/>
        <v>14.958009851386205</v>
      </c>
      <c r="BR17" s="27">
        <f t="shared" ca="1" si="122"/>
        <v>2.082003366980667</v>
      </c>
      <c r="BS17" s="27">
        <f t="shared" ca="1" si="123"/>
        <v>1.5399181942408102</v>
      </c>
      <c r="BT17" s="27">
        <f t="shared" ca="1" si="124"/>
        <v>1.32302830772802</v>
      </c>
      <c r="BU17" s="27">
        <f t="shared" ca="1" si="125"/>
        <v>2.1594379597392654</v>
      </c>
      <c r="BV17" s="27">
        <f t="shared" ca="1" si="126"/>
        <v>10.38066121072368</v>
      </c>
      <c r="BW17" s="27">
        <f t="shared" ca="1" si="127"/>
        <v>2.2824925800973235</v>
      </c>
      <c r="BX17" s="27">
        <f t="shared" ca="1" si="128"/>
        <v>1.3894323481048207</v>
      </c>
      <c r="BY17" s="27">
        <f t="shared" ca="1" si="129"/>
        <v>7.3329907718290919</v>
      </c>
      <c r="BZ17" s="27">
        <f t="shared" ca="1" si="130"/>
        <v>17.365450305335045</v>
      </c>
      <c r="CA17" s="27">
        <f t="shared" ca="1" si="131"/>
        <v>7.3329907718290919</v>
      </c>
      <c r="CB17" s="27">
        <f t="shared" ca="1" si="132"/>
        <v>8.530684982436707</v>
      </c>
      <c r="CC17" s="27">
        <f t="shared" ca="1" si="133"/>
        <v>21.113056365900242</v>
      </c>
      <c r="CD17" s="27">
        <f t="shared" ca="1" si="134"/>
        <v>8.530684982436707</v>
      </c>
      <c r="CE17" s="27">
        <f t="shared" ca="1" si="135"/>
        <v>0.85556179070493876</v>
      </c>
    </row>
    <row r="18" spans="1:83" x14ac:dyDescent="0.25">
      <c r="A18" t="str">
        <f>PLANTILLA!D19</f>
        <v>Meraj Siddiqui</v>
      </c>
      <c r="B18">
        <f>PLANTILLA!E19</f>
        <v>30</v>
      </c>
      <c r="C18" s="25">
        <f ca="1">PLANTILLA!F19</f>
        <v>79</v>
      </c>
      <c r="D18" s="42" t="str">
        <f>PLANTILLA!G19</f>
        <v>RAP</v>
      </c>
      <c r="E18" s="23">
        <f>PLANTILLA!M19</f>
        <v>44069</v>
      </c>
      <c r="F18" s="37">
        <f>PLANTILLA!Q19</f>
        <v>5</v>
      </c>
      <c r="G18" s="38">
        <f t="shared" si="68"/>
        <v>0.84515425472851657</v>
      </c>
      <c r="H18" s="38">
        <f t="shared" si="69"/>
        <v>0.92504826128926143</v>
      </c>
      <c r="I18" s="104">
        <f ca="1">PLANTILLA!N19</f>
        <v>0.81270115613522753</v>
      </c>
      <c r="J18" s="29">
        <f>PLANTILLA!I19</f>
        <v>14.7</v>
      </c>
      <c r="K18" s="36">
        <f>PLANTILLA!X19</f>
        <v>0</v>
      </c>
      <c r="L18" s="36">
        <f>PLANTILLA!Y19</f>
        <v>1</v>
      </c>
      <c r="M18" s="36">
        <f>PLANTILLA!Z19</f>
        <v>9</v>
      </c>
      <c r="N18" s="36">
        <f>PLANTILLA!AA19</f>
        <v>14</v>
      </c>
      <c r="O18" s="36">
        <f>PLANTILLA!AB19</f>
        <v>11</v>
      </c>
      <c r="P18" s="36">
        <f>PLANTILLA!AC19</f>
        <v>11</v>
      </c>
      <c r="Q18" s="36">
        <f>PLANTILLA!AD19</f>
        <v>10.5</v>
      </c>
      <c r="R18" s="36">
        <f t="shared" si="70"/>
        <v>3.25</v>
      </c>
      <c r="S18" s="36">
        <f t="shared" si="71"/>
        <v>0.86499999999999999</v>
      </c>
      <c r="T18" s="36">
        <f t="shared" si="72"/>
        <v>0.35499999999999998</v>
      </c>
      <c r="U18" s="36">
        <f t="shared" ca="1" si="73"/>
        <v>10.876395130687593</v>
      </c>
      <c r="V18" s="36">
        <f t="shared" ca="1" si="74"/>
        <v>11.90456102947673</v>
      </c>
      <c r="W18" s="27">
        <f t="shared" ca="1" si="75"/>
        <v>2.3442454869529303</v>
      </c>
      <c r="X18" s="27">
        <f t="shared" ca="1" si="76"/>
        <v>3.4835394314504389</v>
      </c>
      <c r="Y18" s="27">
        <f t="shared" ca="1" si="77"/>
        <v>2.3442454869529303</v>
      </c>
      <c r="Z18" s="27">
        <f t="shared" ca="1" si="78"/>
        <v>1.7384681228725225</v>
      </c>
      <c r="AA18" s="27">
        <f t="shared" ca="1" si="79"/>
        <v>3.3691242691327954</v>
      </c>
      <c r="AB18" s="27">
        <f t="shared" ca="1" si="80"/>
        <v>0.86923406143626125</v>
      </c>
      <c r="AC18" s="27">
        <f t="shared" ca="1" si="81"/>
        <v>2.7058515760536053</v>
      </c>
      <c r="AD18" s="27">
        <f t="shared" ca="1" si="82"/>
        <v>1.2735289737321966</v>
      </c>
      <c r="AE18" s="27">
        <f t="shared" ca="1" si="83"/>
        <v>2.4358768465830112</v>
      </c>
      <c r="AF18" s="27">
        <f t="shared" ca="1" si="84"/>
        <v>0.63676448686609832</v>
      </c>
      <c r="AG18" s="27">
        <f t="shared" ca="1" si="85"/>
        <v>4.3771128436161266</v>
      </c>
      <c r="AH18" s="27">
        <f t="shared" ca="1" si="86"/>
        <v>3.0995943276021718</v>
      </c>
      <c r="AI18" s="27">
        <f t="shared" ca="1" si="87"/>
        <v>1.3948174474209771</v>
      </c>
      <c r="AJ18" s="27">
        <f t="shared" ca="1" si="88"/>
        <v>1.898643752945177</v>
      </c>
      <c r="AK18" s="27">
        <f t="shared" ca="1" si="89"/>
        <v>9.6250450702500849</v>
      </c>
      <c r="AL18" s="27">
        <f t="shared" ca="1" si="90"/>
        <v>2.5403196989261279</v>
      </c>
      <c r="AM18" s="27">
        <f t="shared" ca="1" si="91"/>
        <v>2.3853399825460189</v>
      </c>
      <c r="AN18" s="27">
        <f t="shared" ca="1" si="92"/>
        <v>2.1491437529451769</v>
      </c>
      <c r="AO18" s="27">
        <f t="shared" ca="1" si="93"/>
        <v>1.6183077895102451</v>
      </c>
      <c r="AP18" s="27">
        <f t="shared" ca="1" si="94"/>
        <v>0.90966355266585486</v>
      </c>
      <c r="AQ18" s="27">
        <f t="shared" ca="1" si="95"/>
        <v>2.0012598158648802</v>
      </c>
      <c r="AR18" s="27">
        <f t="shared" ca="1" si="96"/>
        <v>0.45483177633292743</v>
      </c>
      <c r="AS18" s="27">
        <f t="shared" ca="1" si="97"/>
        <v>10.732453310061357</v>
      </c>
      <c r="AT18" s="27">
        <f t="shared" ca="1" si="98"/>
        <v>1.7379861549872635</v>
      </c>
      <c r="AU18" s="27">
        <f t="shared" ca="1" si="99"/>
        <v>3.9171534108559092</v>
      </c>
      <c r="AV18" s="27">
        <f t="shared" ca="1" si="100"/>
        <v>0.86899307749363175</v>
      </c>
      <c r="AW18" s="27">
        <f t="shared" ca="1" si="101"/>
        <v>0.63676448686609832</v>
      </c>
      <c r="AX18" s="27">
        <f t="shared" ca="1" si="102"/>
        <v>1.3476497076531182</v>
      </c>
      <c r="AY18" s="27">
        <f t="shared" ca="1" si="103"/>
        <v>0.31838224343304916</v>
      </c>
      <c r="AZ18" s="27">
        <f t="shared" ca="1" si="104"/>
        <v>11.369124269132795</v>
      </c>
      <c r="BA18" s="27">
        <f t="shared" ca="1" si="105"/>
        <v>3.3823884400905975</v>
      </c>
      <c r="BB18" s="27">
        <f t="shared" ca="1" si="106"/>
        <v>7.3663874722921712</v>
      </c>
      <c r="BC18" s="27">
        <f t="shared" ca="1" si="107"/>
        <v>1.6911942200452987</v>
      </c>
      <c r="BD18" s="27">
        <f t="shared" ca="1" si="108"/>
        <v>0.98041516231764336</v>
      </c>
      <c r="BE18" s="27">
        <f t="shared" ca="1" si="109"/>
        <v>1.1724552456582127</v>
      </c>
      <c r="BF18" s="27">
        <f t="shared" ca="1" si="110"/>
        <v>10.016198481105993</v>
      </c>
      <c r="BG18" s="27">
        <f t="shared" ca="1" si="111"/>
        <v>13.607151475259055</v>
      </c>
      <c r="BH18" s="27">
        <f t="shared" ca="1" si="112"/>
        <v>3.2219589488610034</v>
      </c>
      <c r="BI18" s="27">
        <f t="shared" ca="1" si="113"/>
        <v>1.6340252705294058</v>
      </c>
      <c r="BJ18" s="27">
        <f t="shared" ca="1" si="114"/>
        <v>0.889448807051058</v>
      </c>
      <c r="BK18" s="27">
        <f t="shared" ca="1" si="115"/>
        <v>4.3316363465395948</v>
      </c>
      <c r="BL18" s="27">
        <f t="shared" ca="1" si="116"/>
        <v>13.703614611222065</v>
      </c>
      <c r="BM18" s="27">
        <f t="shared" ca="1" si="117"/>
        <v>0.69519446199490531</v>
      </c>
      <c r="BN18" s="27">
        <f t="shared" ca="1" si="118"/>
        <v>0.6064423684439032</v>
      </c>
      <c r="BO18" s="27">
        <f t="shared" ca="1" si="119"/>
        <v>0.2291004503010301</v>
      </c>
      <c r="BP18" s="27">
        <f t="shared" ca="1" si="120"/>
        <v>3.4675829020855025</v>
      </c>
      <c r="BQ18" s="27">
        <f t="shared" ca="1" si="121"/>
        <v>20.192693810104778</v>
      </c>
      <c r="BR18" s="27">
        <f t="shared" ca="1" si="122"/>
        <v>1.8048317763329276</v>
      </c>
      <c r="BS18" s="27">
        <f t="shared" ca="1" si="123"/>
        <v>0.95683129243371379</v>
      </c>
      <c r="BT18" s="27">
        <f t="shared" ca="1" si="124"/>
        <v>0.8220663216684021</v>
      </c>
      <c r="BU18" s="27">
        <f t="shared" ca="1" si="125"/>
        <v>7.1739174138227941</v>
      </c>
      <c r="BV18" s="27">
        <f t="shared" ca="1" si="126"/>
        <v>14.071366220873852</v>
      </c>
      <c r="BW18" s="27">
        <f t="shared" ca="1" si="127"/>
        <v>1.9786303918316537</v>
      </c>
      <c r="BX18" s="27">
        <f t="shared" ca="1" si="128"/>
        <v>4.6158644532679149</v>
      </c>
      <c r="BY18" s="27">
        <f t="shared" ca="1" si="129"/>
        <v>7.3973137442181862</v>
      </c>
      <c r="BZ18" s="27">
        <f t="shared" ca="1" si="130"/>
        <v>15.053633927043528</v>
      </c>
      <c r="CA18" s="27">
        <f t="shared" ca="1" si="131"/>
        <v>7.3973137442181862</v>
      </c>
      <c r="CB18" s="27">
        <f t="shared" ca="1" si="132"/>
        <v>8.9919644196697313</v>
      </c>
      <c r="CC18" s="27">
        <f t="shared" ca="1" si="133"/>
        <v>18.302331124442798</v>
      </c>
      <c r="CD18" s="27">
        <f t="shared" ca="1" si="134"/>
        <v>8.9919644196697313</v>
      </c>
      <c r="CE18" s="27">
        <f t="shared" ca="1" si="135"/>
        <v>2.8422810672831988</v>
      </c>
    </row>
    <row r="19" spans="1:83" x14ac:dyDescent="0.25">
      <c r="A19" t="str">
        <f>PLANTILLA!D20</f>
        <v>Rodolfo Rinaldo Paso</v>
      </c>
      <c r="B19">
        <f>PLANTILLA!E20</f>
        <v>28</v>
      </c>
      <c r="C19" s="25">
        <f ca="1">PLANTILLA!F20</f>
        <v>63</v>
      </c>
      <c r="D19" s="42" t="str">
        <f>PLANTILLA!G20</f>
        <v>RAP</v>
      </c>
      <c r="E19" s="23">
        <f>PLANTILLA!M20</f>
        <v>43590</v>
      </c>
      <c r="F19" s="37">
        <f>PLANTILLA!Q20</f>
        <v>4</v>
      </c>
      <c r="G19" s="38">
        <f t="shared" si="68"/>
        <v>0.7559289460184544</v>
      </c>
      <c r="H19" s="38">
        <f t="shared" si="69"/>
        <v>0.84430867747355465</v>
      </c>
      <c r="I19" s="104">
        <f ca="1">PLANTILLA!N20</f>
        <v>1</v>
      </c>
      <c r="J19" s="29">
        <f>PLANTILLA!I20</f>
        <v>7</v>
      </c>
      <c r="K19" s="36">
        <f>PLANTILLA!X20</f>
        <v>0</v>
      </c>
      <c r="L19" s="36">
        <f>PLANTILLA!Y20</f>
        <v>4</v>
      </c>
      <c r="M19" s="36">
        <f>PLANTILLA!Z20</f>
        <v>8</v>
      </c>
      <c r="N19" s="36">
        <f>PLANTILLA!AA20</f>
        <v>11.083333333333334</v>
      </c>
      <c r="O19" s="36">
        <f>PLANTILLA!AB20</f>
        <v>12.444444444444445</v>
      </c>
      <c r="P19" s="36">
        <f>PLANTILLA!AC20</f>
        <v>14</v>
      </c>
      <c r="Q19" s="36">
        <f>PLANTILLA!AD20</f>
        <v>13</v>
      </c>
      <c r="R19" s="36">
        <f t="shared" si="70"/>
        <v>3.9861111111111112</v>
      </c>
      <c r="S19" s="36">
        <f t="shared" si="71"/>
        <v>1.0900000000000001</v>
      </c>
      <c r="T19" s="36">
        <f t="shared" si="72"/>
        <v>0.55000000000000004</v>
      </c>
      <c r="U19" s="36">
        <f t="shared" ca="1" si="73"/>
        <v>11.434784005152013</v>
      </c>
      <c r="V19" s="36">
        <f t="shared" ca="1" si="74"/>
        <v>12.771686295963006</v>
      </c>
      <c r="W19" s="27">
        <f t="shared" ca="1" si="75"/>
        <v>2.9606941185765949</v>
      </c>
      <c r="X19" s="27">
        <f t="shared" ca="1" si="76"/>
        <v>4.4456954262112074</v>
      </c>
      <c r="Y19" s="27">
        <f t="shared" ca="1" si="77"/>
        <v>2.9606941185765949</v>
      </c>
      <c r="Z19" s="27">
        <f t="shared" ca="1" si="78"/>
        <v>3.1614274515298084</v>
      </c>
      <c r="AA19" s="27">
        <f t="shared" ca="1" si="79"/>
        <v>6.1267973866856753</v>
      </c>
      <c r="AB19" s="27">
        <f t="shared" ca="1" si="80"/>
        <v>1.5807137257649042</v>
      </c>
      <c r="AC19" s="27">
        <f t="shared" ca="1" si="81"/>
        <v>2.4101777780311906</v>
      </c>
      <c r="AD19" s="27">
        <f t="shared" ca="1" si="82"/>
        <v>2.3159294121671854</v>
      </c>
      <c r="AE19" s="27">
        <f t="shared" ca="1" si="83"/>
        <v>4.4296745105737427</v>
      </c>
      <c r="AF19" s="27">
        <f t="shared" ca="1" si="84"/>
        <v>1.1579647060835927</v>
      </c>
      <c r="AG19" s="27">
        <f t="shared" ca="1" si="85"/>
        <v>3.8988169938739849</v>
      </c>
      <c r="AH19" s="27">
        <f t="shared" ca="1" si="86"/>
        <v>5.6366535957508219</v>
      </c>
      <c r="AI19" s="27">
        <f t="shared" ca="1" si="87"/>
        <v>2.5364941180878695</v>
      </c>
      <c r="AJ19" s="27">
        <f t="shared" ca="1" si="88"/>
        <v>1.6911751635765078</v>
      </c>
      <c r="AK19" s="27">
        <f t="shared" ca="1" si="89"/>
        <v>7.7675568633711771</v>
      </c>
      <c r="AL19" s="27">
        <f t="shared" ca="1" si="90"/>
        <v>4.6196052295609995</v>
      </c>
      <c r="AM19" s="27">
        <f t="shared" ca="1" si="91"/>
        <v>4.3377725497734581</v>
      </c>
      <c r="AN19" s="27">
        <f t="shared" ca="1" si="92"/>
        <v>2.5261751635765077</v>
      </c>
      <c r="AO19" s="27">
        <f t="shared" ca="1" si="93"/>
        <v>1.7605176473654742</v>
      </c>
      <c r="AP19" s="27">
        <f t="shared" ca="1" si="94"/>
        <v>1.6542352944051324</v>
      </c>
      <c r="AQ19" s="27">
        <f t="shared" ca="1" si="95"/>
        <v>3.639317647691291</v>
      </c>
      <c r="AR19" s="27">
        <f t="shared" ca="1" si="96"/>
        <v>0.8271176472025662</v>
      </c>
      <c r="AS19" s="27">
        <f t="shared" ca="1" si="97"/>
        <v>9.5596967330312772</v>
      </c>
      <c r="AT19" s="27">
        <f t="shared" ca="1" si="98"/>
        <v>1.8942614380469156</v>
      </c>
      <c r="AU19" s="27">
        <f t="shared" ca="1" si="99"/>
        <v>4.5384849676322361</v>
      </c>
      <c r="AV19" s="27">
        <f t="shared" ca="1" si="100"/>
        <v>0.9471307190234578</v>
      </c>
      <c r="AW19" s="27">
        <f t="shared" ca="1" si="101"/>
        <v>1.1579647060835927</v>
      </c>
      <c r="AX19" s="27">
        <f t="shared" ca="1" si="102"/>
        <v>2.4507189546742705</v>
      </c>
      <c r="AY19" s="27">
        <f t="shared" ca="1" si="103"/>
        <v>0.57898235304179635</v>
      </c>
      <c r="AZ19" s="27">
        <f t="shared" ca="1" si="104"/>
        <v>10.126797386685675</v>
      </c>
      <c r="BA19" s="27">
        <f t="shared" ca="1" si="105"/>
        <v>3.6865241832759206</v>
      </c>
      <c r="BB19" s="27">
        <f t="shared" ca="1" si="106"/>
        <v>8.3554209156193622</v>
      </c>
      <c r="BC19" s="27">
        <f t="shared" ca="1" si="107"/>
        <v>1.8432620916379603</v>
      </c>
      <c r="BD19" s="27">
        <f t="shared" ca="1" si="108"/>
        <v>1.7828980395255314</v>
      </c>
      <c r="BE19" s="27">
        <f t="shared" ca="1" si="109"/>
        <v>2.1321254905666147</v>
      </c>
      <c r="BF19" s="27">
        <f t="shared" ca="1" si="110"/>
        <v>8.92170849767008</v>
      </c>
      <c r="BG19" s="27">
        <f t="shared" ca="1" si="111"/>
        <v>12.1725562100969</v>
      </c>
      <c r="BH19" s="27">
        <f t="shared" ca="1" si="112"/>
        <v>3.5116692813023587</v>
      </c>
      <c r="BI19" s="27">
        <f t="shared" ca="1" si="113"/>
        <v>2.9714967325425525</v>
      </c>
      <c r="BJ19" s="27">
        <f t="shared" ca="1" si="114"/>
        <v>1.6174745100850183</v>
      </c>
      <c r="BK19" s="27">
        <f t="shared" ca="1" si="115"/>
        <v>3.8583098043272424</v>
      </c>
      <c r="BL19" s="27">
        <f t="shared" ca="1" si="116"/>
        <v>11.819237582629947</v>
      </c>
      <c r="BM19" s="27">
        <f t="shared" ca="1" si="117"/>
        <v>0.75770457521876622</v>
      </c>
      <c r="BN19" s="27">
        <f t="shared" ca="1" si="118"/>
        <v>1.1028235296034214</v>
      </c>
      <c r="BO19" s="27">
        <f t="shared" ca="1" si="119"/>
        <v>0.41662222229462598</v>
      </c>
      <c r="BP19" s="27">
        <f t="shared" ca="1" si="120"/>
        <v>3.0886732029391308</v>
      </c>
      <c r="BQ19" s="27">
        <f t="shared" ca="1" si="121"/>
        <v>17.377505883722222</v>
      </c>
      <c r="BR19" s="27">
        <f t="shared" ca="1" si="122"/>
        <v>1.9671176472025664</v>
      </c>
      <c r="BS19" s="27">
        <f t="shared" ca="1" si="123"/>
        <v>1.7400104578187316</v>
      </c>
      <c r="BT19" s="27">
        <f t="shared" ca="1" si="124"/>
        <v>1.4949385623513047</v>
      </c>
      <c r="BU19" s="27">
        <f t="shared" ca="1" si="125"/>
        <v>6.3900091509986607</v>
      </c>
      <c r="BV19" s="27">
        <f t="shared" ca="1" si="126"/>
        <v>12.085761438861457</v>
      </c>
      <c r="BW19" s="27">
        <f t="shared" ca="1" si="127"/>
        <v>2.1565437910072576</v>
      </c>
      <c r="BX19" s="27">
        <f t="shared" ca="1" si="128"/>
        <v>4.111479738994384</v>
      </c>
      <c r="BY19" s="27">
        <f t="shared" ca="1" si="129"/>
        <v>7.5931725495743478</v>
      </c>
      <c r="BZ19" s="27">
        <f t="shared" ca="1" si="130"/>
        <v>17.314107190741407</v>
      </c>
      <c r="CA19" s="27">
        <f t="shared" ca="1" si="131"/>
        <v>7.5931725495743478</v>
      </c>
      <c r="CB19" s="27">
        <f t="shared" ca="1" si="132"/>
        <v>9.1815225496829544</v>
      </c>
      <c r="CC19" s="27">
        <f t="shared" ca="1" si="133"/>
        <v>21.50358562237269</v>
      </c>
      <c r="CD19" s="27">
        <f t="shared" ca="1" si="134"/>
        <v>9.1815225496829544</v>
      </c>
      <c r="CE19" s="27">
        <f t="shared" ca="1" si="135"/>
        <v>2.5316993466714188</v>
      </c>
    </row>
    <row r="20" spans="1:83" x14ac:dyDescent="0.25">
      <c r="M20" s="27"/>
      <c r="N20" s="27"/>
      <c r="AH20" s="27"/>
      <c r="AI20" s="27"/>
    </row>
    <row r="21" spans="1:83" ht="18.75" x14ac:dyDescent="0.3">
      <c r="A21" s="47" t="s">
        <v>814</v>
      </c>
      <c r="B21" s="47" t="s">
        <v>574</v>
      </c>
      <c r="C21" s="47"/>
      <c r="D21" s="48"/>
      <c r="Z21" s="27"/>
      <c r="AA21" s="27"/>
      <c r="BV21" s="27"/>
      <c r="BW21" s="27"/>
    </row>
    <row r="22" spans="1:83" x14ac:dyDescent="0.25">
      <c r="A22" s="49" t="s">
        <v>815</v>
      </c>
      <c r="B22" s="50">
        <v>1</v>
      </c>
      <c r="C22" s="52">
        <v>0.624</v>
      </c>
      <c r="D22" s="53">
        <v>0.24500000000000002</v>
      </c>
      <c r="AH22" s="27"/>
      <c r="AI22" s="27"/>
    </row>
    <row r="23" spans="1:83" x14ac:dyDescent="0.25">
      <c r="A23" s="49" t="s">
        <v>816</v>
      </c>
      <c r="B23" s="50">
        <v>1</v>
      </c>
      <c r="C23" s="52">
        <v>1.002</v>
      </c>
      <c r="D23" s="53">
        <v>0.34000000000000008</v>
      </c>
      <c r="AG23" s="2"/>
      <c r="AH23" s="58"/>
    </row>
    <row r="24" spans="1:83" x14ac:dyDescent="0.25">
      <c r="A24" s="49" t="s">
        <v>817</v>
      </c>
      <c r="B24" s="50">
        <v>1</v>
      </c>
      <c r="C24" s="52">
        <v>0.46800000000000008</v>
      </c>
      <c r="D24" s="53">
        <v>0.125</v>
      </c>
      <c r="Z24" s="27"/>
      <c r="AA24" s="27"/>
      <c r="AH24" s="59"/>
      <c r="AI24" s="59"/>
      <c r="BV24" s="27"/>
      <c r="BW24" s="27"/>
    </row>
    <row r="25" spans="1:83" x14ac:dyDescent="0.25">
      <c r="A25" s="49" t="s">
        <v>818</v>
      </c>
      <c r="B25" s="50">
        <v>1</v>
      </c>
      <c r="C25" s="52">
        <v>0.877</v>
      </c>
      <c r="D25" s="53">
        <v>0.25</v>
      </c>
      <c r="W25" s="58"/>
    </row>
    <row r="26" spans="1:83" x14ac:dyDescent="0.25">
      <c r="A26" s="49" t="s">
        <v>819</v>
      </c>
      <c r="B26" s="50">
        <v>1</v>
      </c>
      <c r="C26" s="52">
        <v>0.59299999999999997</v>
      </c>
      <c r="D26" s="53">
        <v>0.19</v>
      </c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1" priority="1" operator="greaterThan">
      <formula>7</formula>
    </cfRule>
  </conditionalFormatting>
  <conditionalFormatting sqref="W3:AI19 AK3:AM19 AO3:BD19 BF3:CE19">
    <cfRule type="cellIs" dxfId="10" priority="2" operator="greaterThan">
      <formula>12.5</formula>
    </cfRule>
  </conditionalFormatting>
  <conditionalFormatting sqref="S3:T19">
    <cfRule type="cellIs" dxfId="9" priority="3" operator="greaterThan">
      <formula>0.6</formula>
    </cfRule>
  </conditionalFormatting>
  <conditionalFormatting sqref="R3:R19">
    <cfRule type="cellIs" dxfId="8" priority="4" operator="greaterThan">
      <formula>3.2</formula>
    </cfRule>
  </conditionalFormatting>
  <conditionalFormatting sqref="U3:V19">
    <cfRule type="cellIs" dxfId="7" priority="5" operator="greaterThan">
      <formula>15</formula>
    </cfRule>
  </conditionalFormatting>
  <conditionalFormatting sqref="K3:Q19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5"/>
  <sheetViews>
    <sheetView zoomScale="120" workbookViewId="0">
      <selection activeCell="N19" sqref="N19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820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108</v>
      </c>
      <c r="B3" s="13" t="s">
        <v>183</v>
      </c>
      <c r="C3" s="13" t="s">
        <v>803</v>
      </c>
      <c r="D3" s="13" t="s">
        <v>113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821</v>
      </c>
      <c r="O3" s="108" t="s">
        <v>822</v>
      </c>
      <c r="P3" s="108" t="s">
        <v>823</v>
      </c>
      <c r="Q3" s="108" t="s">
        <v>798</v>
      </c>
      <c r="R3" s="108" t="s">
        <v>824</v>
      </c>
      <c r="S3" s="107" t="s">
        <v>802</v>
      </c>
      <c r="T3" s="112" t="s">
        <v>825</v>
      </c>
      <c r="U3" s="64" t="s">
        <v>543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28</v>
      </c>
      <c r="D4" s="111">
        <f ca="1">PLANTILLA!F4</f>
        <v>51</v>
      </c>
      <c r="E4" s="36">
        <f>PLANTILLA!X4</f>
        <v>15</v>
      </c>
      <c r="F4" s="36">
        <f>PLANTILLA!Y4</f>
        <v>13.153846153846153</v>
      </c>
      <c r="G4" s="36">
        <f>PLANTILLA!Z4</f>
        <v>0</v>
      </c>
      <c r="H4" s="36">
        <f>PLANTILLA!AA4</f>
        <v>1</v>
      </c>
      <c r="I4" s="36">
        <f>PLANTILLA!AB4</f>
        <v>1</v>
      </c>
      <c r="J4" s="36">
        <f>PLANTILLA!AC4</f>
        <v>1</v>
      </c>
      <c r="K4" s="36">
        <f>PLANTILLA!AD4</f>
        <v>16.333333333333332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28</v>
      </c>
      <c r="D5" s="111">
        <f ca="1">PLANTILLA!F5</f>
        <v>76</v>
      </c>
      <c r="E5" s="36">
        <f>PLANTILLA!X5</f>
        <v>6</v>
      </c>
      <c r="F5" s="36">
        <f>PLANTILLA!Y5</f>
        <v>6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5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str">
        <f>PLANTILLA!A17</f>
        <v>#2</v>
      </c>
      <c r="B6" s="109" t="str">
        <f>PLANTILLA!D17</f>
        <v>Roxelio Reboredo</v>
      </c>
      <c r="C6" s="18">
        <f>PLANTILLA!E17</f>
        <v>33</v>
      </c>
      <c r="D6" s="111">
        <f ca="1">PLANTILLA!F17</f>
        <v>34</v>
      </c>
      <c r="E6" s="36">
        <f>PLANTILLA!X17</f>
        <v>0</v>
      </c>
      <c r="F6" s="36">
        <f>PLANTILLA!Y17</f>
        <v>5.95</v>
      </c>
      <c r="G6" s="36">
        <f>PLANTILLA!Z17</f>
        <v>13</v>
      </c>
      <c r="H6" s="36">
        <f>PLANTILLA!AA17</f>
        <v>7</v>
      </c>
      <c r="I6" s="36">
        <f>PLANTILLA!AB17</f>
        <v>12</v>
      </c>
      <c r="J6" s="36">
        <f>PLANTILLA!AC17</f>
        <v>4</v>
      </c>
      <c r="K6" s="36">
        <f>PLANTILLA!AD17</f>
        <v>16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28</v>
      </c>
      <c r="D7" s="111">
        <f ca="1">PLANTILLA!F6</f>
        <v>29</v>
      </c>
      <c r="E7" s="36">
        <f>PLANTILLA!X6</f>
        <v>0</v>
      </c>
      <c r="F7" s="36">
        <f>PLANTILLA!Y6</f>
        <v>16</v>
      </c>
      <c r="G7" s="36">
        <f>PLANTILLA!Z6</f>
        <v>5</v>
      </c>
      <c r="H7" s="36">
        <f>PLANTILLA!AA6</f>
        <v>8.875</v>
      </c>
      <c r="I7" s="36">
        <f>PLANTILLA!AB6</f>
        <v>9</v>
      </c>
      <c r="J7" s="36">
        <f>PLANTILLA!AC6</f>
        <v>1</v>
      </c>
      <c r="K7" s="36">
        <f>PLANTILLA!AD6</f>
        <v>15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28</v>
      </c>
      <c r="D8" s="111">
        <f ca="1">PLANTILLA!F7</f>
        <v>79</v>
      </c>
      <c r="E8" s="36">
        <f>PLANTILLA!X7</f>
        <v>0</v>
      </c>
      <c r="F8" s="36">
        <f>PLANTILLA!Y7</f>
        <v>14.75</v>
      </c>
      <c r="G8" s="36">
        <f>PLANTILLA!Z7</f>
        <v>3.25</v>
      </c>
      <c r="H8" s="36">
        <f>PLANTILLA!AA7</f>
        <v>9</v>
      </c>
      <c r="I8" s="36">
        <f>PLANTILLA!AB7</f>
        <v>12</v>
      </c>
      <c r="J8" s="36">
        <f>PLANTILLA!AC7</f>
        <v>3.95</v>
      </c>
      <c r="K8" s="36">
        <f>PLANTILLA!AD7</f>
        <v>15.333333333333334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#14</v>
      </c>
      <c r="B9" s="109" t="str">
        <f>PLANTILLA!D8</f>
        <v>Guillermo Pedrajas</v>
      </c>
      <c r="C9" s="18">
        <f>PLANTILLA!E8</f>
        <v>28</v>
      </c>
      <c r="D9" s="111">
        <f ca="1">PLANTILLA!F8</f>
        <v>64</v>
      </c>
      <c r="E9" s="36">
        <f>PLANTILLA!X8</f>
        <v>0</v>
      </c>
      <c r="F9" s="36">
        <f>PLANTILLA!Y8</f>
        <v>13.066666666666666</v>
      </c>
      <c r="G9" s="36">
        <f>PLANTILLA!Z8</f>
        <v>11.444444444444445</v>
      </c>
      <c r="H9" s="36">
        <f>PLANTILLA!AA8</f>
        <v>5</v>
      </c>
      <c r="I9" s="36">
        <f>PLANTILLA!AB8</f>
        <v>11.142857142857142</v>
      </c>
      <c r="J9" s="36">
        <f>PLANTILLA!AC8</f>
        <v>4</v>
      </c>
      <c r="K9" s="36">
        <f>PLANTILLA!AD8</f>
        <v>15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28</v>
      </c>
      <c r="D10" s="111">
        <f ca="1">PLANTILLA!F9</f>
        <v>107</v>
      </c>
      <c r="E10" s="36">
        <f>PLANTILLA!X9</f>
        <v>0</v>
      </c>
      <c r="F10" s="36">
        <f>PLANTILLA!Y9</f>
        <v>14.75</v>
      </c>
      <c r="G10" s="36">
        <f>PLANTILLA!Z9</f>
        <v>5.125</v>
      </c>
      <c r="H10" s="36">
        <f>PLANTILLA!AA9</f>
        <v>3</v>
      </c>
      <c r="I10" s="36">
        <f>PLANTILLA!AB9</f>
        <v>12.222222222222221</v>
      </c>
      <c r="J10" s="36">
        <f>PLANTILLA!AC9</f>
        <v>6</v>
      </c>
      <c r="K10" s="36">
        <f>PLANTILLA!AD9</f>
        <v>14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28</v>
      </c>
      <c r="D11" s="111">
        <f ca="1">PLANTILLA!F10</f>
        <v>44</v>
      </c>
      <c r="E11" s="36">
        <f>PLANTILLA!X10</f>
        <v>0</v>
      </c>
      <c r="F11" s="36">
        <f>PLANTILLA!Y10</f>
        <v>14.25</v>
      </c>
      <c r="G11" s="36">
        <f>PLANTILLA!Z10</f>
        <v>4.25</v>
      </c>
      <c r="H11" s="36">
        <f>PLANTILLA!AA10</f>
        <v>13.8</v>
      </c>
      <c r="I11" s="36">
        <f>PLANTILLA!AB10</f>
        <v>8.1999999999999993</v>
      </c>
      <c r="J11" s="36">
        <f>PLANTILLA!AC10</f>
        <v>7</v>
      </c>
      <c r="K11" s="36">
        <f>PLANTILLA!AD10</f>
        <v>15.333333333333334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28</v>
      </c>
      <c r="D12" s="111">
        <f ca="1">PLANTILLA!F11</f>
        <v>5</v>
      </c>
      <c r="E12" s="36">
        <f>PLANTILLA!X11</f>
        <v>0</v>
      </c>
      <c r="F12" s="36">
        <f>PLANTILLA!Y11</f>
        <v>13.692307692307692</v>
      </c>
      <c r="G12" s="36">
        <f>PLANTILLA!Z11</f>
        <v>4.25</v>
      </c>
      <c r="H12" s="36">
        <f>PLANTILLA!AA11</f>
        <v>14.75</v>
      </c>
      <c r="I12" s="36">
        <f>PLANTILLA!AB11</f>
        <v>10</v>
      </c>
      <c r="J12" s="36">
        <f>PLANTILLA!AC11</f>
        <v>7</v>
      </c>
      <c r="K12" s="36">
        <f>PLANTILLA!AD11</f>
        <v>16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28</v>
      </c>
      <c r="D13" s="111">
        <f ca="1">PLANTILLA!F12</f>
        <v>44</v>
      </c>
      <c r="E13" s="36">
        <f>PLANTILLA!X12</f>
        <v>0</v>
      </c>
      <c r="F13" s="36">
        <f>PLANTILLA!Y12</f>
        <v>13.2</v>
      </c>
      <c r="G13" s="36">
        <f>PLANTILLA!Z12</f>
        <v>4.25</v>
      </c>
      <c r="H13" s="36">
        <f>PLANTILLA!AA12</f>
        <v>13.2</v>
      </c>
      <c r="I13" s="36">
        <f>PLANTILLA!AB12</f>
        <v>9.1666666666666661</v>
      </c>
      <c r="J13" s="36">
        <f>PLANTILLA!AC12</f>
        <v>7.25</v>
      </c>
      <c r="K13" s="36">
        <f>PLANTILLA!AD12</f>
        <v>16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28</v>
      </c>
      <c r="D14" s="111">
        <f ca="1">PLANTILLA!F13</f>
        <v>40</v>
      </c>
      <c r="E14" s="36">
        <f>PLANTILLA!X13</f>
        <v>0</v>
      </c>
      <c r="F14" s="36">
        <f>PLANTILLA!Y13</f>
        <v>12.416666666666666</v>
      </c>
      <c r="G14" s="36">
        <f>PLANTILLA!Z13</f>
        <v>6.2</v>
      </c>
      <c r="H14" s="36">
        <f>PLANTILLA!AA13</f>
        <v>15.666666666666666</v>
      </c>
      <c r="I14" s="36">
        <f>PLANTILLA!AB13</f>
        <v>9.5</v>
      </c>
      <c r="J14" s="36">
        <f>PLANTILLA!AC13</f>
        <v>7.8</v>
      </c>
      <c r="K14" s="36">
        <f>PLANTILLA!AD13</f>
        <v>16.666666666666668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28</v>
      </c>
      <c r="D15" s="111">
        <f ca="1">PLANTILLA!F14</f>
        <v>40</v>
      </c>
      <c r="E15" s="36">
        <f>PLANTILLA!X14</f>
        <v>0</v>
      </c>
      <c r="F15" s="36">
        <f>PLANTILLA!Y14</f>
        <v>12.75</v>
      </c>
      <c r="G15" s="36">
        <f>PLANTILLA!Z14</f>
        <v>6</v>
      </c>
      <c r="H15" s="36">
        <f>PLANTILLA!AA14</f>
        <v>14.833333333333334</v>
      </c>
      <c r="I15" s="36">
        <f>PLANTILLA!AB14</f>
        <v>8.8571428571428577</v>
      </c>
      <c r="J15" s="36">
        <f>PLANTILLA!AC14</f>
        <v>8</v>
      </c>
      <c r="K15" s="36">
        <f>PLANTILLA!AD14</f>
        <v>15.666666666666666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e">
        <f>#REF!</f>
        <v>#REF!</v>
      </c>
      <c r="B16" s="109" t="e">
        <f>#REF!</f>
        <v>#REF!</v>
      </c>
      <c r="C16" s="18" t="e">
        <f>#REF!</f>
        <v>#REF!</v>
      </c>
      <c r="D16" s="111" t="e">
        <f>#REF!</f>
        <v>#REF!</v>
      </c>
      <c r="E16" s="36" t="e">
        <f>#REF!</f>
        <v>#REF!</v>
      </c>
      <c r="F16" s="36" t="e">
        <f>#REF!</f>
        <v>#REF!</v>
      </c>
      <c r="G16" s="36" t="e">
        <f>#REF!</f>
        <v>#REF!</v>
      </c>
      <c r="H16" s="36" t="e">
        <f>#REF!</f>
        <v>#REF!</v>
      </c>
      <c r="I16" s="36" t="e">
        <f>#REF!</f>
        <v>#REF!</v>
      </c>
      <c r="J16" s="36" t="e">
        <f>#REF!</f>
        <v>#REF!</v>
      </c>
      <c r="K16" s="36" t="e">
        <f>#REF!</f>
        <v>#REF!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PLANTILLA!A16</f>
        <v>#16</v>
      </c>
      <c r="B17" s="109" t="str">
        <f>PLANTILLA!D16</f>
        <v>Lenadro Faias</v>
      </c>
      <c r="C17" s="18">
        <f>PLANTILLA!E16</f>
        <v>31</v>
      </c>
      <c r="D17" s="111">
        <f ca="1">PLANTILLA!F16</f>
        <v>42</v>
      </c>
      <c r="E17" s="36">
        <f>PLANTILLA!X16</f>
        <v>0</v>
      </c>
      <c r="F17" s="36">
        <f>PLANTILLA!Y16</f>
        <v>10</v>
      </c>
      <c r="G17" s="36">
        <f>PLANTILLA!Z16</f>
        <v>14</v>
      </c>
      <c r="H17" s="36">
        <f>PLANTILLA!AA16</f>
        <v>3</v>
      </c>
      <c r="I17" s="36">
        <f>PLANTILLA!AB16</f>
        <v>10</v>
      </c>
      <c r="J17" s="36">
        <f>PLANTILLA!AC16</f>
        <v>8</v>
      </c>
      <c r="K17" s="36">
        <f>PLANTILLA!AD16</f>
        <v>15.333333333333334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e">
        <f>#REF!</f>
        <v>#REF!</v>
      </c>
      <c r="B18" s="109" t="e">
        <f>#REF!</f>
        <v>#REF!</v>
      </c>
      <c r="C18" s="18" t="e">
        <f>#REF!</f>
        <v>#REF!</v>
      </c>
      <c r="D18" s="111" t="e">
        <f>#REF!</f>
        <v>#REF!</v>
      </c>
      <c r="E18" s="36" t="e">
        <f>#REF!</f>
        <v>#REF!</v>
      </c>
      <c r="F18" s="36" t="e">
        <f>#REF!</f>
        <v>#REF!</v>
      </c>
      <c r="G18" s="36" t="e">
        <f>#REF!</f>
        <v>#REF!</v>
      </c>
      <c r="H18" s="36" t="e">
        <f>#REF!</f>
        <v>#REF!</v>
      </c>
      <c r="I18" s="36" t="e">
        <f>#REF!</f>
        <v>#REF!</v>
      </c>
      <c r="J18" s="36" t="e">
        <f>#REF!</f>
        <v>#REF!</v>
      </c>
      <c r="K18" s="36" t="e">
        <f>#REF!</f>
        <v>#REF!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PLANTILLA!A18</f>
        <v>#12</v>
      </c>
      <c r="B19" s="109" t="str">
        <f>PLANTILLA!D18</f>
        <v>Nicolás Galaz</v>
      </c>
      <c r="C19" s="18">
        <f>PLANTILLA!E18</f>
        <v>28</v>
      </c>
      <c r="D19" s="111">
        <f ca="1">PLANTILLA!F18</f>
        <v>72</v>
      </c>
      <c r="E19" s="36">
        <f>PLANTILLA!X18</f>
        <v>0</v>
      </c>
      <c r="F19" s="36">
        <f>PLANTILLA!Y18</f>
        <v>4</v>
      </c>
      <c r="G19" s="36">
        <f>PLANTILLA!Z18</f>
        <v>2</v>
      </c>
      <c r="H19" s="36">
        <f>PLANTILLA!AA18</f>
        <v>9.125</v>
      </c>
      <c r="I19" s="36">
        <f>PLANTILLA!AB18</f>
        <v>14</v>
      </c>
      <c r="J19" s="36">
        <f>PLANTILLA!AC18</f>
        <v>14</v>
      </c>
      <c r="K19" s="36">
        <f>PLANTILLA!AD18</f>
        <v>2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A20" s="18" t="str">
        <f>PLANTILLA!A19</f>
        <v>#15</v>
      </c>
      <c r="B20" s="109" t="str">
        <f>PLANTILLA!D19</f>
        <v>Meraj Siddiqui</v>
      </c>
      <c r="C20" s="18">
        <f>PLANTILLA!E19</f>
        <v>30</v>
      </c>
      <c r="D20" s="111">
        <f ca="1">PLANTILLA!F19</f>
        <v>79</v>
      </c>
      <c r="E20" s="36">
        <f>PLANTILLA!X19</f>
        <v>0</v>
      </c>
      <c r="F20" s="36">
        <f>PLANTILLA!Y19</f>
        <v>1</v>
      </c>
      <c r="G20" s="36">
        <f>PLANTILLA!Z19</f>
        <v>9</v>
      </c>
      <c r="H20" s="36">
        <f>PLANTILLA!AA19</f>
        <v>14</v>
      </c>
      <c r="I20" s="36">
        <f>PLANTILLA!AB19</f>
        <v>11</v>
      </c>
      <c r="J20" s="36">
        <f>PLANTILLA!AC19</f>
        <v>11</v>
      </c>
      <c r="K20" s="36">
        <f>PLANTILLA!AD19</f>
        <v>10.5</v>
      </c>
      <c r="L20" s="110"/>
      <c r="M20" s="110"/>
      <c r="N20" s="110"/>
      <c r="O20" s="60"/>
      <c r="P20" s="60"/>
      <c r="Q20" s="60"/>
      <c r="R20" s="60"/>
      <c r="S20" s="60"/>
      <c r="T20" s="60"/>
      <c r="U20" s="60"/>
      <c r="W20" s="42"/>
    </row>
    <row r="21" spans="1:23" x14ac:dyDescent="0.25">
      <c r="A21" s="18" t="str">
        <f>PLANTILLA!A20</f>
        <v>#19</v>
      </c>
      <c r="B21" s="109" t="str">
        <f>PLANTILLA!D20</f>
        <v>Rodolfo Rinaldo Paso</v>
      </c>
      <c r="C21" s="18">
        <f>PLANTILLA!E20</f>
        <v>28</v>
      </c>
      <c r="D21" s="111">
        <f ca="1">PLANTILLA!F20</f>
        <v>63</v>
      </c>
      <c r="E21" s="36">
        <f>PLANTILLA!X20</f>
        <v>0</v>
      </c>
      <c r="F21" s="36">
        <f>PLANTILLA!Y20</f>
        <v>4</v>
      </c>
      <c r="G21" s="36">
        <f>PLANTILLA!Z20</f>
        <v>8</v>
      </c>
      <c r="H21" s="36">
        <f>PLANTILLA!AA20</f>
        <v>11.083333333333334</v>
      </c>
      <c r="I21" s="36">
        <f>PLANTILLA!AB20</f>
        <v>12.444444444444445</v>
      </c>
      <c r="J21" s="36">
        <f>PLANTILLA!AC20</f>
        <v>14</v>
      </c>
      <c r="K21" s="36">
        <f>PLANTILLA!AD20</f>
        <v>13</v>
      </c>
      <c r="L21" s="110"/>
      <c r="M21" s="110"/>
      <c r="N21" s="110"/>
      <c r="O21" s="60"/>
      <c r="P21" s="60"/>
      <c r="Q21" s="60"/>
      <c r="R21" s="60"/>
      <c r="S21" s="60"/>
      <c r="T21" s="60"/>
      <c r="U21" s="60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  <row r="34" spans="3:23" x14ac:dyDescent="0.25">
      <c r="C34" s="69"/>
      <c r="D34" s="54"/>
      <c r="G34" s="42"/>
      <c r="H34" s="41"/>
      <c r="J34" s="42"/>
      <c r="K34" s="42"/>
      <c r="M34" s="70"/>
      <c r="Q34" s="42"/>
      <c r="R34" s="42"/>
      <c r="S34" s="42"/>
      <c r="T34" s="42"/>
      <c r="U34" s="42"/>
      <c r="V34" s="42"/>
      <c r="W34" s="42"/>
    </row>
    <row r="35" spans="3:23" x14ac:dyDescent="0.25">
      <c r="C35" s="69"/>
      <c r="D35" s="54"/>
      <c r="G35" s="42"/>
      <c r="H35" s="41"/>
      <c r="J35" s="42"/>
      <c r="K35" s="42"/>
      <c r="M35" s="70"/>
      <c r="Q35" s="42"/>
      <c r="R35" s="42"/>
      <c r="S35" s="42"/>
      <c r="T35" s="42"/>
      <c r="U35" s="42"/>
      <c r="V35" s="42"/>
      <c r="W35" s="42"/>
    </row>
  </sheetData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21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R25"/>
  <sheetViews>
    <sheetView workbookViewId="0">
      <pane ySplit="2" topLeftCell="A3" activePane="bottomLeft" state="frozen"/>
      <selection pane="bottomLeft" activeCell="A9" sqref="A9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344" customWidth="1"/>
    <col min="30" max="30" width="7.140625" style="344" customWidth="1"/>
    <col min="31" max="33" width="7.140625" style="345" customWidth="1"/>
    <col min="34" max="36" width="9" style="344" customWidth="1"/>
    <col min="37" max="39" width="8.42578125" style="344" customWidth="1"/>
    <col min="40" max="44" width="10.7109375" style="344"/>
  </cols>
  <sheetData>
    <row r="1" spans="1:44" s="41" customFormat="1" x14ac:dyDescent="0.25">
      <c r="D1" s="43"/>
      <c r="O1" s="41" t="s">
        <v>796</v>
      </c>
      <c r="P1"/>
      <c r="Q1"/>
      <c r="R1"/>
      <c r="S1"/>
      <c r="T1"/>
      <c r="U1"/>
      <c r="V1" s="41" t="s">
        <v>797</v>
      </c>
      <c r="W1"/>
      <c r="X1"/>
      <c r="Y1"/>
      <c r="Z1"/>
      <c r="AA1"/>
      <c r="AB1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</row>
    <row r="2" spans="1:44" x14ac:dyDescent="0.25">
      <c r="A2" s="313" t="s">
        <v>183</v>
      </c>
      <c r="B2" s="313" t="s">
        <v>803</v>
      </c>
      <c r="C2" s="314" t="s">
        <v>113</v>
      </c>
      <c r="D2" s="315" t="s">
        <v>465</v>
      </c>
      <c r="E2" s="316" t="s">
        <v>827</v>
      </c>
      <c r="F2" s="317" t="s">
        <v>121</v>
      </c>
      <c r="G2" s="318" t="s">
        <v>692</v>
      </c>
      <c r="H2" s="319" t="s">
        <v>153</v>
      </c>
      <c r="I2" s="319" t="s">
        <v>191</v>
      </c>
      <c r="J2" s="319" t="s">
        <v>192</v>
      </c>
      <c r="K2" s="319" t="s">
        <v>489</v>
      </c>
      <c r="L2" s="319" t="s">
        <v>194</v>
      </c>
      <c r="M2" s="319" t="s">
        <v>195</v>
      </c>
      <c r="N2" s="320" t="s">
        <v>196</v>
      </c>
      <c r="O2" s="34" t="s">
        <v>810</v>
      </c>
      <c r="P2" s="34" t="s">
        <v>811</v>
      </c>
      <c r="Q2" s="34" t="s">
        <v>810</v>
      </c>
      <c r="R2" s="34" t="s">
        <v>172</v>
      </c>
      <c r="S2" s="34" t="s">
        <v>812</v>
      </c>
      <c r="T2" s="34" t="s">
        <v>813</v>
      </c>
      <c r="U2" s="34" t="s">
        <v>812</v>
      </c>
      <c r="V2" s="34" t="s">
        <v>810</v>
      </c>
      <c r="W2" s="34" t="s">
        <v>811</v>
      </c>
      <c r="X2" s="34" t="s">
        <v>810</v>
      </c>
      <c r="Y2" s="34" t="s">
        <v>172</v>
      </c>
      <c r="Z2" s="34" t="s">
        <v>812</v>
      </c>
      <c r="AA2" s="34" t="s">
        <v>813</v>
      </c>
      <c r="AB2" s="34" t="s">
        <v>812</v>
      </c>
      <c r="AC2" s="374" t="s">
        <v>828</v>
      </c>
      <c r="AD2" s="375" t="s">
        <v>468</v>
      </c>
      <c r="AE2" s="362" t="s">
        <v>831</v>
      </c>
      <c r="AF2" s="363" t="s">
        <v>830</v>
      </c>
      <c r="AG2" s="364" t="s">
        <v>829</v>
      </c>
      <c r="AH2" s="370" t="s">
        <v>834</v>
      </c>
      <c r="AI2" s="363" t="s">
        <v>833</v>
      </c>
      <c r="AJ2" s="364" t="s">
        <v>832</v>
      </c>
      <c r="AK2" s="360" t="s">
        <v>837</v>
      </c>
      <c r="AL2" s="359" t="s">
        <v>836</v>
      </c>
      <c r="AM2" s="359" t="s">
        <v>835</v>
      </c>
    </row>
    <row r="3" spans="1:44" x14ac:dyDescent="0.25">
      <c r="A3" s="306" t="s">
        <v>937</v>
      </c>
      <c r="B3" s="331">
        <v>33</v>
      </c>
      <c r="C3" s="25">
        <v>86</v>
      </c>
      <c r="D3" s="42" t="s">
        <v>166</v>
      </c>
      <c r="E3" s="332">
        <v>1</v>
      </c>
      <c r="F3" s="333">
        <v>1</v>
      </c>
      <c r="G3" s="334">
        <v>9</v>
      </c>
      <c r="H3" s="36">
        <v>0</v>
      </c>
      <c r="I3" s="36">
        <v>9</v>
      </c>
      <c r="J3" s="36">
        <v>14</v>
      </c>
      <c r="K3" s="36">
        <v>3</v>
      </c>
      <c r="L3" s="36">
        <v>11</v>
      </c>
      <c r="M3" s="36">
        <v>0</v>
      </c>
      <c r="N3" s="335">
        <v>4</v>
      </c>
      <c r="O3" s="27">
        <f t="shared" ref="O3:O25" si="0">((I3+F3+(LOG(G3)*4/3))*0.27)</f>
        <v>3.0435273033981569</v>
      </c>
      <c r="P3" s="27">
        <f t="shared" ref="P3:P25" si="1">((I3+F3+(LOG(G3)*4/3))*0.594)</f>
        <v>6.6957600674759448</v>
      </c>
      <c r="Q3" s="27">
        <f t="shared" ref="Q3:Q25" si="2">O3/2</f>
        <v>1.5217636516990785</v>
      </c>
      <c r="R3" s="27">
        <f t="shared" ref="R3:R25" si="3">((J3+F3+(LOG(G3)*4/3))*0.944)</f>
        <v>15.361073238547631</v>
      </c>
      <c r="S3" s="27">
        <f t="shared" ref="S3:S25" si="4">((L3+F3+(LOG(G3)*4/3))*0.13)</f>
        <v>1.725402034969483</v>
      </c>
      <c r="T3" s="27">
        <f t="shared" ref="T3:T25" si="5">((M3+F3+(LOG(G3)*4/3))*0.173)+((L3+F3+(LOG(G3)*4/3))*0.12)</f>
        <v>1.9857907403542963</v>
      </c>
      <c r="U3" s="27">
        <f t="shared" ref="U3:U25" si="6">S3/2</f>
        <v>0.86270101748474148</v>
      </c>
      <c r="V3" s="27">
        <f t="shared" ref="V3:V25" si="7">((I3+F3+(LOG(G3)*4/3))*0.189)</f>
        <v>2.1304691123787101</v>
      </c>
      <c r="W3" s="27">
        <f t="shared" ref="W3:W25" si="8">((I3+F3+(LOG(G3)*4/3))*0.4)</f>
        <v>4.5089293383676399</v>
      </c>
      <c r="X3" s="27">
        <f t="shared" ref="X3:X25" si="9">V3/2</f>
        <v>1.065234556189355</v>
      </c>
      <c r="Y3" s="27">
        <f t="shared" ref="Y3:Y25" si="10">((J3+F3+(LOG(G3)*4/3))*1)</f>
        <v>16.272323345919101</v>
      </c>
      <c r="Z3" s="27">
        <f t="shared" ref="Z3:Z25" si="11">((L3+F3+(LOG(G3)*4/3))*0.253)</f>
        <v>3.3578978065175322</v>
      </c>
      <c r="AA3" s="27">
        <f t="shared" ref="AA3:AA25" si="12">((M3+F3+(LOG(G3)*4/3))*0.21)+((L3+F3+(LOG(G3)*4/3))*0.341)</f>
        <v>5.003050163601424</v>
      </c>
      <c r="AB3" s="27">
        <f t="shared" ref="AB3:AB25" si="13">Z3/2</f>
        <v>1.6789489032587661</v>
      </c>
      <c r="AC3" s="347">
        <v>1350</v>
      </c>
      <c r="AD3" s="348">
        <v>19.5</v>
      </c>
      <c r="AE3" s="365"/>
      <c r="AF3" s="345">
        <v>1100</v>
      </c>
      <c r="AG3" s="366">
        <v>870</v>
      </c>
      <c r="AH3" s="358"/>
      <c r="AI3" s="358">
        <f t="shared" ref="AI3:AI25" si="14">AC3+(AD3*16*(34-B3-((112-C3)/112)))-AF3</f>
        <v>489.57142857142844</v>
      </c>
      <c r="AJ3" s="371">
        <f t="shared" ref="AJ3:AJ25" si="15">AC3+(AD3*16*(36-B3-((112-C3)/112)))-AG3</f>
        <v>1343.5714285714284</v>
      </c>
      <c r="AK3" s="358"/>
      <c r="AL3" s="358">
        <f t="shared" ref="AL3:AL25" si="16">(AI3)/(34-B3+((112-C3)/112))</f>
        <v>397.3333333333332</v>
      </c>
      <c r="AM3" s="358">
        <f t="shared" ref="AM3:AM25" si="17">(AJ3)/(36-B3+((112-C3)/112))</f>
        <v>415.69060773480658</v>
      </c>
    </row>
    <row r="4" spans="1:44" x14ac:dyDescent="0.25">
      <c r="A4" s="306" t="s">
        <v>938</v>
      </c>
      <c r="B4" s="331">
        <v>33</v>
      </c>
      <c r="C4" s="25">
        <v>21</v>
      </c>
      <c r="E4" s="332">
        <v>3</v>
      </c>
      <c r="F4" s="333">
        <v>1</v>
      </c>
      <c r="G4" s="334">
        <v>9</v>
      </c>
      <c r="H4" s="36">
        <v>0</v>
      </c>
      <c r="I4" s="36">
        <v>10</v>
      </c>
      <c r="J4" s="36">
        <v>13</v>
      </c>
      <c r="K4" s="36">
        <v>5</v>
      </c>
      <c r="L4" s="36">
        <v>12</v>
      </c>
      <c r="M4" s="36">
        <v>4</v>
      </c>
      <c r="N4" s="335">
        <v>14</v>
      </c>
      <c r="O4" s="27">
        <f t="shared" si="0"/>
        <v>3.3135273033981569</v>
      </c>
      <c r="P4" s="27">
        <f t="shared" si="1"/>
        <v>7.2897600674759451</v>
      </c>
      <c r="Q4" s="27">
        <f t="shared" si="2"/>
        <v>1.6567636516990785</v>
      </c>
      <c r="R4" s="27">
        <f t="shared" si="3"/>
        <v>14.41707323854763</v>
      </c>
      <c r="S4" s="27">
        <f t="shared" si="4"/>
        <v>1.8554020349694831</v>
      </c>
      <c r="T4" s="27">
        <f t="shared" si="5"/>
        <v>2.7977907403542961</v>
      </c>
      <c r="U4" s="27">
        <f t="shared" si="6"/>
        <v>0.92770101748474154</v>
      </c>
      <c r="V4" s="27">
        <f t="shared" si="7"/>
        <v>2.3194691123787097</v>
      </c>
      <c r="W4" s="27">
        <f t="shared" si="8"/>
        <v>4.9089293383676402</v>
      </c>
      <c r="X4" s="27">
        <f t="shared" si="9"/>
        <v>1.1597345561893548</v>
      </c>
      <c r="Y4" s="27">
        <f t="shared" si="10"/>
        <v>15.2723233459191</v>
      </c>
      <c r="Z4" s="27">
        <f t="shared" si="11"/>
        <v>3.6108978065175323</v>
      </c>
      <c r="AA4" s="27">
        <f t="shared" si="12"/>
        <v>6.184050163601424</v>
      </c>
      <c r="AB4" s="27">
        <f t="shared" si="13"/>
        <v>1.8054489032587662</v>
      </c>
      <c r="AC4" s="347">
        <v>1150</v>
      </c>
      <c r="AD4" s="348">
        <v>12.9</v>
      </c>
      <c r="AE4" s="365"/>
      <c r="AF4" s="345">
        <v>1375</v>
      </c>
      <c r="AG4" s="366">
        <v>900</v>
      </c>
      <c r="AH4" s="358"/>
      <c r="AI4" s="358">
        <f t="shared" si="14"/>
        <v>-186.29999999999995</v>
      </c>
      <c r="AJ4" s="371">
        <f t="shared" si="15"/>
        <v>701.5</v>
      </c>
      <c r="AK4" s="358"/>
      <c r="AL4" s="358">
        <f t="shared" si="16"/>
        <v>-102.7862068965517</v>
      </c>
      <c r="AM4" s="358">
        <f t="shared" si="17"/>
        <v>184</v>
      </c>
    </row>
    <row r="5" spans="1:44" x14ac:dyDescent="0.25">
      <c r="A5" s="306" t="s">
        <v>939</v>
      </c>
      <c r="B5" s="331">
        <v>32</v>
      </c>
      <c r="C5" s="25">
        <v>92</v>
      </c>
      <c r="D5" s="42" t="s">
        <v>166</v>
      </c>
      <c r="E5" s="332">
        <v>3</v>
      </c>
      <c r="F5" s="333">
        <v>1</v>
      </c>
      <c r="G5" s="334">
        <v>8</v>
      </c>
      <c r="H5" s="36">
        <v>0</v>
      </c>
      <c r="I5" s="36">
        <v>7</v>
      </c>
      <c r="J5" s="36">
        <v>13</v>
      </c>
      <c r="K5" s="36">
        <v>1</v>
      </c>
      <c r="L5" s="36">
        <v>8</v>
      </c>
      <c r="M5" s="36">
        <v>7</v>
      </c>
      <c r="N5" s="335">
        <v>5</v>
      </c>
      <c r="O5" s="27">
        <f t="shared" si="0"/>
        <v>2.4851123953170999</v>
      </c>
      <c r="P5" s="27">
        <f t="shared" si="1"/>
        <v>5.4672472696976193</v>
      </c>
      <c r="Q5" s="27">
        <f t="shared" si="2"/>
        <v>1.24255619765855</v>
      </c>
      <c r="R5" s="27">
        <f t="shared" si="3"/>
        <v>14.352689263627193</v>
      </c>
      <c r="S5" s="27">
        <f t="shared" si="4"/>
        <v>1.3265355977452702</v>
      </c>
      <c r="T5" s="27">
        <f t="shared" si="5"/>
        <v>2.8168071549181857</v>
      </c>
      <c r="U5" s="27">
        <f t="shared" si="6"/>
        <v>0.66326779887263509</v>
      </c>
      <c r="V5" s="27">
        <f t="shared" si="7"/>
        <v>1.7395786767219699</v>
      </c>
      <c r="W5" s="27">
        <f t="shared" si="8"/>
        <v>3.68164799306237</v>
      </c>
      <c r="X5" s="27">
        <f t="shared" si="9"/>
        <v>0.86978933836098493</v>
      </c>
      <c r="Y5" s="27">
        <f t="shared" si="10"/>
        <v>15.204119982655925</v>
      </c>
      <c r="Z5" s="27">
        <f t="shared" si="11"/>
        <v>2.5816423556119492</v>
      </c>
      <c r="AA5" s="27">
        <f t="shared" si="12"/>
        <v>5.4124701104434152</v>
      </c>
      <c r="AB5" s="27">
        <f t="shared" si="13"/>
        <v>1.2908211778059746</v>
      </c>
      <c r="AC5" s="347">
        <v>850</v>
      </c>
      <c r="AD5" s="348">
        <v>16.7</v>
      </c>
      <c r="AE5" s="365"/>
      <c r="AF5" s="345">
        <v>450</v>
      </c>
      <c r="AG5" s="366">
        <v>310</v>
      </c>
      <c r="AH5" s="358"/>
      <c r="AI5" s="358">
        <f t="shared" si="14"/>
        <v>886.68571428571431</v>
      </c>
      <c r="AJ5" s="371">
        <f t="shared" si="15"/>
        <v>1561.0857142857144</v>
      </c>
      <c r="AK5" s="358"/>
      <c r="AL5" s="358">
        <f t="shared" si="16"/>
        <v>407.00327868852463</v>
      </c>
      <c r="AM5" s="358">
        <f t="shared" si="17"/>
        <v>373.5931623931624</v>
      </c>
    </row>
    <row r="6" spans="1:44" x14ac:dyDescent="0.25">
      <c r="A6" s="306" t="s">
        <v>940</v>
      </c>
      <c r="B6" s="331">
        <v>32</v>
      </c>
      <c r="C6" s="25">
        <v>40</v>
      </c>
      <c r="D6" s="42" t="s">
        <v>166</v>
      </c>
      <c r="E6" s="332">
        <v>4</v>
      </c>
      <c r="F6" s="333">
        <v>1</v>
      </c>
      <c r="G6" s="334">
        <v>9</v>
      </c>
      <c r="H6" s="36">
        <v>0</v>
      </c>
      <c r="I6" s="36">
        <v>3</v>
      </c>
      <c r="J6" s="36">
        <v>15</v>
      </c>
      <c r="K6" s="36">
        <v>6</v>
      </c>
      <c r="L6" s="36">
        <v>14</v>
      </c>
      <c r="M6" s="36">
        <v>2</v>
      </c>
      <c r="N6" s="335">
        <v>3</v>
      </c>
      <c r="O6" s="27">
        <f t="shared" si="0"/>
        <v>1.423527303398157</v>
      </c>
      <c r="P6" s="27">
        <f t="shared" si="1"/>
        <v>3.1317600674759452</v>
      </c>
      <c r="Q6" s="27">
        <f t="shared" si="2"/>
        <v>0.71176365169907851</v>
      </c>
      <c r="R6" s="27">
        <f t="shared" si="3"/>
        <v>16.305073238547632</v>
      </c>
      <c r="S6" s="27">
        <f t="shared" si="4"/>
        <v>2.1154020349694833</v>
      </c>
      <c r="T6" s="27">
        <f t="shared" si="5"/>
        <v>2.6917907403542962</v>
      </c>
      <c r="U6" s="27">
        <f t="shared" si="6"/>
        <v>1.0577010174847417</v>
      </c>
      <c r="V6" s="27">
        <f t="shared" si="7"/>
        <v>0.99646911237870983</v>
      </c>
      <c r="W6" s="27">
        <f t="shared" si="8"/>
        <v>2.10892933836764</v>
      </c>
      <c r="X6" s="27">
        <f t="shared" si="9"/>
        <v>0.49823455618935492</v>
      </c>
      <c r="Y6" s="27">
        <f t="shared" si="10"/>
        <v>17.272323345919101</v>
      </c>
      <c r="Z6" s="27">
        <f t="shared" si="11"/>
        <v>4.1168978065175326</v>
      </c>
      <c r="AA6" s="27">
        <f t="shared" si="12"/>
        <v>6.4460501636014245</v>
      </c>
      <c r="AB6" s="27">
        <f t="shared" si="13"/>
        <v>2.0584489032587663</v>
      </c>
      <c r="AC6" s="347">
        <v>1500</v>
      </c>
      <c r="AD6" s="348">
        <f>26.5*0.9</f>
        <v>23.85</v>
      </c>
      <c r="AE6" s="365"/>
      <c r="AF6" s="345">
        <v>1000</v>
      </c>
      <c r="AG6" s="366">
        <v>500</v>
      </c>
      <c r="AH6" s="358"/>
      <c r="AI6" s="358">
        <f t="shared" si="14"/>
        <v>1017.8857142857144</v>
      </c>
      <c r="AJ6" s="371">
        <f t="shared" si="15"/>
        <v>2281.0857142857144</v>
      </c>
      <c r="AK6" s="358"/>
      <c r="AL6" s="358">
        <f t="shared" si="16"/>
        <v>385.14594594594598</v>
      </c>
      <c r="AM6" s="358">
        <f t="shared" si="17"/>
        <v>491.31076923076921</v>
      </c>
    </row>
    <row r="7" spans="1:44" x14ac:dyDescent="0.25">
      <c r="A7" s="306" t="s">
        <v>941</v>
      </c>
      <c r="B7" s="331">
        <v>32</v>
      </c>
      <c r="C7" s="25">
        <v>85</v>
      </c>
      <c r="E7" s="332">
        <v>3</v>
      </c>
      <c r="F7" s="333">
        <v>1</v>
      </c>
      <c r="G7" s="334">
        <v>9</v>
      </c>
      <c r="H7" s="36">
        <v>0</v>
      </c>
      <c r="I7" s="36">
        <v>6</v>
      </c>
      <c r="J7" s="36">
        <v>13</v>
      </c>
      <c r="K7" s="36">
        <v>7</v>
      </c>
      <c r="L7" s="36">
        <v>12</v>
      </c>
      <c r="M7" s="36">
        <v>5</v>
      </c>
      <c r="N7" s="335">
        <v>16</v>
      </c>
      <c r="O7" s="27">
        <f t="shared" si="0"/>
        <v>2.2335273033981569</v>
      </c>
      <c r="P7" s="27">
        <f t="shared" si="1"/>
        <v>4.9137600674759447</v>
      </c>
      <c r="Q7" s="27">
        <f t="shared" si="2"/>
        <v>1.1167636516990784</v>
      </c>
      <c r="R7" s="27">
        <f t="shared" si="3"/>
        <v>14.41707323854763</v>
      </c>
      <c r="S7" s="27">
        <f t="shared" si="4"/>
        <v>1.8554020349694831</v>
      </c>
      <c r="T7" s="27">
        <f t="shared" si="5"/>
        <v>2.9707907403542961</v>
      </c>
      <c r="U7" s="27">
        <f t="shared" si="6"/>
        <v>0.92770101748474154</v>
      </c>
      <c r="V7" s="27">
        <f t="shared" si="7"/>
        <v>1.5634691123787099</v>
      </c>
      <c r="W7" s="27">
        <f t="shared" si="8"/>
        <v>3.3089293383676401</v>
      </c>
      <c r="X7" s="27">
        <f t="shared" si="9"/>
        <v>0.78173455618935495</v>
      </c>
      <c r="Y7" s="27">
        <f t="shared" si="10"/>
        <v>15.2723233459191</v>
      </c>
      <c r="Z7" s="27">
        <f t="shared" si="11"/>
        <v>3.6108978065175323</v>
      </c>
      <c r="AA7" s="27">
        <f t="shared" si="12"/>
        <v>6.394050163601424</v>
      </c>
      <c r="AB7" s="27">
        <f t="shared" si="13"/>
        <v>1.8054489032587662</v>
      </c>
      <c r="AC7" s="347">
        <v>1475</v>
      </c>
      <c r="AD7" s="348">
        <v>14.1</v>
      </c>
      <c r="AE7" s="365"/>
      <c r="AF7" s="345">
        <v>850</v>
      </c>
      <c r="AG7" s="366">
        <v>700</v>
      </c>
      <c r="AH7" s="358"/>
      <c r="AI7" s="358">
        <f t="shared" si="14"/>
        <v>1021.8142857142857</v>
      </c>
      <c r="AJ7" s="371">
        <f t="shared" si="15"/>
        <v>1623.0142857142855</v>
      </c>
      <c r="AK7" s="358"/>
      <c r="AL7" s="358">
        <f t="shared" si="16"/>
        <v>455.94900398406378</v>
      </c>
      <c r="AM7" s="358">
        <f t="shared" si="17"/>
        <v>382.68968421052625</v>
      </c>
    </row>
    <row r="8" spans="1:44" x14ac:dyDescent="0.25">
      <c r="A8" s="306" t="s">
        <v>942</v>
      </c>
      <c r="B8" s="239">
        <v>30</v>
      </c>
      <c r="C8" s="25">
        <v>96</v>
      </c>
      <c r="D8" s="42" t="s">
        <v>198</v>
      </c>
      <c r="E8" s="305">
        <v>4</v>
      </c>
      <c r="F8" s="307">
        <v>1</v>
      </c>
      <c r="G8" s="308">
        <v>7</v>
      </c>
      <c r="H8" s="36">
        <v>0</v>
      </c>
      <c r="I8" s="36">
        <v>5</v>
      </c>
      <c r="J8" s="36">
        <v>13</v>
      </c>
      <c r="K8" s="36">
        <v>5</v>
      </c>
      <c r="L8" s="36">
        <v>6</v>
      </c>
      <c r="M8" s="36">
        <v>3</v>
      </c>
      <c r="N8" s="309">
        <v>11</v>
      </c>
      <c r="O8" s="27">
        <f t="shared" si="0"/>
        <v>1.9242352944051324</v>
      </c>
      <c r="P8" s="27">
        <f t="shared" si="1"/>
        <v>4.2333176476912913</v>
      </c>
      <c r="Q8" s="27">
        <f t="shared" si="2"/>
        <v>0.96211764720256621</v>
      </c>
      <c r="R8" s="27">
        <f t="shared" si="3"/>
        <v>14.279696733031276</v>
      </c>
      <c r="S8" s="27">
        <f t="shared" si="4"/>
        <v>1.0564836602691379</v>
      </c>
      <c r="T8" s="27">
        <f t="shared" si="5"/>
        <v>1.8621516342989026</v>
      </c>
      <c r="U8" s="27">
        <f t="shared" si="6"/>
        <v>0.52824183013456893</v>
      </c>
      <c r="V8" s="27">
        <f t="shared" si="7"/>
        <v>1.3469647060835925</v>
      </c>
      <c r="W8" s="27">
        <f t="shared" si="8"/>
        <v>2.8507189546742704</v>
      </c>
      <c r="X8" s="27">
        <f t="shared" si="9"/>
        <v>0.67348235304179627</v>
      </c>
      <c r="Y8" s="27">
        <f t="shared" si="10"/>
        <v>15.126797386685675</v>
      </c>
      <c r="Z8" s="27">
        <f t="shared" si="11"/>
        <v>2.056079738831476</v>
      </c>
      <c r="AA8" s="27">
        <f t="shared" si="12"/>
        <v>3.8478653600638073</v>
      </c>
      <c r="AB8" s="27">
        <f t="shared" si="13"/>
        <v>1.028039869415738</v>
      </c>
      <c r="AC8" s="347">
        <v>800</v>
      </c>
      <c r="AD8" s="348">
        <v>15.4</v>
      </c>
      <c r="AE8" s="346">
        <v>480</v>
      </c>
      <c r="AF8" s="345">
        <v>270</v>
      </c>
      <c r="AG8" s="366">
        <v>100</v>
      </c>
      <c r="AH8" s="358">
        <f t="shared" ref="AH8:AH25" si="18">AC8+(AD8*16*(32-B8-((112-C8)/112)))-AE8</f>
        <v>777.59999999999991</v>
      </c>
      <c r="AI8" s="358">
        <f t="shared" si="14"/>
        <v>1480.4</v>
      </c>
      <c r="AJ8" s="371">
        <f t="shared" si="15"/>
        <v>2143.1999999999998</v>
      </c>
      <c r="AK8" s="358">
        <f t="shared" ref="AK8:AK25" si="19">(AH8)/(32-B8+((112-C8)/112))</f>
        <v>362.88</v>
      </c>
      <c r="AL8" s="358">
        <f t="shared" si="16"/>
        <v>357.33793103448272</v>
      </c>
      <c r="AM8" s="358">
        <f t="shared" si="17"/>
        <v>348.89302325581389</v>
      </c>
    </row>
    <row r="9" spans="1:44" x14ac:dyDescent="0.25">
      <c r="A9" s="306" t="s">
        <v>943</v>
      </c>
      <c r="B9" s="331">
        <v>32</v>
      </c>
      <c r="C9" s="25">
        <v>77</v>
      </c>
      <c r="E9" s="332">
        <v>4</v>
      </c>
      <c r="F9" s="333">
        <v>1</v>
      </c>
      <c r="G9" s="334">
        <v>10</v>
      </c>
      <c r="H9" s="36">
        <v>0</v>
      </c>
      <c r="I9" s="36">
        <v>9</v>
      </c>
      <c r="J9" s="36">
        <v>13</v>
      </c>
      <c r="K9" s="36">
        <v>6</v>
      </c>
      <c r="L9" s="36">
        <v>9</v>
      </c>
      <c r="M9" s="36">
        <v>5</v>
      </c>
      <c r="N9" s="335">
        <v>11</v>
      </c>
      <c r="O9" s="27">
        <f t="shared" si="0"/>
        <v>3.0600000000000005</v>
      </c>
      <c r="P9" s="27">
        <f t="shared" si="1"/>
        <v>6.7320000000000002</v>
      </c>
      <c r="Q9" s="27">
        <f t="shared" si="2"/>
        <v>1.5300000000000002</v>
      </c>
      <c r="R9" s="27">
        <f t="shared" si="3"/>
        <v>14.474666666666666</v>
      </c>
      <c r="S9" s="27">
        <f t="shared" si="4"/>
        <v>1.4733333333333334</v>
      </c>
      <c r="T9" s="27">
        <f t="shared" si="5"/>
        <v>2.6286666666666667</v>
      </c>
      <c r="U9" s="27">
        <f t="shared" si="6"/>
        <v>0.73666666666666669</v>
      </c>
      <c r="V9" s="27">
        <f t="shared" si="7"/>
        <v>2.1420000000000003</v>
      </c>
      <c r="W9" s="27">
        <f t="shared" si="8"/>
        <v>4.5333333333333341</v>
      </c>
      <c r="X9" s="27">
        <f t="shared" si="9"/>
        <v>1.0710000000000002</v>
      </c>
      <c r="Y9" s="27">
        <f t="shared" si="10"/>
        <v>15.333333333333334</v>
      </c>
      <c r="Z9" s="27">
        <f t="shared" si="11"/>
        <v>2.8673333333333337</v>
      </c>
      <c r="AA9" s="27">
        <f t="shared" si="12"/>
        <v>5.4046666666666674</v>
      </c>
      <c r="AB9" s="27">
        <f t="shared" si="13"/>
        <v>1.4336666666666669</v>
      </c>
      <c r="AC9" s="347">
        <v>1200</v>
      </c>
      <c r="AD9" s="348">
        <v>10.7</v>
      </c>
      <c r="AE9" s="365"/>
      <c r="AF9" s="345">
        <v>850</v>
      </c>
      <c r="AG9" s="366">
        <v>610</v>
      </c>
      <c r="AH9" s="358"/>
      <c r="AI9" s="358">
        <f t="shared" si="14"/>
        <v>638.90000000000009</v>
      </c>
      <c r="AJ9" s="371">
        <f t="shared" si="15"/>
        <v>1221.3</v>
      </c>
      <c r="AK9" s="358"/>
      <c r="AL9" s="358">
        <f t="shared" si="16"/>
        <v>276.28108108108114</v>
      </c>
      <c r="AM9" s="358">
        <f t="shared" si="17"/>
        <v>283.2</v>
      </c>
    </row>
    <row r="10" spans="1:44" x14ac:dyDescent="0.25">
      <c r="A10" s="306"/>
      <c r="B10" s="331"/>
      <c r="C10" s="25"/>
      <c r="E10" s="332"/>
      <c r="F10" s="333"/>
      <c r="G10" s="334"/>
      <c r="H10" s="36"/>
      <c r="I10" s="36"/>
      <c r="J10" s="36"/>
      <c r="K10" s="36"/>
      <c r="L10" s="36"/>
      <c r="M10" s="36"/>
      <c r="N10" s="335"/>
      <c r="O10" s="27" t="e">
        <f t="shared" si="0"/>
        <v>#NUM!</v>
      </c>
      <c r="P10" s="27" t="e">
        <f t="shared" si="1"/>
        <v>#NUM!</v>
      </c>
      <c r="Q10" s="27" t="e">
        <f t="shared" si="2"/>
        <v>#NUM!</v>
      </c>
      <c r="R10" s="27" t="e">
        <f t="shared" si="3"/>
        <v>#NUM!</v>
      </c>
      <c r="S10" s="27" t="e">
        <f t="shared" si="4"/>
        <v>#NUM!</v>
      </c>
      <c r="T10" s="27" t="e">
        <f t="shared" si="5"/>
        <v>#NUM!</v>
      </c>
      <c r="U10" s="27" t="e">
        <f t="shared" si="6"/>
        <v>#NUM!</v>
      </c>
      <c r="V10" s="27" t="e">
        <f t="shared" si="7"/>
        <v>#NUM!</v>
      </c>
      <c r="W10" s="27" t="e">
        <f t="shared" si="8"/>
        <v>#NUM!</v>
      </c>
      <c r="X10" s="27" t="e">
        <f t="shared" si="9"/>
        <v>#NUM!</v>
      </c>
      <c r="Y10" s="27" t="e">
        <f t="shared" si="10"/>
        <v>#NUM!</v>
      </c>
      <c r="Z10" s="27" t="e">
        <f t="shared" si="11"/>
        <v>#NUM!</v>
      </c>
      <c r="AA10" s="27" t="e">
        <f t="shared" si="12"/>
        <v>#NUM!</v>
      </c>
      <c r="AB10" s="27" t="e">
        <f t="shared" si="13"/>
        <v>#NUM!</v>
      </c>
      <c r="AC10" s="347"/>
      <c r="AD10" s="348"/>
      <c r="AE10" s="346"/>
      <c r="AG10" s="366"/>
      <c r="AH10" s="358">
        <f t="shared" si="18"/>
        <v>0</v>
      </c>
      <c r="AI10" s="358">
        <f t="shared" si="14"/>
        <v>0</v>
      </c>
      <c r="AJ10" s="371">
        <f t="shared" si="15"/>
        <v>0</v>
      </c>
      <c r="AK10" s="358">
        <f t="shared" si="19"/>
        <v>0</v>
      </c>
      <c r="AL10" s="358">
        <f t="shared" si="16"/>
        <v>0</v>
      </c>
      <c r="AM10" s="358">
        <f t="shared" si="17"/>
        <v>0</v>
      </c>
    </row>
    <row r="11" spans="1:44" x14ac:dyDescent="0.25">
      <c r="A11" s="306"/>
      <c r="B11" s="239"/>
      <c r="C11" s="25"/>
      <c r="E11" s="305"/>
      <c r="F11" s="307"/>
      <c r="G11" s="308"/>
      <c r="H11" s="36"/>
      <c r="I11" s="36"/>
      <c r="J11" s="36"/>
      <c r="K11" s="36"/>
      <c r="L11" s="36"/>
      <c r="M11" s="36"/>
      <c r="N11" s="309"/>
      <c r="O11" s="27" t="e">
        <f t="shared" si="0"/>
        <v>#NUM!</v>
      </c>
      <c r="P11" s="27" t="e">
        <f t="shared" si="1"/>
        <v>#NUM!</v>
      </c>
      <c r="Q11" s="27" t="e">
        <f t="shared" si="2"/>
        <v>#NUM!</v>
      </c>
      <c r="R11" s="27" t="e">
        <f t="shared" si="3"/>
        <v>#NUM!</v>
      </c>
      <c r="S11" s="27" t="e">
        <f t="shared" si="4"/>
        <v>#NUM!</v>
      </c>
      <c r="T11" s="27" t="e">
        <f t="shared" si="5"/>
        <v>#NUM!</v>
      </c>
      <c r="U11" s="27" t="e">
        <f t="shared" si="6"/>
        <v>#NUM!</v>
      </c>
      <c r="V11" s="27" t="e">
        <f t="shared" si="7"/>
        <v>#NUM!</v>
      </c>
      <c r="W11" s="27" t="e">
        <f t="shared" si="8"/>
        <v>#NUM!</v>
      </c>
      <c r="X11" s="27" t="e">
        <f t="shared" si="9"/>
        <v>#NUM!</v>
      </c>
      <c r="Y11" s="27" t="e">
        <f t="shared" si="10"/>
        <v>#NUM!</v>
      </c>
      <c r="Z11" s="27" t="e">
        <f t="shared" si="11"/>
        <v>#NUM!</v>
      </c>
      <c r="AA11" s="27" t="e">
        <f t="shared" si="12"/>
        <v>#NUM!</v>
      </c>
      <c r="AB11" s="27" t="e">
        <f t="shared" si="13"/>
        <v>#NUM!</v>
      </c>
      <c r="AC11" s="347"/>
      <c r="AD11" s="348"/>
      <c r="AE11" s="346"/>
      <c r="AG11" s="366"/>
      <c r="AH11" s="358">
        <f t="shared" si="18"/>
        <v>0</v>
      </c>
      <c r="AI11" s="358">
        <f t="shared" si="14"/>
        <v>0</v>
      </c>
      <c r="AJ11" s="371">
        <f t="shared" si="15"/>
        <v>0</v>
      </c>
      <c r="AK11" s="358">
        <f t="shared" si="19"/>
        <v>0</v>
      </c>
      <c r="AL11" s="358">
        <f t="shared" si="16"/>
        <v>0</v>
      </c>
      <c r="AM11" s="358">
        <f t="shared" si="17"/>
        <v>0</v>
      </c>
    </row>
    <row r="12" spans="1:44" x14ac:dyDescent="0.25">
      <c r="A12" s="306"/>
      <c r="B12" s="239"/>
      <c r="C12" s="25"/>
      <c r="E12" s="305"/>
      <c r="F12" s="307"/>
      <c r="G12" s="308"/>
      <c r="H12" s="36"/>
      <c r="I12" s="36"/>
      <c r="J12" s="36"/>
      <c r="K12" s="36"/>
      <c r="L12" s="36"/>
      <c r="M12" s="36"/>
      <c r="N12" s="309"/>
      <c r="O12" s="27" t="e">
        <f t="shared" si="0"/>
        <v>#NUM!</v>
      </c>
      <c r="P12" s="27" t="e">
        <f t="shared" si="1"/>
        <v>#NUM!</v>
      </c>
      <c r="Q12" s="27" t="e">
        <f t="shared" si="2"/>
        <v>#NUM!</v>
      </c>
      <c r="R12" s="27" t="e">
        <f t="shared" si="3"/>
        <v>#NUM!</v>
      </c>
      <c r="S12" s="27" t="e">
        <f t="shared" si="4"/>
        <v>#NUM!</v>
      </c>
      <c r="T12" s="27" t="e">
        <f t="shared" si="5"/>
        <v>#NUM!</v>
      </c>
      <c r="U12" s="27" t="e">
        <f t="shared" si="6"/>
        <v>#NUM!</v>
      </c>
      <c r="V12" s="27" t="e">
        <f t="shared" si="7"/>
        <v>#NUM!</v>
      </c>
      <c r="W12" s="27" t="e">
        <f t="shared" si="8"/>
        <v>#NUM!</v>
      </c>
      <c r="X12" s="27" t="e">
        <f t="shared" si="9"/>
        <v>#NUM!</v>
      </c>
      <c r="Y12" s="27" t="e">
        <f t="shared" si="10"/>
        <v>#NUM!</v>
      </c>
      <c r="Z12" s="27" t="e">
        <f t="shared" si="11"/>
        <v>#NUM!</v>
      </c>
      <c r="AA12" s="27" t="e">
        <f t="shared" si="12"/>
        <v>#NUM!</v>
      </c>
      <c r="AB12" s="27" t="e">
        <f t="shared" si="13"/>
        <v>#NUM!</v>
      </c>
      <c r="AC12" s="347"/>
      <c r="AD12" s="348"/>
      <c r="AE12" s="346"/>
      <c r="AG12" s="366"/>
      <c r="AH12" s="358">
        <f t="shared" si="18"/>
        <v>0</v>
      </c>
      <c r="AI12" s="358">
        <f t="shared" si="14"/>
        <v>0</v>
      </c>
      <c r="AJ12" s="371">
        <f t="shared" si="15"/>
        <v>0</v>
      </c>
      <c r="AK12" s="358">
        <f t="shared" si="19"/>
        <v>0</v>
      </c>
      <c r="AL12" s="358">
        <f t="shared" si="16"/>
        <v>0</v>
      </c>
      <c r="AM12" s="358">
        <f t="shared" si="17"/>
        <v>0</v>
      </c>
    </row>
    <row r="13" spans="1:44" x14ac:dyDescent="0.25">
      <c r="A13" s="306"/>
      <c r="B13" s="239"/>
      <c r="C13" s="25"/>
      <c r="E13" s="305"/>
      <c r="F13" s="307"/>
      <c r="G13" s="308"/>
      <c r="H13" s="36"/>
      <c r="I13" s="36"/>
      <c r="J13" s="36"/>
      <c r="K13" s="36"/>
      <c r="L13" s="36"/>
      <c r="M13" s="36"/>
      <c r="N13" s="309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347"/>
      <c r="AD13" s="348"/>
      <c r="AE13" s="346"/>
      <c r="AG13" s="366"/>
      <c r="AH13" s="358">
        <f t="shared" si="18"/>
        <v>0</v>
      </c>
      <c r="AI13" s="358">
        <f t="shared" si="14"/>
        <v>0</v>
      </c>
      <c r="AJ13" s="371">
        <f t="shared" si="15"/>
        <v>0</v>
      </c>
      <c r="AK13" s="358">
        <f t="shared" si="19"/>
        <v>0</v>
      </c>
      <c r="AL13" s="358">
        <f t="shared" si="16"/>
        <v>0</v>
      </c>
      <c r="AM13" s="358">
        <f t="shared" si="17"/>
        <v>0</v>
      </c>
    </row>
    <row r="14" spans="1:44" x14ac:dyDescent="0.25">
      <c r="A14" s="306"/>
      <c r="B14" s="239"/>
      <c r="C14" s="25"/>
      <c r="E14" s="305"/>
      <c r="F14" s="307"/>
      <c r="G14" s="308"/>
      <c r="H14" s="36"/>
      <c r="I14" s="36"/>
      <c r="J14" s="36"/>
      <c r="K14" s="36"/>
      <c r="L14" s="36"/>
      <c r="M14" s="36"/>
      <c r="N14" s="309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347"/>
      <c r="AD14" s="348"/>
      <c r="AE14" s="346"/>
      <c r="AG14" s="366"/>
      <c r="AH14" s="358">
        <f t="shared" si="18"/>
        <v>0</v>
      </c>
      <c r="AI14" s="358">
        <f t="shared" si="14"/>
        <v>0</v>
      </c>
      <c r="AJ14" s="371">
        <f t="shared" si="15"/>
        <v>0</v>
      </c>
      <c r="AK14" s="358">
        <f t="shared" si="19"/>
        <v>0</v>
      </c>
      <c r="AL14" s="358">
        <f t="shared" si="16"/>
        <v>0</v>
      </c>
      <c r="AM14" s="358">
        <f t="shared" si="17"/>
        <v>0</v>
      </c>
    </row>
    <row r="15" spans="1:44" x14ac:dyDescent="0.25">
      <c r="A15" s="306"/>
      <c r="B15" s="239"/>
      <c r="C15" s="25"/>
      <c r="E15" s="305"/>
      <c r="F15" s="307"/>
      <c r="G15" s="308"/>
      <c r="H15" s="36"/>
      <c r="I15" s="36"/>
      <c r="J15" s="36"/>
      <c r="K15" s="36"/>
      <c r="L15" s="36"/>
      <c r="M15" s="36"/>
      <c r="N15" s="309"/>
      <c r="O15" s="27" t="e">
        <f t="shared" si="0"/>
        <v>#NUM!</v>
      </c>
      <c r="P15" s="27" t="e">
        <f t="shared" si="1"/>
        <v>#NUM!</v>
      </c>
      <c r="Q15" s="27" t="e">
        <f t="shared" si="2"/>
        <v>#NUM!</v>
      </c>
      <c r="R15" s="27" t="e">
        <f t="shared" si="3"/>
        <v>#NUM!</v>
      </c>
      <c r="S15" s="27" t="e">
        <f t="shared" si="4"/>
        <v>#NUM!</v>
      </c>
      <c r="T15" s="27" t="e">
        <f t="shared" si="5"/>
        <v>#NUM!</v>
      </c>
      <c r="U15" s="27" t="e">
        <f t="shared" si="6"/>
        <v>#NUM!</v>
      </c>
      <c r="V15" s="27" t="e">
        <f t="shared" si="7"/>
        <v>#NUM!</v>
      </c>
      <c r="W15" s="27" t="e">
        <f t="shared" si="8"/>
        <v>#NUM!</v>
      </c>
      <c r="X15" s="27" t="e">
        <f t="shared" si="9"/>
        <v>#NUM!</v>
      </c>
      <c r="Y15" s="27" t="e">
        <f t="shared" si="10"/>
        <v>#NUM!</v>
      </c>
      <c r="Z15" s="27" t="e">
        <f t="shared" si="11"/>
        <v>#NUM!</v>
      </c>
      <c r="AA15" s="27" t="e">
        <f t="shared" si="12"/>
        <v>#NUM!</v>
      </c>
      <c r="AB15" s="27" t="e">
        <f t="shared" si="13"/>
        <v>#NUM!</v>
      </c>
      <c r="AC15" s="347"/>
      <c r="AD15" s="348"/>
      <c r="AE15" s="346"/>
      <c r="AG15" s="366"/>
      <c r="AH15" s="358">
        <f t="shared" si="18"/>
        <v>0</v>
      </c>
      <c r="AI15" s="358">
        <f t="shared" si="14"/>
        <v>0</v>
      </c>
      <c r="AJ15" s="371">
        <f t="shared" si="15"/>
        <v>0</v>
      </c>
      <c r="AK15" s="358">
        <f t="shared" si="19"/>
        <v>0</v>
      </c>
      <c r="AL15" s="358">
        <f t="shared" si="16"/>
        <v>0</v>
      </c>
      <c r="AM15" s="358">
        <f t="shared" si="17"/>
        <v>0</v>
      </c>
    </row>
    <row r="16" spans="1:44" x14ac:dyDescent="0.25">
      <c r="A16" s="306"/>
      <c r="B16" s="239"/>
      <c r="C16" s="25"/>
      <c r="E16" s="305"/>
      <c r="F16" s="307"/>
      <c r="G16" s="308"/>
      <c r="H16" s="36"/>
      <c r="I16" s="36"/>
      <c r="J16" s="36"/>
      <c r="K16" s="36"/>
      <c r="L16" s="36"/>
      <c r="M16" s="36"/>
      <c r="N16" s="309"/>
      <c r="O16" s="27" t="e">
        <f t="shared" si="0"/>
        <v>#NUM!</v>
      </c>
      <c r="P16" s="27" t="e">
        <f t="shared" si="1"/>
        <v>#NUM!</v>
      </c>
      <c r="Q16" s="27" t="e">
        <f t="shared" si="2"/>
        <v>#NUM!</v>
      </c>
      <c r="R16" s="27" t="e">
        <f t="shared" si="3"/>
        <v>#NUM!</v>
      </c>
      <c r="S16" s="27" t="e">
        <f t="shared" si="4"/>
        <v>#NUM!</v>
      </c>
      <c r="T16" s="27" t="e">
        <f t="shared" si="5"/>
        <v>#NUM!</v>
      </c>
      <c r="U16" s="27" t="e">
        <f t="shared" si="6"/>
        <v>#NUM!</v>
      </c>
      <c r="V16" s="27" t="e">
        <f t="shared" si="7"/>
        <v>#NUM!</v>
      </c>
      <c r="W16" s="27" t="e">
        <f t="shared" si="8"/>
        <v>#NUM!</v>
      </c>
      <c r="X16" s="27" t="e">
        <f t="shared" si="9"/>
        <v>#NUM!</v>
      </c>
      <c r="Y16" s="27" t="e">
        <f t="shared" si="10"/>
        <v>#NUM!</v>
      </c>
      <c r="Z16" s="27" t="e">
        <f t="shared" si="11"/>
        <v>#NUM!</v>
      </c>
      <c r="AA16" s="27" t="e">
        <f t="shared" si="12"/>
        <v>#NUM!</v>
      </c>
      <c r="AB16" s="27" t="e">
        <f t="shared" si="13"/>
        <v>#NUM!</v>
      </c>
      <c r="AC16" s="347"/>
      <c r="AD16" s="348"/>
      <c r="AE16" s="346"/>
      <c r="AG16" s="366"/>
      <c r="AH16" s="358">
        <f t="shared" si="18"/>
        <v>0</v>
      </c>
      <c r="AI16" s="358">
        <f t="shared" si="14"/>
        <v>0</v>
      </c>
      <c r="AJ16" s="371">
        <f t="shared" si="15"/>
        <v>0</v>
      </c>
      <c r="AK16" s="358">
        <f t="shared" si="19"/>
        <v>0</v>
      </c>
      <c r="AL16" s="358">
        <f t="shared" si="16"/>
        <v>0</v>
      </c>
      <c r="AM16" s="358">
        <f t="shared" si="17"/>
        <v>0</v>
      </c>
    </row>
    <row r="17" spans="1:41" x14ac:dyDescent="0.25">
      <c r="A17" s="306"/>
      <c r="B17" s="239"/>
      <c r="C17" s="25"/>
      <c r="E17" s="305"/>
      <c r="F17" s="307"/>
      <c r="G17" s="308"/>
      <c r="H17" s="36"/>
      <c r="I17" s="36"/>
      <c r="J17" s="36"/>
      <c r="K17" s="36"/>
      <c r="L17" s="36"/>
      <c r="M17" s="36"/>
      <c r="N17" s="309"/>
      <c r="O17" s="27" t="e">
        <f t="shared" si="0"/>
        <v>#NUM!</v>
      </c>
      <c r="P17" s="27" t="e">
        <f t="shared" si="1"/>
        <v>#NUM!</v>
      </c>
      <c r="Q17" s="27" t="e">
        <f t="shared" si="2"/>
        <v>#NUM!</v>
      </c>
      <c r="R17" s="27" t="e">
        <f t="shared" si="3"/>
        <v>#NUM!</v>
      </c>
      <c r="S17" s="27" t="e">
        <f t="shared" si="4"/>
        <v>#NUM!</v>
      </c>
      <c r="T17" s="27" t="e">
        <f t="shared" si="5"/>
        <v>#NUM!</v>
      </c>
      <c r="U17" s="27" t="e">
        <f t="shared" si="6"/>
        <v>#NUM!</v>
      </c>
      <c r="V17" s="27" t="e">
        <f t="shared" si="7"/>
        <v>#NUM!</v>
      </c>
      <c r="W17" s="27" t="e">
        <f t="shared" si="8"/>
        <v>#NUM!</v>
      </c>
      <c r="X17" s="27" t="e">
        <f t="shared" si="9"/>
        <v>#NUM!</v>
      </c>
      <c r="Y17" s="27" t="e">
        <f t="shared" si="10"/>
        <v>#NUM!</v>
      </c>
      <c r="Z17" s="27" t="e">
        <f t="shared" si="11"/>
        <v>#NUM!</v>
      </c>
      <c r="AA17" s="27" t="e">
        <f t="shared" si="12"/>
        <v>#NUM!</v>
      </c>
      <c r="AB17" s="27" t="e">
        <f t="shared" si="13"/>
        <v>#NUM!</v>
      </c>
      <c r="AC17" s="347"/>
      <c r="AD17" s="348"/>
      <c r="AE17" s="346"/>
      <c r="AG17" s="366"/>
      <c r="AH17" s="358">
        <f t="shared" si="18"/>
        <v>0</v>
      </c>
      <c r="AI17" s="358">
        <f t="shared" si="14"/>
        <v>0</v>
      </c>
      <c r="AJ17" s="371">
        <f t="shared" si="15"/>
        <v>0</v>
      </c>
      <c r="AK17" s="358">
        <f t="shared" si="19"/>
        <v>0</v>
      </c>
      <c r="AL17" s="358">
        <f t="shared" si="16"/>
        <v>0</v>
      </c>
      <c r="AM17" s="358">
        <f t="shared" si="17"/>
        <v>0</v>
      </c>
    </row>
    <row r="18" spans="1:41" x14ac:dyDescent="0.25">
      <c r="A18" s="306"/>
      <c r="B18" s="239"/>
      <c r="C18" s="25"/>
      <c r="E18" s="305"/>
      <c r="F18" s="307"/>
      <c r="G18" s="308"/>
      <c r="H18" s="36"/>
      <c r="I18" s="36"/>
      <c r="J18" s="36"/>
      <c r="K18" s="36"/>
      <c r="L18" s="36"/>
      <c r="M18" s="36"/>
      <c r="N18" s="309"/>
      <c r="O18" s="27" t="e">
        <f t="shared" si="0"/>
        <v>#NUM!</v>
      </c>
      <c r="P18" s="27" t="e">
        <f t="shared" si="1"/>
        <v>#NUM!</v>
      </c>
      <c r="Q18" s="27" t="e">
        <f t="shared" si="2"/>
        <v>#NUM!</v>
      </c>
      <c r="R18" s="27" t="e">
        <f t="shared" si="3"/>
        <v>#NUM!</v>
      </c>
      <c r="S18" s="27" t="e">
        <f t="shared" si="4"/>
        <v>#NUM!</v>
      </c>
      <c r="T18" s="27" t="e">
        <f t="shared" si="5"/>
        <v>#NUM!</v>
      </c>
      <c r="U18" s="27" t="e">
        <f t="shared" si="6"/>
        <v>#NUM!</v>
      </c>
      <c r="V18" s="27" t="e">
        <f t="shared" si="7"/>
        <v>#NUM!</v>
      </c>
      <c r="W18" s="27" t="e">
        <f t="shared" si="8"/>
        <v>#NUM!</v>
      </c>
      <c r="X18" s="27" t="e">
        <f t="shared" si="9"/>
        <v>#NUM!</v>
      </c>
      <c r="Y18" s="27" t="e">
        <f t="shared" si="10"/>
        <v>#NUM!</v>
      </c>
      <c r="Z18" s="27" t="e">
        <f t="shared" si="11"/>
        <v>#NUM!</v>
      </c>
      <c r="AA18" s="27" t="e">
        <f t="shared" si="12"/>
        <v>#NUM!</v>
      </c>
      <c r="AB18" s="27" t="e">
        <f t="shared" si="13"/>
        <v>#NUM!</v>
      </c>
      <c r="AC18" s="347"/>
      <c r="AD18" s="348"/>
      <c r="AE18" s="346"/>
      <c r="AG18" s="366"/>
      <c r="AH18" s="358">
        <f t="shared" si="18"/>
        <v>0</v>
      </c>
      <c r="AI18" s="358">
        <f t="shared" si="14"/>
        <v>0</v>
      </c>
      <c r="AJ18" s="371">
        <f t="shared" si="15"/>
        <v>0</v>
      </c>
      <c r="AK18" s="358">
        <f t="shared" si="19"/>
        <v>0</v>
      </c>
      <c r="AL18" s="358">
        <f t="shared" si="16"/>
        <v>0</v>
      </c>
      <c r="AM18" s="358">
        <f t="shared" si="17"/>
        <v>0</v>
      </c>
    </row>
    <row r="19" spans="1:41" x14ac:dyDescent="0.25">
      <c r="A19" s="306"/>
      <c r="B19" s="239"/>
      <c r="C19" s="25"/>
      <c r="E19" s="305"/>
      <c r="F19" s="307"/>
      <c r="G19" s="308"/>
      <c r="H19" s="36"/>
      <c r="I19" s="36"/>
      <c r="J19" s="36"/>
      <c r="K19" s="36"/>
      <c r="L19" s="36"/>
      <c r="M19" s="36"/>
      <c r="N19" s="309"/>
      <c r="O19" s="27" t="e">
        <f t="shared" si="0"/>
        <v>#NUM!</v>
      </c>
      <c r="P19" s="27" t="e">
        <f t="shared" si="1"/>
        <v>#NUM!</v>
      </c>
      <c r="Q19" s="27" t="e">
        <f t="shared" si="2"/>
        <v>#NUM!</v>
      </c>
      <c r="R19" s="27" t="e">
        <f t="shared" si="3"/>
        <v>#NUM!</v>
      </c>
      <c r="S19" s="27" t="e">
        <f t="shared" si="4"/>
        <v>#NUM!</v>
      </c>
      <c r="T19" s="27" t="e">
        <f t="shared" si="5"/>
        <v>#NUM!</v>
      </c>
      <c r="U19" s="27" t="e">
        <f t="shared" si="6"/>
        <v>#NUM!</v>
      </c>
      <c r="V19" s="27" t="e">
        <f t="shared" si="7"/>
        <v>#NUM!</v>
      </c>
      <c r="W19" s="27" t="e">
        <f t="shared" si="8"/>
        <v>#NUM!</v>
      </c>
      <c r="X19" s="27" t="e">
        <f t="shared" si="9"/>
        <v>#NUM!</v>
      </c>
      <c r="Y19" s="27" t="e">
        <f t="shared" si="10"/>
        <v>#NUM!</v>
      </c>
      <c r="Z19" s="27" t="e">
        <f t="shared" si="11"/>
        <v>#NUM!</v>
      </c>
      <c r="AA19" s="27" t="e">
        <f t="shared" si="12"/>
        <v>#NUM!</v>
      </c>
      <c r="AB19" s="27" t="e">
        <f t="shared" si="13"/>
        <v>#NUM!</v>
      </c>
      <c r="AC19" s="376"/>
      <c r="AD19" s="348"/>
      <c r="AE19" s="346"/>
      <c r="AG19" s="366"/>
      <c r="AH19" s="358">
        <f t="shared" si="18"/>
        <v>0</v>
      </c>
      <c r="AI19" s="358">
        <f t="shared" si="14"/>
        <v>0</v>
      </c>
      <c r="AJ19" s="371">
        <f t="shared" si="15"/>
        <v>0</v>
      </c>
      <c r="AK19" s="358">
        <f t="shared" si="19"/>
        <v>0</v>
      </c>
      <c r="AL19" s="358">
        <f t="shared" si="16"/>
        <v>0</v>
      </c>
      <c r="AM19" s="358">
        <f t="shared" si="17"/>
        <v>0</v>
      </c>
      <c r="AN19" s="361"/>
      <c r="AO19" s="361"/>
    </row>
    <row r="20" spans="1:41" x14ac:dyDescent="0.25">
      <c r="A20" s="306"/>
      <c r="B20" s="239"/>
      <c r="C20" s="25"/>
      <c r="E20" s="305"/>
      <c r="F20" s="307"/>
      <c r="G20" s="308"/>
      <c r="H20" s="36"/>
      <c r="I20" s="36"/>
      <c r="J20" s="36"/>
      <c r="K20" s="36"/>
      <c r="L20" s="36"/>
      <c r="M20" s="36"/>
      <c r="N20" s="309"/>
      <c r="O20" s="27" t="e">
        <f t="shared" si="0"/>
        <v>#NUM!</v>
      </c>
      <c r="P20" s="27" t="e">
        <f t="shared" si="1"/>
        <v>#NUM!</v>
      </c>
      <c r="Q20" s="27" t="e">
        <f t="shared" si="2"/>
        <v>#NUM!</v>
      </c>
      <c r="R20" s="27" t="e">
        <f t="shared" si="3"/>
        <v>#NUM!</v>
      </c>
      <c r="S20" s="27" t="e">
        <f t="shared" si="4"/>
        <v>#NUM!</v>
      </c>
      <c r="T20" s="27" t="e">
        <f t="shared" si="5"/>
        <v>#NUM!</v>
      </c>
      <c r="U20" s="27" t="e">
        <f t="shared" si="6"/>
        <v>#NUM!</v>
      </c>
      <c r="V20" s="27" t="e">
        <f t="shared" si="7"/>
        <v>#NUM!</v>
      </c>
      <c r="W20" s="27" t="e">
        <f t="shared" si="8"/>
        <v>#NUM!</v>
      </c>
      <c r="X20" s="27" t="e">
        <f t="shared" si="9"/>
        <v>#NUM!</v>
      </c>
      <c r="Y20" s="27" t="e">
        <f t="shared" si="10"/>
        <v>#NUM!</v>
      </c>
      <c r="Z20" s="27" t="e">
        <f t="shared" si="11"/>
        <v>#NUM!</v>
      </c>
      <c r="AA20" s="27" t="e">
        <f t="shared" si="12"/>
        <v>#NUM!</v>
      </c>
      <c r="AB20" s="27" t="e">
        <f t="shared" si="13"/>
        <v>#NUM!</v>
      </c>
      <c r="AC20" s="347"/>
      <c r="AD20" s="348"/>
      <c r="AE20" s="346"/>
      <c r="AG20" s="366"/>
      <c r="AH20" s="358">
        <f t="shared" si="18"/>
        <v>0</v>
      </c>
      <c r="AI20" s="358">
        <f t="shared" si="14"/>
        <v>0</v>
      </c>
      <c r="AJ20" s="371">
        <f t="shared" si="15"/>
        <v>0</v>
      </c>
      <c r="AK20" s="358">
        <f t="shared" si="19"/>
        <v>0</v>
      </c>
      <c r="AL20" s="358">
        <f t="shared" si="16"/>
        <v>0</v>
      </c>
      <c r="AM20" s="358">
        <f t="shared" si="17"/>
        <v>0</v>
      </c>
    </row>
    <row r="21" spans="1:41" x14ac:dyDescent="0.25">
      <c r="A21" s="306"/>
      <c r="B21" s="239"/>
      <c r="C21" s="25"/>
      <c r="E21" s="305"/>
      <c r="F21" s="307"/>
      <c r="G21" s="308"/>
      <c r="H21" s="36"/>
      <c r="I21" s="36"/>
      <c r="J21" s="36"/>
      <c r="K21" s="36"/>
      <c r="L21" s="36"/>
      <c r="M21" s="36"/>
      <c r="N21" s="309"/>
      <c r="O21" s="27" t="e">
        <f t="shared" si="0"/>
        <v>#NUM!</v>
      </c>
      <c r="P21" s="27" t="e">
        <f t="shared" si="1"/>
        <v>#NUM!</v>
      </c>
      <c r="Q21" s="27" t="e">
        <f t="shared" si="2"/>
        <v>#NUM!</v>
      </c>
      <c r="R21" s="27" t="e">
        <f t="shared" si="3"/>
        <v>#NUM!</v>
      </c>
      <c r="S21" s="27" t="e">
        <f t="shared" si="4"/>
        <v>#NUM!</v>
      </c>
      <c r="T21" s="27" t="e">
        <f t="shared" si="5"/>
        <v>#NUM!</v>
      </c>
      <c r="U21" s="27" t="e">
        <f t="shared" si="6"/>
        <v>#NUM!</v>
      </c>
      <c r="V21" s="27" t="e">
        <f t="shared" si="7"/>
        <v>#NUM!</v>
      </c>
      <c r="W21" s="27" t="e">
        <f t="shared" si="8"/>
        <v>#NUM!</v>
      </c>
      <c r="X21" s="27" t="e">
        <f t="shared" si="9"/>
        <v>#NUM!</v>
      </c>
      <c r="Y21" s="27" t="e">
        <f t="shared" si="10"/>
        <v>#NUM!</v>
      </c>
      <c r="Z21" s="27" t="e">
        <f t="shared" si="11"/>
        <v>#NUM!</v>
      </c>
      <c r="AA21" s="27" t="e">
        <f t="shared" si="12"/>
        <v>#NUM!</v>
      </c>
      <c r="AB21" s="27" t="e">
        <f t="shared" si="13"/>
        <v>#NUM!</v>
      </c>
      <c r="AC21" s="376"/>
      <c r="AD21" s="348"/>
      <c r="AE21" s="346"/>
      <c r="AG21" s="366"/>
      <c r="AH21" s="358">
        <f t="shared" si="18"/>
        <v>0</v>
      </c>
      <c r="AI21" s="358">
        <f t="shared" si="14"/>
        <v>0</v>
      </c>
      <c r="AJ21" s="371">
        <f t="shared" si="15"/>
        <v>0</v>
      </c>
      <c r="AK21" s="358">
        <f t="shared" si="19"/>
        <v>0</v>
      </c>
      <c r="AL21" s="358">
        <f t="shared" si="16"/>
        <v>0</v>
      </c>
      <c r="AM21" s="358">
        <f t="shared" si="17"/>
        <v>0</v>
      </c>
    </row>
    <row r="22" spans="1:41" x14ac:dyDescent="0.25">
      <c r="A22" s="306"/>
      <c r="B22" s="239"/>
      <c r="C22" s="25"/>
      <c r="E22" s="305"/>
      <c r="F22" s="307"/>
      <c r="G22" s="308"/>
      <c r="H22" s="36"/>
      <c r="I22" s="36"/>
      <c r="J22" s="36"/>
      <c r="K22" s="36"/>
      <c r="L22" s="36"/>
      <c r="M22" s="36"/>
      <c r="N22" s="309"/>
      <c r="O22" s="27" t="e">
        <f t="shared" si="0"/>
        <v>#NUM!</v>
      </c>
      <c r="P22" s="27" t="e">
        <f t="shared" si="1"/>
        <v>#NUM!</v>
      </c>
      <c r="Q22" s="27" t="e">
        <f t="shared" si="2"/>
        <v>#NUM!</v>
      </c>
      <c r="R22" s="27" t="e">
        <f t="shared" si="3"/>
        <v>#NUM!</v>
      </c>
      <c r="S22" s="27" t="e">
        <f t="shared" si="4"/>
        <v>#NUM!</v>
      </c>
      <c r="T22" s="27" t="e">
        <f t="shared" si="5"/>
        <v>#NUM!</v>
      </c>
      <c r="U22" s="27" t="e">
        <f t="shared" si="6"/>
        <v>#NUM!</v>
      </c>
      <c r="V22" s="27" t="e">
        <f t="shared" si="7"/>
        <v>#NUM!</v>
      </c>
      <c r="W22" s="27" t="e">
        <f t="shared" si="8"/>
        <v>#NUM!</v>
      </c>
      <c r="X22" s="27" t="e">
        <f t="shared" si="9"/>
        <v>#NUM!</v>
      </c>
      <c r="Y22" s="27" t="e">
        <f t="shared" si="10"/>
        <v>#NUM!</v>
      </c>
      <c r="Z22" s="27" t="e">
        <f t="shared" si="11"/>
        <v>#NUM!</v>
      </c>
      <c r="AA22" s="27" t="e">
        <f t="shared" si="12"/>
        <v>#NUM!</v>
      </c>
      <c r="AB22" s="27" t="e">
        <f t="shared" si="13"/>
        <v>#NUM!</v>
      </c>
      <c r="AC22" s="347"/>
      <c r="AD22" s="348"/>
      <c r="AE22" s="346"/>
      <c r="AG22" s="366"/>
      <c r="AH22" s="358">
        <f t="shared" si="18"/>
        <v>0</v>
      </c>
      <c r="AI22" s="358">
        <f t="shared" si="14"/>
        <v>0</v>
      </c>
      <c r="AJ22" s="371">
        <f t="shared" si="15"/>
        <v>0</v>
      </c>
      <c r="AK22" s="358">
        <f t="shared" si="19"/>
        <v>0</v>
      </c>
      <c r="AL22" s="358">
        <f t="shared" si="16"/>
        <v>0</v>
      </c>
      <c r="AM22" s="358">
        <f t="shared" si="17"/>
        <v>0</v>
      </c>
    </row>
    <row r="23" spans="1:41" x14ac:dyDescent="0.25">
      <c r="A23" s="306"/>
      <c r="B23" s="239"/>
      <c r="C23" s="25"/>
      <c r="E23" s="305"/>
      <c r="F23" s="307"/>
      <c r="G23" s="308"/>
      <c r="H23" s="36"/>
      <c r="I23" s="36"/>
      <c r="J23" s="36"/>
      <c r="K23" s="36"/>
      <c r="L23" s="36"/>
      <c r="M23" s="36"/>
      <c r="N23" s="309"/>
      <c r="O23" s="27" t="e">
        <f t="shared" si="0"/>
        <v>#NUM!</v>
      </c>
      <c r="P23" s="27" t="e">
        <f t="shared" si="1"/>
        <v>#NUM!</v>
      </c>
      <c r="Q23" s="27" t="e">
        <f t="shared" si="2"/>
        <v>#NUM!</v>
      </c>
      <c r="R23" s="27" t="e">
        <f t="shared" si="3"/>
        <v>#NUM!</v>
      </c>
      <c r="S23" s="27" t="e">
        <f t="shared" si="4"/>
        <v>#NUM!</v>
      </c>
      <c r="T23" s="27" t="e">
        <f t="shared" si="5"/>
        <v>#NUM!</v>
      </c>
      <c r="U23" s="27" t="e">
        <f t="shared" si="6"/>
        <v>#NUM!</v>
      </c>
      <c r="V23" s="27" t="e">
        <f t="shared" si="7"/>
        <v>#NUM!</v>
      </c>
      <c r="W23" s="27" t="e">
        <f t="shared" si="8"/>
        <v>#NUM!</v>
      </c>
      <c r="X23" s="27" t="e">
        <f t="shared" si="9"/>
        <v>#NUM!</v>
      </c>
      <c r="Y23" s="27" t="e">
        <f t="shared" si="10"/>
        <v>#NUM!</v>
      </c>
      <c r="Z23" s="27" t="e">
        <f t="shared" si="11"/>
        <v>#NUM!</v>
      </c>
      <c r="AA23" s="27" t="e">
        <f t="shared" si="12"/>
        <v>#NUM!</v>
      </c>
      <c r="AB23" s="27" t="e">
        <f t="shared" si="13"/>
        <v>#NUM!</v>
      </c>
      <c r="AC23" s="347"/>
      <c r="AD23" s="348"/>
      <c r="AE23" s="346"/>
      <c r="AG23" s="366"/>
      <c r="AH23" s="358">
        <f t="shared" si="18"/>
        <v>0</v>
      </c>
      <c r="AI23" s="358">
        <f t="shared" si="14"/>
        <v>0</v>
      </c>
      <c r="AJ23" s="371">
        <f t="shared" si="15"/>
        <v>0</v>
      </c>
      <c r="AK23" s="358">
        <f t="shared" si="19"/>
        <v>0</v>
      </c>
      <c r="AL23" s="358">
        <f t="shared" si="16"/>
        <v>0</v>
      </c>
      <c r="AM23" s="358">
        <f t="shared" si="17"/>
        <v>0</v>
      </c>
    </row>
    <row r="24" spans="1:41" x14ac:dyDescent="0.25">
      <c r="A24" s="306"/>
      <c r="B24" s="239"/>
      <c r="C24" s="25"/>
      <c r="E24" s="305"/>
      <c r="F24" s="307"/>
      <c r="G24" s="308"/>
      <c r="H24" s="36"/>
      <c r="I24" s="36"/>
      <c r="J24" s="36"/>
      <c r="K24" s="36"/>
      <c r="L24" s="36"/>
      <c r="M24" s="36"/>
      <c r="N24" s="309"/>
      <c r="O24" s="27" t="e">
        <f t="shared" si="0"/>
        <v>#NUM!</v>
      </c>
      <c r="P24" s="27" t="e">
        <f t="shared" si="1"/>
        <v>#NUM!</v>
      </c>
      <c r="Q24" s="27" t="e">
        <f t="shared" si="2"/>
        <v>#NUM!</v>
      </c>
      <c r="R24" s="27" t="e">
        <f t="shared" si="3"/>
        <v>#NUM!</v>
      </c>
      <c r="S24" s="27" t="e">
        <f t="shared" si="4"/>
        <v>#NUM!</v>
      </c>
      <c r="T24" s="27" t="e">
        <f t="shared" si="5"/>
        <v>#NUM!</v>
      </c>
      <c r="U24" s="27" t="e">
        <f t="shared" si="6"/>
        <v>#NUM!</v>
      </c>
      <c r="V24" s="27" t="e">
        <f t="shared" si="7"/>
        <v>#NUM!</v>
      </c>
      <c r="W24" s="27" t="e">
        <f t="shared" si="8"/>
        <v>#NUM!</v>
      </c>
      <c r="X24" s="27" t="e">
        <f t="shared" si="9"/>
        <v>#NUM!</v>
      </c>
      <c r="Y24" s="27" t="e">
        <f t="shared" si="10"/>
        <v>#NUM!</v>
      </c>
      <c r="Z24" s="27" t="e">
        <f t="shared" si="11"/>
        <v>#NUM!</v>
      </c>
      <c r="AA24" s="27" t="e">
        <f t="shared" si="12"/>
        <v>#NUM!</v>
      </c>
      <c r="AB24" s="27" t="e">
        <f t="shared" si="13"/>
        <v>#NUM!</v>
      </c>
      <c r="AC24" s="347"/>
      <c r="AD24" s="348"/>
      <c r="AE24" s="346"/>
      <c r="AG24" s="366"/>
      <c r="AH24" s="358">
        <f t="shared" si="18"/>
        <v>0</v>
      </c>
      <c r="AI24" s="358">
        <f t="shared" si="14"/>
        <v>0</v>
      </c>
      <c r="AJ24" s="371">
        <f t="shared" si="15"/>
        <v>0</v>
      </c>
      <c r="AK24" s="358">
        <f t="shared" si="19"/>
        <v>0</v>
      </c>
      <c r="AL24" s="358">
        <f t="shared" si="16"/>
        <v>0</v>
      </c>
      <c r="AM24" s="358">
        <f t="shared" si="17"/>
        <v>0</v>
      </c>
    </row>
    <row r="25" spans="1:41" x14ac:dyDescent="0.25">
      <c r="A25" s="306"/>
      <c r="B25" s="239"/>
      <c r="C25" s="25"/>
      <c r="E25" s="305"/>
      <c r="F25" s="307"/>
      <c r="G25" s="308"/>
      <c r="H25" s="36"/>
      <c r="I25" s="36"/>
      <c r="J25" s="36"/>
      <c r="K25" s="36"/>
      <c r="L25" s="36"/>
      <c r="M25" s="36"/>
      <c r="N25" s="309"/>
      <c r="O25" s="27" t="e">
        <f t="shared" si="0"/>
        <v>#NUM!</v>
      </c>
      <c r="P25" s="27" t="e">
        <f t="shared" si="1"/>
        <v>#NUM!</v>
      </c>
      <c r="Q25" s="27" t="e">
        <f t="shared" si="2"/>
        <v>#NUM!</v>
      </c>
      <c r="R25" s="27" t="e">
        <f t="shared" si="3"/>
        <v>#NUM!</v>
      </c>
      <c r="S25" s="27" t="e">
        <f t="shared" si="4"/>
        <v>#NUM!</v>
      </c>
      <c r="T25" s="27" t="e">
        <f t="shared" si="5"/>
        <v>#NUM!</v>
      </c>
      <c r="U25" s="27" t="e">
        <f t="shared" si="6"/>
        <v>#NUM!</v>
      </c>
      <c r="V25" s="27" t="e">
        <f t="shared" si="7"/>
        <v>#NUM!</v>
      </c>
      <c r="W25" s="27" t="e">
        <f t="shared" si="8"/>
        <v>#NUM!</v>
      </c>
      <c r="X25" s="27" t="e">
        <f t="shared" si="9"/>
        <v>#NUM!</v>
      </c>
      <c r="Y25" s="27" t="e">
        <f t="shared" si="10"/>
        <v>#NUM!</v>
      </c>
      <c r="Z25" s="27" t="e">
        <f t="shared" si="11"/>
        <v>#NUM!</v>
      </c>
      <c r="AA25" s="27" t="e">
        <f t="shared" si="12"/>
        <v>#NUM!</v>
      </c>
      <c r="AB25" s="27" t="e">
        <f t="shared" si="13"/>
        <v>#NUM!</v>
      </c>
      <c r="AC25" s="377"/>
      <c r="AD25" s="378"/>
      <c r="AE25" s="367"/>
      <c r="AF25" s="368"/>
      <c r="AG25" s="369"/>
      <c r="AH25" s="372">
        <f t="shared" si="18"/>
        <v>0</v>
      </c>
      <c r="AI25" s="372">
        <f t="shared" si="14"/>
        <v>0</v>
      </c>
      <c r="AJ25" s="373">
        <f t="shared" si="15"/>
        <v>0</v>
      </c>
      <c r="AK25" s="358">
        <f t="shared" si="19"/>
        <v>0</v>
      </c>
      <c r="AL25" s="358">
        <f t="shared" si="16"/>
        <v>0</v>
      </c>
      <c r="AM25" s="358">
        <f t="shared" si="17"/>
        <v>0</v>
      </c>
    </row>
  </sheetData>
  <conditionalFormatting sqref="G3:G25">
    <cfRule type="cellIs" dxfId="6" priority="5" operator="greaterThan">
      <formula>7</formula>
    </cfRule>
  </conditionalFormatting>
  <conditionalFormatting sqref="O3:AB25">
    <cfRule type="cellIs" dxfId="5" priority="4" operator="greaterThan">
      <formula>12.5</formula>
    </cfRule>
  </conditionalFormatting>
  <conditionalFormatting sqref="H3:N25">
    <cfRule type="colorScale" priority="117">
      <colorScale>
        <cfvo type="min"/>
        <cfvo type="max"/>
        <color rgb="FFFCFCFF"/>
        <color rgb="FFF8696B"/>
      </colorScale>
    </cfRule>
  </conditionalFormatting>
  <conditionalFormatting sqref="S3:U25 Z3:AB2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3:Q25 V3:X25">
    <cfRule type="colorScale" priority="120">
      <colorScale>
        <cfvo type="min"/>
        <cfvo type="max"/>
        <color rgb="FFFCFCFF"/>
        <color rgb="FFF8696B"/>
      </colorScale>
    </cfRule>
  </conditionalFormatting>
  <conditionalFormatting sqref="R3:R25 Y3:Y25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:AJ25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conditionalFormatting sqref="AK3:AM2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AH3:AJ25</xm:sqref>
        </x14:conditionalFormatting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AK3:AM25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M24"/>
  <sheetViews>
    <sheetView workbookViewId="0">
      <pane ySplit="2" topLeftCell="A3" activePane="bottomLeft" state="frozen"/>
      <selection pane="bottomLeft" activeCell="Y5" sqref="Y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1" width="7.140625" style="41" customWidth="1"/>
    <col min="32" max="34" width="9" customWidth="1"/>
    <col min="35" max="37" width="8.42578125" customWidth="1"/>
  </cols>
  <sheetData>
    <row r="1" spans="1:37" s="41" customFormat="1" x14ac:dyDescent="0.25">
      <c r="D1" s="43"/>
      <c r="O1" s="41" t="s">
        <v>826</v>
      </c>
      <c r="S1" s="41" t="s">
        <v>802</v>
      </c>
      <c r="W1" s="41" t="s">
        <v>177</v>
      </c>
    </row>
    <row r="2" spans="1:37" x14ac:dyDescent="0.25">
      <c r="A2" s="313" t="s">
        <v>183</v>
      </c>
      <c r="B2" s="313" t="s">
        <v>803</v>
      </c>
      <c r="C2" s="314" t="s">
        <v>113</v>
      </c>
      <c r="D2" s="315" t="s">
        <v>465</v>
      </c>
      <c r="E2" s="316" t="s">
        <v>827</v>
      </c>
      <c r="F2" s="317" t="s">
        <v>121</v>
      </c>
      <c r="G2" s="318" t="s">
        <v>692</v>
      </c>
      <c r="H2" s="319" t="s">
        <v>153</v>
      </c>
      <c r="I2" s="319" t="s">
        <v>191</v>
      </c>
      <c r="J2" s="319" t="s">
        <v>192</v>
      </c>
      <c r="K2" s="319" t="s">
        <v>489</v>
      </c>
      <c r="L2" s="319" t="s">
        <v>194</v>
      </c>
      <c r="M2" s="319" t="s">
        <v>195</v>
      </c>
      <c r="N2" s="320" t="s">
        <v>196</v>
      </c>
      <c r="O2" s="321" t="s">
        <v>172</v>
      </c>
      <c r="P2" s="321" t="s">
        <v>812</v>
      </c>
      <c r="Q2" s="321" t="s">
        <v>813</v>
      </c>
      <c r="R2" s="322" t="s">
        <v>812</v>
      </c>
      <c r="S2" s="321" t="s">
        <v>172</v>
      </c>
      <c r="T2" s="321" t="s">
        <v>812</v>
      </c>
      <c r="U2" s="321" t="s">
        <v>813</v>
      </c>
      <c r="V2" s="322" t="s">
        <v>812</v>
      </c>
      <c r="W2" s="323" t="s">
        <v>172</v>
      </c>
      <c r="X2" s="323" t="s">
        <v>812</v>
      </c>
      <c r="Y2" s="323" t="s">
        <v>813</v>
      </c>
      <c r="Z2" s="324" t="s">
        <v>812</v>
      </c>
      <c r="AA2" s="323" t="s">
        <v>828</v>
      </c>
      <c r="AB2" s="324" t="s">
        <v>468</v>
      </c>
      <c r="AC2" s="323" t="s">
        <v>829</v>
      </c>
      <c r="AD2" s="323" t="s">
        <v>830</v>
      </c>
      <c r="AE2" s="324" t="s">
        <v>831</v>
      </c>
      <c r="AF2" s="323" t="s">
        <v>832</v>
      </c>
      <c r="AG2" s="323" t="s">
        <v>833</v>
      </c>
      <c r="AH2" s="324" t="s">
        <v>834</v>
      </c>
      <c r="AI2" s="323" t="s">
        <v>835</v>
      </c>
      <c r="AJ2" s="323" t="s">
        <v>836</v>
      </c>
      <c r="AK2" s="324" t="s">
        <v>837</v>
      </c>
    </row>
    <row r="3" spans="1:37" x14ac:dyDescent="0.25">
      <c r="A3" s="342" t="s">
        <v>908</v>
      </c>
      <c r="B3" s="331">
        <v>28</v>
      </c>
      <c r="C3" s="25">
        <v>58</v>
      </c>
      <c r="D3" s="42" t="s">
        <v>166</v>
      </c>
      <c r="E3" s="332">
        <v>2</v>
      </c>
      <c r="F3" s="333">
        <v>1</v>
      </c>
      <c r="G3" s="334">
        <v>13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11</v>
      </c>
      <c r="N3" s="335">
        <v>8</v>
      </c>
      <c r="O3" s="27">
        <f t="shared" ref="O3:O24" si="0">((J3+F3+(LOG(G3)*4/3))*0.15)</f>
        <v>1.7227886704613673</v>
      </c>
      <c r="P3" s="27">
        <f t="shared" ref="P3:P24" si="1">((M3+F3+(LOG(G3)*4/3))*0.552)+((K3+F3+(LOG(G3)*4/3))*0.576)+((L3+F3+(LOG(G3)*4/3))*0.195)</f>
        <v>19.568996073469261</v>
      </c>
      <c r="Q3" s="27">
        <f t="shared" ref="Q3:Q24" si="2">((M3+F3+(LOG(G3)*4/3))*0.607)+((L3+F3+(LOG(G3)*4/3))*0.248)</f>
        <v>11.529895421629794</v>
      </c>
      <c r="R3" s="336">
        <f t="shared" ref="R3:R24" si="3">((M3+F3+(LOG(G3)*4/3))*0.223)+((K3+F3+(LOG(G3)*4/3))*0)+((L3+F3+(LOG(G3)*4/3))*0)</f>
        <v>3.0072124900858994</v>
      </c>
      <c r="S3" s="27">
        <f t="shared" ref="S3:S24" si="4">((J3+F3+(LOG(G3)*4/3))*0.406)</f>
        <v>4.6630146680487679</v>
      </c>
      <c r="T3" s="27">
        <f t="shared" ref="T3:T24" si="5">IF(D3="TEC",((K3+F3+(LOG(G3)*4/3))*0.15)+((L3+F3+(LOG(G3)*4/3))*0.324)+((M3+F3+(LOG(G3)*4/3))*0.127),((K3+F3+(LOG(G3)*4/3))*0.144)+((L3+F3+(LOG(G3)*4/3))*0.25)+((M3+F3+(LOG(G3)*4/3))*0.127))</f>
        <v>7.4578193154024834</v>
      </c>
      <c r="U3" s="27">
        <f t="shared" ref="U3:U24" si="6">IF(D3="TEC",((L3+F3+(LOG(G3)*4/3))*0.543)+((M3+F3+(LOG(G3)*4/3))*0.583),((L3+F3+(LOG(G3)*4/3))*0.543)+((M3+F3+(LOG(G3)*4/3))*0.583))</f>
        <v>15.184400286263331</v>
      </c>
      <c r="V3" s="336">
        <f t="shared" ref="V3:V24" si="7">T3</f>
        <v>7.4578193154024834</v>
      </c>
      <c r="W3" s="27">
        <f t="shared" ref="W3:W24" si="8">((J3+F3+(LOG(G3)*4/3))*0.25)</f>
        <v>2.8713144507689456</v>
      </c>
      <c r="X3" s="27">
        <f t="shared" ref="X3:X24" si="9">((M3+F3+(LOG(G3)*4/3))*0.26)+((K3+F3+(LOG(G3)*4/3))*0.221)+((L3+F3+(LOG(G3)*4/3))*0.142)</f>
        <v>9.0643156113162124</v>
      </c>
      <c r="Y3" s="27">
        <f t="shared" ref="Y3:Y24" si="10">((M3+F3+(LOG(G3)*4/3))*1)+((L3+F3+(LOG(G3)*4/3))*0.369)</f>
        <v>18.461317932410747</v>
      </c>
      <c r="Z3" s="336">
        <f t="shared" ref="Z3:Z24" si="11">X3</f>
        <v>9.0643156113162124</v>
      </c>
      <c r="AA3">
        <v>6325</v>
      </c>
      <c r="AB3" s="337">
        <v>20.8</v>
      </c>
      <c r="AC3" s="41">
        <v>3000</v>
      </c>
      <c r="AD3" s="41">
        <v>4000</v>
      </c>
      <c r="AE3" s="311">
        <v>4900</v>
      </c>
      <c r="AF3" s="25">
        <f t="shared" ref="AF3:AF24" si="12">AA3+(AB3*16*(36-B3-((112-C3)/112)))-AC3</f>
        <v>5826.942857142858</v>
      </c>
      <c r="AG3" s="25">
        <f t="shared" ref="AG3:AG24" si="13">AA3+(AB3*16*(34-B3-((112-C3)/112)))-AD3</f>
        <v>4161.3428571428576</v>
      </c>
      <c r="AH3" s="312">
        <f t="shared" ref="AH3:AH24" si="14">AA3+(AB3*16*(32-B3-((112-C3)/112)))-AE3</f>
        <v>2595.7428571428572</v>
      </c>
      <c r="AI3" s="25">
        <f t="shared" ref="AI3:AI24" si="15">(AF3)/(36-B3+((112-C3)/112))</f>
        <v>686.96589473684219</v>
      </c>
      <c r="AJ3" s="25">
        <f t="shared" ref="AJ3:AJ24" si="16">(AG3)/(34-B3+((112-C3)/112))</f>
        <v>641.97024793388437</v>
      </c>
      <c r="AK3" s="312">
        <f t="shared" ref="AK3:AK24" si="17">(AH3)/(32-B3+((112-C3)/112))</f>
        <v>579.12988047808767</v>
      </c>
    </row>
    <row r="4" spans="1:37" x14ac:dyDescent="0.25">
      <c r="A4" s="342" t="s">
        <v>947</v>
      </c>
      <c r="B4" s="239">
        <v>28</v>
      </c>
      <c r="C4" s="25">
        <v>23</v>
      </c>
      <c r="E4" s="305">
        <v>1</v>
      </c>
      <c r="F4" s="307">
        <v>1</v>
      </c>
      <c r="G4" s="308">
        <v>6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14</v>
      </c>
      <c r="N4" s="309">
        <v>1</v>
      </c>
      <c r="O4" s="27">
        <f>((J4+F4+(LOG(G4)*4/3))*0.15)</f>
        <v>0.60563025007672877</v>
      </c>
      <c r="P4" s="27">
        <f>((M4+F4+(LOG(G4)*4/3))*0.552)+((K4+F4+(LOG(G4)*4/3))*0.576)+((L4+F4+(LOG(G4)*4/3))*0.195)</f>
        <v>18.33765880567675</v>
      </c>
      <c r="Q4" s="27">
        <f>((M4+F4+(LOG(G4)*4/3))*0.607)+((L4+F4+(LOG(G4)*4/3))*0.248)</f>
        <v>13.712092425437355</v>
      </c>
      <c r="R4" s="310">
        <f>((M4+F4+(LOG(G4)*4/3))*0.223)+((K4+F4+(LOG(G4)*4/3))*0)+((L4+F4+(LOG(G4)*4/3))*0)</f>
        <v>3.5763703051140703</v>
      </c>
      <c r="S4" s="27">
        <f>((J4+F4+(LOG(G4)*4/3))*0.406)</f>
        <v>1.6392392102076794</v>
      </c>
      <c r="T4" s="27">
        <f>IF(D4="TEC",((K4+F4+(LOG(G4)*4/3))*0.15)+((L4+F4+(LOG(G4)*4/3))*0.324)+((M4+F4+(LOG(G4)*4/3))*0.127),((K4+F4+(LOG(G4)*4/3))*0.144)+((L4+F4+(LOG(G4)*4/3))*0.25)+((M4+F4+(LOG(G4)*4/3))*0.127))</f>
        <v>7.6355557352665038</v>
      </c>
      <c r="U4" s="27">
        <f>IF(D4="TEC",((L4+F4+(LOG(G4)*4/3))*0.543)+((M4+F4+(LOG(G4)*4/3))*0.583),((L4+F4+(LOG(G4)*4/3))*0.543)+((M4+F4+(LOG(G4)*4/3))*0.583))</f>
        <v>18.058264410575976</v>
      </c>
      <c r="V4" s="310">
        <f>T4</f>
        <v>7.6355557352665038</v>
      </c>
      <c r="W4" s="27">
        <f>((J4+F4+(LOG(G4)*4/3))*0.25)</f>
        <v>1.0093837501278813</v>
      </c>
      <c r="X4" s="27">
        <f>((M4+F4+(LOG(G4)*4/3))*0.26)+((K4+F4+(LOG(G4)*4/3))*0.221)+((L4+F4+(LOG(G4)*4/3))*0.142)</f>
        <v>8.886384305318682</v>
      </c>
      <c r="Y4" s="27">
        <f>((M4+F4+(LOG(G4)*4/3))*1)+((L4+F4+(LOG(G4)*4/3))*0.369)</f>
        <v>21.955385415700277</v>
      </c>
      <c r="Z4" s="310">
        <f>X4</f>
        <v>8.886384305318682</v>
      </c>
      <c r="AA4">
        <v>7500</v>
      </c>
      <c r="AB4" s="240">
        <v>26.3</v>
      </c>
      <c r="AE4" s="311"/>
      <c r="AF4" s="25">
        <f>AA4+(AB4*16*(36-B4-((112-C4)/112)))-AC4</f>
        <v>10532.014285714286</v>
      </c>
      <c r="AG4" s="25">
        <f>AA4+(AB4*16*(34-B4-((112-C4)/112)))-AD4</f>
        <v>9690.414285714287</v>
      </c>
      <c r="AH4" s="312">
        <f>AA4+(AB4*16*(32-B4-((112-C4)/112)))-AE4</f>
        <v>8848.8142857142848</v>
      </c>
      <c r="AI4" s="25">
        <f>(AF4)/(36-B4+((112-C4)/112))</f>
        <v>1197.5488324873095</v>
      </c>
      <c r="AJ4" s="25">
        <f>(AG4)/(34-B4+((112-C4)/112))</f>
        <v>1426.1844940867284</v>
      </c>
      <c r="AK4" s="312">
        <f>(AH4)/(32-B4+((112-C4)/112))</f>
        <v>1845.5627560521414</v>
      </c>
    </row>
    <row r="5" spans="1:37" x14ac:dyDescent="0.25">
      <c r="A5" s="342" t="s">
        <v>853</v>
      </c>
      <c r="B5" s="331">
        <v>28</v>
      </c>
      <c r="C5" s="25">
        <v>14</v>
      </c>
      <c r="D5" s="42" t="s">
        <v>166</v>
      </c>
      <c r="E5" s="332">
        <v>1</v>
      </c>
      <c r="F5" s="333">
        <v>1</v>
      </c>
      <c r="G5" s="334">
        <v>6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335">
        <v>12</v>
      </c>
      <c r="O5" s="27">
        <f>((J5+F5+(LOG(G5)*4/3))*0.15)</f>
        <v>1.5056302500767287</v>
      </c>
      <c r="P5" s="27">
        <f>((M5+F5+(LOG(G5)*4/3))*0.552)+((K5+F5+(LOG(G5)*4/3))*0.576)+((L5+F5+(LOG(G5)*4/3))*0.195)</f>
        <v>19.099658805676746</v>
      </c>
      <c r="Q5" s="27">
        <f>((M5+F5+(LOG(G5)*4/3))*0.607)+((L5+F5+(LOG(G5)*4/3))*0.248)</f>
        <v>13.216092425437354</v>
      </c>
      <c r="R5" s="336">
        <f>((M5+F5+(LOG(G5)*4/3))*0.223)+((K5+F5+(LOG(G5)*4/3))*0)+((L5+F5+(LOG(G5)*4/3))*0)</f>
        <v>3.5763703051140703</v>
      </c>
      <c r="S5" s="27">
        <f>((J5+F5+(LOG(G5)*4/3))*0.406)</f>
        <v>4.0752392102076795</v>
      </c>
      <c r="T5" s="27">
        <f>IF(D5="TEC",((K5+F5+(LOG(G5)*4/3))*0.15)+((L5+F5+(LOG(G5)*4/3))*0.324)+((M5+F5+(LOG(G5)*4/3))*0.127),((K5+F5+(LOG(G5)*4/3))*0.144)+((L5+F5+(LOG(G5)*4/3))*0.25)+((M5+F5+(LOG(G5)*4/3))*0.127))</f>
        <v>7.423555735266504</v>
      </c>
      <c r="U5" s="27">
        <f>IF(D5="TEC",((L5+F5+(LOG(G5)*4/3))*0.543)+((M5+F5+(LOG(G5)*4/3))*0.583),((L5+F5+(LOG(G5)*4/3))*0.543)+((M5+F5+(LOG(G5)*4/3))*0.583))</f>
        <v>16.972264410575978</v>
      </c>
      <c r="V5" s="336">
        <f>T5</f>
        <v>7.423555735266504</v>
      </c>
      <c r="W5" s="27">
        <f>((J5+F5+(LOG(G5)*4/3))*0.25)</f>
        <v>2.5093837501278813</v>
      </c>
      <c r="X5" s="27">
        <f>((M5+F5+(LOG(G5)*4/3))*0.26)+((K5+F5+(LOG(G5)*4/3))*0.221)+((L5+F5+(LOG(G5)*4/3))*0.142)</f>
        <v>9.0443843053186797</v>
      </c>
      <c r="Y5" s="27">
        <f>((M5+F5+(LOG(G5)*4/3))*1)+((L5+F5+(LOG(G5)*4/3))*0.369)</f>
        <v>21.217385415700278</v>
      </c>
      <c r="Z5" s="336">
        <f>X5</f>
        <v>9.0443843053186797</v>
      </c>
      <c r="AB5" s="337"/>
      <c r="AE5" s="338"/>
      <c r="AF5" s="25">
        <f>AA5+(AB5*16*(36-B5-((112-C5)/112)))-AC5</f>
        <v>0</v>
      </c>
      <c r="AG5" s="25">
        <f>AA5+(AB5*16*(34-B5-((112-C5)/112)))-AD5</f>
        <v>0</v>
      </c>
      <c r="AH5" s="339">
        <f>AA5+(AB5*16*(32-B5-((112-C5)/112)))-AE5</f>
        <v>0</v>
      </c>
      <c r="AI5" s="25">
        <f>(AF5)/(36-B5+((112-C5)/112))</f>
        <v>0</v>
      </c>
      <c r="AJ5" s="25">
        <f>(AG5)/(34-B5+((112-C5)/112))</f>
        <v>0</v>
      </c>
      <c r="AK5" s="339">
        <f>(AH5)/(32-B5+((112-C5)/112))</f>
        <v>0</v>
      </c>
    </row>
    <row r="6" spans="1:37" x14ac:dyDescent="0.25">
      <c r="A6" s="306" t="s">
        <v>944</v>
      </c>
      <c r="B6" s="331">
        <v>29</v>
      </c>
      <c r="C6" s="25">
        <v>4</v>
      </c>
      <c r="D6" s="42" t="s">
        <v>175</v>
      </c>
      <c r="E6" s="332">
        <v>5</v>
      </c>
      <c r="F6" s="333">
        <v>1</v>
      </c>
      <c r="G6" s="334">
        <v>8</v>
      </c>
      <c r="H6" s="36">
        <v>0</v>
      </c>
      <c r="I6" s="36">
        <v>5</v>
      </c>
      <c r="J6" s="36">
        <v>2</v>
      </c>
      <c r="K6" s="36">
        <v>9</v>
      </c>
      <c r="L6" s="36">
        <v>12</v>
      </c>
      <c r="M6" s="36">
        <v>15</v>
      </c>
      <c r="N6" s="335">
        <v>0</v>
      </c>
      <c r="O6" s="27">
        <f t="shared" si="0"/>
        <v>0.63061799739838875</v>
      </c>
      <c r="P6" s="27">
        <f t="shared" si="1"/>
        <v>18.720050737053789</v>
      </c>
      <c r="Q6" s="27">
        <f t="shared" si="2"/>
        <v>13.965522585170815</v>
      </c>
      <c r="R6" s="336">
        <f t="shared" si="3"/>
        <v>3.8365187561322713</v>
      </c>
      <c r="S6" s="27">
        <f t="shared" si="4"/>
        <v>1.7068727129583057</v>
      </c>
      <c r="T6" s="27">
        <f t="shared" si="5"/>
        <v>7.3493465109637377</v>
      </c>
      <c r="U6" s="27">
        <f t="shared" si="6"/>
        <v>17.742839100470569</v>
      </c>
      <c r="V6" s="336">
        <f t="shared" si="7"/>
        <v>7.3493465109637377</v>
      </c>
      <c r="W6" s="27">
        <f t="shared" si="8"/>
        <v>1.0510299956639813</v>
      </c>
      <c r="X6" s="27">
        <f t="shared" si="9"/>
        <v>8.9661667491946417</v>
      </c>
      <c r="Y6" s="27">
        <f t="shared" si="10"/>
        <v>22.44544025625596</v>
      </c>
      <c r="Z6" s="336">
        <f t="shared" si="11"/>
        <v>8.9661667491946417</v>
      </c>
      <c r="AA6">
        <v>5600</v>
      </c>
      <c r="AB6" s="337">
        <v>42</v>
      </c>
      <c r="AC6" s="41">
        <v>2500</v>
      </c>
      <c r="AD6" s="41">
        <v>3300</v>
      </c>
      <c r="AE6" s="338">
        <v>5000</v>
      </c>
      <c r="AF6" s="25">
        <f t="shared" si="12"/>
        <v>7156</v>
      </c>
      <c r="AG6" s="25">
        <f t="shared" si="13"/>
        <v>5012</v>
      </c>
      <c r="AH6" s="339">
        <f t="shared" si="14"/>
        <v>1968</v>
      </c>
      <c r="AI6" s="25">
        <f t="shared" si="15"/>
        <v>898.51121076233187</v>
      </c>
      <c r="AJ6" s="25">
        <f t="shared" si="16"/>
        <v>840.33532934131733</v>
      </c>
      <c r="AK6" s="312">
        <f t="shared" si="17"/>
        <v>496.43243243243239</v>
      </c>
    </row>
    <row r="7" spans="1:37" x14ac:dyDescent="0.25">
      <c r="A7" s="306" t="s">
        <v>945</v>
      </c>
      <c r="B7" s="331">
        <v>28</v>
      </c>
      <c r="C7" s="25">
        <v>106</v>
      </c>
      <c r="D7" s="42" t="s">
        <v>175</v>
      </c>
      <c r="E7" s="332">
        <v>3</v>
      </c>
      <c r="F7" s="333">
        <v>1</v>
      </c>
      <c r="G7" s="334">
        <v>7</v>
      </c>
      <c r="H7" s="36">
        <v>0</v>
      </c>
      <c r="I7" s="36">
        <v>3</v>
      </c>
      <c r="J7" s="36">
        <v>6</v>
      </c>
      <c r="K7" s="36">
        <v>10</v>
      </c>
      <c r="L7" s="36">
        <v>9</v>
      </c>
      <c r="M7" s="36">
        <v>13</v>
      </c>
      <c r="N7" s="335">
        <v>11</v>
      </c>
      <c r="O7" s="27">
        <f t="shared" si="0"/>
        <v>1.2190196080028513</v>
      </c>
      <c r="P7" s="27">
        <f t="shared" si="1"/>
        <v>17.504752942585149</v>
      </c>
      <c r="Q7" s="27">
        <f t="shared" si="2"/>
        <v>11.941411765616252</v>
      </c>
      <c r="R7" s="336">
        <f t="shared" si="3"/>
        <v>3.3732758172309056</v>
      </c>
      <c r="S7" s="27">
        <f t="shared" si="4"/>
        <v>3.2994797389943842</v>
      </c>
      <c r="T7" s="27">
        <f t="shared" si="5"/>
        <v>6.4490614384632359</v>
      </c>
      <c r="U7" s="27">
        <f t="shared" si="6"/>
        <v>14.86077385740807</v>
      </c>
      <c r="V7" s="336">
        <f t="shared" si="7"/>
        <v>6.4490614384632359</v>
      </c>
      <c r="W7" s="27">
        <f t="shared" si="8"/>
        <v>2.0316993466714188</v>
      </c>
      <c r="X7" s="27">
        <f t="shared" si="9"/>
        <v>8.192994771905175</v>
      </c>
      <c r="Y7" s="27">
        <f t="shared" si="10"/>
        <v>19.232585622372689</v>
      </c>
      <c r="Z7" s="336">
        <f t="shared" si="11"/>
        <v>8.192994771905175</v>
      </c>
      <c r="AA7">
        <v>5400</v>
      </c>
      <c r="AB7" s="337">
        <v>21.2</v>
      </c>
      <c r="AE7" s="338">
        <v>3000</v>
      </c>
      <c r="AF7" s="25"/>
      <c r="AG7" s="25"/>
      <c r="AH7" s="339">
        <f t="shared" si="14"/>
        <v>3738.6285714285714</v>
      </c>
      <c r="AI7" s="25"/>
      <c r="AJ7" s="25"/>
      <c r="AK7" s="339">
        <f t="shared" si="17"/>
        <v>922.30484581497785</v>
      </c>
    </row>
    <row r="8" spans="1:37" x14ac:dyDescent="0.25">
      <c r="A8" s="306" t="s">
        <v>946</v>
      </c>
      <c r="B8" s="331">
        <v>27</v>
      </c>
      <c r="C8" s="25">
        <v>46</v>
      </c>
      <c r="D8" s="42" t="s">
        <v>166</v>
      </c>
      <c r="E8" s="332">
        <v>3</v>
      </c>
      <c r="F8" s="333">
        <v>1</v>
      </c>
      <c r="G8" s="334">
        <v>7</v>
      </c>
      <c r="H8" s="36">
        <v>0</v>
      </c>
      <c r="I8" s="36">
        <v>2</v>
      </c>
      <c r="J8" s="36">
        <v>12</v>
      </c>
      <c r="K8" s="36">
        <v>12</v>
      </c>
      <c r="L8" s="36">
        <v>8</v>
      </c>
      <c r="M8" s="36">
        <v>12</v>
      </c>
      <c r="N8" s="335">
        <v>2</v>
      </c>
      <c r="O8" s="27">
        <f t="shared" si="0"/>
        <v>2.1190196080028514</v>
      </c>
      <c r="P8" s="27">
        <f t="shared" si="1"/>
        <v>17.909752942585147</v>
      </c>
      <c r="Q8" s="27">
        <f t="shared" si="2"/>
        <v>11.086411765616253</v>
      </c>
      <c r="R8" s="336">
        <f t="shared" si="3"/>
        <v>3.1502758172309058</v>
      </c>
      <c r="S8" s="27">
        <f t="shared" si="4"/>
        <v>5.7354797389943846</v>
      </c>
      <c r="T8" s="27">
        <f t="shared" si="5"/>
        <v>6.3600614384632363</v>
      </c>
      <c r="U8" s="27">
        <f t="shared" si="6"/>
        <v>13.734773857408069</v>
      </c>
      <c r="V8" s="336">
        <f t="shared" si="7"/>
        <v>6.3600614384632363</v>
      </c>
      <c r="W8" s="27">
        <f t="shared" si="8"/>
        <v>3.5316993466714188</v>
      </c>
      <c r="X8" s="27">
        <f t="shared" si="9"/>
        <v>8.2329947719051759</v>
      </c>
      <c r="Y8" s="27">
        <f t="shared" si="10"/>
        <v>17.863585622372689</v>
      </c>
      <c r="Z8" s="336">
        <f t="shared" si="11"/>
        <v>8.2329947719051759</v>
      </c>
      <c r="AA8">
        <v>5100</v>
      </c>
      <c r="AB8" s="337">
        <v>22.3</v>
      </c>
      <c r="AE8" s="338"/>
      <c r="AF8" s="25"/>
      <c r="AG8" s="25"/>
      <c r="AH8" s="339"/>
      <c r="AI8" s="25"/>
      <c r="AJ8" s="25"/>
      <c r="AK8" s="339"/>
    </row>
    <row r="9" spans="1:37" x14ac:dyDescent="0.25">
      <c r="A9" s="306"/>
      <c r="B9" s="331">
        <v>25</v>
      </c>
      <c r="C9" s="25">
        <v>86</v>
      </c>
      <c r="D9" s="42" t="s">
        <v>175</v>
      </c>
      <c r="E9" s="332">
        <v>6</v>
      </c>
      <c r="F9" s="333">
        <v>1</v>
      </c>
      <c r="G9" s="334">
        <v>4</v>
      </c>
      <c r="H9" s="36">
        <v>0</v>
      </c>
      <c r="I9" s="36">
        <v>2</v>
      </c>
      <c r="J9" s="36">
        <v>9</v>
      </c>
      <c r="K9" s="36">
        <v>9</v>
      </c>
      <c r="L9" s="36">
        <v>8</v>
      </c>
      <c r="M9" s="36">
        <v>12</v>
      </c>
      <c r="N9" s="335">
        <v>2</v>
      </c>
      <c r="O9" s="27">
        <f t="shared" si="0"/>
        <v>1.6204119982655925</v>
      </c>
      <c r="P9" s="27">
        <f t="shared" si="1"/>
        <v>15.753033824702527</v>
      </c>
      <c r="Q9" s="27">
        <f t="shared" si="2"/>
        <v>10.809348390113877</v>
      </c>
      <c r="R9" s="336">
        <f t="shared" si="3"/>
        <v>3.0780125040881812</v>
      </c>
      <c r="S9" s="27">
        <f t="shared" si="4"/>
        <v>4.3859151419722044</v>
      </c>
      <c r="T9" s="27">
        <f t="shared" si="5"/>
        <v>5.7592310073091575</v>
      </c>
      <c r="U9" s="27">
        <f t="shared" si="6"/>
        <v>13.369892733647049</v>
      </c>
      <c r="V9" s="336">
        <f t="shared" si="7"/>
        <v>5.7592310073091575</v>
      </c>
      <c r="W9" s="27">
        <f t="shared" si="8"/>
        <v>2.7006866637759877</v>
      </c>
      <c r="X9" s="27">
        <f t="shared" si="9"/>
        <v>7.3681111661297614</v>
      </c>
      <c r="Y9" s="27">
        <f t="shared" si="10"/>
        <v>17.419960170837307</v>
      </c>
      <c r="Z9" s="336">
        <f t="shared" si="11"/>
        <v>7.3681111661297614</v>
      </c>
      <c r="AA9">
        <v>6600</v>
      </c>
      <c r="AB9" s="337">
        <v>11.8</v>
      </c>
      <c r="AC9" s="41">
        <v>900</v>
      </c>
      <c r="AD9" s="41">
        <v>1800</v>
      </c>
      <c r="AE9" s="338">
        <v>1820</v>
      </c>
      <c r="AF9" s="25">
        <f t="shared" si="12"/>
        <v>7732.971428571429</v>
      </c>
      <c r="AG9" s="25">
        <f t="shared" si="13"/>
        <v>6455.3714285714286</v>
      </c>
      <c r="AH9" s="339">
        <f t="shared" si="14"/>
        <v>6057.7714285714283</v>
      </c>
      <c r="AI9" s="25">
        <f t="shared" si="15"/>
        <v>688.46804451510332</v>
      </c>
      <c r="AJ9" s="25">
        <f t="shared" si="16"/>
        <v>699.22785299806571</v>
      </c>
      <c r="AK9" s="339">
        <f t="shared" si="17"/>
        <v>837.61777777777775</v>
      </c>
    </row>
    <row r="10" spans="1:37" x14ac:dyDescent="0.25">
      <c r="A10" s="306"/>
      <c r="B10" s="239">
        <v>23</v>
      </c>
      <c r="C10" s="25">
        <v>77</v>
      </c>
      <c r="D10" s="42" t="s">
        <v>163</v>
      </c>
      <c r="E10" s="305">
        <v>4</v>
      </c>
      <c r="F10" s="307">
        <v>1</v>
      </c>
      <c r="G10" s="308">
        <v>4</v>
      </c>
      <c r="H10" s="36">
        <v>0</v>
      </c>
      <c r="I10" s="36">
        <v>3</v>
      </c>
      <c r="J10" s="36">
        <v>5</v>
      </c>
      <c r="K10" s="36">
        <v>5</v>
      </c>
      <c r="L10" s="36">
        <v>13</v>
      </c>
      <c r="M10" s="36">
        <v>14</v>
      </c>
      <c r="N10" s="309">
        <v>4</v>
      </c>
      <c r="O10" s="27">
        <f t="shared" si="0"/>
        <v>1.0204119982655924</v>
      </c>
      <c r="P10" s="27">
        <f t="shared" si="1"/>
        <v>15.528033824702527</v>
      </c>
      <c r="Q10" s="27">
        <f t="shared" si="2"/>
        <v>13.263348390113878</v>
      </c>
      <c r="R10" s="310">
        <f t="shared" si="3"/>
        <v>3.5240125040881809</v>
      </c>
      <c r="S10" s="27">
        <f t="shared" si="4"/>
        <v>2.7619151419722039</v>
      </c>
      <c r="T10" s="27">
        <f t="shared" si="5"/>
        <v>6.6872310073091583</v>
      </c>
      <c r="U10" s="27">
        <f t="shared" si="6"/>
        <v>17.250892733647049</v>
      </c>
      <c r="V10" s="310">
        <f t="shared" si="7"/>
        <v>6.6872310073091583</v>
      </c>
      <c r="W10" s="27">
        <f t="shared" si="8"/>
        <v>1.7006866637759874</v>
      </c>
      <c r="X10" s="27">
        <f t="shared" si="9"/>
        <v>7.7141111661297606</v>
      </c>
      <c r="Y10" s="27">
        <f t="shared" si="10"/>
        <v>21.264960170837309</v>
      </c>
      <c r="Z10" s="310">
        <f t="shared" si="11"/>
        <v>7.7141111661297606</v>
      </c>
      <c r="AA10">
        <v>8762</v>
      </c>
      <c r="AB10" s="240">
        <v>29.3</v>
      </c>
      <c r="AC10" s="41">
        <v>1500</v>
      </c>
      <c r="AD10" s="41">
        <v>3500</v>
      </c>
      <c r="AE10" s="311">
        <v>5000</v>
      </c>
      <c r="AF10" s="25">
        <f t="shared" si="12"/>
        <v>13209.900000000001</v>
      </c>
      <c r="AG10" s="25">
        <f t="shared" si="13"/>
        <v>10272.299999999999</v>
      </c>
      <c r="AH10" s="312">
        <f t="shared" si="14"/>
        <v>7834.7000000000007</v>
      </c>
      <c r="AI10" s="25">
        <f t="shared" si="15"/>
        <v>992.29295774647903</v>
      </c>
      <c r="AJ10" s="25">
        <f t="shared" si="16"/>
        <v>908.04861878453028</v>
      </c>
      <c r="AK10" s="312">
        <f t="shared" si="17"/>
        <v>841.31006711409407</v>
      </c>
    </row>
    <row r="11" spans="1:37" x14ac:dyDescent="0.25">
      <c r="A11" s="306"/>
      <c r="B11" s="239">
        <v>25</v>
      </c>
      <c r="C11" s="25">
        <v>4</v>
      </c>
      <c r="D11" s="42" t="s">
        <v>166</v>
      </c>
      <c r="E11" s="305">
        <v>2</v>
      </c>
      <c r="F11" s="307">
        <v>1</v>
      </c>
      <c r="G11" s="308">
        <v>7</v>
      </c>
      <c r="H11" s="36">
        <v>0</v>
      </c>
      <c r="I11" s="36">
        <v>4</v>
      </c>
      <c r="J11" s="36">
        <v>11</v>
      </c>
      <c r="K11" s="36">
        <v>2</v>
      </c>
      <c r="L11" s="36">
        <v>11</v>
      </c>
      <c r="M11" s="36">
        <v>13</v>
      </c>
      <c r="N11" s="309">
        <v>5</v>
      </c>
      <c r="O11" s="27">
        <f t="shared" si="0"/>
        <v>1.9690196080028513</v>
      </c>
      <c r="P11" s="27">
        <f t="shared" si="1"/>
        <v>13.286752942585149</v>
      </c>
      <c r="Q11" s="27">
        <f t="shared" si="2"/>
        <v>12.437411765616252</v>
      </c>
      <c r="R11" s="310">
        <f t="shared" si="3"/>
        <v>3.3732758172309056</v>
      </c>
      <c r="S11" s="27">
        <f t="shared" si="4"/>
        <v>5.3294797389943849</v>
      </c>
      <c r="T11" s="27">
        <f t="shared" si="5"/>
        <v>5.7970614384632366</v>
      </c>
      <c r="U11" s="27">
        <f t="shared" si="6"/>
        <v>15.94677385740807</v>
      </c>
      <c r="V11" s="310">
        <f t="shared" si="7"/>
        <v>5.7970614384632366</v>
      </c>
      <c r="W11" s="27">
        <f t="shared" si="8"/>
        <v>3.2816993466714188</v>
      </c>
      <c r="X11" s="27">
        <f t="shared" si="9"/>
        <v>6.7089947719051759</v>
      </c>
      <c r="Y11" s="27">
        <f t="shared" si="10"/>
        <v>19.970585622372688</v>
      </c>
      <c r="Z11" s="310">
        <f t="shared" si="11"/>
        <v>6.7089947719051759</v>
      </c>
      <c r="AA11">
        <v>8100</v>
      </c>
      <c r="AB11" s="240">
        <v>22.4</v>
      </c>
      <c r="AC11" s="41">
        <v>2000</v>
      </c>
      <c r="AD11" s="41">
        <v>3000</v>
      </c>
      <c r="AE11" s="311">
        <v>3500</v>
      </c>
      <c r="AF11" s="25">
        <f t="shared" si="12"/>
        <v>9696.7999999999993</v>
      </c>
      <c r="AG11" s="25">
        <f t="shared" si="13"/>
        <v>7980</v>
      </c>
      <c r="AH11" s="312">
        <f t="shared" si="14"/>
        <v>6763.2000000000007</v>
      </c>
      <c r="AI11" s="25">
        <f t="shared" si="15"/>
        <v>810.47880597014921</v>
      </c>
      <c r="AJ11" s="25">
        <f t="shared" si="16"/>
        <v>800.86021505376345</v>
      </c>
      <c r="AK11" s="312">
        <f t="shared" si="17"/>
        <v>849.19103139013464</v>
      </c>
    </row>
    <row r="12" spans="1:37" x14ac:dyDescent="0.25">
      <c r="A12" s="306"/>
      <c r="B12" s="239">
        <v>27</v>
      </c>
      <c r="C12" s="25">
        <v>36</v>
      </c>
      <c r="D12" s="42" t="s">
        <v>166</v>
      </c>
      <c r="E12" s="305">
        <v>6</v>
      </c>
      <c r="F12" s="307">
        <v>1</v>
      </c>
      <c r="G12" s="308">
        <v>5</v>
      </c>
      <c r="H12" s="36">
        <v>0</v>
      </c>
      <c r="I12" s="36">
        <v>4</v>
      </c>
      <c r="J12" s="36">
        <v>6</v>
      </c>
      <c r="K12" s="36">
        <v>7</v>
      </c>
      <c r="L12" s="36">
        <v>9</v>
      </c>
      <c r="M12" s="36">
        <v>14</v>
      </c>
      <c r="N12" s="309">
        <v>4</v>
      </c>
      <c r="O12" s="27">
        <f t="shared" si="0"/>
        <v>1.1897940008672037</v>
      </c>
      <c r="P12" s="27">
        <f t="shared" si="1"/>
        <v>16.070983087648735</v>
      </c>
      <c r="Q12" s="27">
        <f t="shared" si="2"/>
        <v>12.381825804943061</v>
      </c>
      <c r="R12" s="310">
        <f t="shared" si="3"/>
        <v>3.5528270812892426</v>
      </c>
      <c r="S12" s="27">
        <f t="shared" si="4"/>
        <v>3.2203757623472318</v>
      </c>
      <c r="T12" s="27">
        <f t="shared" si="5"/>
        <v>6.0425511630120869</v>
      </c>
      <c r="U12" s="27">
        <f t="shared" si="6"/>
        <v>15.224386966509808</v>
      </c>
      <c r="V12" s="310">
        <f t="shared" si="7"/>
        <v>6.0425511630120869</v>
      </c>
      <c r="W12" s="27">
        <f t="shared" si="8"/>
        <v>1.9829900014453397</v>
      </c>
      <c r="X12" s="27">
        <f t="shared" si="9"/>
        <v>7.6686110836017853</v>
      </c>
      <c r="Y12" s="27">
        <f t="shared" si="10"/>
        <v>19.96585324791468</v>
      </c>
      <c r="Z12" s="310">
        <f t="shared" si="11"/>
        <v>7.6686110836017853</v>
      </c>
      <c r="AA12">
        <v>6000</v>
      </c>
      <c r="AB12" s="240">
        <v>27.3</v>
      </c>
      <c r="AC12" s="41">
        <v>1400</v>
      </c>
      <c r="AD12" s="41">
        <v>1800</v>
      </c>
      <c r="AE12" s="311">
        <v>3000</v>
      </c>
      <c r="AF12" s="25">
        <f t="shared" si="12"/>
        <v>8234.7999999999993</v>
      </c>
      <c r="AG12" s="25">
        <f t="shared" si="13"/>
        <v>6961.2000000000007</v>
      </c>
      <c r="AH12" s="312">
        <f t="shared" si="14"/>
        <v>4887.6000000000004</v>
      </c>
      <c r="AI12" s="25">
        <f t="shared" si="15"/>
        <v>850.82804428044267</v>
      </c>
      <c r="AJ12" s="25">
        <f t="shared" si="16"/>
        <v>906.5748837209303</v>
      </c>
      <c r="AK12" s="312">
        <f t="shared" si="17"/>
        <v>860.70943396226414</v>
      </c>
    </row>
    <row r="13" spans="1:37" x14ac:dyDescent="0.25">
      <c r="A13" s="306"/>
      <c r="B13" s="239">
        <v>27</v>
      </c>
      <c r="C13" s="25">
        <v>10</v>
      </c>
      <c r="D13" s="42" t="s">
        <v>166</v>
      </c>
      <c r="E13" s="305">
        <v>3</v>
      </c>
      <c r="F13" s="307">
        <v>1</v>
      </c>
      <c r="G13" s="308">
        <v>5</v>
      </c>
      <c r="H13" s="36">
        <v>0</v>
      </c>
      <c r="I13" s="36">
        <v>1</v>
      </c>
      <c r="J13" s="36">
        <v>4</v>
      </c>
      <c r="K13" s="36">
        <v>2</v>
      </c>
      <c r="L13" s="36">
        <v>14</v>
      </c>
      <c r="M13" s="36">
        <v>13</v>
      </c>
      <c r="N13" s="309">
        <v>2</v>
      </c>
      <c r="O13" s="27">
        <f t="shared" si="0"/>
        <v>0.88979400086720373</v>
      </c>
      <c r="P13" s="27">
        <f t="shared" si="1"/>
        <v>13.613983087648737</v>
      </c>
      <c r="Q13" s="27">
        <f t="shared" si="2"/>
        <v>13.014825804943062</v>
      </c>
      <c r="R13" s="310">
        <f t="shared" si="3"/>
        <v>3.3298270812892428</v>
      </c>
      <c r="S13" s="27">
        <f t="shared" si="4"/>
        <v>2.4083757623472319</v>
      </c>
      <c r="T13" s="27">
        <f t="shared" si="5"/>
        <v>6.4455511630120874</v>
      </c>
      <c r="U13" s="27">
        <f t="shared" si="6"/>
        <v>17.35638696650981</v>
      </c>
      <c r="V13" s="310">
        <f t="shared" si="7"/>
        <v>6.4455511630120874</v>
      </c>
      <c r="W13" s="27">
        <f t="shared" si="8"/>
        <v>1.4829900014453397</v>
      </c>
      <c r="X13" s="27">
        <f t="shared" si="9"/>
        <v>7.013611083601786</v>
      </c>
      <c r="Y13" s="27">
        <f t="shared" si="10"/>
        <v>20.810853247914679</v>
      </c>
      <c r="Z13" s="310">
        <f t="shared" si="11"/>
        <v>7.013611083601786</v>
      </c>
      <c r="AA13">
        <v>5500</v>
      </c>
      <c r="AB13" s="240">
        <v>23.2</v>
      </c>
      <c r="AC13" s="41">
        <v>1200</v>
      </c>
      <c r="AD13" s="41">
        <v>1500</v>
      </c>
      <c r="AE13" s="311">
        <v>1900</v>
      </c>
      <c r="AF13" s="25">
        <f t="shared" si="12"/>
        <v>7302.7428571428572</v>
      </c>
      <c r="AG13" s="25">
        <f t="shared" si="13"/>
        <v>6260.3428571428576</v>
      </c>
      <c r="AH13" s="312">
        <f t="shared" si="14"/>
        <v>5117.9428571428571</v>
      </c>
      <c r="AI13" s="25">
        <f t="shared" si="15"/>
        <v>736.85333333333324</v>
      </c>
      <c r="AJ13" s="25">
        <f t="shared" si="16"/>
        <v>791.37516930022582</v>
      </c>
      <c r="AK13" s="312">
        <f t="shared" si="17"/>
        <v>865.87552870090633</v>
      </c>
    </row>
    <row r="14" spans="1:37" x14ac:dyDescent="0.25">
      <c r="A14" s="306"/>
      <c r="B14" s="239">
        <v>29</v>
      </c>
      <c r="C14" s="25">
        <v>20</v>
      </c>
      <c r="D14" s="42" t="s">
        <v>163</v>
      </c>
      <c r="E14" s="305">
        <v>5</v>
      </c>
      <c r="F14" s="307">
        <v>1</v>
      </c>
      <c r="G14" s="308">
        <v>7</v>
      </c>
      <c r="H14" s="36">
        <v>0</v>
      </c>
      <c r="I14" s="36">
        <v>4</v>
      </c>
      <c r="J14" s="36">
        <v>2</v>
      </c>
      <c r="K14" s="36">
        <v>2</v>
      </c>
      <c r="L14" s="36">
        <v>16</v>
      </c>
      <c r="M14" s="36">
        <v>12</v>
      </c>
      <c r="N14" s="309">
        <v>16</v>
      </c>
      <c r="O14" s="27">
        <f t="shared" si="0"/>
        <v>0.61901960800285127</v>
      </c>
      <c r="P14" s="27">
        <f t="shared" si="1"/>
        <v>13.709752942585149</v>
      </c>
      <c r="Q14" s="27">
        <f t="shared" si="2"/>
        <v>13.070411765616253</v>
      </c>
      <c r="R14" s="310">
        <f t="shared" si="3"/>
        <v>3.1502758172309058</v>
      </c>
      <c r="S14" s="27">
        <f t="shared" si="4"/>
        <v>1.6754797389943843</v>
      </c>
      <c r="T14" s="27">
        <f t="shared" si="5"/>
        <v>6.9200614384632368</v>
      </c>
      <c r="U14" s="27">
        <f t="shared" si="6"/>
        <v>18.078773857408073</v>
      </c>
      <c r="V14" s="310">
        <f t="shared" si="7"/>
        <v>6.9200614384632368</v>
      </c>
      <c r="W14" s="27">
        <f t="shared" si="8"/>
        <v>1.0316993466714188</v>
      </c>
      <c r="X14" s="27">
        <f t="shared" si="9"/>
        <v>7.1589947719051761</v>
      </c>
      <c r="Y14" s="27">
        <f t="shared" si="10"/>
        <v>20.815585622372691</v>
      </c>
      <c r="Z14" s="310">
        <f t="shared" si="11"/>
        <v>7.1589947719051761</v>
      </c>
      <c r="AA14">
        <v>3290</v>
      </c>
      <c r="AB14" s="240">
        <v>36.1</v>
      </c>
      <c r="AC14" s="41">
        <v>850</v>
      </c>
      <c r="AD14" s="41">
        <v>950</v>
      </c>
      <c r="AE14" s="311">
        <v>1200</v>
      </c>
      <c r="AF14" s="25">
        <f t="shared" si="12"/>
        <v>6008.7428571428572</v>
      </c>
      <c r="AG14" s="25">
        <f t="shared" si="13"/>
        <v>4753.5428571428574</v>
      </c>
      <c r="AH14" s="312">
        <f t="shared" si="14"/>
        <v>3348.3428571428576</v>
      </c>
      <c r="AI14" s="25">
        <f t="shared" si="15"/>
        <v>768.24109589041097</v>
      </c>
      <c r="AJ14" s="25">
        <f t="shared" si="16"/>
        <v>816.55950920245402</v>
      </c>
      <c r="AK14" s="312">
        <f t="shared" si="17"/>
        <v>876.20186915887871</v>
      </c>
    </row>
    <row r="15" spans="1:37" x14ac:dyDescent="0.25">
      <c r="A15" s="306"/>
      <c r="B15" s="239">
        <v>27</v>
      </c>
      <c r="C15" s="25">
        <v>103</v>
      </c>
      <c r="D15" s="42" t="s">
        <v>175</v>
      </c>
      <c r="E15" s="305">
        <v>3</v>
      </c>
      <c r="F15" s="307">
        <v>1</v>
      </c>
      <c r="G15" s="308">
        <v>6</v>
      </c>
      <c r="H15" s="36">
        <v>0</v>
      </c>
      <c r="I15" s="36">
        <v>4</v>
      </c>
      <c r="J15" s="36">
        <v>9</v>
      </c>
      <c r="K15" s="36">
        <v>1</v>
      </c>
      <c r="L15" s="36">
        <v>14</v>
      </c>
      <c r="M15" s="36">
        <v>12</v>
      </c>
      <c r="N15" s="309">
        <v>1</v>
      </c>
      <c r="O15" s="27">
        <f t="shared" si="0"/>
        <v>1.6556302500767288</v>
      </c>
      <c r="P15" s="27">
        <f t="shared" si="1"/>
        <v>12.62565880567675</v>
      </c>
      <c r="Q15" s="27">
        <f t="shared" si="2"/>
        <v>12.498092425437354</v>
      </c>
      <c r="R15" s="310">
        <f t="shared" si="3"/>
        <v>3.1303703051140701</v>
      </c>
      <c r="S15" s="27">
        <f t="shared" si="4"/>
        <v>4.4812392102076792</v>
      </c>
      <c r="T15" s="27">
        <f t="shared" si="5"/>
        <v>6.229555735266505</v>
      </c>
      <c r="U15" s="27">
        <f t="shared" si="6"/>
        <v>16.892264410575976</v>
      </c>
      <c r="V15" s="310">
        <f t="shared" si="7"/>
        <v>6.229555735266505</v>
      </c>
      <c r="W15" s="27">
        <f t="shared" si="8"/>
        <v>2.7593837501278813</v>
      </c>
      <c r="X15" s="27">
        <f t="shared" si="9"/>
        <v>6.5983843053186799</v>
      </c>
      <c r="Y15" s="27">
        <f t="shared" si="10"/>
        <v>19.955385415700277</v>
      </c>
      <c r="Z15" s="310">
        <f t="shared" si="11"/>
        <v>6.5983843053186799</v>
      </c>
      <c r="AA15">
        <v>5280</v>
      </c>
      <c r="AB15" s="240">
        <v>17.5</v>
      </c>
      <c r="AC15" s="41">
        <v>880</v>
      </c>
      <c r="AD15" s="41">
        <v>1100</v>
      </c>
      <c r="AE15" s="311">
        <v>2200</v>
      </c>
      <c r="AF15" s="25">
        <f t="shared" si="12"/>
        <v>6897.5</v>
      </c>
      <c r="AG15" s="25">
        <f t="shared" si="13"/>
        <v>6117.5</v>
      </c>
      <c r="AH15" s="312">
        <f t="shared" si="14"/>
        <v>4457.5</v>
      </c>
      <c r="AI15" s="25">
        <f t="shared" si="15"/>
        <v>759.60668633235014</v>
      </c>
      <c r="AJ15" s="25">
        <f t="shared" si="16"/>
        <v>864.01008827238331</v>
      </c>
      <c r="AK15" s="312">
        <f t="shared" si="17"/>
        <v>877.39894551845339</v>
      </c>
    </row>
    <row r="16" spans="1:37" x14ac:dyDescent="0.25">
      <c r="A16" s="340"/>
      <c r="B16" s="239">
        <v>27</v>
      </c>
      <c r="C16" s="25">
        <v>47</v>
      </c>
      <c r="D16" s="42" t="s">
        <v>166</v>
      </c>
      <c r="E16" s="305">
        <v>3</v>
      </c>
      <c r="F16" s="307">
        <v>1</v>
      </c>
      <c r="G16" s="308">
        <v>7</v>
      </c>
      <c r="H16" s="36">
        <v>0</v>
      </c>
      <c r="I16" s="36">
        <v>5</v>
      </c>
      <c r="J16" s="36">
        <v>5</v>
      </c>
      <c r="K16" s="36">
        <v>7</v>
      </c>
      <c r="L16" s="36">
        <v>11</v>
      </c>
      <c r="M16" s="36">
        <v>13</v>
      </c>
      <c r="N16" s="309">
        <v>8</v>
      </c>
      <c r="O16" s="27">
        <f t="shared" si="0"/>
        <v>1.0690196080028513</v>
      </c>
      <c r="P16" s="27">
        <f t="shared" si="1"/>
        <v>16.166752942585148</v>
      </c>
      <c r="Q16" s="27">
        <f t="shared" si="2"/>
        <v>12.437411765616252</v>
      </c>
      <c r="R16" s="310">
        <f t="shared" si="3"/>
        <v>3.3732758172309056</v>
      </c>
      <c r="S16" s="27">
        <f t="shared" si="4"/>
        <v>2.8934797389943845</v>
      </c>
      <c r="T16" s="27">
        <f t="shared" si="5"/>
        <v>6.5170614384632373</v>
      </c>
      <c r="U16" s="27">
        <f t="shared" si="6"/>
        <v>15.94677385740807</v>
      </c>
      <c r="V16" s="310">
        <f t="shared" si="7"/>
        <v>6.5170614384632373</v>
      </c>
      <c r="W16" s="27">
        <f t="shared" si="8"/>
        <v>1.7816993466714188</v>
      </c>
      <c r="X16" s="27">
        <f t="shared" si="9"/>
        <v>7.8139947719051754</v>
      </c>
      <c r="Y16" s="27">
        <f t="shared" si="10"/>
        <v>19.970585622372688</v>
      </c>
      <c r="Z16" s="310">
        <f t="shared" si="11"/>
        <v>7.8139947719051754</v>
      </c>
      <c r="AA16">
        <v>5400</v>
      </c>
      <c r="AB16" s="240">
        <v>24.7</v>
      </c>
      <c r="AC16" s="41">
        <v>950</v>
      </c>
      <c r="AD16" s="41">
        <v>1600</v>
      </c>
      <c r="AE16" s="311">
        <v>2250</v>
      </c>
      <c r="AF16" s="25">
        <f t="shared" si="12"/>
        <v>7777.442857142858</v>
      </c>
      <c r="AG16" s="25">
        <f t="shared" si="13"/>
        <v>6337.0428571428565</v>
      </c>
      <c r="AH16" s="312">
        <f t="shared" si="14"/>
        <v>4896.6428571428569</v>
      </c>
      <c r="AI16" s="25">
        <f t="shared" si="15"/>
        <v>811.81136999068042</v>
      </c>
      <c r="AJ16" s="25">
        <f t="shared" si="16"/>
        <v>835.98209658421661</v>
      </c>
      <c r="AK16" s="312">
        <f t="shared" si="17"/>
        <v>877.47839999999985</v>
      </c>
    </row>
    <row r="17" spans="1:39" x14ac:dyDescent="0.25">
      <c r="A17" s="306"/>
      <c r="B17" s="239">
        <v>23</v>
      </c>
      <c r="C17" s="25">
        <v>59</v>
      </c>
      <c r="D17" s="42" t="s">
        <v>163</v>
      </c>
      <c r="E17" s="305">
        <v>4</v>
      </c>
      <c r="F17" s="307">
        <v>1</v>
      </c>
      <c r="G17" s="308">
        <v>1</v>
      </c>
      <c r="H17" s="36">
        <v>0</v>
      </c>
      <c r="I17" s="36">
        <v>2</v>
      </c>
      <c r="J17" s="36">
        <v>6</v>
      </c>
      <c r="K17" s="36">
        <v>3</v>
      </c>
      <c r="L17" s="36">
        <v>11</v>
      </c>
      <c r="M17" s="36">
        <v>14</v>
      </c>
      <c r="N17" s="309">
        <v>8</v>
      </c>
      <c r="O17" s="27">
        <f t="shared" si="0"/>
        <v>1.05</v>
      </c>
      <c r="P17" s="27">
        <f t="shared" si="1"/>
        <v>12.924000000000001</v>
      </c>
      <c r="Q17" s="27">
        <f t="shared" si="2"/>
        <v>12.081</v>
      </c>
      <c r="R17" s="310">
        <f t="shared" si="3"/>
        <v>3.3450000000000002</v>
      </c>
      <c r="S17" s="27">
        <f t="shared" si="4"/>
        <v>2.8420000000000001</v>
      </c>
      <c r="T17" s="27">
        <f t="shared" si="5"/>
        <v>5.4809999999999999</v>
      </c>
      <c r="U17" s="27">
        <f t="shared" si="6"/>
        <v>15.260999999999999</v>
      </c>
      <c r="V17" s="310">
        <f t="shared" si="7"/>
        <v>5.4809999999999999</v>
      </c>
      <c r="W17" s="27">
        <f t="shared" si="8"/>
        <v>1.75</v>
      </c>
      <c r="X17" s="27">
        <f t="shared" si="9"/>
        <v>6.4880000000000004</v>
      </c>
      <c r="Y17" s="27">
        <f t="shared" si="10"/>
        <v>19.428000000000001</v>
      </c>
      <c r="Z17" s="310">
        <f t="shared" si="11"/>
        <v>6.4880000000000004</v>
      </c>
      <c r="AA17">
        <v>7250</v>
      </c>
      <c r="AB17" s="240">
        <v>26.1</v>
      </c>
      <c r="AC17" s="41">
        <v>1300</v>
      </c>
      <c r="AD17" s="41">
        <v>1600</v>
      </c>
      <c r="AE17" s="311">
        <v>2000</v>
      </c>
      <c r="AF17" s="25">
        <f t="shared" si="12"/>
        <v>11181.185714285715</v>
      </c>
      <c r="AG17" s="25">
        <f t="shared" si="13"/>
        <v>10045.985714285714</v>
      </c>
      <c r="AH17" s="312">
        <f t="shared" si="14"/>
        <v>8810.7857142857138</v>
      </c>
      <c r="AI17" s="25">
        <f t="shared" si="15"/>
        <v>829.88257123923131</v>
      </c>
      <c r="AJ17" s="25">
        <f t="shared" si="16"/>
        <v>875.60342412451359</v>
      </c>
      <c r="AK17" s="312">
        <f t="shared" si="17"/>
        <v>930.07351555136654</v>
      </c>
    </row>
    <row r="18" spans="1:39" x14ac:dyDescent="0.25">
      <c r="A18" s="306"/>
      <c r="B18" s="239">
        <v>28</v>
      </c>
      <c r="C18" s="25">
        <v>63</v>
      </c>
      <c r="D18" s="42" t="s">
        <v>166</v>
      </c>
      <c r="E18" s="305">
        <v>3</v>
      </c>
      <c r="F18" s="307">
        <v>1</v>
      </c>
      <c r="G18" s="308">
        <v>7</v>
      </c>
      <c r="H18" s="36">
        <v>0</v>
      </c>
      <c r="I18" s="36">
        <v>3</v>
      </c>
      <c r="J18" s="36">
        <v>7</v>
      </c>
      <c r="K18" s="36">
        <v>7</v>
      </c>
      <c r="L18" s="36">
        <v>13</v>
      </c>
      <c r="M18" s="36">
        <v>13</v>
      </c>
      <c r="N18" s="309">
        <v>0</v>
      </c>
      <c r="O18" s="27">
        <f t="shared" si="0"/>
        <v>1.3690196080028512</v>
      </c>
      <c r="P18" s="27">
        <f t="shared" si="1"/>
        <v>16.556752942585149</v>
      </c>
      <c r="Q18" s="27">
        <f t="shared" si="2"/>
        <v>12.933411765616253</v>
      </c>
      <c r="R18" s="310">
        <f t="shared" si="3"/>
        <v>3.3732758172309056</v>
      </c>
      <c r="S18" s="27">
        <f t="shared" si="4"/>
        <v>3.7054797389943843</v>
      </c>
      <c r="T18" s="27">
        <f t="shared" si="5"/>
        <v>7.0170614384632373</v>
      </c>
      <c r="U18" s="27">
        <f t="shared" si="6"/>
        <v>17.03277385740807</v>
      </c>
      <c r="V18" s="310">
        <f t="shared" si="7"/>
        <v>7.0170614384632373</v>
      </c>
      <c r="W18" s="27">
        <f t="shared" si="8"/>
        <v>2.2816993466714188</v>
      </c>
      <c r="X18" s="27">
        <f t="shared" si="9"/>
        <v>8.0979947719051744</v>
      </c>
      <c r="Y18" s="27">
        <f t="shared" si="10"/>
        <v>20.708585622372688</v>
      </c>
      <c r="Z18" s="310">
        <f t="shared" si="11"/>
        <v>8.0979947719051744</v>
      </c>
      <c r="AA18" s="341">
        <v>5800</v>
      </c>
      <c r="AB18" s="240">
        <v>26.7</v>
      </c>
      <c r="AC18" s="41">
        <v>1500</v>
      </c>
      <c r="AD18" s="41">
        <v>2100</v>
      </c>
      <c r="AE18" s="311">
        <v>2700</v>
      </c>
      <c r="AF18" s="25">
        <f t="shared" si="12"/>
        <v>7530.7000000000007</v>
      </c>
      <c r="AG18" s="25">
        <f t="shared" si="13"/>
        <v>6076.2999999999993</v>
      </c>
      <c r="AH18" s="312">
        <f t="shared" si="14"/>
        <v>4621.8999999999996</v>
      </c>
      <c r="AI18" s="25">
        <f t="shared" si="15"/>
        <v>892.52740740740751</v>
      </c>
      <c r="AJ18" s="25">
        <f t="shared" si="16"/>
        <v>943.89126213592226</v>
      </c>
      <c r="AK18" s="312">
        <f t="shared" si="17"/>
        <v>1041.5549295774647</v>
      </c>
      <c r="AL18" s="250"/>
      <c r="AM18" s="250"/>
    </row>
    <row r="19" spans="1:39" x14ac:dyDescent="0.25">
      <c r="A19" s="306"/>
      <c r="B19" s="239">
        <v>27</v>
      </c>
      <c r="C19" s="25">
        <v>38</v>
      </c>
      <c r="D19" s="42" t="s">
        <v>163</v>
      </c>
      <c r="E19" s="305">
        <v>2</v>
      </c>
      <c r="F19" s="307">
        <v>1</v>
      </c>
      <c r="G19" s="308">
        <v>6</v>
      </c>
      <c r="H19" s="36">
        <v>0</v>
      </c>
      <c r="I19" s="36">
        <v>3</v>
      </c>
      <c r="J19" s="36">
        <v>14</v>
      </c>
      <c r="K19" s="36">
        <v>9</v>
      </c>
      <c r="L19" s="36">
        <v>2</v>
      </c>
      <c r="M19" s="36">
        <v>13</v>
      </c>
      <c r="N19" s="309">
        <v>15</v>
      </c>
      <c r="O19" s="27">
        <f t="shared" si="0"/>
        <v>2.4056302500767286</v>
      </c>
      <c r="P19" s="27">
        <f t="shared" si="1"/>
        <v>15.44565880567675</v>
      </c>
      <c r="Q19" s="27">
        <f t="shared" si="2"/>
        <v>10.129092425437353</v>
      </c>
      <c r="R19" s="310">
        <f t="shared" si="3"/>
        <v>3.35337030511407</v>
      </c>
      <c r="S19" s="27">
        <f t="shared" si="4"/>
        <v>6.5112392102076795</v>
      </c>
      <c r="T19" s="27">
        <f t="shared" si="5"/>
        <v>4.508555735266504</v>
      </c>
      <c r="U19" s="27">
        <f t="shared" si="6"/>
        <v>10.959264410575978</v>
      </c>
      <c r="V19" s="310">
        <f t="shared" si="7"/>
        <v>4.508555735266504</v>
      </c>
      <c r="W19" s="27">
        <f t="shared" si="8"/>
        <v>4.0093837501278813</v>
      </c>
      <c r="X19" s="27">
        <f t="shared" si="9"/>
        <v>6.9223843053186807</v>
      </c>
      <c r="Y19" s="27">
        <f t="shared" si="10"/>
        <v>16.527385415700277</v>
      </c>
      <c r="Z19" s="310">
        <f t="shared" si="11"/>
        <v>6.9223843053186807</v>
      </c>
      <c r="AA19">
        <v>6000</v>
      </c>
      <c r="AB19" s="240">
        <f>32.8*1.2</f>
        <v>39.359999999999992</v>
      </c>
      <c r="AC19" s="41">
        <v>500</v>
      </c>
      <c r="AD19" s="41">
        <v>1400</v>
      </c>
      <c r="AE19" s="311">
        <v>2400</v>
      </c>
      <c r="AF19" s="25">
        <f t="shared" si="12"/>
        <v>10751.74857142857</v>
      </c>
      <c r="AG19" s="25">
        <f t="shared" si="13"/>
        <v>8592.2285714285717</v>
      </c>
      <c r="AH19" s="312">
        <f t="shared" si="14"/>
        <v>6332.7085714285713</v>
      </c>
      <c r="AI19" s="25">
        <f t="shared" si="15"/>
        <v>1112.9351571164509</v>
      </c>
      <c r="AJ19" s="25">
        <f t="shared" si="16"/>
        <v>1121.5962703962705</v>
      </c>
      <c r="AK19" s="312">
        <f t="shared" si="17"/>
        <v>1118.7119242902208</v>
      </c>
    </row>
    <row r="20" spans="1:39" x14ac:dyDescent="0.25">
      <c r="A20" s="306"/>
      <c r="B20" s="239">
        <v>26</v>
      </c>
      <c r="C20" s="25">
        <v>100</v>
      </c>
      <c r="D20" s="42" t="s">
        <v>166</v>
      </c>
      <c r="E20" s="305">
        <v>3</v>
      </c>
      <c r="F20" s="307">
        <v>1</v>
      </c>
      <c r="G20" s="308">
        <v>6</v>
      </c>
      <c r="H20" s="36">
        <v>1</v>
      </c>
      <c r="I20" s="36">
        <v>4</v>
      </c>
      <c r="J20" s="36">
        <v>7</v>
      </c>
      <c r="K20" s="36">
        <v>7</v>
      </c>
      <c r="L20" s="36">
        <v>10</v>
      </c>
      <c r="M20" s="36">
        <v>14</v>
      </c>
      <c r="N20" s="309">
        <v>1</v>
      </c>
      <c r="O20" s="27">
        <f t="shared" si="0"/>
        <v>1.3556302500767288</v>
      </c>
      <c r="P20" s="27">
        <f t="shared" si="1"/>
        <v>16.405658805676747</v>
      </c>
      <c r="Q20" s="27">
        <f t="shared" si="2"/>
        <v>12.720092425437354</v>
      </c>
      <c r="R20" s="310">
        <f t="shared" si="3"/>
        <v>3.5763703051140703</v>
      </c>
      <c r="S20" s="27">
        <f t="shared" si="4"/>
        <v>3.6692392102076794</v>
      </c>
      <c r="T20" s="27">
        <f t="shared" si="5"/>
        <v>6.3475557352665035</v>
      </c>
      <c r="U20" s="27">
        <f t="shared" si="6"/>
        <v>15.886264410575976</v>
      </c>
      <c r="V20" s="310">
        <f t="shared" si="7"/>
        <v>6.3475557352665035</v>
      </c>
      <c r="W20" s="27">
        <f t="shared" si="8"/>
        <v>2.2593837501278813</v>
      </c>
      <c r="X20" s="27">
        <f t="shared" si="9"/>
        <v>7.8763843053186804</v>
      </c>
      <c r="Y20" s="27">
        <f t="shared" si="10"/>
        <v>20.479385415700278</v>
      </c>
      <c r="Z20" s="310">
        <f t="shared" si="11"/>
        <v>7.8763843053186804</v>
      </c>
      <c r="AA20" s="341">
        <v>7100</v>
      </c>
      <c r="AB20" s="240">
        <v>29</v>
      </c>
      <c r="AC20" s="41">
        <v>1900</v>
      </c>
      <c r="AD20" s="41">
        <v>2300</v>
      </c>
      <c r="AE20" s="311">
        <v>3000</v>
      </c>
      <c r="AF20" s="25">
        <f t="shared" si="12"/>
        <v>9790.2857142857138</v>
      </c>
      <c r="AG20" s="25">
        <f t="shared" si="13"/>
        <v>8462.2857142857138</v>
      </c>
      <c r="AH20" s="312">
        <f t="shared" si="14"/>
        <v>6834.2857142857138</v>
      </c>
      <c r="AI20" s="25">
        <f t="shared" si="15"/>
        <v>968.65017667844518</v>
      </c>
      <c r="AJ20" s="25">
        <f t="shared" si="16"/>
        <v>1043.8061674008809</v>
      </c>
      <c r="AK20" s="312">
        <f t="shared" si="17"/>
        <v>1119.0643274853801</v>
      </c>
    </row>
    <row r="21" spans="1:39" x14ac:dyDescent="0.25">
      <c r="A21" s="306"/>
      <c r="B21" s="239">
        <v>29</v>
      </c>
      <c r="C21" s="25">
        <v>83</v>
      </c>
      <c r="D21" s="42" t="s">
        <v>166</v>
      </c>
      <c r="E21" s="305">
        <v>3</v>
      </c>
      <c r="F21" s="307">
        <v>1</v>
      </c>
      <c r="G21" s="308">
        <v>7</v>
      </c>
      <c r="H21" s="36">
        <v>0</v>
      </c>
      <c r="I21" s="36">
        <v>1</v>
      </c>
      <c r="J21" s="36">
        <v>13</v>
      </c>
      <c r="K21" s="36">
        <v>6</v>
      </c>
      <c r="L21" s="36">
        <v>12</v>
      </c>
      <c r="M21" s="36">
        <v>12</v>
      </c>
      <c r="N21" s="309">
        <v>13</v>
      </c>
      <c r="O21" s="27">
        <f t="shared" si="0"/>
        <v>2.2690196080028513</v>
      </c>
      <c r="P21" s="27">
        <f t="shared" si="1"/>
        <v>15.233752942585149</v>
      </c>
      <c r="Q21" s="27">
        <f t="shared" si="2"/>
        <v>12.078411765616252</v>
      </c>
      <c r="R21" s="310">
        <f t="shared" si="3"/>
        <v>3.1502758172309058</v>
      </c>
      <c r="S21" s="27">
        <f t="shared" si="4"/>
        <v>6.1414797389943843</v>
      </c>
      <c r="T21" s="27">
        <f t="shared" si="5"/>
        <v>6.4960614384632365</v>
      </c>
      <c r="U21" s="27">
        <f t="shared" si="6"/>
        <v>15.906773857408069</v>
      </c>
      <c r="V21" s="310">
        <f t="shared" si="7"/>
        <v>6.4960614384632365</v>
      </c>
      <c r="W21" s="27">
        <f t="shared" si="8"/>
        <v>3.7816993466714188</v>
      </c>
      <c r="X21" s="27">
        <f t="shared" si="9"/>
        <v>7.474994771905175</v>
      </c>
      <c r="Y21" s="27">
        <f t="shared" si="10"/>
        <v>19.339585622372688</v>
      </c>
      <c r="Z21" s="310">
        <f t="shared" si="11"/>
        <v>7.474994771905175</v>
      </c>
      <c r="AA21">
        <v>7100</v>
      </c>
      <c r="AB21" s="240">
        <v>23.9</v>
      </c>
      <c r="AC21" s="41">
        <v>1650</v>
      </c>
      <c r="AD21" s="41">
        <v>2700</v>
      </c>
      <c r="AE21" s="311">
        <v>4000</v>
      </c>
      <c r="AF21" s="25">
        <f t="shared" si="12"/>
        <v>8027.7857142857138</v>
      </c>
      <c r="AG21" s="25">
        <f t="shared" si="13"/>
        <v>6212.9857142857145</v>
      </c>
      <c r="AH21" s="312">
        <f t="shared" si="14"/>
        <v>4148.1857142857143</v>
      </c>
      <c r="AI21" s="25">
        <f t="shared" si="15"/>
        <v>1105.9188191881919</v>
      </c>
      <c r="AJ21" s="25">
        <f t="shared" si="16"/>
        <v>1181.416638370119</v>
      </c>
      <c r="AK21" s="312">
        <f t="shared" si="17"/>
        <v>1272.8679452054794</v>
      </c>
    </row>
    <row r="22" spans="1:39" x14ac:dyDescent="0.25">
      <c r="A22" s="306"/>
      <c r="B22" s="239">
        <v>28</v>
      </c>
      <c r="C22" s="25">
        <v>77</v>
      </c>
      <c r="D22" s="42" t="s">
        <v>166</v>
      </c>
      <c r="E22" s="305">
        <v>4</v>
      </c>
      <c r="F22" s="307">
        <v>1</v>
      </c>
      <c r="G22" s="308">
        <v>9</v>
      </c>
      <c r="H22" s="36">
        <v>0</v>
      </c>
      <c r="I22" s="36">
        <v>4</v>
      </c>
      <c r="J22" s="36">
        <v>9</v>
      </c>
      <c r="K22" s="36">
        <v>14</v>
      </c>
      <c r="L22" s="36">
        <v>13</v>
      </c>
      <c r="M22" s="36">
        <v>13</v>
      </c>
      <c r="N22" s="309">
        <v>2</v>
      </c>
      <c r="O22" s="27">
        <f t="shared" si="0"/>
        <v>1.690848501887865</v>
      </c>
      <c r="P22" s="27">
        <f t="shared" si="1"/>
        <v>20.781283786650967</v>
      </c>
      <c r="Q22" s="27">
        <f t="shared" si="2"/>
        <v>13.057836460760829</v>
      </c>
      <c r="R22" s="310">
        <f t="shared" si="3"/>
        <v>3.4057281061399594</v>
      </c>
      <c r="S22" s="27">
        <f t="shared" si="4"/>
        <v>4.5765632784431549</v>
      </c>
      <c r="T22" s="27">
        <f t="shared" si="5"/>
        <v>8.1008804632238505</v>
      </c>
      <c r="U22" s="27">
        <f t="shared" si="6"/>
        <v>17.196636087504906</v>
      </c>
      <c r="V22" s="310">
        <f t="shared" si="7"/>
        <v>8.1008804632238505</v>
      </c>
      <c r="W22" s="27">
        <f t="shared" si="8"/>
        <v>2.8180808364797749</v>
      </c>
      <c r="X22" s="27">
        <f t="shared" si="9"/>
        <v>9.7356574445075985</v>
      </c>
      <c r="Y22" s="27">
        <f t="shared" si="10"/>
        <v>20.907810660563246</v>
      </c>
      <c r="Z22" s="310">
        <f t="shared" si="11"/>
        <v>9.7356574445075985</v>
      </c>
      <c r="AA22">
        <v>9900</v>
      </c>
      <c r="AB22" s="240">
        <f>23.2*1.2</f>
        <v>27.84</v>
      </c>
      <c r="AC22" s="41">
        <v>2500</v>
      </c>
      <c r="AD22" s="41">
        <v>4500</v>
      </c>
      <c r="AE22" s="311">
        <v>6000</v>
      </c>
      <c r="AF22" s="25">
        <f t="shared" si="12"/>
        <v>10824.32</v>
      </c>
      <c r="AG22" s="25">
        <f t="shared" si="13"/>
        <v>7933.4400000000005</v>
      </c>
      <c r="AH22" s="312">
        <f t="shared" si="14"/>
        <v>5542.5599999999995</v>
      </c>
      <c r="AI22" s="25">
        <f t="shared" si="15"/>
        <v>1302.1738345864662</v>
      </c>
      <c r="AJ22" s="25">
        <f t="shared" si="16"/>
        <v>1256.7825742574257</v>
      </c>
      <c r="AK22" s="312">
        <f t="shared" si="17"/>
        <v>1285.2313043478259</v>
      </c>
    </row>
    <row r="23" spans="1:39" x14ac:dyDescent="0.25">
      <c r="A23" s="306"/>
      <c r="B23" s="239">
        <v>29</v>
      </c>
      <c r="C23" s="25">
        <v>67</v>
      </c>
      <c r="D23" s="42" t="s">
        <v>166</v>
      </c>
      <c r="E23" s="305">
        <v>2</v>
      </c>
      <c r="F23" s="307">
        <v>1</v>
      </c>
      <c r="G23" s="308">
        <v>7</v>
      </c>
      <c r="H23" s="36">
        <v>0</v>
      </c>
      <c r="I23" s="36">
        <v>3</v>
      </c>
      <c r="J23" s="36">
        <v>4</v>
      </c>
      <c r="K23" s="36">
        <v>9</v>
      </c>
      <c r="L23" s="36">
        <v>12</v>
      </c>
      <c r="M23" s="36">
        <v>14</v>
      </c>
      <c r="N23" s="309">
        <v>9</v>
      </c>
      <c r="O23" s="27">
        <f t="shared" si="0"/>
        <v>0.91901960800285121</v>
      </c>
      <c r="P23" s="27">
        <f t="shared" si="1"/>
        <v>18.065752942585149</v>
      </c>
      <c r="Q23" s="27">
        <f t="shared" si="2"/>
        <v>13.292411765616253</v>
      </c>
      <c r="R23" s="310">
        <f t="shared" si="3"/>
        <v>3.5962758172309059</v>
      </c>
      <c r="S23" s="27">
        <f t="shared" si="4"/>
        <v>2.4874797389943843</v>
      </c>
      <c r="T23" s="27">
        <f t="shared" si="5"/>
        <v>7.1820614384632364</v>
      </c>
      <c r="U23" s="27">
        <f t="shared" si="6"/>
        <v>17.072773857408073</v>
      </c>
      <c r="V23" s="310">
        <f t="shared" si="7"/>
        <v>7.1820614384632364</v>
      </c>
      <c r="W23" s="27">
        <f t="shared" si="8"/>
        <v>1.5316993466714188</v>
      </c>
      <c r="X23" s="27">
        <f t="shared" si="9"/>
        <v>8.6579947719051766</v>
      </c>
      <c r="Y23" s="27">
        <f t="shared" si="10"/>
        <v>21.339585622372692</v>
      </c>
      <c r="Z23" s="310">
        <f t="shared" si="11"/>
        <v>8.6579947719051766</v>
      </c>
      <c r="AA23">
        <v>6250</v>
      </c>
      <c r="AB23" s="240">
        <v>26.3</v>
      </c>
      <c r="AC23" s="41">
        <v>2000</v>
      </c>
      <c r="AD23" s="41">
        <v>2700</v>
      </c>
      <c r="AE23" s="311">
        <v>2900</v>
      </c>
      <c r="AF23" s="25">
        <f t="shared" si="12"/>
        <v>7026.528571428571</v>
      </c>
      <c r="AG23" s="25">
        <f t="shared" si="13"/>
        <v>5484.9285714285716</v>
      </c>
      <c r="AH23" s="312">
        <f t="shared" si="14"/>
        <v>4443.3285714285712</v>
      </c>
      <c r="AI23" s="25">
        <f t="shared" si="15"/>
        <v>949.30180940892637</v>
      </c>
      <c r="AJ23" s="25">
        <f t="shared" si="16"/>
        <v>1015.3917355371901</v>
      </c>
      <c r="AK23" s="312">
        <f t="shared" si="17"/>
        <v>1306.1753280839894</v>
      </c>
    </row>
    <row r="24" spans="1:39" x14ac:dyDescent="0.25">
      <c r="A24" s="306"/>
      <c r="B24" s="239">
        <v>26</v>
      </c>
      <c r="C24" s="25">
        <v>92</v>
      </c>
      <c r="D24" s="42" t="s">
        <v>166</v>
      </c>
      <c r="E24" s="305">
        <v>3</v>
      </c>
      <c r="F24" s="307">
        <v>1</v>
      </c>
      <c r="G24" s="308">
        <v>5</v>
      </c>
      <c r="H24" s="36">
        <v>0</v>
      </c>
      <c r="I24" s="36">
        <v>4</v>
      </c>
      <c r="J24" s="36">
        <v>3</v>
      </c>
      <c r="K24" s="36">
        <v>3</v>
      </c>
      <c r="L24" s="36">
        <v>14</v>
      </c>
      <c r="M24" s="36">
        <v>14</v>
      </c>
      <c r="N24" s="309">
        <v>3</v>
      </c>
      <c r="O24" s="27">
        <f t="shared" si="0"/>
        <v>0.73979400086720382</v>
      </c>
      <c r="P24" s="27">
        <f t="shared" si="1"/>
        <v>14.741983087648737</v>
      </c>
      <c r="Q24" s="27">
        <f t="shared" si="2"/>
        <v>13.621825804943061</v>
      </c>
      <c r="R24" s="310">
        <f t="shared" si="3"/>
        <v>3.5528270812892426</v>
      </c>
      <c r="S24" s="27">
        <f t="shared" si="4"/>
        <v>2.0023757623472318</v>
      </c>
      <c r="T24" s="27">
        <f t="shared" si="5"/>
        <v>6.7165511630120882</v>
      </c>
      <c r="U24" s="27">
        <f t="shared" si="6"/>
        <v>17.939386966509808</v>
      </c>
      <c r="V24" s="310">
        <f t="shared" si="7"/>
        <v>6.7165511630120882</v>
      </c>
      <c r="W24" s="27">
        <f t="shared" si="8"/>
        <v>1.2329900014453397</v>
      </c>
      <c r="X24" s="27">
        <f t="shared" si="9"/>
        <v>7.4946110836017859</v>
      </c>
      <c r="Y24" s="27">
        <f t="shared" si="10"/>
        <v>21.810853247914679</v>
      </c>
      <c r="Z24" s="310">
        <f t="shared" si="11"/>
        <v>7.4946110836017859</v>
      </c>
      <c r="AA24">
        <v>6450</v>
      </c>
      <c r="AB24" s="240">
        <v>35.4</v>
      </c>
      <c r="AC24" s="41">
        <v>2800</v>
      </c>
      <c r="AD24" s="41">
        <v>1800</v>
      </c>
      <c r="AE24" s="311">
        <v>1600</v>
      </c>
      <c r="AF24" s="25">
        <f t="shared" si="12"/>
        <v>9212.8571428571413</v>
      </c>
      <c r="AG24" s="25">
        <f t="shared" si="13"/>
        <v>9080.057142857142</v>
      </c>
      <c r="AH24" s="312">
        <f t="shared" si="14"/>
        <v>8147.2571428571428</v>
      </c>
      <c r="AI24" s="25">
        <f t="shared" si="15"/>
        <v>905.12280701754366</v>
      </c>
      <c r="AJ24" s="25">
        <f t="shared" si="16"/>
        <v>1110.2253275109169</v>
      </c>
      <c r="AK24" s="312">
        <f t="shared" si="17"/>
        <v>1318.6312138728324</v>
      </c>
    </row>
  </sheetData>
  <conditionalFormatting sqref="G3:G24">
    <cfRule type="cellIs" dxfId="4" priority="5" operator="greaterThan">
      <formula>7</formula>
    </cfRule>
  </conditionalFormatting>
  <conditionalFormatting sqref="O3:O24 S3:S24 W3:W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4 R3:R24 T3:T24 V3:V24 X3:X24 Z3:Z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4 U3:U24 Y3:Y2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K24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H3:N2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F3:AH24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AI3:AK24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AF3:AH24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791</v>
      </c>
    </row>
    <row r="2" spans="1:22" x14ac:dyDescent="0.25">
      <c r="A2" s="31" t="s">
        <v>183</v>
      </c>
      <c r="B2" s="31" t="s">
        <v>803</v>
      </c>
      <c r="C2" s="31" t="s">
        <v>113</v>
      </c>
      <c r="D2" s="51" t="s">
        <v>465</v>
      </c>
      <c r="E2" s="31" t="s">
        <v>828</v>
      </c>
      <c r="F2" s="40" t="s">
        <v>121</v>
      </c>
      <c r="G2" s="39" t="s">
        <v>468</v>
      </c>
      <c r="H2" s="32" t="s">
        <v>692</v>
      </c>
      <c r="I2" s="32" t="s">
        <v>153</v>
      </c>
      <c r="J2" s="32" t="s">
        <v>191</v>
      </c>
      <c r="K2" s="32" t="s">
        <v>192</v>
      </c>
      <c r="L2" s="32" t="s">
        <v>489</v>
      </c>
      <c r="M2" s="32" t="s">
        <v>194</v>
      </c>
      <c r="N2" s="32" t="s">
        <v>195</v>
      </c>
      <c r="O2" s="32" t="s">
        <v>196</v>
      </c>
      <c r="P2" s="34" t="s">
        <v>810</v>
      </c>
      <c r="Q2" s="34" t="s">
        <v>811</v>
      </c>
      <c r="R2" s="32" t="s">
        <v>838</v>
      </c>
      <c r="S2" s="32" t="s">
        <v>839</v>
      </c>
      <c r="T2" s="32" t="s">
        <v>840</v>
      </c>
      <c r="U2" s="32" t="s">
        <v>841</v>
      </c>
      <c r="V2" s="32" t="s">
        <v>559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243">
        <f>PLANTILLA!V4</f>
        <v>32810</v>
      </c>
      <c r="H3" s="29">
        <f>PLANTILLA!I4</f>
        <v>10.6</v>
      </c>
      <c r="I3" s="36">
        <f>PLANTILLA!X4</f>
        <v>15</v>
      </c>
      <c r="J3" s="36">
        <f>PLANTILLA!Y4</f>
        <v>13.153846153846153</v>
      </c>
      <c r="K3" s="36">
        <f>PLANTILLA!Z4</f>
        <v>0</v>
      </c>
      <c r="L3" s="36">
        <f>PLANTILLA!AA4</f>
        <v>1</v>
      </c>
      <c r="M3" s="36">
        <f>PLANTILLA!AB4</f>
        <v>1</v>
      </c>
      <c r="N3" s="36">
        <f>PLANTILLA!AC4</f>
        <v>1</v>
      </c>
      <c r="O3" s="36">
        <f>PLANTILLA!AD4</f>
        <v>16.333333333333332</v>
      </c>
      <c r="P3" s="27">
        <f t="shared" ref="P3:P10" ca="1" si="0">((I3+F3+(LOG(H3)*4/3))*0.597)+((J3+F3+(LOG(H3)*4/3))*0.276)</f>
        <v>14.651917565629729</v>
      </c>
      <c r="Q3" s="27">
        <f t="shared" ref="Q3:Q10" ca="1" si="1">((I3+F3+(LOG(H3)*4/3))*0.866)+((J3+F3+(LOG(H3)*4/3))*0.425)</f>
        <v>21.636277778127038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243">
        <f>PLANTILLA!V5</f>
        <v>1210</v>
      </c>
      <c r="H4" s="29">
        <f>PLANTILLA!I5</f>
        <v>2.2999999999999998</v>
      </c>
      <c r="I4" s="36">
        <f>PLANTILLA!X5</f>
        <v>6</v>
      </c>
      <c r="J4" s="36">
        <f>PLANTILLA!Y5</f>
        <v>6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5</v>
      </c>
      <c r="P4" s="27">
        <f t="shared" ca="1" si="0"/>
        <v>6.532051201124478</v>
      </c>
      <c r="Q4" s="27">
        <f t="shared" ca="1" si="1"/>
        <v>9.6596541817316179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842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243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843</v>
      </c>
      <c r="B6">
        <v>23</v>
      </c>
      <c r="C6">
        <v>53</v>
      </c>
      <c r="E6" s="45">
        <v>9282257</v>
      </c>
      <c r="F6" s="104">
        <f t="shared" ca="1" si="3"/>
        <v>1</v>
      </c>
      <c r="G6" s="243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844</v>
      </c>
      <c r="B7">
        <v>23</v>
      </c>
      <c r="C7">
        <v>18</v>
      </c>
      <c r="D7" t="s">
        <v>163</v>
      </c>
      <c r="E7" s="45">
        <v>9000000</v>
      </c>
      <c r="F7" s="104">
        <f t="shared" ca="1" si="3"/>
        <v>1</v>
      </c>
      <c r="G7" s="243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845</v>
      </c>
      <c r="B8">
        <v>23</v>
      </c>
      <c r="C8">
        <v>14</v>
      </c>
      <c r="E8" s="45">
        <v>10250000</v>
      </c>
      <c r="F8" s="104">
        <f t="shared" ca="1" si="3"/>
        <v>1</v>
      </c>
      <c r="G8" s="243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243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243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791</v>
      </c>
    </row>
    <row r="2" spans="1:21" x14ac:dyDescent="0.25">
      <c r="A2" s="31" t="s">
        <v>183</v>
      </c>
      <c r="B2" s="31" t="s">
        <v>803</v>
      </c>
      <c r="C2" s="31" t="s">
        <v>113</v>
      </c>
      <c r="D2" s="51" t="s">
        <v>465</v>
      </c>
      <c r="E2" s="31" t="s">
        <v>828</v>
      </c>
      <c r="F2" s="39" t="s">
        <v>805</v>
      </c>
      <c r="G2" s="39" t="s">
        <v>125</v>
      </c>
      <c r="H2" s="39" t="s">
        <v>126</v>
      </c>
      <c r="I2" s="39" t="s">
        <v>468</v>
      </c>
      <c r="J2" s="40" t="s">
        <v>121</v>
      </c>
      <c r="K2" s="32" t="s">
        <v>692</v>
      </c>
      <c r="L2" s="32" t="s">
        <v>153</v>
      </c>
      <c r="M2" s="32" t="s">
        <v>191</v>
      </c>
      <c r="N2" s="32" t="s">
        <v>192</v>
      </c>
      <c r="O2" s="32" t="s">
        <v>489</v>
      </c>
      <c r="P2" s="32" t="s">
        <v>194</v>
      </c>
      <c r="Q2" s="32" t="s">
        <v>195</v>
      </c>
      <c r="R2" s="32" t="s">
        <v>196</v>
      </c>
      <c r="S2" s="34" t="s">
        <v>810</v>
      </c>
      <c r="T2" s="34" t="s">
        <v>811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10.6</v>
      </c>
      <c r="L3" s="36">
        <f>PLANTILLA!X4</f>
        <v>15</v>
      </c>
      <c r="M3" s="36">
        <f>PLANTILLA!Y4</f>
        <v>13.153846153846153</v>
      </c>
      <c r="N3" s="36">
        <f>PLANTILLA!Z4</f>
        <v>0</v>
      </c>
      <c r="O3" s="36">
        <f>PLANTILLA!AA4</f>
        <v>1</v>
      </c>
      <c r="P3" s="36">
        <f>PLANTILLA!AB4</f>
        <v>1</v>
      </c>
      <c r="Q3" s="36">
        <f>PLANTILLA!AC4</f>
        <v>1</v>
      </c>
      <c r="R3" s="36">
        <f>PLANTILLA!AD4</f>
        <v>16.333333333333332</v>
      </c>
      <c r="S3" s="27">
        <f t="shared" ref="S3:S10" ca="1" si="0">((L3+J3+(LOG(K3)*4/3))*0.597)+((M3+J3+(LOG(K3)*4/3))*0.276)</f>
        <v>14.651917565629729</v>
      </c>
      <c r="T3" s="27">
        <f t="shared" ref="T3:T10" ca="1" si="1">((L3+J3+(LOG(K3)*4/3))*0.866)+((M3+J3+(LOG(K3)*4/3))*0.425)</f>
        <v>21.636277778127038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7</v>
      </c>
      <c r="G4" s="38">
        <f>(F4/7)^0.5</f>
        <v>1</v>
      </c>
      <c r="H4" s="38">
        <f>IF(F4=7,1,((F4+0.99)/7)^0.5)</f>
        <v>1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6</v>
      </c>
      <c r="M4" s="36">
        <f>PLANTILLA!Y5</f>
        <v>6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5</v>
      </c>
      <c r="S4" s="27">
        <f t="shared" ca="1" si="0"/>
        <v>6.532051201124478</v>
      </c>
      <c r="T4" s="27">
        <f t="shared" ca="1" si="1"/>
        <v>9.6596541817316179</v>
      </c>
    </row>
    <row r="5" spans="1:21" x14ac:dyDescent="0.25">
      <c r="A5" t="s">
        <v>846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847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848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849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850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851</v>
      </c>
      <c r="B10">
        <v>21</v>
      </c>
      <c r="C10">
        <v>82</v>
      </c>
      <c r="D10" t="s">
        <v>852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/>
      <selection pane="bottomLeft"/>
      <selection pane="bottomRight" activeCell="I20" sqref="I20"/>
    </sheetView>
  </sheetViews>
  <sheetFormatPr baseColWidth="10" defaultColWidth="9.140625" defaultRowHeight="15" x14ac:dyDescent="0.25"/>
  <cols>
    <col min="1" max="1" width="3.5703125" style="302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7.5703125" bestFit="1" customWidth="1"/>
    <col min="24" max="30" width="6.42578125" bestFit="1" customWidth="1"/>
    <col min="31" max="31" width="8.5703125" bestFit="1" customWidth="1"/>
    <col min="32" max="32" width="6.5703125" bestFit="1" customWidth="1"/>
    <col min="33" max="38" width="7" bestFit="1" customWidth="1"/>
    <col min="39" max="39" width="7.5703125" bestFit="1" customWidth="1"/>
    <col min="40" max="41" width="3.42578125" bestFit="1" customWidth="1"/>
    <col min="42" max="42" width="3.5703125" bestFit="1" customWidth="1"/>
    <col min="43" max="43" width="5.28515625" bestFit="1" customWidth="1"/>
    <col min="44" max="44" width="7.140625" bestFit="1" customWidth="1"/>
    <col min="45" max="45" width="13.140625" bestFit="1" customWidth="1"/>
    <col min="46" max="46" width="10.7109375" bestFit="1" customWidth="1"/>
    <col min="47" max="51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44312</v>
      </c>
      <c r="I2" s="24">
        <f>AVERAGE(I4:I20)</f>
        <v>8.3882352941176475</v>
      </c>
      <c r="J2" s="24"/>
      <c r="N2" s="27">
        <f ca="1">AVERAGE(N4:N20)</f>
        <v>0.92363812835792769</v>
      </c>
      <c r="O2" s="24">
        <f>AVERAGE(O4:O20)</f>
        <v>6.7352941176470589</v>
      </c>
      <c r="Q2" s="24">
        <f>AVERAGE(Q4:Q20)</f>
        <v>5.7647058823529411</v>
      </c>
      <c r="R2" s="2">
        <f>AVERAGE(R4:R20)</f>
        <v>0.90430680055051949</v>
      </c>
      <c r="S2" s="2">
        <f>AVERAGE(S4:S20)</f>
        <v>0.96375344783018924</v>
      </c>
      <c r="T2" s="28">
        <f>SUM(T4:T20)</f>
        <v>3051740</v>
      </c>
      <c r="U2" s="28">
        <f>SUM(U4:U20)</f>
        <v>-117890</v>
      </c>
      <c r="V2" s="28">
        <f>SUM(V4:V20)</f>
        <v>399148</v>
      </c>
      <c r="W2" s="29">
        <f>T2/V2</f>
        <v>7.6456352029823522</v>
      </c>
      <c r="AD2" s="27">
        <f>AVERAGE(AD5:AD20)</f>
        <v>13.864583333333334</v>
      </c>
      <c r="AE2" s="25"/>
      <c r="AF2" s="24"/>
      <c r="AM2" s="24"/>
      <c r="AN2" s="24"/>
      <c r="AO2" s="24"/>
      <c r="AP2" s="24"/>
    </row>
    <row r="3" spans="1:46" x14ac:dyDescent="0.25">
      <c r="A3" s="301" t="s">
        <v>108</v>
      </c>
      <c r="B3" s="13" t="s">
        <v>109</v>
      </c>
      <c r="C3" s="14" t="s">
        <v>110</v>
      </c>
      <c r="D3" s="15" t="s">
        <v>111</v>
      </c>
      <c r="E3" s="13" t="s">
        <v>112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117</v>
      </c>
      <c r="K3" s="16" t="s">
        <v>118</v>
      </c>
      <c r="L3" s="16" t="s">
        <v>119</v>
      </c>
      <c r="M3" s="13" t="s">
        <v>120</v>
      </c>
      <c r="N3" s="13" t="s">
        <v>121</v>
      </c>
      <c r="O3" s="13" t="s">
        <v>122</v>
      </c>
      <c r="P3" s="13" t="s">
        <v>123</v>
      </c>
      <c r="Q3" s="13" t="s">
        <v>124</v>
      </c>
      <c r="R3" s="39" t="s">
        <v>125</v>
      </c>
      <c r="S3" s="39" t="s">
        <v>126</v>
      </c>
      <c r="T3" s="13" t="s">
        <v>127</v>
      </c>
      <c r="U3" s="13" t="s">
        <v>128</v>
      </c>
      <c r="V3" s="13" t="s">
        <v>129</v>
      </c>
      <c r="W3" s="13" t="s">
        <v>130</v>
      </c>
      <c r="X3" s="13" t="s">
        <v>131</v>
      </c>
      <c r="Y3" s="13" t="s">
        <v>132</v>
      </c>
      <c r="Z3" s="13" t="s">
        <v>133</v>
      </c>
      <c r="AA3" s="13" t="s">
        <v>134</v>
      </c>
      <c r="AB3" s="13" t="s">
        <v>135</v>
      </c>
      <c r="AC3" s="13" t="s">
        <v>136</v>
      </c>
      <c r="AD3" s="13" t="s">
        <v>114</v>
      </c>
      <c r="AE3" s="13" t="s">
        <v>138</v>
      </c>
      <c r="AF3" s="17" t="s">
        <v>139</v>
      </c>
      <c r="AG3" s="17" t="s">
        <v>140</v>
      </c>
      <c r="AH3" s="17" t="s">
        <v>141</v>
      </c>
      <c r="AI3" s="17" t="s">
        <v>142</v>
      </c>
      <c r="AJ3" s="17" t="s">
        <v>143</v>
      </c>
      <c r="AK3" s="17" t="s">
        <v>144</v>
      </c>
      <c r="AL3" s="17" t="s">
        <v>145</v>
      </c>
      <c r="AM3" s="17" t="s">
        <v>146</v>
      </c>
      <c r="AN3" s="13" t="s">
        <v>147</v>
      </c>
      <c r="AO3" s="13" t="s">
        <v>148</v>
      </c>
      <c r="AP3" s="13" t="s">
        <v>149</v>
      </c>
      <c r="AQ3" s="13" t="s">
        <v>150</v>
      </c>
      <c r="AR3" s="349" t="s">
        <v>151</v>
      </c>
      <c r="AS3" s="350" t="s">
        <v>664</v>
      </c>
      <c r="AT3" s="350" t="s">
        <v>934</v>
      </c>
    </row>
    <row r="4" spans="1:46" x14ac:dyDescent="0.25">
      <c r="A4" s="303" t="s">
        <v>152</v>
      </c>
      <c r="B4" s="49" t="s">
        <v>153</v>
      </c>
      <c r="C4" s="255">
        <f t="shared" ref="C4:C20" ca="1" si="0">((36*112)-(E4*112)-(F4))/112</f>
        <v>7.5446428571428568</v>
      </c>
      <c r="D4" s="95" t="s">
        <v>9</v>
      </c>
      <c r="E4" s="4">
        <v>28</v>
      </c>
      <c r="F4" s="5">
        <f ca="1">$D$2-$D$1-1097-112-112-112-112-112-112-112-112</f>
        <v>51</v>
      </c>
      <c r="G4" s="6"/>
      <c r="H4" s="7">
        <v>4</v>
      </c>
      <c r="I4" s="8">
        <v>10.6</v>
      </c>
      <c r="J4" s="21">
        <f t="shared" ref="J4:J20" si="1">LOG(I4)*4/3</f>
        <v>1.3670744870196936</v>
      </c>
      <c r="K4" s="9">
        <f t="shared" ref="K4:K20" si="2">(H4)*(H4)*(I4)</f>
        <v>169.6</v>
      </c>
      <c r="L4" s="9">
        <f t="shared" ref="L4:L20" si="3">(H4+1)*(H4+1)*I4</f>
        <v>265</v>
      </c>
      <c r="M4" s="62">
        <v>43415</v>
      </c>
      <c r="N4" s="63">
        <f t="shared" ref="N4:N12" ca="1" si="4">IF((TODAY()-M4)&gt;335,1,((TODAY()-M4)^0.64)/(336^0.64))</f>
        <v>1</v>
      </c>
      <c r="O4" s="19">
        <v>7</v>
      </c>
      <c r="P4" s="20">
        <f t="shared" ref="P4:P20" si="5">O4*10+19</f>
        <v>89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76330</v>
      </c>
      <c r="U4" s="10">
        <f t="shared" ref="U4:U20" si="8">T4-AR4</f>
        <v>750</v>
      </c>
      <c r="V4" s="10">
        <v>32810</v>
      </c>
      <c r="W4" s="11">
        <f t="shared" ref="W4:W20" si="9">T4/V4</f>
        <v>2.3264248704663211</v>
      </c>
      <c r="X4" s="325">
        <v>15</v>
      </c>
      <c r="Y4" s="21">
        <f>13+2/13</f>
        <v>13.153846153846153</v>
      </c>
      <c r="Z4" s="325">
        <v>0</v>
      </c>
      <c r="AA4" s="21">
        <v>1</v>
      </c>
      <c r="AB4" s="325">
        <v>1</v>
      </c>
      <c r="AC4" s="21">
        <v>1</v>
      </c>
      <c r="AD4" s="325">
        <f>16+1/3</f>
        <v>16.333333333333332</v>
      </c>
      <c r="AE4" s="12">
        <v>1434</v>
      </c>
      <c r="AF4" s="11">
        <f t="shared" ref="AF4:AF20" ca="1" si="10">(((Y4+LOG(I4)*4/3+N4)+(AB4+LOG(I4)*4/3+N4)*2)/8)*(Q4/7)^0.5</f>
        <v>2.5755238464145798</v>
      </c>
      <c r="AG4" s="22">
        <f t="shared" ref="AG4:AG20" ca="1" si="11">(Y4+J4+N4)*(Q4/7)^0.5</f>
        <v>14.369580296288269</v>
      </c>
      <c r="AH4" s="22">
        <f t="shared" ref="AH4:AH20" ca="1" si="12">(Y4+J4+N4)*(IF(Q4=7,(Q4/7)^0.5,((Q4+1)/7)^0.5))</f>
        <v>15.520920640865846</v>
      </c>
      <c r="AI4" s="22">
        <f t="shared" ref="AI4:AI20" ca="1" si="13">(Z4+N4+(LOG(I4)*4/3))*(Q4/7)^0.5</f>
        <v>2.1914851377416338</v>
      </c>
      <c r="AJ4" s="22">
        <f t="shared" ref="AJ4:AJ20" ca="1" si="14">(Z4+N4+(LOG(I4)*4/3))*(IF(Q4=7,(Q4/7)^0.5,((Q4+1)/7)^0.5))</f>
        <v>2.3670744870196936</v>
      </c>
      <c r="AK4" s="22">
        <f t="shared" ref="AK4:AK20" ca="1" si="15">(AD4+1+(LOG(I4)*4/3)+N4)*(Q4/7)^0.5</f>
        <v>18.239033533799191</v>
      </c>
      <c r="AL4" s="22">
        <f t="shared" ref="AL4:AL20" ca="1" si="16">(AD4+1+N4+(LOG(I4)*4/3))*(IF(Q4=7,(Q4/7)^0.5,((Q4+1)/7)^0.5))</f>
        <v>19.700407820353025</v>
      </c>
      <c r="AM4" s="11">
        <f t="shared" ref="AM4:AM20" ca="1" si="17">(AD4+LOG(I4)*4/3+N4)*0.7+(AC4+LOG(I4)*4/3+N4)*0.3</f>
        <v>14.100407820353023</v>
      </c>
      <c r="AN4" s="20">
        <v>1</v>
      </c>
      <c r="AO4" s="20">
        <v>3</v>
      </c>
      <c r="AP4" s="20">
        <v>2</v>
      </c>
      <c r="AQ4" s="57">
        <f t="shared" ref="AQ4:AQ20" si="18">IF(AO4=4,IF(AP4=0,0.137+0.0697,0.137+0.02),IF(AO4=3,IF(AP4=0,0.0958+0.0697,0.0958+0.02),IF(AO4=2,IF(AP4=0,0.0415+0.0697,0.0415+0.02),IF(AO4=1,IF(AP4=0,0.0294+0.0697,0.0294+0.02),IF(AO4=0,IF(AP4=0,0.0063+0.0697,0.0063+0.02))))))</f>
        <v>0.1158</v>
      </c>
      <c r="AR4" s="10">
        <v>75580</v>
      </c>
      <c r="AS4" s="351">
        <v>7000000</v>
      </c>
      <c r="AT4" s="352" t="s">
        <v>935</v>
      </c>
    </row>
    <row r="5" spans="1:46" x14ac:dyDescent="0.25">
      <c r="A5" s="303" t="s">
        <v>154</v>
      </c>
      <c r="B5" s="49" t="s">
        <v>153</v>
      </c>
      <c r="C5" s="255">
        <f t="shared" ca="1" si="0"/>
        <v>7.3214285714285712</v>
      </c>
      <c r="D5" s="380" t="s">
        <v>65</v>
      </c>
      <c r="E5" s="4">
        <v>28</v>
      </c>
      <c r="F5" s="5">
        <f ca="1">$D$2-$D$1-880+32-112-112-112-112-112-112-112-112-112-112</f>
        <v>76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6.5</v>
      </c>
      <c r="P5" s="20">
        <f t="shared" si="5"/>
        <v>84</v>
      </c>
      <c r="Q5" s="20">
        <v>7</v>
      </c>
      <c r="R5" s="57">
        <f t="shared" si="6"/>
        <v>1</v>
      </c>
      <c r="S5" s="57">
        <f t="shared" si="7"/>
        <v>1</v>
      </c>
      <c r="T5" s="379">
        <v>470</v>
      </c>
      <c r="U5" s="10">
        <f t="shared" si="8"/>
        <v>-2050</v>
      </c>
      <c r="V5" s="10">
        <v>1210</v>
      </c>
      <c r="W5" s="11">
        <f t="shared" si="9"/>
        <v>0.38842975206611569</v>
      </c>
      <c r="X5" s="325">
        <v>6</v>
      </c>
      <c r="Y5" s="21">
        <f>6+0/5</f>
        <v>6</v>
      </c>
      <c r="Z5" s="325">
        <v>0</v>
      </c>
      <c r="AA5" s="21">
        <v>3</v>
      </c>
      <c r="AB5" s="325">
        <v>1</v>
      </c>
      <c r="AC5" s="21">
        <v>1</v>
      </c>
      <c r="AD5" s="325">
        <v>5</v>
      </c>
      <c r="AE5" s="12">
        <v>371</v>
      </c>
      <c r="AF5" s="11">
        <f t="shared" ca="1" si="10"/>
        <v>1.5558639180087965</v>
      </c>
      <c r="AG5" s="22">
        <f t="shared" ca="1" si="11"/>
        <v>7.4823037813567908</v>
      </c>
      <c r="AH5" s="22">
        <f t="shared" ca="1" si="12"/>
        <v>7.4823037813567908</v>
      </c>
      <c r="AI5" s="22">
        <f t="shared" ca="1" si="13"/>
        <v>1.4823037813567905</v>
      </c>
      <c r="AJ5" s="22">
        <f t="shared" ca="1" si="14"/>
        <v>1.4823037813567905</v>
      </c>
      <c r="AK5" s="22">
        <f t="shared" ca="1" si="15"/>
        <v>7.4823037813567908</v>
      </c>
      <c r="AL5" s="22">
        <f t="shared" ca="1" si="16"/>
        <v>7.4823037813567908</v>
      </c>
      <c r="AM5" s="11">
        <f t="shared" ca="1" si="17"/>
        <v>5.2823037813567906</v>
      </c>
      <c r="AN5" s="20">
        <v>3</v>
      </c>
      <c r="AO5" s="20">
        <v>0</v>
      </c>
      <c r="AP5" s="20">
        <v>2</v>
      </c>
      <c r="AQ5" s="57">
        <f t="shared" si="18"/>
        <v>2.63E-2</v>
      </c>
      <c r="AR5" s="379">
        <v>2520</v>
      </c>
      <c r="AS5" s="353">
        <v>14000</v>
      </c>
      <c r="AT5" s="352" t="s">
        <v>183</v>
      </c>
    </row>
    <row r="6" spans="1:46" x14ac:dyDescent="0.25">
      <c r="A6" s="303" t="s">
        <v>157</v>
      </c>
      <c r="B6" s="49" t="s">
        <v>156</v>
      </c>
      <c r="C6" s="255">
        <f t="shared" ca="1" si="0"/>
        <v>7.7410714285714288</v>
      </c>
      <c r="D6" s="95" t="s">
        <v>27</v>
      </c>
      <c r="E6" s="4">
        <v>28</v>
      </c>
      <c r="F6" s="5">
        <f ca="1">$D$2-$D$1-1102-17-112-112-112-112-112-112-112-112</f>
        <v>29</v>
      </c>
      <c r="G6" s="6"/>
      <c r="H6" s="7">
        <v>4</v>
      </c>
      <c r="I6" s="8">
        <v>7.6</v>
      </c>
      <c r="J6" s="21">
        <f t="shared" si="1"/>
        <v>1.1744181230410551</v>
      </c>
      <c r="K6" s="9">
        <f t="shared" si="2"/>
        <v>121.6</v>
      </c>
      <c r="L6" s="9">
        <f t="shared" si="3"/>
        <v>190</v>
      </c>
      <c r="M6" s="62">
        <v>43410</v>
      </c>
      <c r="N6" s="63">
        <f t="shared" ca="1" si="4"/>
        <v>1</v>
      </c>
      <c r="O6" s="19">
        <v>7</v>
      </c>
      <c r="P6" s="20">
        <f t="shared" si="5"/>
        <v>89</v>
      </c>
      <c r="Q6" s="20">
        <v>7</v>
      </c>
      <c r="R6" s="57">
        <f t="shared" si="6"/>
        <v>1</v>
      </c>
      <c r="S6" s="57">
        <f t="shared" si="7"/>
        <v>1</v>
      </c>
      <c r="T6" s="10">
        <v>210350</v>
      </c>
      <c r="U6" s="10">
        <f t="shared" si="8"/>
        <v>-18100</v>
      </c>
      <c r="V6" s="10">
        <v>39530</v>
      </c>
      <c r="W6" s="11">
        <f t="shared" si="9"/>
        <v>5.3212749810270683</v>
      </c>
      <c r="X6" s="325">
        <v>0</v>
      </c>
      <c r="Y6" s="21">
        <f>16+0/23</f>
        <v>16</v>
      </c>
      <c r="Z6" s="325">
        <v>5</v>
      </c>
      <c r="AA6" s="21">
        <f>8+3.5/4</f>
        <v>8.875</v>
      </c>
      <c r="AB6" s="325">
        <f>9+0/7</f>
        <v>9</v>
      </c>
      <c r="AC6" s="21">
        <v>1</v>
      </c>
      <c r="AD6" s="325">
        <f>15+0/3</f>
        <v>15</v>
      </c>
      <c r="AE6" s="12">
        <v>1798</v>
      </c>
      <c r="AF6" s="11">
        <f t="shared" ca="1" si="10"/>
        <v>5.0654067961403957</v>
      </c>
      <c r="AG6" s="22">
        <f t="shared" ca="1" si="11"/>
        <v>18.174418123041054</v>
      </c>
      <c r="AH6" s="22">
        <f t="shared" ca="1" si="12"/>
        <v>18.174418123041054</v>
      </c>
      <c r="AI6" s="22">
        <f t="shared" ca="1" si="13"/>
        <v>7.1744181230410549</v>
      </c>
      <c r="AJ6" s="22">
        <f t="shared" ca="1" si="14"/>
        <v>7.1744181230410549</v>
      </c>
      <c r="AK6" s="22">
        <f t="shared" ca="1" si="15"/>
        <v>18.174418123041054</v>
      </c>
      <c r="AL6" s="22">
        <f t="shared" ca="1" si="16"/>
        <v>18.174418123041054</v>
      </c>
      <c r="AM6" s="11">
        <f t="shared" ca="1" si="17"/>
        <v>12.974418123041053</v>
      </c>
      <c r="AN6" s="20">
        <v>3</v>
      </c>
      <c r="AO6" s="20">
        <v>2</v>
      </c>
      <c r="AP6" s="20">
        <v>2</v>
      </c>
      <c r="AQ6" s="57">
        <f t="shared" si="18"/>
        <v>6.1499999999999999E-2</v>
      </c>
      <c r="AR6" s="10">
        <v>228450</v>
      </c>
      <c r="AS6" s="353">
        <v>3600000</v>
      </c>
      <c r="AT6" s="352" t="s">
        <v>935</v>
      </c>
    </row>
    <row r="7" spans="1:46" x14ac:dyDescent="0.25">
      <c r="A7" s="303" t="s">
        <v>158</v>
      </c>
      <c r="B7" s="49" t="s">
        <v>156</v>
      </c>
      <c r="C7" s="255">
        <f t="shared" ca="1" si="0"/>
        <v>7.2946428571428568</v>
      </c>
      <c r="D7" s="95" t="s">
        <v>68</v>
      </c>
      <c r="E7" s="4">
        <v>28</v>
      </c>
      <c r="F7" s="5">
        <f ca="1">$D$2-$D$1-1069-112-112-112-112-112-112-112-112</f>
        <v>79</v>
      </c>
      <c r="G7" s="6"/>
      <c r="H7" s="7">
        <v>1</v>
      </c>
      <c r="I7" s="8">
        <v>7.7</v>
      </c>
      <c r="J7" s="21">
        <f t="shared" si="1"/>
        <v>1.181987633563309</v>
      </c>
      <c r="K7" s="9">
        <f t="shared" si="2"/>
        <v>7.7</v>
      </c>
      <c r="L7" s="9">
        <f t="shared" si="3"/>
        <v>30.8</v>
      </c>
      <c r="M7" s="62">
        <v>43383</v>
      </c>
      <c r="N7" s="63">
        <f t="shared" ca="1" si="4"/>
        <v>1</v>
      </c>
      <c r="O7" s="19">
        <v>7</v>
      </c>
      <c r="P7" s="20">
        <f t="shared" si="5"/>
        <v>89</v>
      </c>
      <c r="Q7" s="20">
        <v>4</v>
      </c>
      <c r="R7" s="57">
        <f t="shared" si="6"/>
        <v>0.7559289460184544</v>
      </c>
      <c r="S7" s="57">
        <f t="shared" si="7"/>
        <v>0.84430867747355465</v>
      </c>
      <c r="T7" s="10">
        <v>181710</v>
      </c>
      <c r="U7" s="10">
        <f t="shared" si="8"/>
        <v>-30260</v>
      </c>
      <c r="V7" s="10">
        <v>27600</v>
      </c>
      <c r="W7" s="11">
        <f t="shared" si="9"/>
        <v>6.5836956521739127</v>
      </c>
      <c r="X7" s="325">
        <v>0</v>
      </c>
      <c r="Y7" s="21">
        <f>14+12/16</f>
        <v>14.75</v>
      </c>
      <c r="Z7" s="325">
        <f>3+1/4</f>
        <v>3.25</v>
      </c>
      <c r="AA7" s="21">
        <f>9+0/5</f>
        <v>9</v>
      </c>
      <c r="AB7" s="325">
        <f>12+0/9</f>
        <v>12</v>
      </c>
      <c r="AC7" s="21">
        <v>3.95</v>
      </c>
      <c r="AD7" s="325">
        <f>15+1/3</f>
        <v>15.333333333333334</v>
      </c>
      <c r="AE7" s="12">
        <v>1732</v>
      </c>
      <c r="AF7" s="11">
        <f t="shared" ca="1" si="10"/>
        <v>4.2800661868011938</v>
      </c>
      <c r="AG7" s="22">
        <f t="shared" ca="1" si="11"/>
        <v>12.799379565837016</v>
      </c>
      <c r="AH7" s="22">
        <f t="shared" ca="1" si="12"/>
        <v>14.310141389516659</v>
      </c>
      <c r="AI7" s="22">
        <f t="shared" ca="1" si="13"/>
        <v>4.1061966866247905</v>
      </c>
      <c r="AJ7" s="22">
        <f t="shared" ca="1" si="14"/>
        <v>4.5908674601387167</v>
      </c>
      <c r="AK7" s="22">
        <f t="shared" ca="1" si="15"/>
        <v>13.996267063699571</v>
      </c>
      <c r="AL7" s="22">
        <f t="shared" ca="1" si="16"/>
        <v>15.648302292836812</v>
      </c>
      <c r="AM7" s="11">
        <f t="shared" ca="1" si="17"/>
        <v>14.100320966896641</v>
      </c>
      <c r="AN7" s="20">
        <v>0</v>
      </c>
      <c r="AO7" s="20">
        <v>3</v>
      </c>
      <c r="AP7" s="20">
        <v>2</v>
      </c>
      <c r="AQ7" s="57">
        <f t="shared" si="18"/>
        <v>0.1158</v>
      </c>
      <c r="AR7" s="10">
        <v>211970</v>
      </c>
      <c r="AS7" s="353">
        <v>2500000</v>
      </c>
      <c r="AT7" s="352" t="s">
        <v>935</v>
      </c>
    </row>
    <row r="8" spans="1:46" x14ac:dyDescent="0.25">
      <c r="A8" s="303" t="s">
        <v>159</v>
      </c>
      <c r="B8" s="49" t="s">
        <v>156</v>
      </c>
      <c r="C8" s="255">
        <f t="shared" ca="1" si="0"/>
        <v>7.4285714285714288</v>
      </c>
      <c r="D8" s="95" t="s">
        <v>49</v>
      </c>
      <c r="E8" s="4">
        <v>28</v>
      </c>
      <c r="F8" s="5">
        <f ca="1">$D$2-$D$1-880+55-112-112-14-21-112-112-112-112-112-112-112-112</f>
        <v>64</v>
      </c>
      <c r="G8" s="6"/>
      <c r="H8" s="7">
        <v>4</v>
      </c>
      <c r="I8" s="8">
        <v>8.5</v>
      </c>
      <c r="J8" s="21">
        <f t="shared" si="1"/>
        <v>1.2392252342857237</v>
      </c>
      <c r="K8" s="9">
        <f t="shared" si="2"/>
        <v>136</v>
      </c>
      <c r="L8" s="9">
        <f t="shared" si="3"/>
        <v>212.5</v>
      </c>
      <c r="M8" s="62">
        <v>43419</v>
      </c>
      <c r="N8" s="63">
        <f t="shared" ca="1" si="4"/>
        <v>1</v>
      </c>
      <c r="O8" s="19">
        <v>7</v>
      </c>
      <c r="P8" s="20">
        <f t="shared" si="5"/>
        <v>89</v>
      </c>
      <c r="Q8" s="20">
        <v>6</v>
      </c>
      <c r="R8" s="57">
        <f t="shared" si="6"/>
        <v>0.92582009977255142</v>
      </c>
      <c r="S8" s="57">
        <f t="shared" si="7"/>
        <v>0.99928545900129484</v>
      </c>
      <c r="T8" s="10">
        <v>178020</v>
      </c>
      <c r="U8" s="10">
        <f t="shared" si="8"/>
        <v>-12590</v>
      </c>
      <c r="V8" s="10">
        <v>16890</v>
      </c>
      <c r="W8" s="11">
        <f t="shared" si="9"/>
        <v>10.539964476021314</v>
      </c>
      <c r="X8" s="325">
        <v>0</v>
      </c>
      <c r="Y8" s="21">
        <f>13+1/15</f>
        <v>13.066666666666666</v>
      </c>
      <c r="Z8" s="325">
        <f>11+4/9</f>
        <v>11.444444444444445</v>
      </c>
      <c r="AA8" s="21">
        <f>5+0/4</f>
        <v>5</v>
      </c>
      <c r="AB8" s="325">
        <f>11+1/7</f>
        <v>11.142857142857142</v>
      </c>
      <c r="AC8" s="21">
        <v>4</v>
      </c>
      <c r="AD8" s="325">
        <f>15+0/3</f>
        <v>15</v>
      </c>
      <c r="AE8" s="12">
        <v>1806</v>
      </c>
      <c r="AF8" s="11">
        <f t="shared" ca="1" si="10"/>
        <v>4.8686630062486813</v>
      </c>
      <c r="AG8" s="22">
        <f t="shared" ca="1" si="11"/>
        <v>14.170502366847629</v>
      </c>
      <c r="AH8" s="22">
        <f t="shared" ca="1" si="12"/>
        <v>15.305891900952391</v>
      </c>
      <c r="AI8" s="22">
        <f t="shared" ca="1" si="13"/>
        <v>12.668616427216602</v>
      </c>
      <c r="AJ8" s="22">
        <f t="shared" ca="1" si="14"/>
        <v>13.683669678730169</v>
      </c>
      <c r="AK8" s="22">
        <f t="shared" ca="1" si="15"/>
        <v>16.886241326180446</v>
      </c>
      <c r="AL8" s="22">
        <f t="shared" ca="1" si="16"/>
        <v>18.239225234285723</v>
      </c>
      <c r="AM8" s="11">
        <f t="shared" ca="1" si="17"/>
        <v>13.939225234285722</v>
      </c>
      <c r="AN8" s="20">
        <v>0</v>
      </c>
      <c r="AO8" s="20">
        <v>2</v>
      </c>
      <c r="AP8" s="20">
        <v>2</v>
      </c>
      <c r="AQ8" s="57">
        <f t="shared" si="18"/>
        <v>6.1499999999999999E-2</v>
      </c>
      <c r="AR8" s="10">
        <v>190610</v>
      </c>
      <c r="AS8" s="353">
        <v>3869000</v>
      </c>
      <c r="AT8" s="352" t="s">
        <v>935</v>
      </c>
    </row>
    <row r="9" spans="1:46" x14ac:dyDescent="0.25">
      <c r="A9" s="303" t="s">
        <v>160</v>
      </c>
      <c r="B9" s="49" t="s">
        <v>156</v>
      </c>
      <c r="C9" s="255">
        <f t="shared" ca="1" si="0"/>
        <v>7.0446428571428568</v>
      </c>
      <c r="D9" s="95" t="s">
        <v>64</v>
      </c>
      <c r="E9" s="4">
        <v>28</v>
      </c>
      <c r="F9" s="5">
        <f ca="1">$D$2-$D$1-1377-112-112-112-112-112</f>
        <v>107</v>
      </c>
      <c r="G9" s="6"/>
      <c r="H9" s="7">
        <v>2</v>
      </c>
      <c r="I9" s="8">
        <v>7.7</v>
      </c>
      <c r="J9" s="21">
        <f t="shared" si="1"/>
        <v>1.181987633563309</v>
      </c>
      <c r="K9" s="9">
        <f t="shared" si="2"/>
        <v>30.8</v>
      </c>
      <c r="L9" s="9">
        <f t="shared" si="3"/>
        <v>69.3</v>
      </c>
      <c r="M9" s="62">
        <v>43706</v>
      </c>
      <c r="N9" s="63">
        <f t="shared" ca="1" si="4"/>
        <v>1</v>
      </c>
      <c r="O9" s="19">
        <v>7</v>
      </c>
      <c r="P9" s="20">
        <f t="shared" si="5"/>
        <v>89</v>
      </c>
      <c r="Q9" s="20">
        <v>5</v>
      </c>
      <c r="R9" s="57">
        <f t="shared" si="6"/>
        <v>0.84515425472851657</v>
      </c>
      <c r="S9" s="57">
        <f t="shared" si="7"/>
        <v>0.92504826128926143</v>
      </c>
      <c r="T9" s="10">
        <v>189190</v>
      </c>
      <c r="U9" s="10">
        <f t="shared" si="8"/>
        <v>330</v>
      </c>
      <c r="V9" s="10">
        <v>27050</v>
      </c>
      <c r="W9" s="11">
        <f t="shared" si="9"/>
        <v>6.9940850277264328</v>
      </c>
      <c r="X9" s="325">
        <v>0</v>
      </c>
      <c r="Y9" s="21">
        <f>14+12/16</f>
        <v>14.75</v>
      </c>
      <c r="Z9" s="325">
        <f>5+0.5/4</f>
        <v>5.125</v>
      </c>
      <c r="AA9" s="21">
        <v>3</v>
      </c>
      <c r="AB9" s="325">
        <f>12+2/9</f>
        <v>12.222222222222221</v>
      </c>
      <c r="AC9" s="21">
        <v>6</v>
      </c>
      <c r="AD9" s="325">
        <f>14+0/3</f>
        <v>14</v>
      </c>
      <c r="AE9" s="12">
        <v>1710</v>
      </c>
      <c r="AF9" s="11">
        <f t="shared" ca="1" si="10"/>
        <v>4.8322124850944759</v>
      </c>
      <c r="AG9" s="22">
        <f t="shared" ca="1" si="11"/>
        <v>14.310141389516659</v>
      </c>
      <c r="AH9" s="22">
        <f t="shared" ca="1" si="12"/>
        <v>15.67597448025319</v>
      </c>
      <c r="AI9" s="22">
        <f t="shared" ca="1" si="13"/>
        <v>6.1755316877546855</v>
      </c>
      <c r="AJ9" s="22">
        <f t="shared" ca="1" si="14"/>
        <v>6.7649560199423817</v>
      </c>
      <c r="AK9" s="22">
        <f t="shared" ca="1" si="15"/>
        <v>14.521429953198787</v>
      </c>
      <c r="AL9" s="22">
        <f t="shared" ca="1" si="16"/>
        <v>15.907429505196328</v>
      </c>
      <c r="AM9" s="11">
        <f t="shared" ca="1" si="17"/>
        <v>13.781987633563309</v>
      </c>
      <c r="AN9" s="20">
        <v>2</v>
      </c>
      <c r="AO9" s="20">
        <v>2</v>
      </c>
      <c r="AP9" s="20">
        <v>1</v>
      </c>
      <c r="AQ9" s="57">
        <f t="shared" si="18"/>
        <v>6.1499999999999999E-2</v>
      </c>
      <c r="AR9" s="10">
        <v>188860</v>
      </c>
      <c r="AS9" s="353">
        <v>4162000</v>
      </c>
      <c r="AT9" s="352" t="s">
        <v>935</v>
      </c>
    </row>
    <row r="10" spans="1:46" x14ac:dyDescent="0.25">
      <c r="A10" s="303" t="s">
        <v>161</v>
      </c>
      <c r="B10" s="49" t="s">
        <v>162</v>
      </c>
      <c r="C10" s="255">
        <f t="shared" ca="1" si="0"/>
        <v>7.6071428571428568</v>
      </c>
      <c r="D10" s="95" t="s">
        <v>20</v>
      </c>
      <c r="E10" s="4">
        <v>28</v>
      </c>
      <c r="F10" s="5">
        <f ca="1">$D$2-$D$1-885-112-112-112-112-112-112-112-112-107-112</f>
        <v>44</v>
      </c>
      <c r="G10" s="6" t="s">
        <v>163</v>
      </c>
      <c r="H10" s="91">
        <v>5</v>
      </c>
      <c r="I10" s="8">
        <v>9.5</v>
      </c>
      <c r="J10" s="21">
        <f t="shared" si="1"/>
        <v>1.3036314737184636</v>
      </c>
      <c r="K10" s="9">
        <f t="shared" si="2"/>
        <v>237.5</v>
      </c>
      <c r="L10" s="9">
        <f t="shared" si="3"/>
        <v>342</v>
      </c>
      <c r="M10" s="62">
        <v>43137</v>
      </c>
      <c r="N10" s="63">
        <f t="shared" ca="1" si="4"/>
        <v>1</v>
      </c>
      <c r="O10" s="19">
        <v>7</v>
      </c>
      <c r="P10" s="20">
        <f t="shared" si="5"/>
        <v>89</v>
      </c>
      <c r="Q10" s="20">
        <v>6</v>
      </c>
      <c r="R10" s="57">
        <f t="shared" si="6"/>
        <v>0.92582009977255142</v>
      </c>
      <c r="S10" s="57">
        <f t="shared" si="7"/>
        <v>0.99928545900129484</v>
      </c>
      <c r="T10" s="10">
        <v>243450</v>
      </c>
      <c r="U10" s="10">
        <f t="shared" si="8"/>
        <v>2860</v>
      </c>
      <c r="V10" s="10">
        <v>27020</v>
      </c>
      <c r="W10" s="11">
        <f t="shared" si="9"/>
        <v>9.0099925980754989</v>
      </c>
      <c r="X10" s="325">
        <v>0</v>
      </c>
      <c r="Y10" s="21">
        <f>14+4/16</f>
        <v>14.25</v>
      </c>
      <c r="Z10" s="325">
        <f>4+1/4</f>
        <v>4.25</v>
      </c>
      <c r="AA10" s="21">
        <f>13+6/7.5</f>
        <v>13.8</v>
      </c>
      <c r="AB10" s="325">
        <f>8+1/5</f>
        <v>8.1999999999999993</v>
      </c>
      <c r="AC10" s="21">
        <f>5.25+0.25+0.25+0.25+0.25+0.25+0.25+0.25</f>
        <v>7</v>
      </c>
      <c r="AD10" s="325">
        <f>15+1/3</f>
        <v>15.333333333333334</v>
      </c>
      <c r="AE10" s="12">
        <v>1865</v>
      </c>
      <c r="AF10" s="11">
        <f t="shared" ca="1" si="10"/>
        <v>4.3468288775675434</v>
      </c>
      <c r="AG10" s="22">
        <f t="shared" ca="1" si="11"/>
        <v>15.325684742596072</v>
      </c>
      <c r="AH10" s="22">
        <f t="shared" ca="1" si="12"/>
        <v>16.553631473718461</v>
      </c>
      <c r="AI10" s="22">
        <f t="shared" ca="1" si="13"/>
        <v>6.067483744870561</v>
      </c>
      <c r="AJ10" s="22">
        <f t="shared" ca="1" si="14"/>
        <v>6.5536314737184638</v>
      </c>
      <c r="AK10" s="22">
        <f t="shared" ca="1" si="15"/>
        <v>17.254476617122226</v>
      </c>
      <c r="AL10" s="22">
        <f t="shared" ca="1" si="16"/>
        <v>18.6369648070518</v>
      </c>
      <c r="AM10" s="11">
        <f t="shared" ca="1" si="17"/>
        <v>15.136964807051795</v>
      </c>
      <c r="AN10" s="20">
        <v>1</v>
      </c>
      <c r="AO10" s="20">
        <v>2</v>
      </c>
      <c r="AP10" s="20">
        <v>3</v>
      </c>
      <c r="AQ10" s="57">
        <f t="shared" si="18"/>
        <v>6.1499999999999999E-2</v>
      </c>
      <c r="AR10" s="10">
        <v>240590</v>
      </c>
      <c r="AS10" s="353">
        <v>1530000</v>
      </c>
      <c r="AT10" s="352" t="s">
        <v>935</v>
      </c>
    </row>
    <row r="11" spans="1:46" x14ac:dyDescent="0.25">
      <c r="A11" s="303" t="s">
        <v>164</v>
      </c>
      <c r="B11" s="49" t="s">
        <v>162</v>
      </c>
      <c r="C11" s="255">
        <f t="shared" ca="1" si="0"/>
        <v>7.9553571428571432</v>
      </c>
      <c r="D11" s="95" t="s">
        <v>165</v>
      </c>
      <c r="E11" s="4">
        <v>28</v>
      </c>
      <c r="F11" s="5">
        <f ca="1">$D$2-$D$1-1479-112-112-112-112-112</f>
        <v>5</v>
      </c>
      <c r="G11" s="6" t="s">
        <v>166</v>
      </c>
      <c r="H11" s="7">
        <v>3</v>
      </c>
      <c r="I11" s="8">
        <v>9.5</v>
      </c>
      <c r="J11" s="21">
        <f t="shared" si="1"/>
        <v>1.3036314737184636</v>
      </c>
      <c r="K11" s="9">
        <f t="shared" si="2"/>
        <v>85.5</v>
      </c>
      <c r="L11" s="9">
        <f t="shared" si="3"/>
        <v>152</v>
      </c>
      <c r="M11" s="62">
        <v>43122</v>
      </c>
      <c r="N11" s="63">
        <f t="shared" ca="1" si="4"/>
        <v>1</v>
      </c>
      <c r="O11" s="19">
        <v>7</v>
      </c>
      <c r="P11" s="20">
        <f t="shared" si="5"/>
        <v>89</v>
      </c>
      <c r="Q11" s="20">
        <v>7</v>
      </c>
      <c r="R11" s="57">
        <f t="shared" si="6"/>
        <v>1</v>
      </c>
      <c r="S11" s="57">
        <f t="shared" si="7"/>
        <v>1</v>
      </c>
      <c r="T11" s="10">
        <v>313890</v>
      </c>
      <c r="U11" s="10">
        <f t="shared" si="8"/>
        <v>-19380</v>
      </c>
      <c r="V11" s="10">
        <v>26350</v>
      </c>
      <c r="W11" s="11">
        <f t="shared" si="9"/>
        <v>11.912333965844402</v>
      </c>
      <c r="X11" s="325">
        <v>0</v>
      </c>
      <c r="Y11" s="21">
        <f>13+9/13</f>
        <v>13.692307692307692</v>
      </c>
      <c r="Z11" s="325">
        <f>4+1/4</f>
        <v>4.25</v>
      </c>
      <c r="AA11" s="21">
        <f>14+6/8</f>
        <v>14.75</v>
      </c>
      <c r="AB11" s="325">
        <f>10+0/7</f>
        <v>10</v>
      </c>
      <c r="AC11" s="21">
        <f>4.25+0.25+0.25+0.25+0.25+0.25+0.25+0.25+0.25+0.25+0.25+0.25</f>
        <v>7</v>
      </c>
      <c r="AD11" s="325">
        <f>16+0/3</f>
        <v>16</v>
      </c>
      <c r="AE11" s="12">
        <v>1944</v>
      </c>
      <c r="AF11" s="11">
        <f t="shared" ca="1" si="10"/>
        <v>5.0754002641828855</v>
      </c>
      <c r="AG11" s="22">
        <f t="shared" ca="1" si="11"/>
        <v>15.995939166026155</v>
      </c>
      <c r="AH11" s="22">
        <f t="shared" ca="1" si="12"/>
        <v>15.995939166026155</v>
      </c>
      <c r="AI11" s="22">
        <f t="shared" ca="1" si="13"/>
        <v>6.5536314737184638</v>
      </c>
      <c r="AJ11" s="22">
        <f t="shared" ca="1" si="14"/>
        <v>6.5536314737184638</v>
      </c>
      <c r="AK11" s="22">
        <f t="shared" ca="1" si="15"/>
        <v>19.303631473718465</v>
      </c>
      <c r="AL11" s="22">
        <f t="shared" ca="1" si="16"/>
        <v>19.303631473718465</v>
      </c>
      <c r="AM11" s="11">
        <f t="shared" ca="1" si="17"/>
        <v>15.603631473718464</v>
      </c>
      <c r="AN11" s="20">
        <v>2</v>
      </c>
      <c r="AO11" s="20">
        <v>0</v>
      </c>
      <c r="AP11" s="20">
        <v>2</v>
      </c>
      <c r="AQ11" s="57">
        <f t="shared" si="18"/>
        <v>2.63E-2</v>
      </c>
      <c r="AR11" s="10">
        <v>333270</v>
      </c>
      <c r="AS11" s="353">
        <v>600000</v>
      </c>
      <c r="AT11" s="352" t="s">
        <v>935</v>
      </c>
    </row>
    <row r="12" spans="1:46" x14ac:dyDescent="0.25">
      <c r="A12" s="303" t="s">
        <v>167</v>
      </c>
      <c r="B12" s="49" t="s">
        <v>162</v>
      </c>
      <c r="C12" s="255">
        <f t="shared" ca="1" si="0"/>
        <v>7.6071428571428568</v>
      </c>
      <c r="D12" s="95" t="s">
        <v>31</v>
      </c>
      <c r="E12" s="4">
        <v>28</v>
      </c>
      <c r="F12" s="5">
        <f ca="1">$D$2-$D$1-880-112-112-112-112-112-112-112-112-112-112</f>
        <v>44</v>
      </c>
      <c r="G12" s="6" t="s">
        <v>163</v>
      </c>
      <c r="H12" s="30">
        <v>6</v>
      </c>
      <c r="I12" s="8">
        <v>8.6</v>
      </c>
      <c r="J12" s="21">
        <f t="shared" si="1"/>
        <v>1.2459979349914236</v>
      </c>
      <c r="K12" s="9">
        <f t="shared" si="2"/>
        <v>309.59999999999997</v>
      </c>
      <c r="L12" s="9">
        <f t="shared" si="3"/>
        <v>421.4</v>
      </c>
      <c r="M12" s="62">
        <v>43051</v>
      </c>
      <c r="N12" s="63">
        <f t="shared" ca="1" si="4"/>
        <v>1</v>
      </c>
      <c r="O12" s="19">
        <v>7</v>
      </c>
      <c r="P12" s="20">
        <f t="shared" si="5"/>
        <v>89</v>
      </c>
      <c r="Q12" s="20">
        <v>6</v>
      </c>
      <c r="R12" s="57">
        <f t="shared" si="6"/>
        <v>0.92582009977255142</v>
      </c>
      <c r="S12" s="57">
        <f t="shared" si="7"/>
        <v>0.99928545900129484</v>
      </c>
      <c r="T12" s="10">
        <v>223190</v>
      </c>
      <c r="U12" s="10">
        <f t="shared" si="8"/>
        <v>22250</v>
      </c>
      <c r="V12" s="10">
        <v>19070</v>
      </c>
      <c r="W12" s="11">
        <f t="shared" si="9"/>
        <v>11.703723125327739</v>
      </c>
      <c r="X12" s="325">
        <v>0</v>
      </c>
      <c r="Y12" s="21">
        <f>13+3/15</f>
        <v>13.2</v>
      </c>
      <c r="Z12" s="325">
        <f>4+1/4</f>
        <v>4.25</v>
      </c>
      <c r="AA12" s="21">
        <f>13+1/5</f>
        <v>13.2</v>
      </c>
      <c r="AB12" s="325">
        <f>9+1/6</f>
        <v>9.1666666666666661</v>
      </c>
      <c r="AC12" s="21">
        <f>3.34+0.34+0.33+0.33+0.33+0.33+0.33+0.33+0.33+0.26+0.25+0.25+0.25+0.25</f>
        <v>7.25</v>
      </c>
      <c r="AD12" s="325">
        <f>16+0/3</f>
        <v>16</v>
      </c>
      <c r="AE12" s="12">
        <v>1817</v>
      </c>
      <c r="AF12" s="11">
        <f t="shared" ca="1" si="10"/>
        <v>4.4290454887019877</v>
      </c>
      <c r="AG12" s="22">
        <f t="shared" ca="1" si="11"/>
        <v>14.300215349260382</v>
      </c>
      <c r="AH12" s="22">
        <f t="shared" ca="1" si="12"/>
        <v>15.445997934991423</v>
      </c>
      <c r="AI12" s="22">
        <f t="shared" ca="1" si="13"/>
        <v>6.014125456296048</v>
      </c>
      <c r="AJ12" s="22">
        <f t="shared" ca="1" si="14"/>
        <v>6.4959979349914239</v>
      </c>
      <c r="AK12" s="22">
        <f t="shared" ca="1" si="15"/>
        <v>17.818331728396078</v>
      </c>
      <c r="AL12" s="22">
        <f t="shared" ca="1" si="16"/>
        <v>19.245997934991422</v>
      </c>
      <c r="AM12" s="11">
        <f t="shared" ca="1" si="17"/>
        <v>15.620997934991422</v>
      </c>
      <c r="AN12" s="20">
        <v>2</v>
      </c>
      <c r="AO12" s="20">
        <v>2</v>
      </c>
      <c r="AP12" s="20">
        <v>1</v>
      </c>
      <c r="AQ12" s="57">
        <f t="shared" si="18"/>
        <v>6.1499999999999999E-2</v>
      </c>
      <c r="AR12" s="10">
        <v>200940</v>
      </c>
      <c r="AS12" s="353">
        <v>496109</v>
      </c>
      <c r="AT12" s="352" t="s">
        <v>935</v>
      </c>
    </row>
    <row r="13" spans="1:46" x14ac:dyDescent="0.25">
      <c r="A13" s="303" t="s">
        <v>168</v>
      </c>
      <c r="B13" s="49" t="s">
        <v>162</v>
      </c>
      <c r="C13" s="255">
        <f t="shared" ca="1" si="0"/>
        <v>7.6428571428571432</v>
      </c>
      <c r="D13" s="95" t="s">
        <v>14</v>
      </c>
      <c r="E13" s="4">
        <v>28</v>
      </c>
      <c r="F13" s="5">
        <f ca="1">$D$2-$D$1-880-4-112-112-112-112-112-112-112-112-112-112</f>
        <v>40</v>
      </c>
      <c r="G13" s="6" t="s">
        <v>166</v>
      </c>
      <c r="H13" s="7">
        <v>1</v>
      </c>
      <c r="I13" s="8">
        <v>9.8000000000000007</v>
      </c>
      <c r="J13" s="21">
        <f t="shared" si="1"/>
        <v>1.3216347675899931</v>
      </c>
      <c r="K13" s="9">
        <f t="shared" si="2"/>
        <v>9.8000000000000007</v>
      </c>
      <c r="L13" s="9">
        <f t="shared" si="3"/>
        <v>39.200000000000003</v>
      </c>
      <c r="M13" s="62">
        <v>43046</v>
      </c>
      <c r="N13" s="63">
        <v>1.5</v>
      </c>
      <c r="O13" s="19">
        <v>7</v>
      </c>
      <c r="P13" s="20">
        <f t="shared" si="5"/>
        <v>89</v>
      </c>
      <c r="Q13" s="20">
        <v>6</v>
      </c>
      <c r="R13" s="57">
        <f t="shared" si="6"/>
        <v>0.92582009977255142</v>
      </c>
      <c r="S13" s="57">
        <f t="shared" si="7"/>
        <v>0.99928545900129484</v>
      </c>
      <c r="T13" s="10">
        <v>300260</v>
      </c>
      <c r="U13" s="10">
        <f t="shared" si="8"/>
        <v>9180</v>
      </c>
      <c r="V13" s="10">
        <v>28380</v>
      </c>
      <c r="W13" s="11">
        <f t="shared" si="9"/>
        <v>10.579985905567302</v>
      </c>
      <c r="X13" s="325">
        <v>0</v>
      </c>
      <c r="Y13" s="21">
        <f>12+5/12</f>
        <v>12.416666666666666</v>
      </c>
      <c r="Z13" s="325">
        <f>6+1/5</f>
        <v>6.2</v>
      </c>
      <c r="AA13" s="21">
        <f>15+6/9</f>
        <v>15.666666666666666</v>
      </c>
      <c r="AB13" s="325">
        <f>9+3/6</f>
        <v>9.5</v>
      </c>
      <c r="AC13" s="21">
        <f>7+4/5</f>
        <v>7.8</v>
      </c>
      <c r="AD13" s="325">
        <f>16+2/3</f>
        <v>16.666666666666668</v>
      </c>
      <c r="AE13" s="12">
        <v>1922</v>
      </c>
      <c r="AF13" s="11">
        <f t="shared" si="10"/>
        <v>4.6153950017512404</v>
      </c>
      <c r="AG13" s="22">
        <f t="shared" si="11"/>
        <v>14.107925754227713</v>
      </c>
      <c r="AH13" s="22">
        <f t="shared" si="12"/>
        <v>15.238301434256659</v>
      </c>
      <c r="AI13" s="22">
        <f t="shared" si="13"/>
        <v>8.3524108006416871</v>
      </c>
      <c r="AJ13" s="22">
        <f t="shared" si="14"/>
        <v>9.0216347675899939</v>
      </c>
      <c r="AK13" s="22">
        <f t="shared" si="15"/>
        <v>18.968481278033611</v>
      </c>
      <c r="AL13" s="22">
        <f t="shared" si="16"/>
        <v>20.488301434256663</v>
      </c>
      <c r="AM13" s="11">
        <f t="shared" si="17"/>
        <v>16.828301434256662</v>
      </c>
      <c r="AN13" s="20">
        <v>4</v>
      </c>
      <c r="AO13" s="20">
        <v>3</v>
      </c>
      <c r="AP13" s="20">
        <v>2</v>
      </c>
      <c r="AQ13" s="57">
        <f t="shared" si="18"/>
        <v>0.1158</v>
      </c>
      <c r="AR13" s="10">
        <v>291080</v>
      </c>
      <c r="AS13" s="353">
        <v>0</v>
      </c>
      <c r="AT13" s="352" t="s">
        <v>935</v>
      </c>
    </row>
    <row r="14" spans="1:46" x14ac:dyDescent="0.25">
      <c r="A14" s="303" t="s">
        <v>169</v>
      </c>
      <c r="B14" s="49" t="s">
        <v>162</v>
      </c>
      <c r="C14" s="255">
        <f t="shared" ca="1" si="0"/>
        <v>7.6428571428571432</v>
      </c>
      <c r="D14" s="95" t="s">
        <v>170</v>
      </c>
      <c r="E14" s="4">
        <v>28</v>
      </c>
      <c r="F14" s="5">
        <f ca="1">$D$2-$D$1-880-4-112-112-112-112-112-112-112-112-112-112</f>
        <v>40</v>
      </c>
      <c r="G14" s="6" t="s">
        <v>163</v>
      </c>
      <c r="H14" s="30">
        <v>6</v>
      </c>
      <c r="I14" s="8">
        <v>8.5</v>
      </c>
      <c r="J14" s="21">
        <f t="shared" si="1"/>
        <v>1.2392252342857237</v>
      </c>
      <c r="K14" s="9">
        <f t="shared" si="2"/>
        <v>306</v>
      </c>
      <c r="L14" s="9">
        <f t="shared" si="3"/>
        <v>416.5</v>
      </c>
      <c r="M14" s="62">
        <v>43054</v>
      </c>
      <c r="N14" s="63">
        <f t="shared" ref="N14:N20" ca="1" si="19">IF((TODAY()-M14)&gt;335,1,((TODAY()-M14)^0.64)/(336^0.64))</f>
        <v>1</v>
      </c>
      <c r="O14" s="19">
        <v>7</v>
      </c>
      <c r="P14" s="20">
        <f t="shared" si="5"/>
        <v>89</v>
      </c>
      <c r="Q14" s="20">
        <v>7</v>
      </c>
      <c r="R14" s="57">
        <f t="shared" si="6"/>
        <v>1</v>
      </c>
      <c r="S14" s="57">
        <f t="shared" si="7"/>
        <v>1</v>
      </c>
      <c r="T14" s="10">
        <v>255120</v>
      </c>
      <c r="U14" s="10">
        <f t="shared" si="8"/>
        <v>4650</v>
      </c>
      <c r="V14" s="10">
        <v>22900</v>
      </c>
      <c r="W14" s="11">
        <f t="shared" si="9"/>
        <v>11.14061135371179</v>
      </c>
      <c r="X14" s="325">
        <v>0</v>
      </c>
      <c r="Y14" s="21">
        <f>12+9/12</f>
        <v>12.75</v>
      </c>
      <c r="Z14" s="325">
        <f>6+0/5</f>
        <v>6</v>
      </c>
      <c r="AA14" s="21">
        <f>14+7.5/9</f>
        <v>14.833333333333334</v>
      </c>
      <c r="AB14" s="325">
        <f>8+6/7</f>
        <v>8.8571428571428577</v>
      </c>
      <c r="AC14" s="21">
        <v>8</v>
      </c>
      <c r="AD14" s="325">
        <f>15+2/3</f>
        <v>15.666666666666666</v>
      </c>
      <c r="AE14" s="12">
        <v>1816</v>
      </c>
      <c r="AF14" s="11">
        <f t="shared" ca="1" si="10"/>
        <v>4.6477451771428608</v>
      </c>
      <c r="AG14" s="22">
        <f t="shared" ca="1" si="11"/>
        <v>14.989225234285724</v>
      </c>
      <c r="AH14" s="22">
        <f t="shared" ca="1" si="12"/>
        <v>14.989225234285724</v>
      </c>
      <c r="AI14" s="22">
        <f t="shared" ca="1" si="13"/>
        <v>8.2392252342857244</v>
      </c>
      <c r="AJ14" s="22">
        <f t="shared" ca="1" si="14"/>
        <v>8.2392252342857244</v>
      </c>
      <c r="AK14" s="22">
        <f t="shared" ca="1" si="15"/>
        <v>18.905891900952387</v>
      </c>
      <c r="AL14" s="22">
        <f t="shared" ca="1" si="16"/>
        <v>18.905891900952387</v>
      </c>
      <c r="AM14" s="11">
        <f t="shared" ca="1" si="17"/>
        <v>15.60589190095239</v>
      </c>
      <c r="AN14" s="20">
        <v>2</v>
      </c>
      <c r="AO14" s="20">
        <v>2</v>
      </c>
      <c r="AP14" s="20">
        <v>1</v>
      </c>
      <c r="AQ14" s="57">
        <f t="shared" si="18"/>
        <v>6.1499999999999999E-2</v>
      </c>
      <c r="AR14" s="10">
        <v>250470</v>
      </c>
      <c r="AS14" s="353">
        <v>245000</v>
      </c>
      <c r="AT14" s="352" t="s">
        <v>935</v>
      </c>
    </row>
    <row r="15" spans="1:46" x14ac:dyDescent="0.25">
      <c r="A15" s="303" t="s">
        <v>171</v>
      </c>
      <c r="B15" s="49" t="s">
        <v>172</v>
      </c>
      <c r="C15" s="255">
        <f t="shared" ca="1" si="0"/>
        <v>7.875</v>
      </c>
      <c r="D15" s="95" t="s">
        <v>173</v>
      </c>
      <c r="E15" s="4">
        <v>28</v>
      </c>
      <c r="F15" s="5">
        <f ca="1">$D$2-$D$1-1470-112-112-112-112-112</f>
        <v>14</v>
      </c>
      <c r="G15" s="6" t="s">
        <v>166</v>
      </c>
      <c r="H15" s="7">
        <v>2</v>
      </c>
      <c r="I15" s="8">
        <v>6.4</v>
      </c>
      <c r="J15" s="21">
        <f t="shared" si="1"/>
        <v>1.0749066319785163</v>
      </c>
      <c r="K15" s="9">
        <f t="shared" si="2"/>
        <v>25.6</v>
      </c>
      <c r="L15" s="9">
        <f t="shared" si="3"/>
        <v>57.6</v>
      </c>
      <c r="M15" s="62">
        <v>43744</v>
      </c>
      <c r="N15" s="63">
        <f t="shared" ca="1" si="19"/>
        <v>1</v>
      </c>
      <c r="O15" s="19">
        <v>7</v>
      </c>
      <c r="P15" s="20">
        <f t="shared" si="5"/>
        <v>89</v>
      </c>
      <c r="Q15" s="20">
        <v>5</v>
      </c>
      <c r="R15" s="57">
        <f t="shared" si="6"/>
        <v>0.84515425472851657</v>
      </c>
      <c r="S15" s="57">
        <f t="shared" si="7"/>
        <v>0.92504826128926143</v>
      </c>
      <c r="T15" s="10">
        <v>122930</v>
      </c>
      <c r="U15" s="10">
        <f t="shared" si="8"/>
        <v>-26200</v>
      </c>
      <c r="V15" s="10">
        <v>21972</v>
      </c>
      <c r="W15" s="11">
        <f t="shared" si="9"/>
        <v>5.5948479883488078</v>
      </c>
      <c r="X15" s="325">
        <v>0</v>
      </c>
      <c r="Y15" s="21">
        <f>13+8/14</f>
        <v>13.571428571428571</v>
      </c>
      <c r="Z15" s="325">
        <f>9+5/7</f>
        <v>9.7142857142857135</v>
      </c>
      <c r="AA15" s="21">
        <f>5+0/5</f>
        <v>5</v>
      </c>
      <c r="AB15" s="325">
        <f>9+0/7</f>
        <v>9</v>
      </c>
      <c r="AC15" s="21">
        <v>4</v>
      </c>
      <c r="AD15" s="325">
        <f>21+0/5</f>
        <v>21</v>
      </c>
      <c r="AE15" s="12">
        <v>1788</v>
      </c>
      <c r="AF15" s="11">
        <f t="shared" ca="1" si="10"/>
        <v>3.9929469611929358</v>
      </c>
      <c r="AG15" s="22">
        <f t="shared" ca="1" si="11"/>
        <v>13.22356676806807</v>
      </c>
      <c r="AH15" s="22">
        <f t="shared" ca="1" si="12"/>
        <v>14.485691619093133</v>
      </c>
      <c r="AI15" s="22">
        <f t="shared" ca="1" si="13"/>
        <v>9.9636860712580759</v>
      </c>
      <c r="AJ15" s="22">
        <f t="shared" ca="1" si="14"/>
        <v>10.914671234256149</v>
      </c>
      <c r="AK15" s="22">
        <f t="shared" ca="1" si="15"/>
        <v>20.347009772208427</v>
      </c>
      <c r="AL15" s="22">
        <f t="shared" ca="1" si="16"/>
        <v>22.289032460033212</v>
      </c>
      <c r="AM15" s="11">
        <f t="shared" ca="1" si="17"/>
        <v>17.974906631978516</v>
      </c>
      <c r="AN15" s="20">
        <v>0</v>
      </c>
      <c r="AO15" s="20">
        <v>3</v>
      </c>
      <c r="AP15" s="20">
        <v>2</v>
      </c>
      <c r="AQ15" s="57">
        <f t="shared" si="18"/>
        <v>0.1158</v>
      </c>
      <c r="AR15" s="10">
        <v>149130</v>
      </c>
      <c r="AS15" s="353">
        <v>4500000</v>
      </c>
      <c r="AT15" s="352" t="s">
        <v>935</v>
      </c>
    </row>
    <row r="16" spans="1:46" x14ac:dyDescent="0.25">
      <c r="A16" s="303" t="s">
        <v>174</v>
      </c>
      <c r="B16" s="49" t="s">
        <v>172</v>
      </c>
      <c r="C16" s="255">
        <f t="shared" ca="1" si="0"/>
        <v>4.625</v>
      </c>
      <c r="D16" s="244" t="s">
        <v>936</v>
      </c>
      <c r="E16" s="4">
        <v>31</v>
      </c>
      <c r="F16" s="5">
        <f ca="1">$D$2-$D$1-1778-112-112</f>
        <v>42</v>
      </c>
      <c r="G16" s="6" t="s">
        <v>166</v>
      </c>
      <c r="H16" s="7">
        <v>1</v>
      </c>
      <c r="I16" s="8">
        <v>7.2</v>
      </c>
      <c r="J16" s="21">
        <f t="shared" si="1"/>
        <v>1.1431099952416914</v>
      </c>
      <c r="K16" s="9">
        <f t="shared" si="2"/>
        <v>7.2</v>
      </c>
      <c r="L16" s="9">
        <f t="shared" si="3"/>
        <v>28.8</v>
      </c>
      <c r="M16" s="62">
        <v>44094</v>
      </c>
      <c r="N16" s="63">
        <f t="shared" ca="1" si="19"/>
        <v>0.7581497888884271</v>
      </c>
      <c r="O16" s="19">
        <v>6.2</v>
      </c>
      <c r="P16" s="20">
        <f t="shared" si="5"/>
        <v>81</v>
      </c>
      <c r="Q16" s="20">
        <v>6</v>
      </c>
      <c r="R16" s="57">
        <f t="shared" si="6"/>
        <v>0.92582009977255142</v>
      </c>
      <c r="S16" s="57">
        <f t="shared" si="7"/>
        <v>0.99928545900129484</v>
      </c>
      <c r="T16" s="10">
        <v>116570</v>
      </c>
      <c r="U16" s="10">
        <f t="shared" si="8"/>
        <v>9980</v>
      </c>
      <c r="V16" s="10">
        <v>22764</v>
      </c>
      <c r="W16" s="11">
        <f t="shared" si="9"/>
        <v>5.1208047794763658</v>
      </c>
      <c r="X16" s="325">
        <v>0</v>
      </c>
      <c r="Y16" s="21">
        <v>10</v>
      </c>
      <c r="Z16" s="325">
        <v>14</v>
      </c>
      <c r="AA16" s="21">
        <v>3</v>
      </c>
      <c r="AB16" s="325">
        <v>10</v>
      </c>
      <c r="AC16" s="21">
        <v>8</v>
      </c>
      <c r="AD16" s="325">
        <f>15+1/3</f>
        <v>15.333333333333334</v>
      </c>
      <c r="AE16" s="12">
        <v>1837</v>
      </c>
      <c r="AF16" s="11">
        <f t="shared" ca="1" si="10"/>
        <v>4.1319095702858997</v>
      </c>
      <c r="AG16" s="22">
        <f t="shared" ca="1" si="11"/>
        <v>11.018425520762401</v>
      </c>
      <c r="AH16" s="22">
        <f t="shared" ca="1" si="12"/>
        <v>11.901259784130119</v>
      </c>
      <c r="AI16" s="22">
        <f t="shared" ca="1" si="13"/>
        <v>14.721705919852607</v>
      </c>
      <c r="AJ16" s="22">
        <f t="shared" ca="1" si="14"/>
        <v>15.901259784130119</v>
      </c>
      <c r="AK16" s="22">
        <f t="shared" ca="1" si="15"/>
        <v>16.881952819321896</v>
      </c>
      <c r="AL16" s="22">
        <f t="shared" ca="1" si="16"/>
        <v>18.234593117463454</v>
      </c>
      <c r="AM16" s="11">
        <f t="shared" ca="1" si="17"/>
        <v>15.034593117463453</v>
      </c>
      <c r="AN16" s="20">
        <v>2</v>
      </c>
      <c r="AO16" s="20">
        <v>2</v>
      </c>
      <c r="AP16" s="20">
        <v>2</v>
      </c>
      <c r="AQ16" s="57">
        <f t="shared" si="18"/>
        <v>6.1499999999999999E-2</v>
      </c>
      <c r="AR16" s="10">
        <v>106590</v>
      </c>
      <c r="AS16" s="353">
        <f>5280000+27204</f>
        <v>5307204</v>
      </c>
      <c r="AT16" s="352" t="s">
        <v>183</v>
      </c>
    </row>
    <row r="17" spans="1:46" x14ac:dyDescent="0.25">
      <c r="A17" s="303" t="s">
        <v>155</v>
      </c>
      <c r="B17" s="49" t="s">
        <v>172</v>
      </c>
      <c r="C17" s="255">
        <f ca="1">((36*112)-(E17*112)-(F17))/112</f>
        <v>2.6964285714285716</v>
      </c>
      <c r="D17" s="244" t="s">
        <v>948</v>
      </c>
      <c r="E17" s="4">
        <v>33</v>
      </c>
      <c r="F17" s="5">
        <f ca="1">$D$2-$D$1-1898-112</f>
        <v>34</v>
      </c>
      <c r="G17" s="6"/>
      <c r="H17" s="7">
        <v>3</v>
      </c>
      <c r="I17" s="8">
        <v>10</v>
      </c>
      <c r="J17" s="21">
        <f>LOG(I17)*4/3</f>
        <v>1.3333333333333333</v>
      </c>
      <c r="K17" s="9">
        <f>(H17)*(H17)*(I17)</f>
        <v>90</v>
      </c>
      <c r="L17" s="9">
        <f>(H17+1)*(H17+1)*I17</f>
        <v>160</v>
      </c>
      <c r="M17" s="62">
        <v>44251</v>
      </c>
      <c r="N17" s="63">
        <f ca="1">IF((TODAY()-M17)&gt;335,1,((TODAY()-M17)^0.64)/(336^0.64))</f>
        <v>0.33554746092703608</v>
      </c>
      <c r="O17" s="19">
        <v>5.5</v>
      </c>
      <c r="P17" s="20">
        <f>O17*10+19</f>
        <v>74</v>
      </c>
      <c r="Q17" s="20">
        <v>6</v>
      </c>
      <c r="R17" s="57">
        <f>(Q17/7)^0.5</f>
        <v>0.92582009977255142</v>
      </c>
      <c r="S17" s="57">
        <f>IF(Q17=7,1,((Q17+0.99)/7)^0.5)</f>
        <v>0.99928545900129484</v>
      </c>
      <c r="T17" s="10">
        <v>38680</v>
      </c>
      <c r="U17" s="10">
        <f t="shared" si="8"/>
        <v>-16470</v>
      </c>
      <c r="V17" s="10">
        <v>11030</v>
      </c>
      <c r="W17" s="11">
        <f>T17/V17</f>
        <v>3.5067996373526746</v>
      </c>
      <c r="X17" s="325">
        <v>0</v>
      </c>
      <c r="Y17" s="21">
        <v>5.95</v>
      </c>
      <c r="Z17" s="325">
        <v>13</v>
      </c>
      <c r="AA17" s="21">
        <v>7</v>
      </c>
      <c r="AB17" s="325">
        <v>12</v>
      </c>
      <c r="AC17" s="21">
        <v>4</v>
      </c>
      <c r="AD17" s="325">
        <v>16</v>
      </c>
      <c r="AE17" s="12">
        <v>1576</v>
      </c>
      <c r="AF17" s="11">
        <f t="shared" ca="1" si="10"/>
        <v>4.0454452673174757</v>
      </c>
      <c r="AG17" s="22">
        <f t="shared" ca="1" si="11"/>
        <v>7.0537129770973106</v>
      </c>
      <c r="AH17" s="22">
        <f t="shared" ca="1" si="12"/>
        <v>7.6188807942603693</v>
      </c>
      <c r="AI17" s="22">
        <f t="shared" ca="1" si="13"/>
        <v>13.580744680493797</v>
      </c>
      <c r="AJ17" s="22">
        <f t="shared" ca="1" si="14"/>
        <v>14.668880794260369</v>
      </c>
      <c r="AK17" s="22">
        <f t="shared" ca="1" si="15"/>
        <v>17.284025079584001</v>
      </c>
      <c r="AL17" s="22">
        <f t="shared" ca="1" si="16"/>
        <v>18.668880794260367</v>
      </c>
      <c r="AM17" s="11">
        <f t="shared" ca="1" si="17"/>
        <v>14.068880794260366</v>
      </c>
      <c r="AN17" s="20">
        <v>2</v>
      </c>
      <c r="AO17" s="20">
        <v>3</v>
      </c>
      <c r="AP17" s="20">
        <v>2</v>
      </c>
      <c r="AQ17" s="57">
        <f>IF(AO17=4,IF(AP17=0,0.137+0.0697,0.137+0.02),IF(AO17=3,IF(AP17=0,0.0958+0.0697,0.0958+0.02),IF(AO17=2,IF(AP17=0,0.0415+0.0697,0.0415+0.02),IF(AO17=1,IF(AP17=0,0.0294+0.0697,0.0294+0.02),IF(AO17=0,IF(AP17=0,0.0063+0.0697,0.0063+0.02))))))</f>
        <v>0.1158</v>
      </c>
      <c r="AR17" s="10">
        <v>55150</v>
      </c>
      <c r="AS17" s="353">
        <v>1475000</v>
      </c>
      <c r="AT17" s="352" t="s">
        <v>183</v>
      </c>
    </row>
    <row r="18" spans="1:46" x14ac:dyDescent="0.25">
      <c r="A18" s="303" t="s">
        <v>491</v>
      </c>
      <c r="B18" s="49" t="s">
        <v>177</v>
      </c>
      <c r="C18" s="255">
        <f t="shared" ca="1" si="0"/>
        <v>7.3571428571428568</v>
      </c>
      <c r="D18" s="380" t="s">
        <v>947</v>
      </c>
      <c r="E18" s="4">
        <v>28</v>
      </c>
      <c r="F18" s="5">
        <f ca="1">$D$2-$D$1-1972</f>
        <v>72</v>
      </c>
      <c r="G18" s="6"/>
      <c r="H18" s="7">
        <v>1</v>
      </c>
      <c r="I18" s="8">
        <v>7</v>
      </c>
      <c r="J18" s="21">
        <f t="shared" si="1"/>
        <v>1.1267973866856758</v>
      </c>
      <c r="K18" s="9">
        <f t="shared" si="2"/>
        <v>7</v>
      </c>
      <c r="L18" s="9">
        <f t="shared" si="3"/>
        <v>28</v>
      </c>
      <c r="M18" s="62">
        <v>44262</v>
      </c>
      <c r="N18" s="63">
        <f t="shared" ca="1" si="19"/>
        <v>0.29544977613407919</v>
      </c>
      <c r="O18" s="19">
        <v>6</v>
      </c>
      <c r="P18" s="20">
        <f t="shared" si="5"/>
        <v>79</v>
      </c>
      <c r="Q18" s="20">
        <v>5</v>
      </c>
      <c r="R18" s="57">
        <f t="shared" si="6"/>
        <v>0.84515425472851657</v>
      </c>
      <c r="S18" s="57">
        <f t="shared" si="7"/>
        <v>0.92504826128926143</v>
      </c>
      <c r="T18" s="10">
        <v>236150</v>
      </c>
      <c r="U18" s="10">
        <f t="shared" si="8"/>
        <v>-6360</v>
      </c>
      <c r="V18" s="10">
        <v>26380</v>
      </c>
      <c r="W18" s="11">
        <f t="shared" si="9"/>
        <v>8.9518574677786198</v>
      </c>
      <c r="X18" s="325">
        <v>0</v>
      </c>
      <c r="Y18" s="21">
        <v>4</v>
      </c>
      <c r="Z18" s="325">
        <v>2</v>
      </c>
      <c r="AA18" s="21">
        <f>9+1/8</f>
        <v>9.125</v>
      </c>
      <c r="AB18" s="325">
        <v>14</v>
      </c>
      <c r="AC18" s="21">
        <v>14</v>
      </c>
      <c r="AD18" s="325">
        <v>2</v>
      </c>
      <c r="AE18" s="12">
        <v>1681</v>
      </c>
      <c r="AF18" s="11">
        <f t="shared" ca="1" si="10"/>
        <v>3.8313738592638198</v>
      </c>
      <c r="AG18" s="22">
        <f t="shared" ca="1" si="11"/>
        <v>4.582635259846743</v>
      </c>
      <c r="AH18" s="22">
        <f t="shared" ca="1" si="12"/>
        <v>5.0200254092732193</v>
      </c>
      <c r="AI18" s="22">
        <f t="shared" ca="1" si="13"/>
        <v>2.8923267503897105</v>
      </c>
      <c r="AJ18" s="22">
        <f t="shared" ca="1" si="14"/>
        <v>3.1683852097281164</v>
      </c>
      <c r="AK18" s="22">
        <f t="shared" ca="1" si="15"/>
        <v>3.7374810051182266</v>
      </c>
      <c r="AL18" s="22">
        <f t="shared" ca="1" si="16"/>
        <v>4.0942053095006674</v>
      </c>
      <c r="AM18" s="11">
        <f t="shared" ca="1" si="17"/>
        <v>7.0222471628197543</v>
      </c>
      <c r="AN18" s="20">
        <v>1</v>
      </c>
      <c r="AO18" s="20">
        <v>2</v>
      </c>
      <c r="AP18" s="20">
        <v>2</v>
      </c>
      <c r="AQ18" s="57">
        <f t="shared" si="18"/>
        <v>6.1499999999999999E-2</v>
      </c>
      <c r="AR18" s="10">
        <v>242510</v>
      </c>
      <c r="AS18" s="353">
        <v>7500000</v>
      </c>
      <c r="AT18" s="352" t="s">
        <v>183</v>
      </c>
    </row>
    <row r="19" spans="1:46" x14ac:dyDescent="0.25">
      <c r="A19" s="303" t="s">
        <v>176</v>
      </c>
      <c r="B19" s="49" t="s">
        <v>177</v>
      </c>
      <c r="C19" s="255">
        <f t="shared" ca="1" si="0"/>
        <v>5.2946428571428568</v>
      </c>
      <c r="D19" s="244" t="s">
        <v>908</v>
      </c>
      <c r="E19" s="4">
        <v>30</v>
      </c>
      <c r="F19" s="5">
        <f ca="1">$D$2-$D$1-1741-112-112</f>
        <v>79</v>
      </c>
      <c r="G19" s="6" t="s">
        <v>166</v>
      </c>
      <c r="H19" s="7">
        <v>2</v>
      </c>
      <c r="I19" s="8">
        <v>14.7</v>
      </c>
      <c r="J19" s="21">
        <f t="shared" si="1"/>
        <v>1.5564231129975681</v>
      </c>
      <c r="K19" s="9">
        <f t="shared" si="2"/>
        <v>58.8</v>
      </c>
      <c r="L19" s="9">
        <f t="shared" si="3"/>
        <v>132.29999999999998</v>
      </c>
      <c r="M19" s="62">
        <v>44069</v>
      </c>
      <c r="N19" s="63">
        <f t="shared" ca="1" si="19"/>
        <v>0.81270115613522753</v>
      </c>
      <c r="O19" s="19">
        <v>6.3</v>
      </c>
      <c r="P19" s="20">
        <f t="shared" si="5"/>
        <v>82</v>
      </c>
      <c r="Q19" s="20">
        <v>5</v>
      </c>
      <c r="R19" s="57">
        <f t="shared" si="6"/>
        <v>0.84515425472851657</v>
      </c>
      <c r="S19" s="57">
        <f t="shared" si="7"/>
        <v>0.92504826128926143</v>
      </c>
      <c r="T19" s="10">
        <v>133210</v>
      </c>
      <c r="U19" s="10">
        <f t="shared" si="8"/>
        <v>5410</v>
      </c>
      <c r="V19" s="10">
        <v>16980</v>
      </c>
      <c r="W19" s="11">
        <f t="shared" si="9"/>
        <v>7.8451118963486453</v>
      </c>
      <c r="X19" s="325">
        <v>0</v>
      </c>
      <c r="Y19" s="21">
        <v>1</v>
      </c>
      <c r="Z19" s="325">
        <v>9</v>
      </c>
      <c r="AA19" s="21">
        <v>14</v>
      </c>
      <c r="AB19" s="325">
        <v>11</v>
      </c>
      <c r="AC19" s="21">
        <v>11</v>
      </c>
      <c r="AD19" s="325">
        <f>10+1/2</f>
        <v>10.5</v>
      </c>
      <c r="AE19" s="12">
        <v>1676</v>
      </c>
      <c r="AF19" s="11">
        <f t="shared" ca="1" si="10"/>
        <v>3.180671778358799</v>
      </c>
      <c r="AG19" s="22">
        <f t="shared" ca="1" si="11"/>
        <v>2.8474297107666859</v>
      </c>
      <c r="AH19" s="22">
        <f t="shared" ca="1" si="12"/>
        <v>3.1192029669946493</v>
      </c>
      <c r="AI19" s="22">
        <f t="shared" ca="1" si="13"/>
        <v>9.6086637485948181</v>
      </c>
      <c r="AJ19" s="22">
        <f t="shared" ca="1" si="14"/>
        <v>10.525763765175061</v>
      </c>
      <c r="AK19" s="22">
        <f t="shared" ca="1" si="15"/>
        <v>11.721549385416109</v>
      </c>
      <c r="AL19" s="22">
        <f t="shared" ca="1" si="16"/>
        <v>12.840314014606438</v>
      </c>
      <c r="AM19" s="11">
        <f t="shared" ca="1" si="17"/>
        <v>13.019124269132796</v>
      </c>
      <c r="AN19" s="20">
        <v>1</v>
      </c>
      <c r="AO19" s="20">
        <v>1</v>
      </c>
      <c r="AP19" s="20">
        <v>1</v>
      </c>
      <c r="AQ19" s="57">
        <f t="shared" si="18"/>
        <v>4.9399999999999999E-2</v>
      </c>
      <c r="AR19" s="10">
        <v>127800</v>
      </c>
      <c r="AS19" s="353">
        <v>6324000</v>
      </c>
      <c r="AT19" s="352" t="s">
        <v>183</v>
      </c>
    </row>
    <row r="20" spans="1:46" x14ac:dyDescent="0.25">
      <c r="A20" s="303" t="s">
        <v>180</v>
      </c>
      <c r="B20" s="49" t="s">
        <v>177</v>
      </c>
      <c r="C20" s="255">
        <f t="shared" ca="1" si="0"/>
        <v>7.4375</v>
      </c>
      <c r="D20" s="380" t="s">
        <v>853</v>
      </c>
      <c r="E20" s="4">
        <v>28</v>
      </c>
      <c r="F20" s="5">
        <f ca="1">$D$2-$D$1-1600-45-112-112-112</f>
        <v>63</v>
      </c>
      <c r="G20" s="6" t="s">
        <v>166</v>
      </c>
      <c r="H20" s="7">
        <v>1</v>
      </c>
      <c r="I20" s="8">
        <v>7</v>
      </c>
      <c r="J20" s="21">
        <f t="shared" si="1"/>
        <v>1.1267973866856758</v>
      </c>
      <c r="K20" s="9">
        <f t="shared" si="2"/>
        <v>7</v>
      </c>
      <c r="L20" s="9">
        <f t="shared" si="3"/>
        <v>28</v>
      </c>
      <c r="M20" s="62">
        <v>43590</v>
      </c>
      <c r="N20" s="63">
        <f t="shared" ca="1" si="19"/>
        <v>1</v>
      </c>
      <c r="O20" s="19">
        <v>7</v>
      </c>
      <c r="P20" s="20">
        <f t="shared" si="5"/>
        <v>89</v>
      </c>
      <c r="Q20" s="20">
        <v>4</v>
      </c>
      <c r="R20" s="57">
        <f t="shared" si="6"/>
        <v>0.7559289460184544</v>
      </c>
      <c r="S20" s="57">
        <f t="shared" si="7"/>
        <v>0.84430867747355465</v>
      </c>
      <c r="T20" s="10">
        <v>232220</v>
      </c>
      <c r="U20" s="10">
        <f t="shared" si="8"/>
        <v>-41890</v>
      </c>
      <c r="V20" s="10">
        <v>31212</v>
      </c>
      <c r="W20" s="11">
        <f t="shared" si="9"/>
        <v>7.4400871459694988</v>
      </c>
      <c r="X20" s="325">
        <v>0</v>
      </c>
      <c r="Y20" s="21">
        <v>4</v>
      </c>
      <c r="Z20" s="325">
        <f>8+0/6</f>
        <v>8</v>
      </c>
      <c r="AA20" s="21">
        <f>11+0.5/6</f>
        <v>11.083333333333334</v>
      </c>
      <c r="AB20" s="325">
        <f>12+4/9</f>
        <v>12.444444444444445</v>
      </c>
      <c r="AC20" s="21">
        <v>14</v>
      </c>
      <c r="AD20" s="325">
        <f>13+0/3</f>
        <v>13</v>
      </c>
      <c r="AE20" s="12">
        <v>1910</v>
      </c>
      <c r="AF20" s="11">
        <f t="shared" ca="1" si="10"/>
        <v>3.3326338062697913</v>
      </c>
      <c r="AG20" s="22">
        <f t="shared" ca="1" si="11"/>
        <v>4.6314234909859229</v>
      </c>
      <c r="AH20" s="22">
        <f t="shared" ca="1" si="12"/>
        <v>5.178088879216955</v>
      </c>
      <c r="AI20" s="22">
        <f t="shared" ca="1" si="13"/>
        <v>7.6551392750597405</v>
      </c>
      <c r="AJ20" s="22">
        <f t="shared" ca="1" si="14"/>
        <v>8.5587058981310218</v>
      </c>
      <c r="AK20" s="22">
        <f t="shared" ca="1" si="15"/>
        <v>12.190712951170466</v>
      </c>
      <c r="AL20" s="22">
        <f t="shared" ca="1" si="16"/>
        <v>13.629631426502122</v>
      </c>
      <c r="AM20" s="11">
        <f t="shared" ca="1" si="17"/>
        <v>15.426797386685674</v>
      </c>
      <c r="AN20" s="20">
        <v>1</v>
      </c>
      <c r="AO20" s="20">
        <v>0</v>
      </c>
      <c r="AP20" s="20">
        <v>1</v>
      </c>
      <c r="AQ20" s="57">
        <f t="shared" si="18"/>
        <v>2.63E-2</v>
      </c>
      <c r="AR20" s="10">
        <v>274110</v>
      </c>
      <c r="AS20" s="353">
        <v>12306000</v>
      </c>
      <c r="AT20" s="352" t="s">
        <v>935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</row>
    <row r="25" spans="1:46" x14ac:dyDescent="0.25">
      <c r="D25" s="61"/>
      <c r="AS25" s="357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X4:AD20">
    <cfRule type="colorScale" priority="10">
      <colorScale>
        <cfvo type="min"/>
        <cfvo type="max"/>
        <color rgb="FFFCFCFF"/>
        <color rgb="FFF8696B"/>
      </colorScale>
    </cfRule>
  </conditionalFormatting>
  <conditionalFormatting sqref="X4:AD20">
    <cfRule type="cellIs" dxfId="50" priority="11" operator="greaterThan">
      <formula>10</formula>
    </cfRule>
  </conditionalFormatting>
  <conditionalFormatting sqref="W1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U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4:W16 W18:W2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C4:C20">
    <cfRule type="colorScale" priority="15">
      <colorScale>
        <cfvo type="min"/>
        <cfvo type="max"/>
        <color rgb="FFFFEF9C"/>
        <color rgb="FF63BE7B"/>
      </colorScale>
    </cfRule>
  </conditionalFormatting>
  <conditionalFormatting sqref="T4:T2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K4:AL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21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0">
    <cfRule type="colorScale" priority="30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:AS2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E4:AE20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K4:L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R4:A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{8F7E868F-8AB1-4F82-9889-7E6556EC295E}</x14:id>
        </ext>
      </extLst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</xm:sqref>
        </x14:conditionalFormatting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W4:W16 W18:W20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8F7E868F-8AB1-4F82-9889-7E6556EC2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AR4:AR20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F120"/>
  <sheetViews>
    <sheetView workbookViewId="0">
      <selection activeCell="S7" sqref="S7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5" customWidth="1"/>
    <col min="6" max="6" width="11.85546875" customWidth="1"/>
    <col min="7" max="7" width="6.140625" customWidth="1"/>
    <col min="8" max="8" width="6.28515625" customWidth="1"/>
    <col min="9" max="9" width="6.140625" customWidth="1"/>
    <col min="10" max="10" width="6.7109375" customWidth="1"/>
    <col min="11" max="11" width="5" customWidth="1"/>
    <col min="12" max="12" width="5.28515625" customWidth="1"/>
    <col min="13" max="13" width="5.5703125" customWidth="1"/>
    <col min="14" max="14" width="5.42578125" customWidth="1"/>
    <col min="15" max="15" width="5.5703125" customWidth="1"/>
    <col min="16" max="16" width="5" customWidth="1"/>
    <col min="17" max="17" width="5.5703125" customWidth="1"/>
    <col min="18" max="18" width="5.140625" customWidth="1"/>
    <col min="19" max="21" width="5.5703125" customWidth="1"/>
    <col min="22" max="22" width="4" customWidth="1"/>
    <col min="23" max="23" width="5" customWidth="1"/>
    <col min="24" max="24" width="5.42578125" customWidth="1"/>
    <col min="25" max="25" width="5.5703125" customWidth="1"/>
    <col min="26" max="26" width="5" customWidth="1"/>
    <col min="27" max="27" width="4" customWidth="1"/>
    <col min="28" max="28" width="7.28515625" customWidth="1"/>
    <col min="29" max="29" width="6" customWidth="1"/>
    <col min="30" max="32" width="4" customWidth="1"/>
    <col min="33" max="33" width="4.7109375" customWidth="1"/>
    <col min="34" max="34" width="4" customWidth="1"/>
    <col min="35" max="35" width="18.42578125" customWidth="1"/>
    <col min="37" max="37" width="28.42578125" customWidth="1"/>
    <col min="38" max="38" width="5.28515625" customWidth="1"/>
    <col min="39" max="39" width="6.28515625" customWidth="1"/>
    <col min="40" max="40" width="5.5703125" style="41" customWidth="1"/>
    <col min="41" max="41" width="5" customWidth="1"/>
    <col min="42" max="42" width="5.5703125" customWidth="1"/>
    <col min="43" max="43" width="5" customWidth="1"/>
    <col min="44" max="44" width="7.5703125" customWidth="1"/>
    <col min="45" max="45" width="7.42578125" customWidth="1"/>
    <col min="46" max="46" width="7.28515625" customWidth="1"/>
    <col min="47" max="47" width="5" customWidth="1"/>
    <col min="48" max="48" width="7" customWidth="1"/>
    <col min="49" max="49" width="5.140625" customWidth="1"/>
    <col min="50" max="50" width="8" customWidth="1"/>
    <col min="51" max="52" width="7.42578125" customWidth="1"/>
    <col min="53" max="53" width="5" customWidth="1"/>
    <col min="54" max="54" width="5.5703125" customWidth="1"/>
    <col min="55" max="55" width="11.5703125" customWidth="1"/>
  </cols>
  <sheetData>
    <row r="1" spans="1:56" x14ac:dyDescent="0.25">
      <c r="A1" s="114" t="s">
        <v>181</v>
      </c>
      <c r="B1" s="114"/>
      <c r="C1" s="114"/>
      <c r="D1" s="115"/>
      <c r="E1" s="114"/>
      <c r="F1" s="115"/>
      <c r="G1" s="116"/>
      <c r="H1" s="115"/>
      <c r="I1" s="115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5"/>
      <c r="Z1" s="115"/>
      <c r="AA1" s="115"/>
      <c r="AB1" s="115"/>
      <c r="AC1" s="117"/>
      <c r="AD1" s="117"/>
      <c r="AE1" s="117"/>
      <c r="AF1" s="117"/>
      <c r="AG1" s="117"/>
      <c r="AH1" s="117"/>
      <c r="AI1" s="116"/>
      <c r="AK1" s="226" t="s">
        <v>182</v>
      </c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</row>
    <row r="2" spans="1:56" x14ac:dyDescent="0.25">
      <c r="A2" s="118" t="s">
        <v>183</v>
      </c>
      <c r="B2" s="118" t="s">
        <v>184</v>
      </c>
      <c r="C2" s="118" t="s">
        <v>113</v>
      </c>
      <c r="D2" s="119" t="s">
        <v>185</v>
      </c>
      <c r="E2" s="118" t="s">
        <v>186</v>
      </c>
      <c r="F2" s="119" t="s">
        <v>187</v>
      </c>
      <c r="G2" s="120" t="s">
        <v>188</v>
      </c>
      <c r="H2" s="119" t="s">
        <v>189</v>
      </c>
      <c r="I2" s="119" t="s">
        <v>115</v>
      </c>
      <c r="J2" s="118" t="s">
        <v>153</v>
      </c>
      <c r="K2" s="118" t="s">
        <v>190</v>
      </c>
      <c r="L2" s="121" t="s">
        <v>191</v>
      </c>
      <c r="M2" s="121" t="s">
        <v>190</v>
      </c>
      <c r="N2" s="118" t="s">
        <v>192</v>
      </c>
      <c r="O2" s="118" t="s">
        <v>190</v>
      </c>
      <c r="P2" s="121" t="s">
        <v>193</v>
      </c>
      <c r="Q2" s="121" t="s">
        <v>190</v>
      </c>
      <c r="R2" s="118" t="s">
        <v>194</v>
      </c>
      <c r="S2" s="118" t="s">
        <v>190</v>
      </c>
      <c r="T2" s="121" t="s">
        <v>195</v>
      </c>
      <c r="U2" s="121" t="s">
        <v>190</v>
      </c>
      <c r="V2" s="118" t="s">
        <v>196</v>
      </c>
      <c r="W2" s="118" t="s">
        <v>190</v>
      </c>
      <c r="X2" s="122" t="s">
        <v>197</v>
      </c>
      <c r="Y2" s="122" t="s">
        <v>198</v>
      </c>
      <c r="Z2" s="119" t="s">
        <v>199</v>
      </c>
      <c r="AA2" s="119" t="s">
        <v>196</v>
      </c>
      <c r="AB2" s="119" t="s">
        <v>200</v>
      </c>
      <c r="AC2" s="123" t="s">
        <v>201</v>
      </c>
      <c r="AD2" s="123" t="s">
        <v>202</v>
      </c>
      <c r="AE2" s="123" t="s">
        <v>203</v>
      </c>
      <c r="AF2" s="123" t="s">
        <v>204</v>
      </c>
      <c r="AG2" s="123" t="s">
        <v>205</v>
      </c>
      <c r="AH2" s="123" t="s">
        <v>206</v>
      </c>
      <c r="AI2" s="120" t="s">
        <v>207</v>
      </c>
      <c r="AK2" s="203" t="s">
        <v>183</v>
      </c>
      <c r="AL2" s="203" t="s">
        <v>184</v>
      </c>
      <c r="AM2" s="203" t="s">
        <v>113</v>
      </c>
      <c r="AN2" s="228" t="s">
        <v>185</v>
      </c>
      <c r="AO2" s="230" t="s">
        <v>153</v>
      </c>
      <c r="AP2" s="230" t="s">
        <v>208</v>
      </c>
      <c r="AQ2" s="230" t="s">
        <v>191</v>
      </c>
      <c r="AR2" s="230" t="s">
        <v>209</v>
      </c>
      <c r="AS2" s="230" t="s">
        <v>192</v>
      </c>
      <c r="AT2" s="230" t="s">
        <v>210</v>
      </c>
      <c r="AU2" s="230" t="s">
        <v>193</v>
      </c>
      <c r="AV2" s="230" t="s">
        <v>211</v>
      </c>
      <c r="AW2" s="230" t="s">
        <v>195</v>
      </c>
      <c r="AX2" s="230" t="s">
        <v>212</v>
      </c>
      <c r="AY2" s="230" t="s">
        <v>194</v>
      </c>
      <c r="AZ2" s="230" t="s">
        <v>213</v>
      </c>
      <c r="BA2" s="230" t="s">
        <v>196</v>
      </c>
      <c r="BB2" s="230" t="s">
        <v>214</v>
      </c>
      <c r="BC2" s="230" t="s">
        <v>215</v>
      </c>
    </row>
    <row r="3" spans="1:56" x14ac:dyDescent="0.25">
      <c r="A3" s="124" t="s">
        <v>216</v>
      </c>
      <c r="B3" s="125">
        <v>16</v>
      </c>
      <c r="C3" s="126">
        <f ca="1">A33-2100-6-93-112+6-36-112-112-12-112</f>
        <v>625</v>
      </c>
      <c r="D3" s="127" t="s">
        <v>163</v>
      </c>
      <c r="E3" s="128">
        <f ca="1">F3-TODAY()</f>
        <v>-513</v>
      </c>
      <c r="F3" s="129">
        <v>43799</v>
      </c>
      <c r="G3" s="180" t="s">
        <v>217</v>
      </c>
      <c r="H3" s="157" t="s">
        <v>218</v>
      </c>
      <c r="I3" s="130" t="s">
        <v>219</v>
      </c>
      <c r="J3" s="125"/>
      <c r="K3" s="136">
        <v>1.99</v>
      </c>
      <c r="L3" s="125"/>
      <c r="M3" s="136">
        <v>3.99</v>
      </c>
      <c r="N3" s="132">
        <v>3</v>
      </c>
      <c r="O3" s="133">
        <v>3.99</v>
      </c>
      <c r="P3" s="132">
        <v>5</v>
      </c>
      <c r="Q3" s="253">
        <v>5.99</v>
      </c>
      <c r="R3" s="132">
        <v>4</v>
      </c>
      <c r="S3" s="133">
        <v>4.99</v>
      </c>
      <c r="T3" s="132">
        <v>6</v>
      </c>
      <c r="U3" s="253">
        <v>6.99</v>
      </c>
      <c r="V3" s="125"/>
      <c r="W3" s="125"/>
      <c r="X3" s="137">
        <f>7-(COUNTBLANK(J3)+COUNTBLANK(L3)+COUNTBLANK(N3)+COUNTBLANK(P3)+COUNTBLANK(R3)+COUNTBLANK(T3)+COUNTBLANK(V3))</f>
        <v>4</v>
      </c>
      <c r="Y3" s="130">
        <f>COUNT(W3,S3,U3,Q3,O3,M3,K3)</f>
        <v>6</v>
      </c>
      <c r="Z3" s="130"/>
      <c r="AA3" s="130"/>
      <c r="AB3" s="130"/>
      <c r="AC3" s="138"/>
      <c r="AD3" s="138"/>
      <c r="AE3" s="138"/>
      <c r="AF3" s="138"/>
      <c r="AG3" s="138"/>
      <c r="AH3" s="138">
        <v>7.5</v>
      </c>
      <c r="AI3" s="138" t="s">
        <v>220</v>
      </c>
      <c r="AK3" s="209" t="s">
        <v>221</v>
      </c>
      <c r="AL3" s="209">
        <v>17</v>
      </c>
      <c r="AM3" s="211">
        <v>0</v>
      </c>
      <c r="AN3" s="229"/>
      <c r="AO3" s="204"/>
      <c r="AP3" s="204"/>
      <c r="AQ3" s="205">
        <v>4</v>
      </c>
      <c r="AR3" s="205">
        <v>4.99</v>
      </c>
      <c r="AS3" s="205">
        <v>5</v>
      </c>
      <c r="AT3" s="206">
        <v>5.99</v>
      </c>
      <c r="AU3" s="205">
        <v>2</v>
      </c>
      <c r="AV3" s="205">
        <v>2.99</v>
      </c>
      <c r="AW3" s="204"/>
      <c r="AX3" s="207">
        <v>3.99</v>
      </c>
      <c r="AY3" s="205">
        <v>5</v>
      </c>
      <c r="AZ3" s="206">
        <v>5.99</v>
      </c>
      <c r="BA3" s="205">
        <v>0</v>
      </c>
      <c r="BB3" s="205">
        <v>0.99</v>
      </c>
      <c r="BC3" s="208">
        <v>41367</v>
      </c>
    </row>
    <row r="4" spans="1:56" x14ac:dyDescent="0.25">
      <c r="A4" s="139" t="s">
        <v>222</v>
      </c>
      <c r="B4" s="139"/>
      <c r="C4" s="139"/>
      <c r="D4" s="140"/>
      <c r="E4" s="139"/>
      <c r="F4" s="140"/>
      <c r="G4" s="141"/>
      <c r="H4" s="140"/>
      <c r="I4" s="140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  <c r="Y4" s="140"/>
      <c r="Z4" s="140"/>
      <c r="AA4" s="140"/>
      <c r="AB4" s="140"/>
      <c r="AC4" s="142"/>
      <c r="AD4" s="142"/>
      <c r="AE4" s="142"/>
      <c r="AF4" s="142"/>
      <c r="AG4" s="142"/>
      <c r="AH4" s="142"/>
      <c r="AI4" s="141"/>
      <c r="AK4" s="209" t="s">
        <v>223</v>
      </c>
      <c r="AL4" s="209">
        <v>17</v>
      </c>
      <c r="AM4" s="211">
        <v>0</v>
      </c>
      <c r="AN4" s="229"/>
      <c r="AO4" s="204"/>
      <c r="AP4" s="204"/>
      <c r="AQ4" s="207">
        <v>2</v>
      </c>
      <c r="AR4" s="207">
        <v>3.99</v>
      </c>
      <c r="AS4" s="206">
        <v>7</v>
      </c>
      <c r="AT4" s="206">
        <v>7</v>
      </c>
      <c r="AU4" s="205">
        <v>3</v>
      </c>
      <c r="AV4" s="205">
        <v>3.99</v>
      </c>
      <c r="AW4" s="210">
        <v>3</v>
      </c>
      <c r="AX4" s="210">
        <v>3.99</v>
      </c>
      <c r="AY4" s="205">
        <v>4</v>
      </c>
      <c r="AZ4" s="205">
        <v>4.99</v>
      </c>
      <c r="BA4" s="204"/>
      <c r="BB4" s="204"/>
      <c r="BC4" s="208">
        <v>41371</v>
      </c>
      <c r="BD4" s="3"/>
    </row>
    <row r="5" spans="1:56" x14ac:dyDescent="0.25">
      <c r="A5" s="143" t="s">
        <v>224</v>
      </c>
      <c r="B5" s="143"/>
      <c r="C5" s="143"/>
      <c r="D5" s="144"/>
      <c r="E5" s="143"/>
      <c r="F5" s="145"/>
      <c r="G5" s="146"/>
      <c r="H5" s="145"/>
      <c r="I5" s="145"/>
      <c r="J5" s="147" t="s">
        <v>225</v>
      </c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5"/>
      <c r="Y5" s="145"/>
      <c r="Z5" s="145"/>
      <c r="AA5" s="145"/>
      <c r="AB5" s="145"/>
      <c r="AC5" s="148" t="s">
        <v>226</v>
      </c>
      <c r="AD5" s="148"/>
      <c r="AE5" s="148"/>
      <c r="AF5" s="148"/>
      <c r="AG5" s="148"/>
      <c r="AH5" s="148"/>
      <c r="AI5" s="149"/>
      <c r="AK5" s="209" t="s">
        <v>227</v>
      </c>
      <c r="AL5" s="209">
        <v>19</v>
      </c>
      <c r="AM5" s="211">
        <v>1709</v>
      </c>
      <c r="AN5" s="229"/>
      <c r="AO5" s="204"/>
      <c r="AP5" s="204"/>
      <c r="AQ5" s="204"/>
      <c r="AR5" s="207">
        <v>2.99</v>
      </c>
      <c r="AS5" s="205">
        <v>6</v>
      </c>
      <c r="AT5" s="206">
        <v>6.1</v>
      </c>
      <c r="AU5" s="204"/>
      <c r="AV5" s="207">
        <v>2.99</v>
      </c>
      <c r="AW5" s="207">
        <v>2</v>
      </c>
      <c r="AX5" s="207">
        <v>3.99</v>
      </c>
      <c r="AY5" s="205">
        <v>3</v>
      </c>
      <c r="AZ5" s="205">
        <v>3.99</v>
      </c>
      <c r="BA5" s="205">
        <v>1</v>
      </c>
      <c r="BB5" s="205">
        <v>1.99</v>
      </c>
      <c r="BC5" s="208">
        <v>41391</v>
      </c>
      <c r="BD5" s="3"/>
    </row>
    <row r="6" spans="1:56" x14ac:dyDescent="0.25">
      <c r="A6" s="150" t="s">
        <v>183</v>
      </c>
      <c r="B6" s="150" t="s">
        <v>184</v>
      </c>
      <c r="C6" s="150" t="s">
        <v>113</v>
      </c>
      <c r="D6" s="151" t="s">
        <v>185</v>
      </c>
      <c r="E6" s="150" t="s">
        <v>186</v>
      </c>
      <c r="F6" s="151" t="str">
        <f>F2</f>
        <v>Promoción</v>
      </c>
      <c r="G6" s="152" t="str">
        <f>G2</f>
        <v>Gen</v>
      </c>
      <c r="H6" s="151" t="str">
        <f>H2</f>
        <v>u20</v>
      </c>
      <c r="I6" s="151" t="str">
        <f>I2</f>
        <v>Lid</v>
      </c>
      <c r="J6" s="150" t="s">
        <v>153</v>
      </c>
      <c r="K6" s="150" t="str">
        <f t="shared" ref="K6:Z6" si="0">K2</f>
        <v>Pot</v>
      </c>
      <c r="L6" s="153" t="str">
        <f t="shared" si="0"/>
        <v>DEF</v>
      </c>
      <c r="M6" s="153" t="str">
        <f t="shared" si="0"/>
        <v>Pot</v>
      </c>
      <c r="N6" s="150" t="str">
        <f t="shared" si="0"/>
        <v>JUG</v>
      </c>
      <c r="O6" s="150" t="str">
        <f t="shared" si="0"/>
        <v>Pot</v>
      </c>
      <c r="P6" s="153" t="str">
        <f t="shared" si="0"/>
        <v>LAT</v>
      </c>
      <c r="Q6" s="153" t="str">
        <f t="shared" si="0"/>
        <v>Pot</v>
      </c>
      <c r="R6" s="150" t="str">
        <f t="shared" si="0"/>
        <v>PAS</v>
      </c>
      <c r="S6" s="150" t="str">
        <f t="shared" si="0"/>
        <v>Pot</v>
      </c>
      <c r="T6" s="153" t="str">
        <f t="shared" si="0"/>
        <v>ANO</v>
      </c>
      <c r="U6" s="153" t="str">
        <f t="shared" si="0"/>
        <v>Pot</v>
      </c>
      <c r="V6" s="150" t="str">
        <f t="shared" si="0"/>
        <v>BP</v>
      </c>
      <c r="W6" s="150" t="str">
        <f t="shared" si="0"/>
        <v>Pot</v>
      </c>
      <c r="X6" s="154" t="str">
        <f t="shared" si="0"/>
        <v>HAB</v>
      </c>
      <c r="Y6" s="154" t="str">
        <f t="shared" si="0"/>
        <v>POT</v>
      </c>
      <c r="Z6" s="151" t="str">
        <f t="shared" si="0"/>
        <v>Cap</v>
      </c>
      <c r="AA6" s="151" t="s">
        <v>196</v>
      </c>
      <c r="AB6" s="151" t="str">
        <f t="shared" ref="AB6:AI6" si="1">AB2</f>
        <v>HTMS</v>
      </c>
      <c r="AC6" s="155" t="str">
        <f t="shared" si="1"/>
        <v>PR</v>
      </c>
      <c r="AD6" s="155" t="str">
        <f t="shared" si="1"/>
        <v>DL</v>
      </c>
      <c r="AE6" s="155" t="str">
        <f t="shared" si="1"/>
        <v>DC</v>
      </c>
      <c r="AF6" s="155" t="str">
        <f t="shared" si="1"/>
        <v>In</v>
      </c>
      <c r="AG6" s="155" t="str">
        <f t="shared" si="1"/>
        <v>ExO</v>
      </c>
      <c r="AH6" s="155" t="str">
        <f t="shared" si="1"/>
        <v>DV</v>
      </c>
      <c r="AI6" s="152" t="str">
        <f t="shared" si="1"/>
        <v>Atributs</v>
      </c>
      <c r="AK6" s="209" t="s">
        <v>228</v>
      </c>
      <c r="AL6" s="209">
        <v>17</v>
      </c>
      <c r="AM6" s="211">
        <v>1799</v>
      </c>
      <c r="AN6" s="229"/>
      <c r="AO6" s="212"/>
      <c r="AP6" s="213">
        <v>1.99</v>
      </c>
      <c r="AQ6" s="212"/>
      <c r="AR6" s="213">
        <v>2.99</v>
      </c>
      <c r="AS6" s="214">
        <v>4</v>
      </c>
      <c r="AT6" s="214">
        <v>4.99</v>
      </c>
      <c r="AU6" s="214">
        <v>5</v>
      </c>
      <c r="AV6" s="215">
        <v>5.99</v>
      </c>
      <c r="AW6" s="216">
        <v>3</v>
      </c>
      <c r="AX6" s="216">
        <v>3.99</v>
      </c>
      <c r="AY6" s="214">
        <v>3</v>
      </c>
      <c r="AZ6" s="214">
        <v>3.99</v>
      </c>
      <c r="BA6" s="212"/>
      <c r="BB6" s="212"/>
      <c r="BC6" s="232"/>
      <c r="BD6" s="3"/>
    </row>
    <row r="7" spans="1:56" x14ac:dyDescent="0.25">
      <c r="A7" s="161" t="s">
        <v>229</v>
      </c>
      <c r="B7" s="125">
        <v>16</v>
      </c>
      <c r="C7" s="126">
        <f ca="1">A33-2700+25</f>
        <v>639</v>
      </c>
      <c r="D7" s="127"/>
      <c r="E7" s="128">
        <f ca="1">F7-TODAY()</f>
        <v>-485</v>
      </c>
      <c r="F7" s="129">
        <v>43827</v>
      </c>
      <c r="G7" s="130"/>
      <c r="H7" s="130"/>
      <c r="I7" s="130" t="s">
        <v>219</v>
      </c>
      <c r="J7" s="125"/>
      <c r="K7" s="136">
        <v>1.99</v>
      </c>
      <c r="L7" s="125"/>
      <c r="M7" s="136">
        <v>2.99</v>
      </c>
      <c r="N7" s="158">
        <v>4</v>
      </c>
      <c r="O7" s="160">
        <v>6.99</v>
      </c>
      <c r="P7" s="125"/>
      <c r="Q7" s="136">
        <v>4.99</v>
      </c>
      <c r="R7" s="158">
        <v>2</v>
      </c>
      <c r="S7" s="136">
        <v>3.99</v>
      </c>
      <c r="T7" s="125"/>
      <c r="U7" s="136">
        <v>3.99</v>
      </c>
      <c r="V7" s="125"/>
      <c r="W7" s="136">
        <v>4.99</v>
      </c>
      <c r="X7" s="137">
        <f>7-(COUNTBLANK(J7)+COUNTBLANK(L7)+COUNTBLANK(N7)+COUNTBLANK(P7)+COUNTBLANK(R7)+COUNTBLANK(T7)+COUNTBLANK(V7))</f>
        <v>2</v>
      </c>
      <c r="Y7" s="130">
        <f>COUNT(W7,S7,U7,Q7,O7,M7,K7)</f>
        <v>7</v>
      </c>
      <c r="Z7" s="130"/>
      <c r="AA7" s="130"/>
      <c r="AB7" s="130"/>
      <c r="AC7" s="138"/>
      <c r="AD7" s="138"/>
      <c r="AE7" s="138"/>
      <c r="AF7" s="138"/>
      <c r="AG7" s="138"/>
      <c r="AH7" s="138"/>
      <c r="AI7" s="138" t="s">
        <v>230</v>
      </c>
      <c r="AK7" s="209" t="s">
        <v>231</v>
      </c>
      <c r="AL7" s="209">
        <v>17</v>
      </c>
      <c r="AM7" s="211">
        <v>1723</v>
      </c>
      <c r="AN7" s="229" t="s">
        <v>232</v>
      </c>
      <c r="AO7" s="212"/>
      <c r="AP7" s="212"/>
      <c r="AQ7" s="214">
        <v>2</v>
      </c>
      <c r="AR7" s="214">
        <v>2.99</v>
      </c>
      <c r="AS7" s="214">
        <v>5</v>
      </c>
      <c r="AT7" s="215">
        <v>5.99</v>
      </c>
      <c r="AU7" s="214">
        <v>5</v>
      </c>
      <c r="AV7" s="215">
        <v>5.99</v>
      </c>
      <c r="AW7" s="212"/>
      <c r="AX7" s="213">
        <v>2.99</v>
      </c>
      <c r="AY7" s="214">
        <v>5</v>
      </c>
      <c r="AZ7" s="215">
        <v>5.99</v>
      </c>
      <c r="BA7" s="212"/>
      <c r="BB7" s="213">
        <v>3.99</v>
      </c>
      <c r="BC7" s="232"/>
      <c r="BD7" s="3"/>
    </row>
    <row r="8" spans="1:56" x14ac:dyDescent="0.25">
      <c r="A8" s="124" t="s">
        <v>233</v>
      </c>
      <c r="B8" s="125">
        <v>16</v>
      </c>
      <c r="C8" s="126">
        <f ca="1">A32-43375-230-112</f>
        <v>595</v>
      </c>
      <c r="D8" s="127"/>
      <c r="E8" s="128">
        <f ca="1">F8-TODAY()</f>
        <v>-483</v>
      </c>
      <c r="F8" s="129">
        <v>43829</v>
      </c>
      <c r="G8" s="180" t="s">
        <v>217</v>
      </c>
      <c r="H8" s="130" t="s">
        <v>218</v>
      </c>
      <c r="I8" s="130" t="s">
        <v>219</v>
      </c>
      <c r="J8" s="125"/>
      <c r="K8" s="125"/>
      <c r="L8" s="125"/>
      <c r="M8" s="136">
        <v>2.99</v>
      </c>
      <c r="N8" s="125"/>
      <c r="O8" s="136">
        <v>2.99</v>
      </c>
      <c r="P8" s="158">
        <v>3</v>
      </c>
      <c r="Q8" s="160">
        <v>6.99</v>
      </c>
      <c r="R8" s="304">
        <v>5</v>
      </c>
      <c r="S8" s="253">
        <v>5.99</v>
      </c>
      <c r="T8" s="158">
        <v>3</v>
      </c>
      <c r="U8" s="159">
        <v>5.99</v>
      </c>
      <c r="V8" s="125"/>
      <c r="W8" s="125"/>
      <c r="X8" s="137">
        <f>7-(COUNTBLANK(J8)+COUNTBLANK(L8)+COUNTBLANK(N8)+COUNTBLANK(P8)+COUNTBLANK(R8)+COUNTBLANK(T8)+COUNTBLANK(V8))</f>
        <v>3</v>
      </c>
      <c r="Y8" s="130">
        <f>COUNT(W8,S8,U8,Q8,O8,M8,K8)</f>
        <v>5</v>
      </c>
      <c r="Z8" s="130"/>
      <c r="AA8" s="130"/>
      <c r="AB8" s="130"/>
      <c r="AC8" s="138"/>
      <c r="AD8" s="138"/>
      <c r="AE8" s="138"/>
      <c r="AF8" s="138"/>
      <c r="AG8" s="138"/>
      <c r="AH8" s="138">
        <v>6.5</v>
      </c>
      <c r="AI8" s="138" t="s">
        <v>220</v>
      </c>
      <c r="AK8" s="209" t="s">
        <v>234</v>
      </c>
      <c r="AL8" s="209">
        <v>17</v>
      </c>
      <c r="AM8" s="211">
        <v>1795</v>
      </c>
      <c r="AN8" s="229"/>
      <c r="AO8" s="212"/>
      <c r="AP8" s="212"/>
      <c r="AQ8" s="214">
        <v>4</v>
      </c>
      <c r="AR8" s="214">
        <v>4.99</v>
      </c>
      <c r="AS8" s="216">
        <v>6</v>
      </c>
      <c r="AT8" s="217">
        <v>6.99</v>
      </c>
      <c r="AU8" s="216">
        <v>3</v>
      </c>
      <c r="AV8" s="216">
        <v>3.99</v>
      </c>
      <c r="AW8" s="212"/>
      <c r="AX8" s="212"/>
      <c r="AY8" s="214">
        <v>2</v>
      </c>
      <c r="AZ8" s="214">
        <v>2.99</v>
      </c>
      <c r="BA8" s="212"/>
      <c r="BB8" s="218"/>
      <c r="BC8" s="232"/>
      <c r="BD8" s="3"/>
    </row>
    <row r="9" spans="1:56" x14ac:dyDescent="0.25">
      <c r="A9" s="163" t="s">
        <v>235</v>
      </c>
      <c r="B9" s="163"/>
      <c r="C9" s="163"/>
      <c r="D9" s="164"/>
      <c r="E9" s="163"/>
      <c r="F9" s="164"/>
      <c r="G9" s="165"/>
      <c r="H9" s="164"/>
      <c r="I9" s="164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64"/>
      <c r="Z9" s="164"/>
      <c r="AA9" s="164"/>
      <c r="AB9" s="164"/>
      <c r="AC9" s="166"/>
      <c r="AD9" s="166"/>
      <c r="AE9" s="166"/>
      <c r="AF9" s="166"/>
      <c r="AG9" s="166"/>
      <c r="AH9" s="166"/>
      <c r="AI9" s="165"/>
      <c r="AK9" s="209" t="s">
        <v>236</v>
      </c>
      <c r="AL9" s="209">
        <v>17</v>
      </c>
      <c r="AM9" s="211">
        <v>1729</v>
      </c>
      <c r="AN9" s="229" t="s">
        <v>190</v>
      </c>
      <c r="AO9" s="212"/>
      <c r="AP9" s="212"/>
      <c r="AQ9" s="214">
        <v>6</v>
      </c>
      <c r="AR9" s="215">
        <v>6.99</v>
      </c>
      <c r="AS9" s="214">
        <v>5</v>
      </c>
      <c r="AT9" s="215">
        <v>5.99</v>
      </c>
      <c r="AU9" s="214">
        <v>3</v>
      </c>
      <c r="AV9" s="214">
        <v>3.99</v>
      </c>
      <c r="AW9" s="212"/>
      <c r="AX9" s="213">
        <v>2.99</v>
      </c>
      <c r="AY9" s="212"/>
      <c r="AZ9" s="213">
        <v>2.99</v>
      </c>
      <c r="BA9" s="212"/>
      <c r="BB9" s="213">
        <v>3.99</v>
      </c>
      <c r="BC9" s="232"/>
      <c r="BD9" s="3"/>
    </row>
    <row r="10" spans="1:56" x14ac:dyDescent="0.25">
      <c r="A10" s="167" t="s">
        <v>224</v>
      </c>
      <c r="B10" s="167"/>
      <c r="C10" s="167"/>
      <c r="D10" s="168"/>
      <c r="E10" s="167"/>
      <c r="F10" s="169"/>
      <c r="G10" s="170"/>
      <c r="H10" s="169"/>
      <c r="I10" s="169"/>
      <c r="J10" s="171" t="s">
        <v>225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69"/>
      <c r="Y10" s="169"/>
      <c r="Z10" s="169"/>
      <c r="AA10" s="169"/>
      <c r="AB10" s="169"/>
      <c r="AC10" s="172" t="s">
        <v>226</v>
      </c>
      <c r="AD10" s="172"/>
      <c r="AE10" s="172"/>
      <c r="AF10" s="172"/>
      <c r="AG10" s="172"/>
      <c r="AH10" s="172"/>
      <c r="AI10" s="173"/>
      <c r="AK10" s="209" t="s">
        <v>237</v>
      </c>
      <c r="AL10" s="209">
        <v>17</v>
      </c>
      <c r="AM10" s="211">
        <v>1764</v>
      </c>
      <c r="AN10" s="229" t="s">
        <v>238</v>
      </c>
      <c r="AO10" s="212"/>
      <c r="AP10" s="212"/>
      <c r="AQ10" s="214">
        <v>3</v>
      </c>
      <c r="AR10" s="214">
        <v>3.99</v>
      </c>
      <c r="AS10" s="216">
        <v>5</v>
      </c>
      <c r="AT10" s="217">
        <v>5.99</v>
      </c>
      <c r="AU10" s="214">
        <v>2</v>
      </c>
      <c r="AV10" s="214">
        <v>2.99</v>
      </c>
      <c r="AW10" s="212"/>
      <c r="AX10" s="213">
        <v>3.99</v>
      </c>
      <c r="AY10" s="216">
        <v>4</v>
      </c>
      <c r="AZ10" s="216">
        <v>4.99</v>
      </c>
      <c r="BA10" s="212"/>
      <c r="BB10" s="212"/>
      <c r="BC10" s="221"/>
      <c r="BD10" s="3"/>
    </row>
    <row r="11" spans="1:56" x14ac:dyDescent="0.25">
      <c r="A11" s="174" t="s">
        <v>183</v>
      </c>
      <c r="B11" s="174" t="s">
        <v>184</v>
      </c>
      <c r="C11" s="174" t="s">
        <v>113</v>
      </c>
      <c r="D11" s="175" t="s">
        <v>185</v>
      </c>
      <c r="E11" s="174" t="s">
        <v>186</v>
      </c>
      <c r="F11" s="175" t="str">
        <f>F6</f>
        <v>Promoción</v>
      </c>
      <c r="G11" s="176" t="str">
        <f>G6</f>
        <v>Gen</v>
      </c>
      <c r="H11" s="175" t="str">
        <f>H6</f>
        <v>u20</v>
      </c>
      <c r="I11" s="175" t="str">
        <f>I6</f>
        <v>Lid</v>
      </c>
      <c r="J11" s="174" t="s">
        <v>153</v>
      </c>
      <c r="K11" s="174" t="str">
        <f t="shared" ref="K11:Z11" si="2">K6</f>
        <v>Pot</v>
      </c>
      <c r="L11" s="177" t="str">
        <f t="shared" si="2"/>
        <v>DEF</v>
      </c>
      <c r="M11" s="177" t="str">
        <f t="shared" si="2"/>
        <v>Pot</v>
      </c>
      <c r="N11" s="174" t="str">
        <f t="shared" si="2"/>
        <v>JUG</v>
      </c>
      <c r="O11" s="174" t="str">
        <f t="shared" si="2"/>
        <v>Pot</v>
      </c>
      <c r="P11" s="177" t="str">
        <f t="shared" si="2"/>
        <v>LAT</v>
      </c>
      <c r="Q11" s="177" t="str">
        <f t="shared" si="2"/>
        <v>Pot</v>
      </c>
      <c r="R11" s="174" t="str">
        <f t="shared" si="2"/>
        <v>PAS</v>
      </c>
      <c r="S11" s="174" t="str">
        <f t="shared" si="2"/>
        <v>Pot</v>
      </c>
      <c r="T11" s="177" t="str">
        <f t="shared" si="2"/>
        <v>ANO</v>
      </c>
      <c r="U11" s="177" t="str">
        <f t="shared" si="2"/>
        <v>Pot</v>
      </c>
      <c r="V11" s="174" t="str">
        <f t="shared" si="2"/>
        <v>BP</v>
      </c>
      <c r="W11" s="174" t="str">
        <f t="shared" si="2"/>
        <v>Pot</v>
      </c>
      <c r="X11" s="178" t="str">
        <f t="shared" si="2"/>
        <v>HAB</v>
      </c>
      <c r="Y11" s="178" t="str">
        <f t="shared" si="2"/>
        <v>POT</v>
      </c>
      <c r="Z11" s="175" t="str">
        <f t="shared" si="2"/>
        <v>Cap</v>
      </c>
      <c r="AA11" s="175" t="s">
        <v>196</v>
      </c>
      <c r="AB11" s="175" t="str">
        <f t="shared" ref="AB11:AI11" si="3">AB6</f>
        <v>HTMS</v>
      </c>
      <c r="AC11" s="179" t="str">
        <f t="shared" si="3"/>
        <v>PR</v>
      </c>
      <c r="AD11" s="179" t="str">
        <f t="shared" si="3"/>
        <v>DL</v>
      </c>
      <c r="AE11" s="179" t="str">
        <f t="shared" si="3"/>
        <v>DC</v>
      </c>
      <c r="AF11" s="179" t="str">
        <f t="shared" si="3"/>
        <v>In</v>
      </c>
      <c r="AG11" s="179" t="str">
        <f t="shared" si="3"/>
        <v>ExO</v>
      </c>
      <c r="AH11" s="179" t="str">
        <f t="shared" si="3"/>
        <v>DV</v>
      </c>
      <c r="AI11" s="176" t="str">
        <f t="shared" si="3"/>
        <v>Atributs</v>
      </c>
      <c r="AK11" s="209" t="s">
        <v>239</v>
      </c>
      <c r="AL11" s="209">
        <v>17</v>
      </c>
      <c r="AM11" s="211">
        <v>1789</v>
      </c>
      <c r="AN11" s="229" t="s">
        <v>240</v>
      </c>
      <c r="AO11" s="212"/>
      <c r="AP11" s="213">
        <v>1.99</v>
      </c>
      <c r="AQ11" s="212"/>
      <c r="AR11" s="213">
        <v>3.99</v>
      </c>
      <c r="AS11" s="216">
        <v>5</v>
      </c>
      <c r="AT11" s="217">
        <v>5.99</v>
      </c>
      <c r="AU11" s="214">
        <v>4</v>
      </c>
      <c r="AV11" s="214">
        <v>4.99</v>
      </c>
      <c r="AW11" s="212"/>
      <c r="AX11" s="213">
        <v>3.99</v>
      </c>
      <c r="AY11" s="212"/>
      <c r="AZ11" s="213">
        <v>2.99</v>
      </c>
      <c r="BA11" s="212"/>
      <c r="BB11" s="213">
        <v>3.99</v>
      </c>
      <c r="BC11" s="232"/>
      <c r="BD11" s="3"/>
    </row>
    <row r="12" spans="1:56" x14ac:dyDescent="0.25">
      <c r="A12" s="124" t="s">
        <v>241</v>
      </c>
      <c r="B12" s="125">
        <v>16</v>
      </c>
      <c r="C12" s="126">
        <f ca="1">86+A33-2516-112-112</f>
        <v>660</v>
      </c>
      <c r="D12" s="127" t="s">
        <v>163</v>
      </c>
      <c r="E12" s="128">
        <f t="shared" ref="E12:E17" ca="1" si="4">F12-TODAY()</f>
        <v>-548</v>
      </c>
      <c r="F12" s="129">
        <v>43764</v>
      </c>
      <c r="G12" s="162" t="s">
        <v>242</v>
      </c>
      <c r="H12" s="131" t="s">
        <v>243</v>
      </c>
      <c r="I12" s="130" t="s">
        <v>219</v>
      </c>
      <c r="J12" s="130"/>
      <c r="K12" s="136">
        <v>0.99</v>
      </c>
      <c r="L12" s="130"/>
      <c r="M12" s="136">
        <v>3.99</v>
      </c>
      <c r="N12" s="158">
        <v>5</v>
      </c>
      <c r="O12" s="160">
        <v>6.99</v>
      </c>
      <c r="P12" s="132">
        <v>4</v>
      </c>
      <c r="Q12" s="133">
        <v>4.99</v>
      </c>
      <c r="R12" s="134">
        <v>2</v>
      </c>
      <c r="S12" s="135">
        <v>2.99</v>
      </c>
      <c r="T12" s="134">
        <v>2</v>
      </c>
      <c r="U12" s="135">
        <v>2.99</v>
      </c>
      <c r="V12" s="130"/>
      <c r="W12" s="160">
        <v>6.99</v>
      </c>
      <c r="X12" s="137">
        <f t="shared" ref="X12:X17" si="5">7-(COUNTBLANK(J12)+COUNTBLANK(L12)+COUNTBLANK(N12)+COUNTBLANK(P12)+COUNTBLANK(R12)+COUNTBLANK(T12)+COUNTBLANK(V12))</f>
        <v>4</v>
      </c>
      <c r="Y12" s="130">
        <f t="shared" ref="Y12:Y17" si="6">COUNT(W12,S12,U12,Q12,O12,M12,K12)</f>
        <v>7</v>
      </c>
      <c r="Z12" s="130"/>
      <c r="AA12" s="130"/>
      <c r="AB12" s="130"/>
      <c r="AC12" s="138"/>
      <c r="AD12" s="138"/>
      <c r="AE12" s="138"/>
      <c r="AF12" s="138">
        <v>4.5</v>
      </c>
      <c r="AG12" s="138">
        <v>4</v>
      </c>
      <c r="AH12" s="138">
        <v>3.5</v>
      </c>
      <c r="AI12" s="138" t="s">
        <v>220</v>
      </c>
      <c r="AK12" s="209" t="s">
        <v>244</v>
      </c>
      <c r="AL12" s="209">
        <v>17</v>
      </c>
      <c r="AM12" s="211">
        <v>0</v>
      </c>
      <c r="AN12" s="229" t="s">
        <v>240</v>
      </c>
      <c r="AO12" s="204"/>
      <c r="AP12" s="207">
        <v>1.99</v>
      </c>
      <c r="AQ12" s="204"/>
      <c r="AR12" s="207">
        <v>2.99</v>
      </c>
      <c r="AS12" s="205">
        <v>4</v>
      </c>
      <c r="AT12" s="205">
        <v>4.99</v>
      </c>
      <c r="AU12" s="210">
        <v>5</v>
      </c>
      <c r="AV12" s="231">
        <v>5.99</v>
      </c>
      <c r="AW12" s="204"/>
      <c r="AX12" s="207">
        <v>1.99</v>
      </c>
      <c r="AY12" s="210">
        <v>5</v>
      </c>
      <c r="AZ12" s="231">
        <v>5.99</v>
      </c>
      <c r="BA12" s="204"/>
      <c r="BB12" s="204"/>
      <c r="BC12" s="208">
        <v>41412</v>
      </c>
      <c r="BD12" s="3"/>
    </row>
    <row r="13" spans="1:56" x14ac:dyDescent="0.25">
      <c r="A13" s="124" t="s">
        <v>245</v>
      </c>
      <c r="B13" s="125">
        <v>16</v>
      </c>
      <c r="C13" s="126">
        <f ca="1">A32-43400+6-112-110-112</f>
        <v>584</v>
      </c>
      <c r="D13" s="127" t="s">
        <v>163</v>
      </c>
      <c r="E13" s="128">
        <f t="shared" ca="1" si="4"/>
        <v>-472</v>
      </c>
      <c r="F13" s="129">
        <v>43840</v>
      </c>
      <c r="G13" s="162" t="s">
        <v>242</v>
      </c>
      <c r="H13" s="157" t="s">
        <v>218</v>
      </c>
      <c r="I13" s="130" t="s">
        <v>219</v>
      </c>
      <c r="J13" s="125"/>
      <c r="K13" s="136">
        <v>1.99</v>
      </c>
      <c r="L13" s="125"/>
      <c r="M13" s="136">
        <v>4.99</v>
      </c>
      <c r="N13" s="132">
        <v>3</v>
      </c>
      <c r="O13" s="133">
        <v>3.99</v>
      </c>
      <c r="P13" s="158">
        <v>3</v>
      </c>
      <c r="Q13" s="159">
        <v>5.99</v>
      </c>
      <c r="R13" s="134">
        <v>3</v>
      </c>
      <c r="S13" s="135">
        <v>3.99</v>
      </c>
      <c r="T13" s="125"/>
      <c r="U13" s="136">
        <v>3.99</v>
      </c>
      <c r="V13" s="125"/>
      <c r="W13" s="125"/>
      <c r="X13" s="137">
        <f t="shared" si="5"/>
        <v>3</v>
      </c>
      <c r="Y13" s="130">
        <f t="shared" si="6"/>
        <v>6</v>
      </c>
      <c r="Z13" s="130"/>
      <c r="AA13" s="130"/>
      <c r="AB13" s="130"/>
      <c r="AC13" s="138"/>
      <c r="AD13" s="138"/>
      <c r="AE13" s="138"/>
      <c r="AF13" s="138"/>
      <c r="AG13" s="138">
        <v>5</v>
      </c>
      <c r="AH13" s="138">
        <v>5.5</v>
      </c>
      <c r="AI13" s="138" t="s">
        <v>220</v>
      </c>
      <c r="AK13" s="209" t="s">
        <v>246</v>
      </c>
      <c r="AL13" s="209">
        <v>18</v>
      </c>
      <c r="AM13" s="211">
        <v>1781</v>
      </c>
      <c r="AN13" s="229"/>
      <c r="AO13" s="212"/>
      <c r="AP13" s="212"/>
      <c r="AQ13" s="216">
        <v>6</v>
      </c>
      <c r="AR13" s="217">
        <v>6.99</v>
      </c>
      <c r="AS13" s="214">
        <v>3</v>
      </c>
      <c r="AT13" s="214">
        <v>3.99</v>
      </c>
      <c r="AU13" s="216">
        <v>5</v>
      </c>
      <c r="AV13" s="217">
        <v>5.99</v>
      </c>
      <c r="AW13" s="213">
        <v>4</v>
      </c>
      <c r="AX13" s="219">
        <v>5.99</v>
      </c>
      <c r="AY13" s="212"/>
      <c r="AZ13" s="213">
        <v>3.99</v>
      </c>
      <c r="BA13" s="212"/>
      <c r="BB13" s="212"/>
      <c r="BC13" s="232"/>
      <c r="BD13" s="3"/>
    </row>
    <row r="14" spans="1:56" x14ac:dyDescent="0.25">
      <c r="A14" s="161" t="s">
        <v>247</v>
      </c>
      <c r="B14" s="125">
        <v>15</v>
      </c>
      <c r="C14" s="126">
        <f ca="1">-2679+A33</f>
        <v>635</v>
      </c>
      <c r="D14" s="127"/>
      <c r="E14" s="128">
        <f t="shared" ca="1" si="4"/>
        <v>-411</v>
      </c>
      <c r="F14" s="129">
        <v>43901</v>
      </c>
      <c r="G14" s="162" t="s">
        <v>242</v>
      </c>
      <c r="H14" s="131" t="s">
        <v>248</v>
      </c>
      <c r="I14" s="130" t="s">
        <v>219</v>
      </c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32">
        <v>3</v>
      </c>
      <c r="U14" s="133">
        <v>3.99</v>
      </c>
      <c r="V14" s="125"/>
      <c r="W14" s="160">
        <v>6.99</v>
      </c>
      <c r="X14" s="137">
        <f t="shared" si="5"/>
        <v>1</v>
      </c>
      <c r="Y14" s="130">
        <f t="shared" si="6"/>
        <v>2</v>
      </c>
      <c r="Z14" s="130"/>
      <c r="AA14" s="130"/>
      <c r="AB14" s="130"/>
      <c r="AC14" s="138"/>
      <c r="AD14" s="138"/>
      <c r="AE14" s="138"/>
      <c r="AF14" s="138"/>
      <c r="AG14" s="138"/>
      <c r="AH14" s="138"/>
      <c r="AI14" s="138"/>
      <c r="AK14" s="209" t="s">
        <v>249</v>
      </c>
      <c r="AL14" s="209">
        <v>16</v>
      </c>
      <c r="AM14" s="211">
        <v>1807</v>
      </c>
      <c r="AN14" s="229" t="s">
        <v>240</v>
      </c>
      <c r="AO14" s="212"/>
      <c r="AP14" s="212"/>
      <c r="AQ14" s="220">
        <v>3</v>
      </c>
      <c r="AR14" s="214">
        <v>3.99</v>
      </c>
      <c r="AS14" s="216">
        <v>5</v>
      </c>
      <c r="AT14" s="217">
        <v>5.99</v>
      </c>
      <c r="AU14" s="214">
        <v>7</v>
      </c>
      <c r="AV14" s="215">
        <v>7</v>
      </c>
      <c r="AW14" s="212"/>
      <c r="AX14" s="213">
        <v>1.99</v>
      </c>
      <c r="AY14" s="216">
        <v>3</v>
      </c>
      <c r="AZ14" s="216">
        <v>3.99</v>
      </c>
      <c r="BA14" s="212"/>
      <c r="BB14" s="212"/>
      <c r="BC14" s="221"/>
      <c r="BD14" s="3"/>
    </row>
    <row r="15" spans="1:56" x14ac:dyDescent="0.25">
      <c r="A15" s="124" t="s">
        <v>250</v>
      </c>
      <c r="B15" s="125">
        <v>17</v>
      </c>
      <c r="C15" s="126">
        <f ca="1">A33-2100-6-93-112+2-62-112-112-112</f>
        <v>607</v>
      </c>
      <c r="D15" s="127" t="s">
        <v>175</v>
      </c>
      <c r="E15" s="128">
        <f t="shared" ca="1" si="4"/>
        <v>-607</v>
      </c>
      <c r="F15" s="129">
        <v>43705</v>
      </c>
      <c r="G15" s="180"/>
      <c r="H15" s="131" t="s">
        <v>251</v>
      </c>
      <c r="I15" s="130" t="s">
        <v>219</v>
      </c>
      <c r="J15" s="125"/>
      <c r="K15" s="125"/>
      <c r="L15" s="134">
        <v>3</v>
      </c>
      <c r="M15" s="135">
        <v>3.99</v>
      </c>
      <c r="N15" s="132">
        <v>4</v>
      </c>
      <c r="O15" s="133">
        <v>4.99</v>
      </c>
      <c r="P15" s="125"/>
      <c r="Q15" s="159">
        <v>5.99</v>
      </c>
      <c r="R15" s="134">
        <v>4</v>
      </c>
      <c r="S15" s="135">
        <v>4.99</v>
      </c>
      <c r="T15" s="125"/>
      <c r="U15" s="136">
        <v>3.99</v>
      </c>
      <c r="V15" s="125"/>
      <c r="W15" s="136">
        <v>3.99</v>
      </c>
      <c r="X15" s="137">
        <f t="shared" si="5"/>
        <v>3</v>
      </c>
      <c r="Y15" s="130">
        <f t="shared" si="6"/>
        <v>6</v>
      </c>
      <c r="Z15" s="130"/>
      <c r="AA15" s="130"/>
      <c r="AB15" s="130"/>
      <c r="AC15" s="138"/>
      <c r="AD15" s="138"/>
      <c r="AE15" s="138"/>
      <c r="AF15" s="138"/>
      <c r="AG15" s="138"/>
      <c r="AH15" s="138"/>
      <c r="AI15" s="138" t="s">
        <v>230</v>
      </c>
      <c r="AK15" s="209" t="s">
        <v>252</v>
      </c>
      <c r="AL15" s="209">
        <v>18</v>
      </c>
      <c r="AM15" s="211">
        <v>1778</v>
      </c>
      <c r="AN15" s="229" t="s">
        <v>190</v>
      </c>
      <c r="AO15" s="212"/>
      <c r="AP15" s="213">
        <v>1.99</v>
      </c>
      <c r="AQ15" s="214">
        <v>2</v>
      </c>
      <c r="AR15" s="214">
        <v>2.99</v>
      </c>
      <c r="AS15" s="214">
        <v>1</v>
      </c>
      <c r="AT15" s="214">
        <v>1.99</v>
      </c>
      <c r="AU15" s="212"/>
      <c r="AV15" s="213">
        <v>1.99</v>
      </c>
      <c r="AW15" s="212"/>
      <c r="AX15" s="219">
        <v>5.99</v>
      </c>
      <c r="AY15" s="214">
        <v>4</v>
      </c>
      <c r="AZ15" s="214">
        <v>4.99</v>
      </c>
      <c r="BA15" s="214">
        <v>5</v>
      </c>
      <c r="BB15" s="215">
        <v>5.99</v>
      </c>
      <c r="BC15" s="232"/>
      <c r="BD15" s="3"/>
    </row>
    <row r="16" spans="1:56" x14ac:dyDescent="0.25">
      <c r="A16" s="161" t="s">
        <v>253</v>
      </c>
      <c r="B16" s="125">
        <v>17</v>
      </c>
      <c r="C16" s="126">
        <f ca="1">A33-2100-5-93-112+6-36-112-112-12-112</f>
        <v>626</v>
      </c>
      <c r="D16" s="127"/>
      <c r="E16" s="128">
        <f t="shared" ca="1" si="4"/>
        <v>-626</v>
      </c>
      <c r="F16" s="129">
        <v>43686</v>
      </c>
      <c r="G16" s="130"/>
      <c r="H16" s="131" t="s">
        <v>248</v>
      </c>
      <c r="I16" s="130" t="s">
        <v>219</v>
      </c>
      <c r="J16" s="125"/>
      <c r="K16" s="125"/>
      <c r="L16" s="134">
        <v>4</v>
      </c>
      <c r="M16" s="135">
        <v>4.99</v>
      </c>
      <c r="N16" s="132">
        <v>2</v>
      </c>
      <c r="O16" s="133">
        <v>2.99</v>
      </c>
      <c r="P16" s="125"/>
      <c r="Q16" s="136">
        <v>3.99</v>
      </c>
      <c r="R16" s="125"/>
      <c r="S16" s="136">
        <v>2.99</v>
      </c>
      <c r="T16" s="125"/>
      <c r="U16" s="159">
        <v>5.99</v>
      </c>
      <c r="V16" s="125"/>
      <c r="W16" s="125"/>
      <c r="X16" s="137">
        <f t="shared" si="5"/>
        <v>2</v>
      </c>
      <c r="Y16" s="130">
        <f t="shared" si="6"/>
        <v>5</v>
      </c>
      <c r="Z16" s="130"/>
      <c r="AA16" s="130"/>
      <c r="AB16" s="130"/>
      <c r="AC16" s="138"/>
      <c r="AD16" s="138"/>
      <c r="AE16" s="138"/>
      <c r="AF16" s="138">
        <v>3.5</v>
      </c>
      <c r="AG16" s="138"/>
      <c r="AH16" s="138"/>
      <c r="AI16" s="138" t="s">
        <v>230</v>
      </c>
      <c r="AK16" s="209" t="s">
        <v>254</v>
      </c>
      <c r="AL16" s="209">
        <v>17</v>
      </c>
      <c r="AM16" s="211">
        <v>1683</v>
      </c>
      <c r="AN16" s="229"/>
      <c r="AO16" s="212"/>
      <c r="AP16" s="212"/>
      <c r="AQ16" s="216">
        <v>6</v>
      </c>
      <c r="AR16" s="217">
        <v>6.99</v>
      </c>
      <c r="AS16" s="214">
        <v>1</v>
      </c>
      <c r="AT16" s="214">
        <v>1.99</v>
      </c>
      <c r="AU16" s="214">
        <v>2</v>
      </c>
      <c r="AV16" s="214">
        <v>2.99</v>
      </c>
      <c r="AW16" s="213">
        <v>3</v>
      </c>
      <c r="AX16" s="213">
        <v>4.99</v>
      </c>
      <c r="AY16" s="212"/>
      <c r="AZ16" s="213">
        <v>2.99</v>
      </c>
      <c r="BA16" s="214">
        <v>4</v>
      </c>
      <c r="BB16" s="214">
        <v>4.99</v>
      </c>
      <c r="BC16" s="232"/>
      <c r="BD16" s="3"/>
    </row>
    <row r="17" spans="1:56" x14ac:dyDescent="0.25">
      <c r="A17" s="161" t="s">
        <v>255</v>
      </c>
      <c r="B17" s="125">
        <v>17</v>
      </c>
      <c r="C17" s="126">
        <f ca="1">A33-2100-6-116+4-112-112-6-112-112</f>
        <v>642</v>
      </c>
      <c r="D17" s="127"/>
      <c r="E17" s="128">
        <f t="shared" ca="1" si="4"/>
        <v>-642</v>
      </c>
      <c r="F17" s="129">
        <v>43670</v>
      </c>
      <c r="G17" s="162" t="s">
        <v>242</v>
      </c>
      <c r="H17" s="131" t="s">
        <v>248</v>
      </c>
      <c r="I17" s="130" t="s">
        <v>219</v>
      </c>
      <c r="J17" s="125"/>
      <c r="K17" s="136">
        <v>1.99</v>
      </c>
      <c r="L17" s="125"/>
      <c r="M17" s="136">
        <v>2.99</v>
      </c>
      <c r="N17" s="132">
        <v>4</v>
      </c>
      <c r="O17" s="133">
        <v>4.99</v>
      </c>
      <c r="P17" s="125"/>
      <c r="Q17" s="136">
        <v>4.99</v>
      </c>
      <c r="R17" s="158">
        <v>4</v>
      </c>
      <c r="S17" s="159">
        <v>5.99</v>
      </c>
      <c r="T17" s="134">
        <v>2</v>
      </c>
      <c r="U17" s="135">
        <v>2.99</v>
      </c>
      <c r="V17" s="125"/>
      <c r="W17" s="160">
        <v>6.99</v>
      </c>
      <c r="X17" s="137">
        <f t="shared" si="5"/>
        <v>3</v>
      </c>
      <c r="Y17" s="130">
        <f t="shared" si="6"/>
        <v>7</v>
      </c>
      <c r="Z17" s="130"/>
      <c r="AA17" s="130">
        <v>11</v>
      </c>
      <c r="AB17" s="130"/>
      <c r="AC17" s="138"/>
      <c r="AD17" s="138"/>
      <c r="AE17" s="138"/>
      <c r="AF17" s="138">
        <v>4.5</v>
      </c>
      <c r="AG17" s="138">
        <v>4.5</v>
      </c>
      <c r="AH17" s="138"/>
      <c r="AI17" s="138" t="s">
        <v>230</v>
      </c>
      <c r="AK17" s="209" t="s">
        <v>256</v>
      </c>
      <c r="AL17" s="209">
        <v>16</v>
      </c>
      <c r="AM17" s="211">
        <v>1772</v>
      </c>
      <c r="AN17" s="229"/>
      <c r="AO17" s="212"/>
      <c r="AP17" s="213">
        <v>1.99</v>
      </c>
      <c r="AQ17" s="220">
        <v>3</v>
      </c>
      <c r="AR17" s="214">
        <v>3.99</v>
      </c>
      <c r="AS17" s="216">
        <v>4</v>
      </c>
      <c r="AT17" s="216">
        <v>4.99</v>
      </c>
      <c r="AU17" s="214">
        <v>5</v>
      </c>
      <c r="AV17" s="215">
        <v>5.99</v>
      </c>
      <c r="AW17" s="212"/>
      <c r="AX17" s="213">
        <v>4.99</v>
      </c>
      <c r="AY17" s="214">
        <v>2</v>
      </c>
      <c r="AZ17" s="214">
        <v>2.99</v>
      </c>
      <c r="BA17" s="214">
        <v>4</v>
      </c>
      <c r="BB17" s="214">
        <v>4.99</v>
      </c>
      <c r="BC17" s="232"/>
      <c r="BD17" s="3"/>
    </row>
    <row r="18" spans="1:56" x14ac:dyDescent="0.25">
      <c r="A18" s="181" t="s">
        <v>224</v>
      </c>
      <c r="B18" s="181"/>
      <c r="C18" s="181"/>
      <c r="D18" s="182"/>
      <c r="E18" s="181"/>
      <c r="F18" s="183"/>
      <c r="G18" s="184"/>
      <c r="H18" s="183"/>
      <c r="I18" s="183"/>
      <c r="J18" s="185" t="s">
        <v>225</v>
      </c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3"/>
      <c r="Y18" s="183"/>
      <c r="Z18" s="183"/>
      <c r="AA18" s="183"/>
      <c r="AB18" s="183"/>
      <c r="AC18" s="186" t="s">
        <v>226</v>
      </c>
      <c r="AD18" s="186"/>
      <c r="AE18" s="186"/>
      <c r="AF18" s="186"/>
      <c r="AG18" s="186"/>
      <c r="AH18" s="186"/>
      <c r="AI18" s="187"/>
      <c r="AK18" s="209" t="s">
        <v>257</v>
      </c>
      <c r="AL18" s="209">
        <v>17</v>
      </c>
      <c r="AM18" s="211">
        <v>1733</v>
      </c>
      <c r="AN18" s="229" t="s">
        <v>258</v>
      </c>
      <c r="AO18" s="212"/>
      <c r="AP18" s="213">
        <v>1.99</v>
      </c>
      <c r="AQ18" s="216">
        <v>4</v>
      </c>
      <c r="AR18" s="216">
        <v>4.99</v>
      </c>
      <c r="AS18" s="216">
        <v>3</v>
      </c>
      <c r="AT18" s="216">
        <v>3.99</v>
      </c>
      <c r="AU18" s="216">
        <v>6</v>
      </c>
      <c r="AV18" s="217">
        <v>6.99</v>
      </c>
      <c r="AW18" s="212"/>
      <c r="AX18" s="213">
        <v>4.99</v>
      </c>
      <c r="AY18" s="212"/>
      <c r="AZ18" s="213">
        <v>2.99</v>
      </c>
      <c r="BA18" s="212"/>
      <c r="BB18" s="213">
        <v>4.99</v>
      </c>
      <c r="BC18" s="232"/>
      <c r="BD18" s="3"/>
    </row>
    <row r="19" spans="1:56" x14ac:dyDescent="0.25">
      <c r="A19" s="188" t="s">
        <v>183</v>
      </c>
      <c r="B19" s="188" t="s">
        <v>184</v>
      </c>
      <c r="C19" s="188" t="s">
        <v>113</v>
      </c>
      <c r="D19" s="189" t="s">
        <v>185</v>
      </c>
      <c r="E19" s="188" t="s">
        <v>186</v>
      </c>
      <c r="F19" s="189" t="str">
        <f>F11</f>
        <v>Promoción</v>
      </c>
      <c r="G19" s="190" t="str">
        <f>G11</f>
        <v>Gen</v>
      </c>
      <c r="H19" s="189" t="str">
        <f>H11</f>
        <v>u20</v>
      </c>
      <c r="I19" s="189" t="str">
        <f>I11</f>
        <v>Lid</v>
      </c>
      <c r="J19" s="188" t="s">
        <v>153</v>
      </c>
      <c r="K19" s="188" t="str">
        <f t="shared" ref="K19:Z19" si="7">K11</f>
        <v>Pot</v>
      </c>
      <c r="L19" s="191" t="str">
        <f t="shared" si="7"/>
        <v>DEF</v>
      </c>
      <c r="M19" s="191" t="str">
        <f t="shared" si="7"/>
        <v>Pot</v>
      </c>
      <c r="N19" s="188" t="str">
        <f t="shared" si="7"/>
        <v>JUG</v>
      </c>
      <c r="O19" s="188" t="str">
        <f t="shared" si="7"/>
        <v>Pot</v>
      </c>
      <c r="P19" s="191" t="str">
        <f t="shared" si="7"/>
        <v>LAT</v>
      </c>
      <c r="Q19" s="191" t="str">
        <f t="shared" si="7"/>
        <v>Pot</v>
      </c>
      <c r="R19" s="188" t="str">
        <f t="shared" si="7"/>
        <v>PAS</v>
      </c>
      <c r="S19" s="188" t="str">
        <f t="shared" si="7"/>
        <v>Pot</v>
      </c>
      <c r="T19" s="191" t="str">
        <f t="shared" si="7"/>
        <v>ANO</v>
      </c>
      <c r="U19" s="191" t="str">
        <f t="shared" si="7"/>
        <v>Pot</v>
      </c>
      <c r="V19" s="188" t="str">
        <f t="shared" si="7"/>
        <v>BP</v>
      </c>
      <c r="W19" s="188" t="str">
        <f t="shared" si="7"/>
        <v>Pot</v>
      </c>
      <c r="X19" s="192" t="str">
        <f t="shared" si="7"/>
        <v>HAB</v>
      </c>
      <c r="Y19" s="192" t="str">
        <f t="shared" si="7"/>
        <v>POT</v>
      </c>
      <c r="Z19" s="189" t="str">
        <f t="shared" si="7"/>
        <v>Cap</v>
      </c>
      <c r="AA19" s="189" t="s">
        <v>196</v>
      </c>
      <c r="AB19" s="189" t="str">
        <f t="shared" ref="AB19:AI19" si="8">AB11</f>
        <v>HTMS</v>
      </c>
      <c r="AC19" s="193" t="str">
        <f t="shared" si="8"/>
        <v>PR</v>
      </c>
      <c r="AD19" s="193" t="str">
        <f t="shared" si="8"/>
        <v>DL</v>
      </c>
      <c r="AE19" s="193" t="str">
        <f t="shared" si="8"/>
        <v>DC</v>
      </c>
      <c r="AF19" s="193" t="str">
        <f t="shared" si="8"/>
        <v>In</v>
      </c>
      <c r="AG19" s="193" t="str">
        <f t="shared" si="8"/>
        <v>ExO</v>
      </c>
      <c r="AH19" s="193" t="str">
        <f t="shared" si="8"/>
        <v>DV</v>
      </c>
      <c r="AI19" s="190" t="str">
        <f t="shared" si="8"/>
        <v>Atributs</v>
      </c>
      <c r="AK19" s="209" t="s">
        <v>259</v>
      </c>
      <c r="AL19" s="209">
        <v>17</v>
      </c>
      <c r="AM19" s="211">
        <v>1665</v>
      </c>
      <c r="AN19" s="229"/>
      <c r="AO19" s="216">
        <v>1</v>
      </c>
      <c r="AP19" s="216">
        <v>1.99</v>
      </c>
      <c r="AQ19" s="216">
        <v>2</v>
      </c>
      <c r="AR19" s="216">
        <v>2.99</v>
      </c>
      <c r="AS19" s="214">
        <v>5</v>
      </c>
      <c r="AT19" s="215">
        <v>5.99</v>
      </c>
      <c r="AU19" s="214">
        <v>3</v>
      </c>
      <c r="AV19" s="214">
        <v>3.99</v>
      </c>
      <c r="AW19" s="212"/>
      <c r="AX19" s="213">
        <v>4.99</v>
      </c>
      <c r="AY19" s="214">
        <v>2</v>
      </c>
      <c r="AZ19" s="214">
        <v>2.99</v>
      </c>
      <c r="BA19" s="212"/>
      <c r="BB19" s="213">
        <v>2.99</v>
      </c>
      <c r="BC19" s="232"/>
      <c r="BD19" s="3"/>
    </row>
    <row r="20" spans="1:56" x14ac:dyDescent="0.25">
      <c r="A20" s="124"/>
      <c r="B20" s="125">
        <v>17</v>
      </c>
      <c r="C20" s="156">
        <f ca="1">A33-2100-6-93+31-112-29-112-112-87-112</f>
        <v>582</v>
      </c>
      <c r="D20" s="127"/>
      <c r="E20" s="128">
        <f t="shared" ref="E20:E25" ca="1" si="9">F20-TODAY()</f>
        <v>-44312</v>
      </c>
      <c r="F20" s="129"/>
      <c r="G20" s="157"/>
      <c r="H20" s="130" t="s">
        <v>218</v>
      </c>
      <c r="I20" s="130" t="s">
        <v>219</v>
      </c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37">
        <f t="shared" ref="X20:X28" si="10">7-(COUNTBLANK(J20)+COUNTBLANK(L20)+COUNTBLANK(N20)+COUNTBLANK(P20)+COUNTBLANK(R20)+COUNTBLANK(T20)+COUNTBLANK(V20))</f>
        <v>0</v>
      </c>
      <c r="Y20" s="130">
        <f t="shared" ref="Y20:Y28" si="11">COUNT(W20,S20,U20,Q20,O20,M20,K20)</f>
        <v>0</v>
      </c>
      <c r="Z20" s="130"/>
      <c r="AA20" s="130"/>
      <c r="AB20" s="130"/>
      <c r="AC20" s="138"/>
      <c r="AD20" s="138"/>
      <c r="AE20" s="138"/>
      <c r="AF20" s="138"/>
      <c r="AG20" s="138"/>
      <c r="AH20" s="138"/>
      <c r="AI20" s="138"/>
      <c r="AK20" s="209" t="s">
        <v>260</v>
      </c>
      <c r="AL20" s="209">
        <v>17</v>
      </c>
      <c r="AM20" s="211">
        <v>1585</v>
      </c>
      <c r="AN20" s="229" t="s">
        <v>238</v>
      </c>
      <c r="AO20" s="221"/>
      <c r="AP20" s="221"/>
      <c r="AQ20" s="214">
        <v>4</v>
      </c>
      <c r="AR20" s="214">
        <v>4.99</v>
      </c>
      <c r="AS20" s="221"/>
      <c r="AT20" s="213">
        <v>2.99</v>
      </c>
      <c r="AU20" s="216">
        <v>5</v>
      </c>
      <c r="AV20" s="217">
        <v>5.99</v>
      </c>
      <c r="AW20" s="221"/>
      <c r="AX20" s="213">
        <v>1.99</v>
      </c>
      <c r="AY20" s="221"/>
      <c r="AZ20" s="213">
        <v>3.99</v>
      </c>
      <c r="BA20" s="221"/>
      <c r="BB20" s="213">
        <v>2.99</v>
      </c>
      <c r="BC20" s="221"/>
      <c r="BD20" s="3"/>
    </row>
    <row r="21" spans="1:56" x14ac:dyDescent="0.25">
      <c r="A21" s="161" t="s">
        <v>261</v>
      </c>
      <c r="B21" s="125">
        <v>16</v>
      </c>
      <c r="C21" s="156">
        <f ca="1">A33-2700</f>
        <v>614</v>
      </c>
      <c r="D21" s="127"/>
      <c r="E21" s="128">
        <f t="shared" ca="1" si="9"/>
        <v>-457</v>
      </c>
      <c r="F21" s="129">
        <v>43855</v>
      </c>
      <c r="G21" s="157"/>
      <c r="H21" s="130" t="s">
        <v>218</v>
      </c>
      <c r="I21" s="130" t="s">
        <v>219</v>
      </c>
      <c r="J21" s="125"/>
      <c r="K21" s="125"/>
      <c r="L21" s="125"/>
      <c r="M21" s="125"/>
      <c r="N21" s="125"/>
      <c r="O21" s="125"/>
      <c r="P21" s="158">
        <v>1</v>
      </c>
      <c r="Q21" s="125"/>
      <c r="R21" s="125"/>
      <c r="S21" s="125"/>
      <c r="T21" s="125"/>
      <c r="U21" s="159">
        <v>5.99</v>
      </c>
      <c r="V21" s="125"/>
      <c r="W21" s="125"/>
      <c r="X21" s="137">
        <f t="shared" si="10"/>
        <v>1</v>
      </c>
      <c r="Y21" s="130">
        <f t="shared" si="11"/>
        <v>1</v>
      </c>
      <c r="Z21" s="130"/>
      <c r="AA21" s="130"/>
      <c r="AB21" s="130"/>
      <c r="AC21" s="138"/>
      <c r="AD21" s="138"/>
      <c r="AE21" s="138"/>
      <c r="AF21" s="138"/>
      <c r="AG21" s="138"/>
      <c r="AH21" s="138"/>
      <c r="AI21" s="138"/>
      <c r="AK21" s="209" t="s">
        <v>262</v>
      </c>
      <c r="AL21" s="209">
        <v>16</v>
      </c>
      <c r="AM21" s="211">
        <v>1687</v>
      </c>
      <c r="AN21" s="229" t="s">
        <v>232</v>
      </c>
      <c r="AO21" s="221"/>
      <c r="AP21" s="213">
        <v>1.99</v>
      </c>
      <c r="AQ21" s="216">
        <v>5</v>
      </c>
      <c r="AR21" s="217">
        <v>5.99</v>
      </c>
      <c r="AS21" s="214">
        <v>5</v>
      </c>
      <c r="AT21" s="215">
        <v>5.99</v>
      </c>
      <c r="AU21" s="221"/>
      <c r="AV21" s="213">
        <v>3.99</v>
      </c>
      <c r="AW21" s="221"/>
      <c r="AX21" s="213">
        <v>4.99</v>
      </c>
      <c r="AY21" s="214">
        <v>2</v>
      </c>
      <c r="AZ21" s="214">
        <v>2.99</v>
      </c>
      <c r="BA21" s="221"/>
      <c r="BB21" s="213">
        <v>4.99</v>
      </c>
      <c r="BC21" s="221"/>
      <c r="BD21" s="3"/>
    </row>
    <row r="22" spans="1:56" x14ac:dyDescent="0.25">
      <c r="A22" s="161" t="s">
        <v>263</v>
      </c>
      <c r="B22" s="125">
        <v>16</v>
      </c>
      <c r="C22" s="126">
        <f ca="1">A33-2679</f>
        <v>635</v>
      </c>
      <c r="D22" s="127"/>
      <c r="E22" s="128">
        <f t="shared" ca="1" si="9"/>
        <v>-492</v>
      </c>
      <c r="F22" s="129">
        <v>43820</v>
      </c>
      <c r="G22" s="130"/>
      <c r="H22" s="157" t="s">
        <v>218</v>
      </c>
      <c r="I22" s="130" t="s">
        <v>219</v>
      </c>
      <c r="J22" s="125"/>
      <c r="K22" s="125"/>
      <c r="L22" s="158">
        <v>4</v>
      </c>
      <c r="M22" s="125"/>
      <c r="N22" s="125"/>
      <c r="O22" s="125"/>
      <c r="P22" s="125"/>
      <c r="Q22" s="125"/>
      <c r="R22" s="125"/>
      <c r="S22" s="136">
        <v>3.99</v>
      </c>
      <c r="T22" s="125"/>
      <c r="U22" s="125"/>
      <c r="V22" s="125"/>
      <c r="W22" s="125"/>
      <c r="X22" s="137">
        <f t="shared" si="10"/>
        <v>1</v>
      </c>
      <c r="Y22" s="130">
        <f t="shared" si="11"/>
        <v>1</v>
      </c>
      <c r="Z22" s="130"/>
      <c r="AA22" s="130"/>
      <c r="AB22" s="130"/>
      <c r="AC22" s="138"/>
      <c r="AD22" s="138"/>
      <c r="AE22" s="138"/>
      <c r="AF22" s="138"/>
      <c r="AG22" s="138"/>
      <c r="AH22" s="138"/>
      <c r="AI22" s="138" t="s">
        <v>220</v>
      </c>
      <c r="AK22" s="209" t="s">
        <v>264</v>
      </c>
      <c r="AL22" s="209">
        <v>16</v>
      </c>
      <c r="AM22" s="211">
        <v>1596</v>
      </c>
      <c r="AN22" s="229"/>
      <c r="AO22" s="221"/>
      <c r="AP22" s="221"/>
      <c r="AQ22" s="216">
        <v>1</v>
      </c>
      <c r="AR22" s="216">
        <v>1.99</v>
      </c>
      <c r="AS22" s="214">
        <v>6</v>
      </c>
      <c r="AT22" s="215">
        <v>6.99</v>
      </c>
      <c r="AU22" s="214">
        <v>3</v>
      </c>
      <c r="AV22" s="214">
        <v>3.99</v>
      </c>
      <c r="AW22" s="214">
        <v>3</v>
      </c>
      <c r="AX22" s="214">
        <v>3.99</v>
      </c>
      <c r="AY22" s="214">
        <v>4</v>
      </c>
      <c r="AZ22" s="214">
        <v>4.99</v>
      </c>
      <c r="BA22" s="221"/>
      <c r="BB22" s="213">
        <v>4.99</v>
      </c>
      <c r="BC22" s="221"/>
      <c r="BD22" s="3"/>
    </row>
    <row r="23" spans="1:56" x14ac:dyDescent="0.25">
      <c r="A23" s="124" t="s">
        <v>265</v>
      </c>
      <c r="B23" s="125">
        <v>16</v>
      </c>
      <c r="C23" s="126">
        <f ca="1">A33-2100-6-116+4-112-112-113-112</f>
        <v>647</v>
      </c>
      <c r="D23" s="127" t="s">
        <v>266</v>
      </c>
      <c r="E23" s="128">
        <f t="shared" ca="1" si="9"/>
        <v>-535</v>
      </c>
      <c r="F23" s="129">
        <v>43777</v>
      </c>
      <c r="G23" s="157"/>
      <c r="H23" s="131" t="s">
        <v>243</v>
      </c>
      <c r="I23" s="130" t="s">
        <v>219</v>
      </c>
      <c r="J23" s="125"/>
      <c r="K23" s="125"/>
      <c r="L23" s="158">
        <v>3</v>
      </c>
      <c r="M23" s="125"/>
      <c r="N23" s="125"/>
      <c r="O23" s="136">
        <v>2.99</v>
      </c>
      <c r="P23" s="125"/>
      <c r="Q23" s="136">
        <v>4.99</v>
      </c>
      <c r="R23" s="125"/>
      <c r="S23" s="136">
        <v>4.99</v>
      </c>
      <c r="T23" s="134">
        <v>2</v>
      </c>
      <c r="U23" s="135">
        <v>2.99</v>
      </c>
      <c r="V23" s="125"/>
      <c r="W23" s="125"/>
      <c r="X23" s="137">
        <f t="shared" si="10"/>
        <v>2</v>
      </c>
      <c r="Y23" s="130">
        <f t="shared" si="11"/>
        <v>4</v>
      </c>
      <c r="Z23" s="130"/>
      <c r="AA23" s="130"/>
      <c r="AB23" s="130"/>
      <c r="AC23" s="138"/>
      <c r="AD23" s="138"/>
      <c r="AE23" s="138"/>
      <c r="AF23" s="138"/>
      <c r="AG23" s="138">
        <v>4.5</v>
      </c>
      <c r="AH23" s="138"/>
      <c r="AI23" s="138" t="s">
        <v>230</v>
      </c>
      <c r="AK23" s="209" t="s">
        <v>267</v>
      </c>
      <c r="AL23" s="209">
        <v>18</v>
      </c>
      <c r="AM23" s="211">
        <v>1648</v>
      </c>
      <c r="AN23" s="229" t="s">
        <v>240</v>
      </c>
      <c r="AO23" s="221"/>
      <c r="AP23" s="213">
        <v>2.99</v>
      </c>
      <c r="AQ23" s="216">
        <v>4</v>
      </c>
      <c r="AR23" s="216">
        <v>4.99</v>
      </c>
      <c r="AS23" s="213">
        <v>3</v>
      </c>
      <c r="AT23" s="213">
        <v>4.99</v>
      </c>
      <c r="AU23" s="214">
        <v>1</v>
      </c>
      <c r="AV23" s="214">
        <v>1.99</v>
      </c>
      <c r="AW23" s="221"/>
      <c r="AX23" s="213">
        <v>1.99</v>
      </c>
      <c r="AY23" s="221"/>
      <c r="AZ23" s="213">
        <v>4.99</v>
      </c>
      <c r="BA23" s="214">
        <v>4</v>
      </c>
      <c r="BB23" s="214">
        <v>4.99</v>
      </c>
      <c r="BC23" s="221"/>
      <c r="BD23" s="3"/>
    </row>
    <row r="24" spans="1:56" x14ac:dyDescent="0.25">
      <c r="A24" s="161" t="s">
        <v>268</v>
      </c>
      <c r="B24" s="125">
        <v>18</v>
      </c>
      <c r="C24" s="126">
        <f ca="1">A33-2150+2-112+7-112-78-112-112</f>
        <v>647</v>
      </c>
      <c r="D24" s="127" t="s">
        <v>198</v>
      </c>
      <c r="E24" s="128">
        <f t="shared" ca="1" si="9"/>
        <v>0</v>
      </c>
      <c r="F24" s="129">
        <f ca="1">TODAY()</f>
        <v>44312</v>
      </c>
      <c r="G24" s="162" t="s">
        <v>242</v>
      </c>
      <c r="H24" s="157" t="s">
        <v>218</v>
      </c>
      <c r="I24" s="130" t="s">
        <v>219</v>
      </c>
      <c r="J24" s="125"/>
      <c r="K24" s="136">
        <v>1.99</v>
      </c>
      <c r="L24" s="125"/>
      <c r="M24" s="136">
        <v>3.99</v>
      </c>
      <c r="N24" s="134">
        <v>2</v>
      </c>
      <c r="O24" s="135">
        <v>2.99</v>
      </c>
      <c r="P24" s="158">
        <v>4</v>
      </c>
      <c r="Q24" s="160">
        <v>6.99</v>
      </c>
      <c r="R24" s="132">
        <v>4</v>
      </c>
      <c r="S24" s="133">
        <v>4.99</v>
      </c>
      <c r="T24" s="125"/>
      <c r="U24" s="136">
        <v>3.99</v>
      </c>
      <c r="V24" s="125"/>
      <c r="W24" s="159">
        <v>5.99</v>
      </c>
      <c r="X24" s="137">
        <f t="shared" si="10"/>
        <v>3</v>
      </c>
      <c r="Y24" s="130">
        <f t="shared" si="11"/>
        <v>7</v>
      </c>
      <c r="Z24" s="130"/>
      <c r="AA24" s="130"/>
      <c r="AB24" s="130"/>
      <c r="AC24" s="138"/>
      <c r="AD24" s="138">
        <v>3.5</v>
      </c>
      <c r="AE24" s="138"/>
      <c r="AF24" s="138"/>
      <c r="AG24" s="138"/>
      <c r="AH24" s="138"/>
      <c r="AI24" s="138" t="s">
        <v>230</v>
      </c>
      <c r="AK24" s="209" t="s">
        <v>269</v>
      </c>
      <c r="AL24" s="209">
        <v>19</v>
      </c>
      <c r="AM24" s="211">
        <v>1525</v>
      </c>
      <c r="AN24" s="229"/>
      <c r="AO24" s="212"/>
      <c r="AP24" s="213">
        <v>0.99</v>
      </c>
      <c r="AQ24" s="214">
        <v>4</v>
      </c>
      <c r="AR24" s="214">
        <v>4.99</v>
      </c>
      <c r="AS24" s="212"/>
      <c r="AT24" s="213">
        <v>2.99</v>
      </c>
      <c r="AU24" s="216">
        <v>4</v>
      </c>
      <c r="AV24" s="216">
        <v>4.99</v>
      </c>
      <c r="AW24" s="212"/>
      <c r="AX24" s="213">
        <v>2.99</v>
      </c>
      <c r="AY24" s="212"/>
      <c r="AZ24" s="213">
        <v>4.99</v>
      </c>
      <c r="BA24" s="214">
        <v>4</v>
      </c>
      <c r="BB24" s="214">
        <v>4.99</v>
      </c>
      <c r="BC24" s="221"/>
      <c r="BD24" s="3"/>
    </row>
    <row r="25" spans="1:56" x14ac:dyDescent="0.25">
      <c r="A25" s="161" t="s">
        <v>270</v>
      </c>
      <c r="B25" s="125">
        <v>18</v>
      </c>
      <c r="C25" s="126">
        <f ca="1">A33-2150+2-112+7-112-72-112-112</f>
        <v>653</v>
      </c>
      <c r="D25" s="127"/>
      <c r="E25" s="128">
        <f t="shared" ca="1" si="9"/>
        <v>0</v>
      </c>
      <c r="F25" s="129">
        <f ca="1">TODAY()</f>
        <v>44312</v>
      </c>
      <c r="G25" s="180" t="s">
        <v>217</v>
      </c>
      <c r="H25" s="157" t="s">
        <v>218</v>
      </c>
      <c r="I25" s="130" t="s">
        <v>219</v>
      </c>
      <c r="J25" s="125"/>
      <c r="K25" s="136">
        <v>1.99</v>
      </c>
      <c r="L25" s="134">
        <v>2</v>
      </c>
      <c r="M25" s="135">
        <v>2.99</v>
      </c>
      <c r="N25" s="132">
        <v>3</v>
      </c>
      <c r="O25" s="133">
        <v>3.99</v>
      </c>
      <c r="P25" s="134">
        <v>4</v>
      </c>
      <c r="Q25" s="135">
        <v>4.99</v>
      </c>
      <c r="R25" s="125"/>
      <c r="S25" s="160">
        <v>6.99</v>
      </c>
      <c r="T25" s="134">
        <v>2</v>
      </c>
      <c r="U25" s="135">
        <v>2.99</v>
      </c>
      <c r="V25" s="125"/>
      <c r="W25" s="125"/>
      <c r="X25" s="137">
        <f t="shared" si="10"/>
        <v>4</v>
      </c>
      <c r="Y25" s="130">
        <f t="shared" si="11"/>
        <v>6</v>
      </c>
      <c r="Z25" s="130"/>
      <c r="AA25" s="130"/>
      <c r="AB25" s="130"/>
      <c r="AC25" s="138"/>
      <c r="AD25" s="138">
        <v>2</v>
      </c>
      <c r="AE25" s="138">
        <v>3</v>
      </c>
      <c r="AF25" s="138">
        <v>5</v>
      </c>
      <c r="AG25" s="138">
        <v>5.5</v>
      </c>
      <c r="AH25" s="138">
        <v>4.5</v>
      </c>
      <c r="AI25" s="138" t="s">
        <v>220</v>
      </c>
      <c r="AK25" s="209" t="s">
        <v>271</v>
      </c>
      <c r="AL25" s="209">
        <v>16</v>
      </c>
      <c r="AM25" s="211">
        <v>-624</v>
      </c>
      <c r="AN25" s="229"/>
      <c r="AO25" s="221"/>
      <c r="AP25" s="221"/>
      <c r="AQ25" s="214">
        <v>2</v>
      </c>
      <c r="AR25" s="214">
        <v>2.99</v>
      </c>
      <c r="AS25" s="214">
        <v>5</v>
      </c>
      <c r="AT25" s="215">
        <v>5.99</v>
      </c>
      <c r="AU25" s="216">
        <v>6</v>
      </c>
      <c r="AV25" s="217">
        <v>6.99</v>
      </c>
      <c r="AW25" s="216">
        <v>4</v>
      </c>
      <c r="AX25" s="216">
        <v>4.99</v>
      </c>
      <c r="AY25" s="214">
        <v>4</v>
      </c>
      <c r="AZ25" s="214">
        <v>4.99</v>
      </c>
      <c r="BA25" s="214">
        <v>3</v>
      </c>
      <c r="BB25" s="214">
        <v>3.99</v>
      </c>
      <c r="BC25" s="221"/>
      <c r="BD25" s="3"/>
    </row>
    <row r="26" spans="1:56" x14ac:dyDescent="0.25">
      <c r="A26" s="161" t="s">
        <v>272</v>
      </c>
      <c r="B26" s="125">
        <v>17</v>
      </c>
      <c r="C26" s="126">
        <f ca="1">88+A33-2516-112-112</f>
        <v>662</v>
      </c>
      <c r="D26" s="127"/>
      <c r="E26" s="128">
        <v>0</v>
      </c>
      <c r="F26" s="129">
        <v>43650</v>
      </c>
      <c r="G26" s="162" t="s">
        <v>242</v>
      </c>
      <c r="H26" s="131" t="s">
        <v>248</v>
      </c>
      <c r="I26" s="130" t="s">
        <v>219</v>
      </c>
      <c r="J26" s="158">
        <v>3</v>
      </c>
      <c r="K26" s="136">
        <v>4.99</v>
      </c>
      <c r="L26" s="158">
        <v>3</v>
      </c>
      <c r="M26" s="136">
        <v>4.99</v>
      </c>
      <c r="N26" s="125"/>
      <c r="O26" s="136">
        <v>0.99</v>
      </c>
      <c r="P26" s="125"/>
      <c r="Q26" s="136">
        <v>1.99</v>
      </c>
      <c r="R26" s="125"/>
      <c r="S26" s="136">
        <v>1.99</v>
      </c>
      <c r="T26" s="134">
        <v>0</v>
      </c>
      <c r="U26" s="135">
        <v>0.99</v>
      </c>
      <c r="V26" s="125"/>
      <c r="W26" s="136">
        <v>1.99</v>
      </c>
      <c r="X26" s="137">
        <f t="shared" si="10"/>
        <v>3</v>
      </c>
      <c r="Y26" s="130">
        <f t="shared" si="11"/>
        <v>7</v>
      </c>
      <c r="Z26" s="130">
        <v>1</v>
      </c>
      <c r="AA26" s="130"/>
      <c r="AB26" s="130"/>
      <c r="AC26" s="138">
        <v>4</v>
      </c>
      <c r="AD26" s="138"/>
      <c r="AE26" s="138"/>
      <c r="AF26" s="138"/>
      <c r="AG26" s="138"/>
      <c r="AH26" s="138">
        <v>6.5</v>
      </c>
      <c r="AI26" s="138" t="s">
        <v>230</v>
      </c>
      <c r="AK26" s="209" t="s">
        <v>273</v>
      </c>
      <c r="AL26" s="209">
        <v>16</v>
      </c>
      <c r="AM26" s="211">
        <v>1566</v>
      </c>
      <c r="AN26" s="229" t="s">
        <v>240</v>
      </c>
      <c r="AO26" s="221"/>
      <c r="AP26" s="221"/>
      <c r="AQ26" s="213">
        <v>2</v>
      </c>
      <c r="AR26" s="221"/>
      <c r="AS26" s="216">
        <v>4</v>
      </c>
      <c r="AT26" s="216">
        <v>4.99</v>
      </c>
      <c r="AU26" s="214">
        <v>4</v>
      </c>
      <c r="AV26" s="214">
        <v>4.99</v>
      </c>
      <c r="AW26" s="216">
        <v>6</v>
      </c>
      <c r="AX26" s="217">
        <v>6.99</v>
      </c>
      <c r="AY26" s="214">
        <v>4</v>
      </c>
      <c r="AZ26" s="214">
        <v>4.99</v>
      </c>
      <c r="BA26" s="221"/>
      <c r="BB26" s="213">
        <v>3.99</v>
      </c>
      <c r="BC26" s="221"/>
      <c r="BD26" s="3"/>
    </row>
    <row r="27" spans="1:56" x14ac:dyDescent="0.25">
      <c r="A27" s="161" t="s">
        <v>274</v>
      </c>
      <c r="B27" s="125">
        <v>18</v>
      </c>
      <c r="C27" s="126">
        <f ca="1">A32-43400+6-112-112-112</f>
        <v>582</v>
      </c>
      <c r="D27" s="127"/>
      <c r="E27" s="128">
        <f ca="1">F27-TODAY()</f>
        <v>0</v>
      </c>
      <c r="F27" s="129">
        <f ca="1">TODAY()</f>
        <v>44312</v>
      </c>
      <c r="G27" s="157" t="s">
        <v>242</v>
      </c>
      <c r="H27" s="130" t="s">
        <v>218</v>
      </c>
      <c r="I27" s="130" t="s">
        <v>219</v>
      </c>
      <c r="J27" s="125"/>
      <c r="K27" s="136">
        <v>1.99</v>
      </c>
      <c r="L27" s="134">
        <v>2</v>
      </c>
      <c r="M27" s="135">
        <v>2.99</v>
      </c>
      <c r="N27" s="125"/>
      <c r="O27" s="136">
        <v>4.99</v>
      </c>
      <c r="P27" s="134">
        <v>4</v>
      </c>
      <c r="Q27" s="135">
        <v>4.99</v>
      </c>
      <c r="R27" s="125"/>
      <c r="S27" s="136">
        <v>4.99</v>
      </c>
      <c r="T27" s="125"/>
      <c r="U27" s="136">
        <v>3.99</v>
      </c>
      <c r="V27" s="125"/>
      <c r="W27" s="125"/>
      <c r="X27" s="137">
        <f t="shared" si="10"/>
        <v>2</v>
      </c>
      <c r="Y27" s="130">
        <f t="shared" si="11"/>
        <v>6</v>
      </c>
      <c r="Z27" s="130"/>
      <c r="AA27" s="130"/>
      <c r="AB27" s="130"/>
      <c r="AC27" s="138"/>
      <c r="AD27" s="138"/>
      <c r="AE27" s="138">
        <v>3</v>
      </c>
      <c r="AF27" s="138">
        <v>4.5</v>
      </c>
      <c r="AG27" s="138">
        <v>4.5</v>
      </c>
      <c r="AH27" s="138">
        <v>5</v>
      </c>
      <c r="AI27" s="138" t="s">
        <v>220</v>
      </c>
      <c r="AK27" s="209" t="s">
        <v>275</v>
      </c>
      <c r="AL27" s="209">
        <v>19</v>
      </c>
      <c r="AM27" s="211">
        <v>1449</v>
      </c>
      <c r="AN27" s="229" t="s">
        <v>232</v>
      </c>
      <c r="AO27" s="212"/>
      <c r="AP27" s="213">
        <v>1.99</v>
      </c>
      <c r="AQ27" s="214">
        <v>4</v>
      </c>
      <c r="AR27" s="214">
        <v>4.99</v>
      </c>
      <c r="AS27" s="214">
        <v>2</v>
      </c>
      <c r="AT27" s="214">
        <v>2.99</v>
      </c>
      <c r="AU27" s="214">
        <v>4</v>
      </c>
      <c r="AV27" s="214">
        <v>4.99</v>
      </c>
      <c r="AW27" s="216">
        <v>3</v>
      </c>
      <c r="AX27" s="216">
        <v>3.99</v>
      </c>
      <c r="AY27" s="213">
        <v>5</v>
      </c>
      <c r="AZ27" s="222">
        <v>6.99</v>
      </c>
      <c r="BA27" s="220">
        <v>0</v>
      </c>
      <c r="BB27" s="214">
        <v>0.99</v>
      </c>
      <c r="BC27" s="232"/>
      <c r="BD27" s="3"/>
    </row>
    <row r="28" spans="1:56" x14ac:dyDescent="0.25">
      <c r="A28" s="161" t="s">
        <v>276</v>
      </c>
      <c r="B28" s="125">
        <v>18</v>
      </c>
      <c r="C28" s="126">
        <f ca="1">A33-2100-6-93-112+6-36-112-112-112</f>
        <v>637</v>
      </c>
      <c r="D28" s="127"/>
      <c r="E28" s="128">
        <f ca="1">F28-TODAY()</f>
        <v>0</v>
      </c>
      <c r="F28" s="129">
        <f ca="1">TODAY()</f>
        <v>44312</v>
      </c>
      <c r="G28" s="157" t="s">
        <v>277</v>
      </c>
      <c r="H28" s="130" t="s">
        <v>218</v>
      </c>
      <c r="I28" s="130" t="s">
        <v>219</v>
      </c>
      <c r="J28" s="125"/>
      <c r="K28" s="125"/>
      <c r="L28" s="125"/>
      <c r="M28" s="136">
        <v>2.99</v>
      </c>
      <c r="N28" s="125"/>
      <c r="O28" s="136">
        <v>3.99</v>
      </c>
      <c r="P28" s="132">
        <v>4</v>
      </c>
      <c r="Q28" s="133">
        <v>4.99</v>
      </c>
      <c r="R28" s="134">
        <v>2</v>
      </c>
      <c r="S28" s="135">
        <v>2.99</v>
      </c>
      <c r="T28" s="125"/>
      <c r="U28" s="136">
        <v>2.99</v>
      </c>
      <c r="V28" s="125"/>
      <c r="W28" s="125"/>
      <c r="X28" s="137">
        <f t="shared" si="10"/>
        <v>2</v>
      </c>
      <c r="Y28" s="130">
        <f t="shared" si="11"/>
        <v>5</v>
      </c>
      <c r="Z28" s="130"/>
      <c r="AA28" s="130"/>
      <c r="AB28" s="130"/>
      <c r="AC28" s="138">
        <v>1</v>
      </c>
      <c r="AD28" s="138"/>
      <c r="AE28" s="138">
        <v>3.5</v>
      </c>
      <c r="AF28" s="138">
        <v>4</v>
      </c>
      <c r="AG28" s="138">
        <v>4</v>
      </c>
      <c r="AH28" s="138"/>
      <c r="AI28" s="138" t="s">
        <v>230</v>
      </c>
      <c r="AK28" s="209" t="s">
        <v>278</v>
      </c>
      <c r="AL28" s="209">
        <v>16</v>
      </c>
      <c r="AM28" s="211">
        <v>1524</v>
      </c>
      <c r="AN28" s="229"/>
      <c r="AO28" s="212"/>
      <c r="AP28" s="213">
        <v>1.99</v>
      </c>
      <c r="AQ28" s="212"/>
      <c r="AR28" s="213">
        <v>2.99</v>
      </c>
      <c r="AS28" s="214">
        <v>4</v>
      </c>
      <c r="AT28" s="214">
        <v>4.99</v>
      </c>
      <c r="AU28" s="214">
        <v>1</v>
      </c>
      <c r="AV28" s="214">
        <v>1.99</v>
      </c>
      <c r="AW28" s="216">
        <v>6</v>
      </c>
      <c r="AX28" s="217">
        <v>6.99</v>
      </c>
      <c r="AY28" s="214">
        <v>3</v>
      </c>
      <c r="AZ28" s="214">
        <v>3.99</v>
      </c>
      <c r="BA28" s="212"/>
      <c r="BB28" s="212"/>
      <c r="BC28" s="232"/>
      <c r="BD28" s="3"/>
    </row>
    <row r="29" spans="1:56" x14ac:dyDescent="0.25">
      <c r="A29" s="125"/>
      <c r="B29" s="125"/>
      <c r="C29" s="125"/>
      <c r="D29" s="130"/>
      <c r="E29" s="125"/>
      <c r="F29" s="130"/>
      <c r="G29" s="162"/>
      <c r="H29" s="130"/>
      <c r="I29" s="130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30"/>
      <c r="Y29" s="130"/>
      <c r="Z29" s="130"/>
      <c r="AA29" s="130"/>
      <c r="AB29" s="130"/>
      <c r="AC29" s="194"/>
      <c r="AD29" s="194"/>
      <c r="AE29" s="194"/>
      <c r="AF29" s="194"/>
      <c r="AG29" s="194"/>
      <c r="AH29" s="194"/>
      <c r="AI29" s="162"/>
      <c r="AK29" s="209" t="s">
        <v>279</v>
      </c>
      <c r="AL29" s="209">
        <v>18</v>
      </c>
      <c r="AM29" s="211">
        <v>1507</v>
      </c>
      <c r="AN29" s="229" t="s">
        <v>190</v>
      </c>
      <c r="AO29" s="212"/>
      <c r="AP29" s="213">
        <v>1.99</v>
      </c>
      <c r="AQ29" s="212"/>
      <c r="AR29" s="213">
        <v>1.99</v>
      </c>
      <c r="AS29" s="213">
        <v>5</v>
      </c>
      <c r="AT29" s="222">
        <v>6.99</v>
      </c>
      <c r="AU29" s="214">
        <v>2</v>
      </c>
      <c r="AV29" s="214">
        <v>2.99</v>
      </c>
      <c r="AW29" s="214">
        <v>2</v>
      </c>
      <c r="AX29" s="214">
        <v>2.99</v>
      </c>
      <c r="AY29" s="214">
        <v>4</v>
      </c>
      <c r="AZ29" s="214">
        <v>4.99</v>
      </c>
      <c r="BA29" s="214">
        <v>4</v>
      </c>
      <c r="BB29" s="214">
        <v>4.99</v>
      </c>
      <c r="BC29" s="221"/>
      <c r="BD29" s="3"/>
    </row>
    <row r="30" spans="1:56" x14ac:dyDescent="0.25">
      <c r="A30" s="125"/>
      <c r="B30" s="125"/>
      <c r="C30" s="156"/>
      <c r="D30" s="130"/>
      <c r="E30" s="125"/>
      <c r="F30" s="130"/>
      <c r="G30" s="162"/>
      <c r="H30" s="130"/>
      <c r="I30" s="130"/>
      <c r="J30" s="3"/>
      <c r="K30" s="3"/>
      <c r="L30" s="3"/>
      <c r="M30" s="3"/>
      <c r="N30" s="3"/>
      <c r="O30" s="3"/>
      <c r="P30" s="125"/>
      <c r="Q30" s="125"/>
      <c r="R30" s="125"/>
      <c r="S30" s="125"/>
      <c r="T30" s="125"/>
      <c r="U30" s="125"/>
      <c r="V30" s="125"/>
      <c r="W30" s="125"/>
      <c r="X30" s="130"/>
      <c r="Y30" s="130"/>
      <c r="Z30" s="130"/>
      <c r="AA30" s="130"/>
      <c r="AB30" s="130"/>
      <c r="AC30" s="194"/>
      <c r="AD30" s="194"/>
      <c r="AE30" s="194"/>
      <c r="AF30" s="194"/>
      <c r="AG30" s="195"/>
      <c r="AH30" s="195"/>
      <c r="AI30" s="196"/>
      <c r="AK30" s="209" t="s">
        <v>280</v>
      </c>
      <c r="AL30" s="209">
        <v>19</v>
      </c>
      <c r="AM30" s="211">
        <v>1392</v>
      </c>
      <c r="AN30" s="229" t="s">
        <v>281</v>
      </c>
      <c r="AO30" s="221"/>
      <c r="AP30" s="213">
        <v>1.99</v>
      </c>
      <c r="AQ30" s="213">
        <v>4</v>
      </c>
      <c r="AR30" s="219">
        <v>5.99</v>
      </c>
      <c r="AS30" s="216">
        <v>4</v>
      </c>
      <c r="AT30" s="216">
        <v>4.99</v>
      </c>
      <c r="AU30" s="214">
        <v>1</v>
      </c>
      <c r="AV30" s="214">
        <v>1.99</v>
      </c>
      <c r="AW30" s="214">
        <v>5</v>
      </c>
      <c r="AX30" s="214">
        <v>5.99</v>
      </c>
      <c r="AY30" s="214">
        <v>2</v>
      </c>
      <c r="AZ30" s="214">
        <v>2.99</v>
      </c>
      <c r="BA30" s="221"/>
      <c r="BB30" s="221"/>
      <c r="BC30" s="221"/>
      <c r="BD30" s="3"/>
    </row>
    <row r="31" spans="1:56" x14ac:dyDescent="0.25">
      <c r="A31" s="197" t="s">
        <v>282</v>
      </c>
      <c r="B31" s="125"/>
      <c r="C31" s="125"/>
      <c r="D31" s="130"/>
      <c r="E31" s="125"/>
      <c r="F31" s="130"/>
      <c r="G31" s="486"/>
      <c r="H31" s="486"/>
      <c r="I31" s="486"/>
      <c r="J31" s="486"/>
      <c r="K31" s="486"/>
      <c r="L31" s="486"/>
      <c r="M31" s="486"/>
      <c r="N31" s="486"/>
      <c r="O31" s="3"/>
      <c r="P31" s="125"/>
      <c r="Q31" s="125"/>
      <c r="R31" s="125"/>
      <c r="S31" s="125"/>
      <c r="T31" s="125"/>
      <c r="U31" s="125"/>
      <c r="V31" s="125"/>
      <c r="W31" s="125"/>
      <c r="X31" s="130"/>
      <c r="Y31" s="130"/>
      <c r="Z31" s="130"/>
      <c r="AA31" s="130"/>
      <c r="AB31" s="130"/>
      <c r="AC31" s="194"/>
      <c r="AD31" s="194"/>
      <c r="AE31" s="194"/>
      <c r="AF31" s="194"/>
      <c r="AG31" s="194"/>
      <c r="AH31" s="194"/>
      <c r="AI31" s="162"/>
      <c r="AK31" s="209" t="s">
        <v>283</v>
      </c>
      <c r="AL31" s="209">
        <v>18</v>
      </c>
      <c r="AM31" s="211">
        <v>1470</v>
      </c>
      <c r="AN31" s="229"/>
      <c r="AO31" s="221"/>
      <c r="AP31" s="213">
        <v>1.99</v>
      </c>
      <c r="AQ31" s="214">
        <v>3</v>
      </c>
      <c r="AR31" s="214">
        <v>3.99</v>
      </c>
      <c r="AS31" s="214">
        <v>3</v>
      </c>
      <c r="AT31" s="214">
        <v>3.99</v>
      </c>
      <c r="AU31" s="216">
        <v>6</v>
      </c>
      <c r="AV31" s="217">
        <v>6.99</v>
      </c>
      <c r="AW31" s="214">
        <v>2</v>
      </c>
      <c r="AX31" s="214">
        <v>2.99</v>
      </c>
      <c r="AY31" s="214">
        <v>4</v>
      </c>
      <c r="AZ31" s="214">
        <v>4.99</v>
      </c>
      <c r="BA31" s="221"/>
      <c r="BB31" s="213">
        <v>3.99</v>
      </c>
      <c r="BC31" s="223" t="s">
        <v>284</v>
      </c>
    </row>
    <row r="32" spans="1:56" x14ac:dyDescent="0.25">
      <c r="A32" s="198">
        <f ca="1">TODAY()</f>
        <v>44312</v>
      </c>
      <c r="B32" s="125"/>
      <c r="C32" s="125"/>
      <c r="D32" s="137"/>
      <c r="E32" s="125"/>
      <c r="F32" s="199"/>
      <c r="G32" s="200"/>
      <c r="H32" s="199"/>
      <c r="I32" s="199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99"/>
      <c r="W32" s="199"/>
      <c r="X32" s="199"/>
      <c r="Y32" s="199"/>
      <c r="Z32" s="199"/>
      <c r="AA32" s="199"/>
      <c r="AB32" s="199"/>
      <c r="AC32" s="194"/>
      <c r="AD32" s="194"/>
      <c r="AE32" s="194"/>
      <c r="AF32" s="194"/>
      <c r="AG32" s="194"/>
      <c r="AH32" s="194"/>
      <c r="AI32" s="162"/>
      <c r="AK32" s="209" t="s">
        <v>285</v>
      </c>
      <c r="AL32" s="209">
        <v>17</v>
      </c>
      <c r="AM32" s="211">
        <v>1357</v>
      </c>
      <c r="AN32" s="229" t="s">
        <v>238</v>
      </c>
      <c r="AO32" s="221"/>
      <c r="AP32" s="221"/>
      <c r="AQ32" s="221"/>
      <c r="AR32" s="213">
        <v>2.99</v>
      </c>
      <c r="AS32" s="216">
        <v>5</v>
      </c>
      <c r="AT32" s="217">
        <v>5.99</v>
      </c>
      <c r="AU32" s="216">
        <v>6</v>
      </c>
      <c r="AV32" s="217">
        <v>6.99</v>
      </c>
      <c r="AW32" s="214">
        <v>3</v>
      </c>
      <c r="AX32" s="214">
        <v>3.99</v>
      </c>
      <c r="AY32" s="214">
        <v>3</v>
      </c>
      <c r="AZ32" s="214">
        <v>3.99</v>
      </c>
      <c r="BA32" s="221"/>
      <c r="BB32" s="213">
        <v>2.99</v>
      </c>
      <c r="BC32" s="223">
        <v>42287</v>
      </c>
    </row>
    <row r="33" spans="1:55" x14ac:dyDescent="0.25">
      <c r="A33" s="156">
        <f ca="1">411+A36</f>
        <v>3314</v>
      </c>
      <c r="B33" s="125"/>
      <c r="C33" s="125"/>
      <c r="D33" s="130"/>
      <c r="E33" s="125"/>
      <c r="F33" s="199"/>
      <c r="G33" s="200"/>
      <c r="H33" s="199"/>
      <c r="I33" s="199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99"/>
      <c r="X33" s="199"/>
      <c r="Y33" s="199"/>
      <c r="Z33" s="199"/>
      <c r="AA33" s="199"/>
      <c r="AB33" s="199"/>
      <c r="AC33" s="201"/>
      <c r="AD33" s="201"/>
      <c r="AE33" s="194"/>
      <c r="AF33" s="194"/>
      <c r="AG33" s="194"/>
      <c r="AH33" s="194"/>
      <c r="AI33" s="162"/>
      <c r="AK33" s="209" t="s">
        <v>286</v>
      </c>
      <c r="AL33" s="209">
        <v>17</v>
      </c>
      <c r="AM33" s="211">
        <v>1358</v>
      </c>
      <c r="AN33" s="229" t="s">
        <v>232</v>
      </c>
      <c r="AO33" s="221"/>
      <c r="AP33" s="221"/>
      <c r="AQ33" s="216">
        <v>4</v>
      </c>
      <c r="AR33" s="216">
        <v>4.99</v>
      </c>
      <c r="AS33" s="216">
        <v>5</v>
      </c>
      <c r="AT33" s="217">
        <v>5.99</v>
      </c>
      <c r="AU33" s="214">
        <v>2</v>
      </c>
      <c r="AV33" s="214">
        <v>2.99</v>
      </c>
      <c r="AW33" s="214">
        <v>3</v>
      </c>
      <c r="AX33" s="214">
        <v>3.99</v>
      </c>
      <c r="AY33" s="214">
        <v>3</v>
      </c>
      <c r="AZ33" s="214">
        <v>3.99</v>
      </c>
      <c r="BA33" s="214">
        <v>3</v>
      </c>
      <c r="BB33" s="214">
        <v>3.99</v>
      </c>
      <c r="BC33" s="223" t="s">
        <v>284</v>
      </c>
    </row>
    <row r="34" spans="1:55" x14ac:dyDescent="0.25">
      <c r="A34" s="125"/>
      <c r="B34" s="125"/>
      <c r="C34" s="125"/>
      <c r="D34" s="130"/>
      <c r="E34" s="125"/>
      <c r="F34" s="130"/>
      <c r="G34" s="162"/>
      <c r="H34" s="130"/>
      <c r="I34" s="130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30"/>
      <c r="Y34" s="130"/>
      <c r="Z34" s="130"/>
      <c r="AA34" s="130"/>
      <c r="AB34" s="130"/>
      <c r="AC34" s="194"/>
      <c r="AD34" s="194"/>
      <c r="AE34" s="194"/>
      <c r="AF34" s="194"/>
      <c r="AG34" s="194"/>
      <c r="AH34" s="194"/>
      <c r="AI34" s="162"/>
      <c r="AK34" s="209" t="s">
        <v>287</v>
      </c>
      <c r="AL34" s="209">
        <v>17</v>
      </c>
      <c r="AM34" s="211">
        <v>1417</v>
      </c>
      <c r="AN34" s="229" t="s">
        <v>258</v>
      </c>
      <c r="AO34" s="212"/>
      <c r="AP34" s="212"/>
      <c r="AQ34" s="212"/>
      <c r="AR34" s="213">
        <v>2.99</v>
      </c>
      <c r="AS34" s="216">
        <v>5</v>
      </c>
      <c r="AT34" s="217">
        <v>5.99</v>
      </c>
      <c r="AU34" s="214">
        <v>3</v>
      </c>
      <c r="AV34" s="214">
        <v>3.99</v>
      </c>
      <c r="AW34" s="214">
        <v>3</v>
      </c>
      <c r="AX34" s="214">
        <v>3.99</v>
      </c>
      <c r="AY34" s="212"/>
      <c r="AZ34" s="213">
        <v>4.99</v>
      </c>
      <c r="BA34" s="212"/>
      <c r="BB34" s="213">
        <v>3.99</v>
      </c>
      <c r="BC34" s="223" t="s">
        <v>284</v>
      </c>
    </row>
    <row r="35" spans="1:55" x14ac:dyDescent="0.25">
      <c r="A35" s="202">
        <v>41409</v>
      </c>
      <c r="B35" s="125"/>
      <c r="C35" s="125"/>
      <c r="D35" s="130"/>
      <c r="E35" s="125"/>
      <c r="F35" s="130"/>
      <c r="G35" s="162"/>
      <c r="H35" s="130"/>
      <c r="I35" s="130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30"/>
      <c r="Y35" s="130"/>
      <c r="Z35" s="130"/>
      <c r="AA35" s="130"/>
      <c r="AB35" s="130"/>
      <c r="AC35" s="194"/>
      <c r="AD35" s="194"/>
      <c r="AE35" s="194"/>
      <c r="AF35" s="194"/>
      <c r="AG35" s="194"/>
      <c r="AH35" s="194"/>
      <c r="AI35" s="162"/>
      <c r="AK35" s="209" t="s">
        <v>288</v>
      </c>
      <c r="AL35" s="209">
        <v>17</v>
      </c>
      <c r="AM35" s="211">
        <v>1296</v>
      </c>
      <c r="AN35" s="229"/>
      <c r="AO35" s="221"/>
      <c r="AP35" s="213">
        <v>1.99</v>
      </c>
      <c r="AQ35" s="221"/>
      <c r="AR35" s="213">
        <v>2.99</v>
      </c>
      <c r="AS35" s="214">
        <v>6</v>
      </c>
      <c r="AT35" s="215">
        <v>6.99</v>
      </c>
      <c r="AU35" s="214">
        <v>3</v>
      </c>
      <c r="AV35" s="214">
        <v>3.99</v>
      </c>
      <c r="AW35" s="216">
        <v>5</v>
      </c>
      <c r="AX35" s="217">
        <v>5.99</v>
      </c>
      <c r="AY35" s="214">
        <v>4</v>
      </c>
      <c r="AZ35" s="214">
        <v>4.99</v>
      </c>
      <c r="BA35" s="214">
        <v>1</v>
      </c>
      <c r="BB35" s="214">
        <v>1.99</v>
      </c>
      <c r="BC35" s="223">
        <v>42348</v>
      </c>
    </row>
    <row r="36" spans="1:55" x14ac:dyDescent="0.25">
      <c r="A36" s="202">
        <f ca="1">A32-A35</f>
        <v>2903</v>
      </c>
      <c r="B36" s="125"/>
      <c r="C36" s="156"/>
      <c r="D36" s="130"/>
      <c r="E36" s="125"/>
      <c r="F36" s="129"/>
      <c r="G36" s="162"/>
      <c r="H36" s="130"/>
      <c r="I36" s="130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30"/>
      <c r="Y36" s="130"/>
      <c r="Z36" s="130"/>
      <c r="AA36" s="130"/>
      <c r="AB36" s="130"/>
      <c r="AC36" s="194"/>
      <c r="AD36" s="194"/>
      <c r="AE36" s="194"/>
      <c r="AF36" s="194"/>
      <c r="AG36" s="194"/>
      <c r="AH36" s="194"/>
      <c r="AI36" s="162"/>
      <c r="AK36" s="209" t="s">
        <v>289</v>
      </c>
      <c r="AL36" s="209">
        <v>17</v>
      </c>
      <c r="AM36" s="211">
        <v>1312</v>
      </c>
      <c r="AN36" s="229" t="s">
        <v>281</v>
      </c>
      <c r="AO36" s="221"/>
      <c r="AP36" s="213">
        <v>1.99</v>
      </c>
      <c r="AQ36" s="216">
        <v>2</v>
      </c>
      <c r="AR36" s="216">
        <v>2.99</v>
      </c>
      <c r="AS36" s="216">
        <v>6</v>
      </c>
      <c r="AT36" s="217">
        <v>6.99</v>
      </c>
      <c r="AU36" s="221"/>
      <c r="AV36" s="221">
        <v>2.99</v>
      </c>
      <c r="AW36" s="213">
        <v>3</v>
      </c>
      <c r="AX36" s="221">
        <v>3.99</v>
      </c>
      <c r="AY36" s="214">
        <v>4</v>
      </c>
      <c r="AZ36" s="214">
        <v>4.99</v>
      </c>
      <c r="BA36" s="221"/>
      <c r="BB36" s="221"/>
      <c r="BC36" s="223">
        <v>42358</v>
      </c>
    </row>
    <row r="37" spans="1:55" x14ac:dyDescent="0.25">
      <c r="A37" s="125"/>
      <c r="B37" s="125"/>
      <c r="C37" s="125"/>
      <c r="D37" s="130"/>
      <c r="E37" s="125"/>
      <c r="F37" s="130"/>
      <c r="G37" s="162"/>
      <c r="H37" s="130"/>
      <c r="I37" s="130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30"/>
      <c r="Y37" s="130"/>
      <c r="Z37" s="130"/>
      <c r="AA37" s="130"/>
      <c r="AB37" s="130"/>
      <c r="AC37" s="194"/>
      <c r="AD37" s="194"/>
      <c r="AE37" s="194"/>
      <c r="AF37" s="194"/>
      <c r="AG37" s="194"/>
      <c r="AH37" s="194"/>
      <c r="AI37" s="162"/>
      <c r="AK37" s="209" t="s">
        <v>290</v>
      </c>
      <c r="AL37" s="209">
        <v>17</v>
      </c>
      <c r="AM37" s="211">
        <v>1277</v>
      </c>
      <c r="AN37" s="229"/>
      <c r="AO37" s="221"/>
      <c r="AP37" s="221"/>
      <c r="AQ37" s="221"/>
      <c r="AR37" s="213">
        <v>2.99</v>
      </c>
      <c r="AS37" s="216">
        <v>5</v>
      </c>
      <c r="AT37" s="217">
        <v>5.99</v>
      </c>
      <c r="AU37" s="221"/>
      <c r="AV37" s="213">
        <v>3.99</v>
      </c>
      <c r="AW37" s="216">
        <v>5</v>
      </c>
      <c r="AX37" s="217">
        <v>5.99</v>
      </c>
      <c r="AY37" s="216">
        <v>5</v>
      </c>
      <c r="AZ37" s="217">
        <v>5.99</v>
      </c>
      <c r="BA37" s="221"/>
      <c r="BB37" s="221"/>
      <c r="BC37" s="223">
        <v>42369</v>
      </c>
    </row>
    <row r="38" spans="1:55" x14ac:dyDescent="0.25">
      <c r="A38" s="125"/>
      <c r="B38" s="125"/>
      <c r="C38" s="125"/>
      <c r="D38" s="130"/>
      <c r="E38" s="125"/>
      <c r="F38" s="130"/>
      <c r="G38" s="162"/>
      <c r="H38" s="130"/>
      <c r="I38" s="130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30"/>
      <c r="Y38" s="130"/>
      <c r="Z38" s="130"/>
      <c r="AA38" s="130"/>
      <c r="AB38" s="130"/>
      <c r="AC38" s="194"/>
      <c r="AD38" s="194"/>
      <c r="AE38" s="194"/>
      <c r="AF38" s="194"/>
      <c r="AG38" s="194"/>
      <c r="AH38" s="194"/>
      <c r="AI38" s="162"/>
      <c r="AK38" s="209" t="s">
        <v>291</v>
      </c>
      <c r="AL38" s="209">
        <v>18</v>
      </c>
      <c r="AM38" s="211">
        <v>1366</v>
      </c>
      <c r="AN38" s="229"/>
      <c r="AO38" s="212"/>
      <c r="AP38" s="213">
        <v>0.99</v>
      </c>
      <c r="AQ38" s="213">
        <v>4</v>
      </c>
      <c r="AR38" s="222">
        <v>6.99</v>
      </c>
      <c r="AS38" s="216">
        <v>5</v>
      </c>
      <c r="AT38" s="217">
        <v>5.99</v>
      </c>
      <c r="AU38" s="212"/>
      <c r="AV38" s="213">
        <v>3.99</v>
      </c>
      <c r="AW38" s="214">
        <v>3</v>
      </c>
      <c r="AX38" s="214">
        <v>3.99</v>
      </c>
      <c r="AY38" s="214">
        <v>6</v>
      </c>
      <c r="AZ38" s="215">
        <v>6.99</v>
      </c>
      <c r="BA38" s="212"/>
      <c r="BB38" s="213">
        <v>4.99</v>
      </c>
      <c r="BC38" s="223" t="s">
        <v>284</v>
      </c>
    </row>
    <row r="39" spans="1:55" x14ac:dyDescent="0.25">
      <c r="A39" s="125"/>
      <c r="B39" s="125"/>
      <c r="C39" s="125"/>
      <c r="D39" s="130"/>
      <c r="E39" s="125"/>
      <c r="F39" s="130"/>
      <c r="G39" s="162"/>
      <c r="H39" s="130"/>
      <c r="I39" s="130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30"/>
      <c r="Y39" s="130"/>
      <c r="Z39" s="130"/>
      <c r="AA39" s="130"/>
      <c r="AB39" s="130"/>
      <c r="AC39" s="194"/>
      <c r="AD39" s="194"/>
      <c r="AE39" s="194"/>
      <c r="AF39" s="194"/>
      <c r="AG39" s="194"/>
      <c r="AH39" s="194"/>
      <c r="AI39" s="162"/>
      <c r="AK39" s="209" t="s">
        <v>292</v>
      </c>
      <c r="AL39" s="209">
        <v>17</v>
      </c>
      <c r="AM39" s="211">
        <v>1283</v>
      </c>
      <c r="AN39" s="229"/>
      <c r="AO39" s="221"/>
      <c r="AP39" s="213">
        <v>1.99</v>
      </c>
      <c r="AQ39" s="216">
        <v>4</v>
      </c>
      <c r="AR39" s="216">
        <v>4.99</v>
      </c>
      <c r="AS39" s="214">
        <v>2</v>
      </c>
      <c r="AT39" s="214">
        <v>2.99</v>
      </c>
      <c r="AU39" s="214">
        <v>3</v>
      </c>
      <c r="AV39" s="214">
        <v>3.99</v>
      </c>
      <c r="AW39" s="216">
        <v>6</v>
      </c>
      <c r="AX39" s="217">
        <v>6.99</v>
      </c>
      <c r="AY39" s="214">
        <v>3</v>
      </c>
      <c r="AZ39" s="214">
        <v>3.99</v>
      </c>
      <c r="BA39" s="221"/>
      <c r="BB39" s="213">
        <v>2.99</v>
      </c>
      <c r="BC39" s="223">
        <v>42361</v>
      </c>
    </row>
    <row r="40" spans="1:55" x14ac:dyDescent="0.25">
      <c r="AK40" s="209" t="s">
        <v>293</v>
      </c>
      <c r="AL40" s="209">
        <v>16</v>
      </c>
      <c r="AM40" s="211">
        <v>1347</v>
      </c>
      <c r="AN40" s="229"/>
      <c r="AO40" s="221"/>
      <c r="AP40" s="221"/>
      <c r="AQ40" s="213">
        <v>4</v>
      </c>
      <c r="AR40" s="219">
        <v>5.99</v>
      </c>
      <c r="AS40" s="216">
        <v>2</v>
      </c>
      <c r="AT40" s="216">
        <v>2.99</v>
      </c>
      <c r="AU40" s="214">
        <v>4</v>
      </c>
      <c r="AV40" s="214">
        <v>4.99</v>
      </c>
      <c r="AW40" s="216">
        <v>6</v>
      </c>
      <c r="AX40" s="217">
        <v>6.99</v>
      </c>
      <c r="AY40" s="214">
        <v>4</v>
      </c>
      <c r="AZ40" s="214">
        <v>4.99</v>
      </c>
      <c r="BA40" s="221"/>
      <c r="BB40" s="221"/>
      <c r="BC40" s="223">
        <v>42409</v>
      </c>
    </row>
    <row r="41" spans="1:55" x14ac:dyDescent="0.25">
      <c r="AK41" s="209" t="s">
        <v>294</v>
      </c>
      <c r="AL41" s="209">
        <v>17</v>
      </c>
      <c r="AM41" s="211">
        <v>1269</v>
      </c>
      <c r="AN41" s="229" t="s">
        <v>232</v>
      </c>
      <c r="AO41" s="212"/>
      <c r="AP41" s="213">
        <v>1.99</v>
      </c>
      <c r="AQ41" s="216">
        <v>5</v>
      </c>
      <c r="AR41" s="217">
        <v>5.99</v>
      </c>
      <c r="AS41" s="214">
        <v>5</v>
      </c>
      <c r="AT41" s="215">
        <v>5.99</v>
      </c>
      <c r="AU41" s="216">
        <v>3</v>
      </c>
      <c r="AV41" s="216">
        <v>3.99</v>
      </c>
      <c r="AW41" s="214">
        <v>2</v>
      </c>
      <c r="AX41" s="214">
        <v>2.99</v>
      </c>
      <c r="AY41" s="214">
        <v>2</v>
      </c>
      <c r="AZ41" s="214">
        <v>2.99</v>
      </c>
      <c r="BA41" s="212"/>
      <c r="BB41" s="212"/>
      <c r="BC41" s="223">
        <v>42375</v>
      </c>
    </row>
    <row r="42" spans="1:55" x14ac:dyDescent="0.25">
      <c r="AK42" s="209" t="s">
        <v>295</v>
      </c>
      <c r="AL42" s="209">
        <v>17</v>
      </c>
      <c r="AM42" s="211">
        <v>1213</v>
      </c>
      <c r="AN42" s="229" t="s">
        <v>232</v>
      </c>
      <c r="AO42" s="221"/>
      <c r="AP42" s="221"/>
      <c r="AQ42" s="221"/>
      <c r="AR42" s="213">
        <v>2.99</v>
      </c>
      <c r="AS42" s="216">
        <v>5</v>
      </c>
      <c r="AT42" s="217">
        <v>5.99</v>
      </c>
      <c r="AU42" s="221"/>
      <c r="AV42" s="213">
        <v>2.99</v>
      </c>
      <c r="AW42" s="216">
        <v>3</v>
      </c>
      <c r="AX42" s="221">
        <v>3.99</v>
      </c>
      <c r="AY42" s="216">
        <v>6</v>
      </c>
      <c r="AZ42" s="217">
        <v>6.99</v>
      </c>
      <c r="BA42" s="214">
        <v>2</v>
      </c>
      <c r="BB42" s="214">
        <v>2.99</v>
      </c>
      <c r="BC42" s="223">
        <v>42431</v>
      </c>
    </row>
    <row r="43" spans="1:55" x14ac:dyDescent="0.25">
      <c r="AK43" s="209" t="s">
        <v>296</v>
      </c>
      <c r="AL43" s="209">
        <v>17</v>
      </c>
      <c r="AM43" s="211">
        <v>1214</v>
      </c>
      <c r="AN43" s="229"/>
      <c r="AO43" s="221"/>
      <c r="AP43" s="213">
        <v>1.99</v>
      </c>
      <c r="AQ43" s="216">
        <v>4</v>
      </c>
      <c r="AR43" s="216">
        <v>4.99</v>
      </c>
      <c r="AS43" s="214">
        <v>5</v>
      </c>
      <c r="AT43" s="215">
        <v>5.99</v>
      </c>
      <c r="AU43" s="221"/>
      <c r="AV43" s="213">
        <v>4.99</v>
      </c>
      <c r="AW43" s="216">
        <v>5</v>
      </c>
      <c r="AX43" s="217">
        <v>5.99</v>
      </c>
      <c r="AY43" s="214">
        <v>3</v>
      </c>
      <c r="AZ43" s="214">
        <v>3.99</v>
      </c>
      <c r="BA43" s="214">
        <v>2</v>
      </c>
      <c r="BB43" s="214">
        <v>2.99</v>
      </c>
      <c r="BC43" s="223">
        <v>42430</v>
      </c>
    </row>
    <row r="44" spans="1:55" x14ac:dyDescent="0.25">
      <c r="AK44" s="209" t="s">
        <v>297</v>
      </c>
      <c r="AL44" s="209">
        <v>17</v>
      </c>
      <c r="AM44" s="211">
        <v>1221</v>
      </c>
      <c r="AN44" s="229"/>
      <c r="AO44" s="221"/>
      <c r="AP44" s="221"/>
      <c r="AQ44" s="214">
        <v>3</v>
      </c>
      <c r="AR44" s="214">
        <v>3.99</v>
      </c>
      <c r="AS44" s="216">
        <v>4</v>
      </c>
      <c r="AT44" s="216">
        <v>4.99</v>
      </c>
      <c r="AU44" s="216">
        <v>4</v>
      </c>
      <c r="AV44" s="216">
        <v>4.99</v>
      </c>
      <c r="AW44" s="221"/>
      <c r="AX44" s="213">
        <v>4.99</v>
      </c>
      <c r="AY44" s="216">
        <v>5</v>
      </c>
      <c r="AZ44" s="217">
        <v>5.99</v>
      </c>
      <c r="BA44" s="214">
        <v>1</v>
      </c>
      <c r="BB44" s="214">
        <v>1.99</v>
      </c>
      <c r="BC44" s="223">
        <v>42516</v>
      </c>
    </row>
    <row r="45" spans="1:55" x14ac:dyDescent="0.25">
      <c r="AK45" s="209" t="s">
        <v>298</v>
      </c>
      <c r="AL45" s="209">
        <v>16</v>
      </c>
      <c r="AM45" s="211">
        <v>1228</v>
      </c>
      <c r="AN45" s="229" t="s">
        <v>238</v>
      </c>
      <c r="AO45" s="221"/>
      <c r="AP45" s="213">
        <v>1.99</v>
      </c>
      <c r="AQ45" s="216">
        <v>5</v>
      </c>
      <c r="AR45" s="217">
        <v>5.99</v>
      </c>
      <c r="AS45" s="216">
        <v>5</v>
      </c>
      <c r="AT45" s="217">
        <v>5.99</v>
      </c>
      <c r="AU45" s="216">
        <v>3</v>
      </c>
      <c r="AV45" s="216">
        <v>3.99</v>
      </c>
      <c r="AW45" s="216">
        <v>3</v>
      </c>
      <c r="AX45" s="216">
        <v>3.99</v>
      </c>
      <c r="AY45" s="214">
        <v>1</v>
      </c>
      <c r="AZ45" s="214">
        <v>1.99</v>
      </c>
      <c r="BA45" s="221"/>
      <c r="BB45" s="221"/>
      <c r="BC45" s="223">
        <v>42528</v>
      </c>
    </row>
    <row r="46" spans="1:55" x14ac:dyDescent="0.25">
      <c r="AK46" s="209" t="s">
        <v>299</v>
      </c>
      <c r="AL46" s="209">
        <v>18</v>
      </c>
      <c r="AM46" s="211">
        <v>1205</v>
      </c>
      <c r="AN46" s="229"/>
      <c r="AO46" s="221"/>
      <c r="AP46" s="221"/>
      <c r="AQ46" s="216">
        <v>6</v>
      </c>
      <c r="AR46" s="217">
        <v>6.99</v>
      </c>
      <c r="AS46" s="214">
        <v>4</v>
      </c>
      <c r="AT46" s="214">
        <v>4.99</v>
      </c>
      <c r="AU46" s="221"/>
      <c r="AV46" s="213">
        <v>2.99</v>
      </c>
      <c r="AW46" s="216">
        <v>3</v>
      </c>
      <c r="AX46" s="216">
        <v>3.99</v>
      </c>
      <c r="AY46" s="214">
        <v>2</v>
      </c>
      <c r="AZ46" s="214">
        <v>2.99</v>
      </c>
      <c r="BA46" s="214">
        <v>2</v>
      </c>
      <c r="BB46" s="214">
        <v>2.99</v>
      </c>
      <c r="BC46" s="223">
        <v>42327</v>
      </c>
    </row>
    <row r="47" spans="1:55" x14ac:dyDescent="0.25">
      <c r="AK47" s="209" t="s">
        <v>300</v>
      </c>
      <c r="AL47" s="209">
        <v>17</v>
      </c>
      <c r="AM47" s="211">
        <v>1042</v>
      </c>
      <c r="AN47" s="229"/>
      <c r="AO47" s="221"/>
      <c r="AP47" s="221"/>
      <c r="AQ47" s="214">
        <v>4</v>
      </c>
      <c r="AR47" s="214">
        <v>4.99</v>
      </c>
      <c r="AS47" s="214">
        <v>5</v>
      </c>
      <c r="AT47" s="215">
        <v>5.99</v>
      </c>
      <c r="AU47" s="221"/>
      <c r="AV47" s="213">
        <v>2.99</v>
      </c>
      <c r="AW47" s="221"/>
      <c r="AX47" s="213">
        <v>3.99</v>
      </c>
      <c r="AY47" s="214">
        <v>3</v>
      </c>
      <c r="AZ47" s="214">
        <v>3.99</v>
      </c>
      <c r="BA47" s="221"/>
      <c r="BB47" s="221"/>
      <c r="BC47" s="223">
        <v>42602</v>
      </c>
    </row>
    <row r="48" spans="1:55" x14ac:dyDescent="0.25">
      <c r="AK48" s="209" t="s">
        <v>301</v>
      </c>
      <c r="AL48" s="209">
        <v>19</v>
      </c>
      <c r="AM48" s="211">
        <v>1021</v>
      </c>
      <c r="AN48" s="229"/>
      <c r="AO48" s="221"/>
      <c r="AP48" s="221"/>
      <c r="AQ48" s="214">
        <v>4</v>
      </c>
      <c r="AR48" s="214">
        <v>4.99</v>
      </c>
      <c r="AS48" s="216">
        <v>4</v>
      </c>
      <c r="AT48" s="216">
        <v>4.99</v>
      </c>
      <c r="AU48" s="221"/>
      <c r="AV48" s="213">
        <v>4.99</v>
      </c>
      <c r="AW48" s="213">
        <v>3</v>
      </c>
      <c r="AX48" s="213">
        <v>4.99</v>
      </c>
      <c r="AY48" s="214">
        <v>2</v>
      </c>
      <c r="AZ48" s="214">
        <v>2.99</v>
      </c>
      <c r="BA48" s="221"/>
      <c r="BB48" s="213">
        <v>2.99</v>
      </c>
      <c r="BC48" s="223">
        <v>42429</v>
      </c>
    </row>
    <row r="49" spans="37:55" x14ac:dyDescent="0.25">
      <c r="AK49" s="209" t="s">
        <v>302</v>
      </c>
      <c r="AL49" s="209">
        <v>18</v>
      </c>
      <c r="AM49" s="211">
        <v>1127</v>
      </c>
      <c r="AN49" s="229"/>
      <c r="AO49" s="221"/>
      <c r="AP49" s="221"/>
      <c r="AQ49" s="214">
        <v>4</v>
      </c>
      <c r="AR49" s="214">
        <v>4.99</v>
      </c>
      <c r="AS49" s="214">
        <v>4</v>
      </c>
      <c r="AT49" s="214">
        <v>4.99</v>
      </c>
      <c r="AU49" s="221"/>
      <c r="AV49" s="213">
        <v>3.99</v>
      </c>
      <c r="AW49" s="213">
        <v>4</v>
      </c>
      <c r="AX49" s="219">
        <v>5.99</v>
      </c>
      <c r="AY49" s="214">
        <v>4</v>
      </c>
      <c r="AZ49" s="214">
        <v>4.99</v>
      </c>
      <c r="BA49" s="221"/>
      <c r="BB49" s="222">
        <v>6.99</v>
      </c>
      <c r="BC49" s="223">
        <v>42405</v>
      </c>
    </row>
    <row r="50" spans="37:55" x14ac:dyDescent="0.25">
      <c r="AK50" s="209" t="s">
        <v>303</v>
      </c>
      <c r="AL50" s="209">
        <v>17</v>
      </c>
      <c r="AM50" s="211">
        <v>1013</v>
      </c>
      <c r="AN50" s="229"/>
      <c r="AO50" s="221"/>
      <c r="AP50" s="213">
        <v>1.99</v>
      </c>
      <c r="AQ50" s="214">
        <v>6</v>
      </c>
      <c r="AR50" s="215">
        <v>6.99</v>
      </c>
      <c r="AS50" s="216">
        <v>4</v>
      </c>
      <c r="AT50" s="216">
        <v>4.99</v>
      </c>
      <c r="AU50" s="214">
        <v>3</v>
      </c>
      <c r="AV50" s="214">
        <v>3.99</v>
      </c>
      <c r="AW50" s="221"/>
      <c r="AX50" s="221"/>
      <c r="AY50" s="214">
        <v>4</v>
      </c>
      <c r="AZ50" s="214">
        <v>4.99</v>
      </c>
      <c r="BA50" s="221"/>
      <c r="BB50" s="213">
        <v>3.99</v>
      </c>
      <c r="BC50" s="223">
        <v>42631</v>
      </c>
    </row>
    <row r="51" spans="37:55" x14ac:dyDescent="0.25">
      <c r="AK51" s="209" t="s">
        <v>304</v>
      </c>
      <c r="AL51" s="209">
        <v>18</v>
      </c>
      <c r="AM51" s="211">
        <v>1024</v>
      </c>
      <c r="AN51" s="229" t="s">
        <v>190</v>
      </c>
      <c r="AO51" s="221"/>
      <c r="AP51" s="221">
        <v>1.99</v>
      </c>
      <c r="AQ51" s="214">
        <v>4</v>
      </c>
      <c r="AR51" s="214">
        <v>4.99</v>
      </c>
      <c r="AS51" s="216">
        <v>3</v>
      </c>
      <c r="AT51" s="216">
        <v>3.99</v>
      </c>
      <c r="AU51" s="221"/>
      <c r="AV51" s="222">
        <v>6.99</v>
      </c>
      <c r="AW51" s="221"/>
      <c r="AX51" s="221">
        <v>5.99</v>
      </c>
      <c r="AY51" s="221"/>
      <c r="AZ51" s="213">
        <v>2.99</v>
      </c>
      <c r="BA51" s="221"/>
      <c r="BB51" s="221"/>
      <c r="BC51" s="223">
        <v>42610</v>
      </c>
    </row>
    <row r="52" spans="37:55" x14ac:dyDescent="0.25">
      <c r="AK52" s="209" t="s">
        <v>305</v>
      </c>
      <c r="AL52" s="209">
        <v>18</v>
      </c>
      <c r="AM52" s="211">
        <v>1049</v>
      </c>
      <c r="AN52" s="229"/>
      <c r="AO52" s="221"/>
      <c r="AP52" s="213">
        <v>0.99</v>
      </c>
      <c r="AQ52" s="214">
        <v>1</v>
      </c>
      <c r="AR52" s="214">
        <v>1.99</v>
      </c>
      <c r="AS52" s="216">
        <v>6</v>
      </c>
      <c r="AT52" s="217">
        <v>6.99</v>
      </c>
      <c r="AU52" s="216">
        <v>4</v>
      </c>
      <c r="AV52" s="216">
        <v>4.99</v>
      </c>
      <c r="AW52" s="221"/>
      <c r="AX52" s="213">
        <v>4.99</v>
      </c>
      <c r="AY52" s="214">
        <v>4</v>
      </c>
      <c r="AZ52" s="214">
        <v>4.99</v>
      </c>
      <c r="BA52" s="221"/>
      <c r="BB52" s="213">
        <v>1.99</v>
      </c>
      <c r="BC52" s="223">
        <v>42597</v>
      </c>
    </row>
    <row r="53" spans="37:55" x14ac:dyDescent="0.25">
      <c r="AK53" s="209" t="s">
        <v>306</v>
      </c>
      <c r="AL53" s="209">
        <v>17</v>
      </c>
      <c r="AM53" s="211">
        <v>1042</v>
      </c>
      <c r="AN53" s="229"/>
      <c r="AO53" s="221"/>
      <c r="AP53" s="213">
        <v>1.99</v>
      </c>
      <c r="AQ53" s="213">
        <v>2</v>
      </c>
      <c r="AR53" s="213">
        <v>3.99</v>
      </c>
      <c r="AS53" s="214">
        <v>5</v>
      </c>
      <c r="AT53" s="215">
        <v>5.99</v>
      </c>
      <c r="AU53" s="221"/>
      <c r="AV53" s="213">
        <v>2.99</v>
      </c>
      <c r="AW53" s="221"/>
      <c r="AX53" s="213">
        <v>3.99</v>
      </c>
      <c r="AY53" s="216">
        <v>5</v>
      </c>
      <c r="AZ53" s="217">
        <v>5.99</v>
      </c>
      <c r="BA53" s="221"/>
      <c r="BB53" s="221"/>
      <c r="BC53" s="223">
        <v>42667</v>
      </c>
    </row>
    <row r="54" spans="37:55" x14ac:dyDescent="0.25">
      <c r="AK54" s="209" t="s">
        <v>307</v>
      </c>
      <c r="AL54" s="209">
        <v>18</v>
      </c>
      <c r="AM54" s="211">
        <v>1049</v>
      </c>
      <c r="AN54" s="229"/>
      <c r="AO54" s="213">
        <v>4</v>
      </c>
      <c r="AP54" s="222">
        <v>6.99</v>
      </c>
      <c r="AQ54" s="214">
        <v>4</v>
      </c>
      <c r="AR54" s="214">
        <v>4.99</v>
      </c>
      <c r="AS54" s="221"/>
      <c r="AT54" s="213">
        <v>0.99</v>
      </c>
      <c r="AU54" s="221"/>
      <c r="AV54" s="213">
        <v>1.99</v>
      </c>
      <c r="AW54" s="216">
        <v>1</v>
      </c>
      <c r="AX54" s="216">
        <v>1.99</v>
      </c>
      <c r="AY54" s="214">
        <v>1</v>
      </c>
      <c r="AZ54" s="214">
        <v>1.99</v>
      </c>
      <c r="BA54" s="214">
        <v>2</v>
      </c>
      <c r="BB54" s="214">
        <v>2.99</v>
      </c>
      <c r="BC54" s="223">
        <v>42483</v>
      </c>
    </row>
    <row r="55" spans="37:55" x14ac:dyDescent="0.25">
      <c r="AK55" s="209" t="s">
        <v>308</v>
      </c>
      <c r="AL55" s="209">
        <v>17</v>
      </c>
      <c r="AM55" s="211">
        <v>911</v>
      </c>
      <c r="AN55" s="229"/>
      <c r="AO55" s="221"/>
      <c r="AP55" s="213">
        <v>1.99</v>
      </c>
      <c r="AQ55" s="216">
        <v>4</v>
      </c>
      <c r="AR55" s="216">
        <v>4.99</v>
      </c>
      <c r="AS55" s="216">
        <v>6</v>
      </c>
      <c r="AT55" s="217">
        <v>6.99</v>
      </c>
      <c r="AU55" s="214">
        <v>5</v>
      </c>
      <c r="AV55" s="215">
        <v>5.99</v>
      </c>
      <c r="AW55" s="216">
        <v>4</v>
      </c>
      <c r="AX55" s="216">
        <v>4.99</v>
      </c>
      <c r="AY55" s="214">
        <v>3</v>
      </c>
      <c r="AZ55" s="214">
        <v>3.99</v>
      </c>
      <c r="BA55" s="221"/>
      <c r="BB55" s="221"/>
      <c r="BC55" s="223">
        <v>42733</v>
      </c>
    </row>
    <row r="56" spans="37:55" x14ac:dyDescent="0.25">
      <c r="AK56" s="209" t="s">
        <v>309</v>
      </c>
      <c r="AL56" s="209">
        <v>17</v>
      </c>
      <c r="AM56" s="211">
        <v>914</v>
      </c>
      <c r="AN56" s="229" t="s">
        <v>240</v>
      </c>
      <c r="AO56" s="221"/>
      <c r="AP56" s="213">
        <v>1.99</v>
      </c>
      <c r="AQ56" s="221"/>
      <c r="AR56" s="221">
        <v>4.99</v>
      </c>
      <c r="AS56" s="216">
        <v>5</v>
      </c>
      <c r="AT56" s="217">
        <v>5.99</v>
      </c>
      <c r="AU56" s="216">
        <v>2</v>
      </c>
      <c r="AV56" s="216">
        <v>2.99</v>
      </c>
      <c r="AW56" s="221"/>
      <c r="AX56" s="221"/>
      <c r="AY56" s="214">
        <v>2</v>
      </c>
      <c r="AZ56" s="214">
        <v>2.99</v>
      </c>
      <c r="BA56" s="221"/>
      <c r="BB56" s="221"/>
      <c r="BC56" s="223">
        <v>42737</v>
      </c>
    </row>
    <row r="57" spans="37:55" x14ac:dyDescent="0.25">
      <c r="AK57" s="209" t="s">
        <v>310</v>
      </c>
      <c r="AL57" s="209">
        <v>17</v>
      </c>
      <c r="AM57" s="211">
        <v>954</v>
      </c>
      <c r="AN57" s="229"/>
      <c r="AO57" s="221"/>
      <c r="AP57" s="221"/>
      <c r="AQ57" s="216">
        <v>5</v>
      </c>
      <c r="AR57" s="217">
        <v>5.99</v>
      </c>
      <c r="AS57" s="214">
        <v>2</v>
      </c>
      <c r="AT57" s="214">
        <v>2.99</v>
      </c>
      <c r="AU57" s="214">
        <v>3</v>
      </c>
      <c r="AV57" s="214">
        <v>3.99</v>
      </c>
      <c r="AW57" s="213">
        <v>2</v>
      </c>
      <c r="AX57" s="213">
        <v>3.99</v>
      </c>
      <c r="AY57" s="214">
        <v>2</v>
      </c>
      <c r="AZ57" s="214">
        <v>2.99</v>
      </c>
      <c r="BA57" s="221"/>
      <c r="BB57" s="221"/>
      <c r="BC57" s="223">
        <v>42690</v>
      </c>
    </row>
    <row r="58" spans="37:55" x14ac:dyDescent="0.25">
      <c r="AK58" s="209" t="s">
        <v>311</v>
      </c>
      <c r="AL58" s="209">
        <v>19</v>
      </c>
      <c r="AM58" s="211">
        <v>909</v>
      </c>
      <c r="AN58" s="229" t="s">
        <v>258</v>
      </c>
      <c r="AO58" s="221"/>
      <c r="AP58" s="213">
        <v>1.99</v>
      </c>
      <c r="AQ58" s="214">
        <v>2</v>
      </c>
      <c r="AR58" s="214">
        <v>2.99</v>
      </c>
      <c r="AS58" s="214">
        <v>5</v>
      </c>
      <c r="AT58" s="215">
        <v>5.99</v>
      </c>
      <c r="AU58" s="221"/>
      <c r="AV58" s="213">
        <v>2.99</v>
      </c>
      <c r="AW58" s="213">
        <v>4</v>
      </c>
      <c r="AX58" s="222">
        <v>7</v>
      </c>
      <c r="AY58" s="214">
        <v>1</v>
      </c>
      <c r="AZ58" s="214">
        <v>1.99</v>
      </c>
      <c r="BA58" s="221"/>
      <c r="BB58" s="221"/>
      <c r="BC58" s="223">
        <v>42654</v>
      </c>
    </row>
    <row r="59" spans="37:55" x14ac:dyDescent="0.25">
      <c r="AK59" s="209" t="s">
        <v>312</v>
      </c>
      <c r="AL59" s="209">
        <v>16</v>
      </c>
      <c r="AM59" s="211">
        <v>992</v>
      </c>
      <c r="AN59" s="229"/>
      <c r="AO59" s="221"/>
      <c r="AP59" s="213">
        <v>1.99</v>
      </c>
      <c r="AQ59" s="216">
        <v>2</v>
      </c>
      <c r="AR59" s="216">
        <v>2.99</v>
      </c>
      <c r="AS59" s="216">
        <v>4</v>
      </c>
      <c r="AT59" s="216">
        <v>4.99</v>
      </c>
      <c r="AU59" s="214">
        <v>4</v>
      </c>
      <c r="AV59" s="214">
        <v>4.99</v>
      </c>
      <c r="AW59" s="216">
        <v>5</v>
      </c>
      <c r="AX59" s="217">
        <v>5.99</v>
      </c>
      <c r="AY59" s="214">
        <v>3</v>
      </c>
      <c r="AZ59" s="214">
        <v>3.99</v>
      </c>
      <c r="BA59" s="221"/>
      <c r="BB59" s="221"/>
      <c r="BC59" s="223">
        <v>42764</v>
      </c>
    </row>
    <row r="60" spans="37:55" x14ac:dyDescent="0.25">
      <c r="AK60" s="209" t="s">
        <v>313</v>
      </c>
      <c r="AL60" s="209">
        <v>16</v>
      </c>
      <c r="AM60" s="211">
        <v>980</v>
      </c>
      <c r="AN60" s="229"/>
      <c r="AO60" s="221"/>
      <c r="AP60" s="213">
        <v>1.99</v>
      </c>
      <c r="AQ60" s="214">
        <v>3</v>
      </c>
      <c r="AR60" s="214">
        <v>3.99</v>
      </c>
      <c r="AS60" s="216">
        <v>6</v>
      </c>
      <c r="AT60" s="217">
        <v>6.99</v>
      </c>
      <c r="AU60" s="214">
        <v>2</v>
      </c>
      <c r="AV60" s="214">
        <v>2.99</v>
      </c>
      <c r="AW60" s="221"/>
      <c r="AX60" s="213">
        <v>2.99</v>
      </c>
      <c r="AY60" s="214">
        <v>4</v>
      </c>
      <c r="AZ60" s="214">
        <v>4.99</v>
      </c>
      <c r="BA60" s="221"/>
      <c r="BB60" s="213">
        <v>3.99</v>
      </c>
      <c r="BC60" s="223">
        <v>42776</v>
      </c>
    </row>
    <row r="61" spans="37:55" x14ac:dyDescent="0.25">
      <c r="AK61" s="209" t="s">
        <v>314</v>
      </c>
      <c r="AL61" s="209">
        <v>17</v>
      </c>
      <c r="AM61" s="211">
        <v>936</v>
      </c>
      <c r="AN61" s="229"/>
      <c r="AO61" s="221"/>
      <c r="AP61" s="213">
        <v>1.99</v>
      </c>
      <c r="AQ61" s="216">
        <v>5</v>
      </c>
      <c r="AR61" s="217">
        <v>5.99</v>
      </c>
      <c r="AS61" s="216">
        <v>3</v>
      </c>
      <c r="AT61" s="216">
        <v>3.99</v>
      </c>
      <c r="AU61" s="221"/>
      <c r="AV61" s="213">
        <v>2.99</v>
      </c>
      <c r="AW61" s="216">
        <v>4</v>
      </c>
      <c r="AX61" s="216">
        <v>4.99</v>
      </c>
      <c r="AY61" s="221"/>
      <c r="AZ61" s="219">
        <v>5.99</v>
      </c>
      <c r="BA61" s="221"/>
      <c r="BB61" s="213">
        <v>2.99</v>
      </c>
      <c r="BC61" s="223">
        <v>42754</v>
      </c>
    </row>
    <row r="62" spans="37:55" x14ac:dyDescent="0.25">
      <c r="AK62" s="209" t="s">
        <v>315</v>
      </c>
      <c r="AL62" s="209">
        <v>17</v>
      </c>
      <c r="AM62" s="211">
        <v>840</v>
      </c>
      <c r="AN62" s="229"/>
      <c r="AO62" s="221"/>
      <c r="AP62" s="213">
        <v>1.99</v>
      </c>
      <c r="AQ62" s="213">
        <v>6</v>
      </c>
      <c r="AR62" s="222">
        <v>7</v>
      </c>
      <c r="AS62" s="221"/>
      <c r="AT62" s="213">
        <v>2.99</v>
      </c>
      <c r="AU62" s="216">
        <v>5</v>
      </c>
      <c r="AV62" s="217">
        <v>5.99</v>
      </c>
      <c r="AW62" s="216">
        <v>3</v>
      </c>
      <c r="AX62" s="216">
        <v>3.99</v>
      </c>
      <c r="AY62" s="214">
        <v>3</v>
      </c>
      <c r="AZ62" s="214">
        <v>3.99</v>
      </c>
      <c r="BA62" s="221"/>
      <c r="BB62" s="213">
        <v>3.99</v>
      </c>
      <c r="BC62" s="223">
        <v>42804</v>
      </c>
    </row>
    <row r="63" spans="37:55" x14ac:dyDescent="0.25">
      <c r="AK63" s="209" t="s">
        <v>316</v>
      </c>
      <c r="AL63" s="209">
        <v>16</v>
      </c>
      <c r="AM63" s="211">
        <v>944</v>
      </c>
      <c r="AN63" s="229"/>
      <c r="AO63" s="221"/>
      <c r="AP63" s="221">
        <v>1.99</v>
      </c>
      <c r="AQ63" s="214">
        <v>2</v>
      </c>
      <c r="AR63" s="214">
        <v>2.99</v>
      </c>
      <c r="AS63" s="216">
        <v>5</v>
      </c>
      <c r="AT63" s="217">
        <v>5.99</v>
      </c>
      <c r="AU63" s="214">
        <v>4</v>
      </c>
      <c r="AV63" s="214">
        <v>4.99</v>
      </c>
      <c r="AW63" s="214">
        <v>3</v>
      </c>
      <c r="AX63" s="214">
        <v>3.99</v>
      </c>
      <c r="AY63" s="214">
        <v>3</v>
      </c>
      <c r="AZ63" s="214">
        <v>3.99</v>
      </c>
      <c r="BA63" s="221"/>
      <c r="BB63" s="221">
        <v>4.99</v>
      </c>
      <c r="BC63" s="223">
        <v>42812</v>
      </c>
    </row>
    <row r="64" spans="37:55" x14ac:dyDescent="0.25">
      <c r="AK64" s="209" t="s">
        <v>317</v>
      </c>
      <c r="AL64" s="209">
        <v>17</v>
      </c>
      <c r="AM64" s="211">
        <v>887</v>
      </c>
      <c r="AN64" s="229"/>
      <c r="AO64" s="221"/>
      <c r="AP64" s="221"/>
      <c r="AQ64" s="214">
        <v>4</v>
      </c>
      <c r="AR64" s="214">
        <v>4.99</v>
      </c>
      <c r="AS64" s="216">
        <v>4</v>
      </c>
      <c r="AT64" s="216">
        <v>4.99</v>
      </c>
      <c r="AU64" s="221"/>
      <c r="AV64" s="213">
        <v>4.99</v>
      </c>
      <c r="AW64" s="213">
        <v>5</v>
      </c>
      <c r="AX64" s="222">
        <v>6.99</v>
      </c>
      <c r="AY64" s="214">
        <v>3</v>
      </c>
      <c r="AZ64" s="214">
        <v>3.99</v>
      </c>
      <c r="BA64" s="221"/>
      <c r="BB64" s="221"/>
      <c r="BC64" s="223">
        <v>42779</v>
      </c>
    </row>
    <row r="65" spans="37:58" x14ac:dyDescent="0.25">
      <c r="AK65" s="209" t="s">
        <v>318</v>
      </c>
      <c r="AL65" s="209">
        <v>17</v>
      </c>
      <c r="AM65" s="211">
        <v>804</v>
      </c>
      <c r="AN65" s="229" t="s">
        <v>240</v>
      </c>
      <c r="AO65" s="221"/>
      <c r="AP65" s="221"/>
      <c r="AQ65" s="214">
        <v>2</v>
      </c>
      <c r="AR65" s="214">
        <v>2.99</v>
      </c>
      <c r="AS65" s="216">
        <v>4</v>
      </c>
      <c r="AT65" s="216">
        <v>4.99</v>
      </c>
      <c r="AU65" s="214">
        <v>3</v>
      </c>
      <c r="AV65" s="214">
        <v>3.99</v>
      </c>
      <c r="AW65" s="216">
        <v>6</v>
      </c>
      <c r="AX65" s="217">
        <v>6.99</v>
      </c>
      <c r="AY65" s="214">
        <v>3</v>
      </c>
      <c r="AZ65" s="214">
        <v>3.99</v>
      </c>
      <c r="BA65" s="221"/>
      <c r="BB65" s="213">
        <v>2.99</v>
      </c>
      <c r="BC65" s="223">
        <v>42840</v>
      </c>
    </row>
    <row r="66" spans="37:58" x14ac:dyDescent="0.25">
      <c r="AK66" s="209" t="s">
        <v>319</v>
      </c>
      <c r="AL66" s="209">
        <v>17</v>
      </c>
      <c r="AM66" s="211">
        <v>886</v>
      </c>
      <c r="AN66" s="229"/>
      <c r="AO66" s="221"/>
      <c r="AP66" s="221"/>
      <c r="AQ66" s="216">
        <v>4</v>
      </c>
      <c r="AR66" s="216">
        <v>4.99</v>
      </c>
      <c r="AS66" s="216">
        <v>4</v>
      </c>
      <c r="AT66" s="216">
        <v>4.99</v>
      </c>
      <c r="AU66" s="213">
        <v>5</v>
      </c>
      <c r="AV66" s="222">
        <v>6.99</v>
      </c>
      <c r="AW66" s="221"/>
      <c r="AX66" s="213">
        <v>3.99</v>
      </c>
      <c r="AY66" s="214">
        <v>3</v>
      </c>
      <c r="AZ66" s="214">
        <v>3.99</v>
      </c>
      <c r="BA66" s="221"/>
      <c r="BB66" s="221"/>
      <c r="BC66" s="223">
        <v>42828</v>
      </c>
    </row>
    <row r="67" spans="37:58" x14ac:dyDescent="0.25">
      <c r="AK67" s="209" t="s">
        <v>320</v>
      </c>
      <c r="AL67" s="209">
        <v>17</v>
      </c>
      <c r="AM67" s="211">
        <v>785</v>
      </c>
      <c r="AN67" s="229"/>
      <c r="AO67" s="221"/>
      <c r="AP67" s="221"/>
      <c r="AQ67" s="216">
        <v>4</v>
      </c>
      <c r="AR67" s="216">
        <v>4.99</v>
      </c>
      <c r="AS67" s="216">
        <v>5</v>
      </c>
      <c r="AT67" s="217">
        <v>5.99</v>
      </c>
      <c r="AU67" s="221"/>
      <c r="AV67" s="221"/>
      <c r="AW67" s="221"/>
      <c r="AX67" s="221"/>
      <c r="AY67" s="221"/>
      <c r="AZ67" s="213">
        <v>4.99</v>
      </c>
      <c r="BA67" s="221"/>
      <c r="BB67" s="221"/>
      <c r="BC67" s="223">
        <v>42863</v>
      </c>
    </row>
    <row r="68" spans="37:58" x14ac:dyDescent="0.25">
      <c r="AK68" s="209" t="s">
        <v>321</v>
      </c>
      <c r="AL68" s="209">
        <v>16</v>
      </c>
      <c r="AM68" s="211">
        <v>883</v>
      </c>
      <c r="AN68" s="229" t="s">
        <v>240</v>
      </c>
      <c r="AO68" s="221"/>
      <c r="AP68" s="221"/>
      <c r="AQ68" s="216">
        <v>4</v>
      </c>
      <c r="AR68" s="216">
        <v>4.99</v>
      </c>
      <c r="AS68" s="216">
        <v>3</v>
      </c>
      <c r="AT68" s="216">
        <v>3.99</v>
      </c>
      <c r="AU68" s="221"/>
      <c r="AV68" s="213">
        <v>2.99</v>
      </c>
      <c r="AW68" s="216">
        <v>5</v>
      </c>
      <c r="AX68" s="217">
        <v>5.99</v>
      </c>
      <c r="AY68" s="216">
        <v>5</v>
      </c>
      <c r="AZ68" s="217">
        <v>5.99</v>
      </c>
      <c r="BA68" s="221"/>
      <c r="BB68" s="221"/>
      <c r="BC68" s="223">
        <v>42873</v>
      </c>
    </row>
    <row r="69" spans="37:58" x14ac:dyDescent="0.25">
      <c r="AK69" s="209" t="s">
        <v>322</v>
      </c>
      <c r="AL69" s="209">
        <v>17</v>
      </c>
      <c r="AM69" s="211">
        <v>787</v>
      </c>
      <c r="AN69" s="229" t="s">
        <v>323</v>
      </c>
      <c r="AO69" s="221"/>
      <c r="AP69" s="213">
        <v>1.99</v>
      </c>
      <c r="AQ69" s="216">
        <v>4</v>
      </c>
      <c r="AR69" s="216">
        <v>4.99</v>
      </c>
      <c r="AS69" s="213">
        <v>6</v>
      </c>
      <c r="AT69" s="222">
        <v>7</v>
      </c>
      <c r="AU69" s="221"/>
      <c r="AV69" s="213">
        <v>3.99</v>
      </c>
      <c r="AW69" s="216">
        <v>3</v>
      </c>
      <c r="AX69" s="216">
        <v>3.99</v>
      </c>
      <c r="AY69" s="214">
        <v>2</v>
      </c>
      <c r="AZ69" s="214">
        <v>2.99</v>
      </c>
      <c r="BA69" s="221"/>
      <c r="BB69" s="221"/>
      <c r="BC69" s="223">
        <v>42886</v>
      </c>
    </row>
    <row r="70" spans="37:58" x14ac:dyDescent="0.25">
      <c r="AK70" s="209" t="s">
        <v>324</v>
      </c>
      <c r="AL70" s="209">
        <v>17</v>
      </c>
      <c r="AM70" s="211">
        <v>812</v>
      </c>
      <c r="AN70" s="229" t="s">
        <v>190</v>
      </c>
      <c r="AO70" s="221"/>
      <c r="AP70" s="221"/>
      <c r="AQ70" s="221"/>
      <c r="AR70" s="213">
        <v>4.99</v>
      </c>
      <c r="AS70" s="216">
        <v>5</v>
      </c>
      <c r="AT70" s="217">
        <v>5.99</v>
      </c>
      <c r="AU70" s="221"/>
      <c r="AV70" s="213">
        <v>2.99</v>
      </c>
      <c r="AW70" s="221"/>
      <c r="AX70" s="221">
        <v>2.99</v>
      </c>
      <c r="AY70" s="213">
        <v>4</v>
      </c>
      <c r="AZ70" s="219">
        <v>5.99</v>
      </c>
      <c r="BA70" s="221"/>
      <c r="BB70" s="221"/>
      <c r="BC70" s="223">
        <v>42912</v>
      </c>
    </row>
    <row r="71" spans="37:58" x14ac:dyDescent="0.25">
      <c r="AK71" s="209" t="s">
        <v>325</v>
      </c>
      <c r="AL71" s="209">
        <v>17</v>
      </c>
      <c r="AM71" s="211">
        <v>-1523</v>
      </c>
      <c r="AN71" s="229" t="s">
        <v>232</v>
      </c>
      <c r="AO71" s="221"/>
      <c r="AP71" s="213">
        <v>1.99</v>
      </c>
      <c r="AQ71" s="214">
        <v>4</v>
      </c>
      <c r="AR71" s="214">
        <v>4.99</v>
      </c>
      <c r="AS71" s="221"/>
      <c r="AT71" s="221"/>
      <c r="AU71" s="221"/>
      <c r="AV71" s="213">
        <v>1.99</v>
      </c>
      <c r="AW71" s="216">
        <v>6</v>
      </c>
      <c r="AX71" s="217">
        <v>6.99</v>
      </c>
      <c r="AY71" s="214">
        <v>3</v>
      </c>
      <c r="AZ71" s="214">
        <v>3.99</v>
      </c>
      <c r="BA71" s="221"/>
      <c r="BB71" s="213">
        <v>2.99</v>
      </c>
      <c r="BC71" s="223">
        <v>45167</v>
      </c>
    </row>
    <row r="72" spans="37:58" x14ac:dyDescent="0.25">
      <c r="AK72" s="209" t="s">
        <v>326</v>
      </c>
      <c r="AL72" s="209">
        <v>18</v>
      </c>
      <c r="AM72" s="211">
        <v>793</v>
      </c>
      <c r="AN72" s="229"/>
      <c r="AO72" s="221"/>
      <c r="AP72" s="219">
        <v>5.99</v>
      </c>
      <c r="AQ72" s="216">
        <v>4</v>
      </c>
      <c r="AR72" s="216">
        <v>4.99</v>
      </c>
      <c r="AS72" s="214">
        <v>1</v>
      </c>
      <c r="AT72" s="214">
        <v>1.99</v>
      </c>
      <c r="AU72" s="214">
        <v>0</v>
      </c>
      <c r="AV72" s="214">
        <v>0.99</v>
      </c>
      <c r="AW72" s="214">
        <v>0</v>
      </c>
      <c r="AX72" s="214">
        <v>0.99</v>
      </c>
      <c r="AY72" s="214">
        <v>0</v>
      </c>
      <c r="AZ72" s="214">
        <v>0.99</v>
      </c>
      <c r="BA72" s="221"/>
      <c r="BB72" s="221"/>
      <c r="BC72" s="223">
        <v>42739</v>
      </c>
    </row>
    <row r="73" spans="37:58" x14ac:dyDescent="0.25">
      <c r="AK73" s="209" t="s">
        <v>327</v>
      </c>
      <c r="AL73" s="209">
        <v>18</v>
      </c>
      <c r="AM73" s="211">
        <v>770</v>
      </c>
      <c r="AN73" s="229" t="s">
        <v>232</v>
      </c>
      <c r="AO73" s="221"/>
      <c r="AP73" s="221"/>
      <c r="AQ73" s="214">
        <v>3</v>
      </c>
      <c r="AR73" s="214">
        <v>3.99</v>
      </c>
      <c r="AS73" s="216">
        <v>5</v>
      </c>
      <c r="AT73" s="217">
        <v>5.99</v>
      </c>
      <c r="AU73" s="221"/>
      <c r="AV73" s="222">
        <v>6.99</v>
      </c>
      <c r="AW73" s="213">
        <v>2</v>
      </c>
      <c r="AX73" s="221"/>
      <c r="AY73" s="214">
        <v>3</v>
      </c>
      <c r="AZ73" s="214">
        <v>3.99</v>
      </c>
      <c r="BA73" s="221"/>
      <c r="BB73" s="221"/>
      <c r="BC73" s="223">
        <v>42835</v>
      </c>
    </row>
    <row r="74" spans="37:58" x14ac:dyDescent="0.25">
      <c r="AK74" s="209" t="s">
        <v>328</v>
      </c>
      <c r="AL74" s="209">
        <v>16</v>
      </c>
      <c r="AM74" s="211">
        <v>778</v>
      </c>
      <c r="AN74" s="229"/>
      <c r="AO74" s="221"/>
      <c r="AP74" s="221"/>
      <c r="AQ74" s="221"/>
      <c r="AR74" s="213">
        <v>2.99</v>
      </c>
      <c r="AS74" s="216">
        <v>3</v>
      </c>
      <c r="AT74" s="221">
        <v>3.99</v>
      </c>
      <c r="AU74" s="221"/>
      <c r="AV74" s="213">
        <v>3.99</v>
      </c>
      <c r="AW74" s="216">
        <v>6</v>
      </c>
      <c r="AX74" s="217">
        <v>6.99</v>
      </c>
      <c r="AY74" s="214">
        <v>4</v>
      </c>
      <c r="AZ74" s="214">
        <v>4.99</v>
      </c>
      <c r="BA74" s="221"/>
      <c r="BB74" s="221"/>
      <c r="BC74" s="223">
        <v>42978</v>
      </c>
    </row>
    <row r="75" spans="37:58" x14ac:dyDescent="0.25">
      <c r="AK75" s="209" t="s">
        <v>329</v>
      </c>
      <c r="AL75" s="209">
        <v>16</v>
      </c>
      <c r="AM75" s="211">
        <v>745</v>
      </c>
      <c r="AN75" s="229" t="s">
        <v>232</v>
      </c>
      <c r="AO75" s="221"/>
      <c r="AP75" s="213">
        <v>1.99</v>
      </c>
      <c r="AQ75" s="221"/>
      <c r="AR75" s="213">
        <v>2.99</v>
      </c>
      <c r="AS75" s="214">
        <v>3</v>
      </c>
      <c r="AT75" s="214">
        <v>3.99</v>
      </c>
      <c r="AU75" s="216">
        <v>3</v>
      </c>
      <c r="AV75" s="225">
        <v>3.99</v>
      </c>
      <c r="AW75" s="216">
        <v>5</v>
      </c>
      <c r="AX75" s="217">
        <v>5.99</v>
      </c>
      <c r="AY75" s="216">
        <v>6</v>
      </c>
      <c r="AZ75" s="217">
        <v>6.99</v>
      </c>
      <c r="BA75" s="221"/>
      <c r="BB75" s="221"/>
      <c r="BC75" s="223">
        <v>43011</v>
      </c>
    </row>
    <row r="76" spans="37:58" x14ac:dyDescent="0.25">
      <c r="AK76" s="209" t="s">
        <v>330</v>
      </c>
      <c r="AL76" s="209">
        <v>16</v>
      </c>
      <c r="AM76" s="211">
        <v>725</v>
      </c>
      <c r="AN76" s="229"/>
      <c r="AO76" s="221"/>
      <c r="AP76" s="221"/>
      <c r="AQ76" s="221"/>
      <c r="AR76" s="213">
        <v>3.99</v>
      </c>
      <c r="AS76" s="216">
        <v>3</v>
      </c>
      <c r="AT76" s="216">
        <v>3.99</v>
      </c>
      <c r="AU76" s="216">
        <v>6</v>
      </c>
      <c r="AV76" s="217">
        <v>6.99</v>
      </c>
      <c r="AW76" s="214">
        <v>1</v>
      </c>
      <c r="AX76" s="214">
        <v>1.99</v>
      </c>
      <c r="AY76" s="213">
        <v>4</v>
      </c>
      <c r="AZ76" s="219">
        <v>5.99</v>
      </c>
      <c r="BA76" s="221"/>
      <c r="BB76" s="213">
        <v>2.99</v>
      </c>
      <c r="BC76" s="223">
        <v>43031</v>
      </c>
    </row>
    <row r="77" spans="37:58" x14ac:dyDescent="0.25">
      <c r="AK77" s="209" t="s">
        <v>331</v>
      </c>
      <c r="AL77" s="209">
        <v>18</v>
      </c>
      <c r="AM77" s="211">
        <v>706</v>
      </c>
      <c r="AN77" s="229"/>
      <c r="AO77" s="221"/>
      <c r="AP77" s="213">
        <v>1.99</v>
      </c>
      <c r="AQ77" s="213">
        <v>3</v>
      </c>
      <c r="AR77" s="213">
        <v>4.99</v>
      </c>
      <c r="AS77" s="214">
        <v>3</v>
      </c>
      <c r="AT77" s="214">
        <v>3.99</v>
      </c>
      <c r="AU77" s="213">
        <v>5</v>
      </c>
      <c r="AV77" s="222">
        <v>6.99</v>
      </c>
      <c r="AW77" s="214">
        <v>2</v>
      </c>
      <c r="AX77" s="214">
        <v>2.99</v>
      </c>
      <c r="AY77" s="221"/>
      <c r="AZ77" s="213">
        <v>2.99</v>
      </c>
      <c r="BA77" s="221"/>
      <c r="BB77" s="221">
        <v>3.99</v>
      </c>
      <c r="BC77" s="223">
        <v>42928</v>
      </c>
    </row>
    <row r="78" spans="37:58" x14ac:dyDescent="0.25">
      <c r="AK78" s="209" t="s">
        <v>332</v>
      </c>
      <c r="AL78" s="209">
        <v>17</v>
      </c>
      <c r="AM78" s="211">
        <v>585</v>
      </c>
      <c r="AN78" s="229"/>
      <c r="AO78" s="221"/>
      <c r="AP78" s="213">
        <v>1.99</v>
      </c>
      <c r="AQ78" s="221"/>
      <c r="AR78" s="213">
        <v>3.99</v>
      </c>
      <c r="AS78" s="213">
        <v>6</v>
      </c>
      <c r="AT78" s="222">
        <v>7</v>
      </c>
      <c r="AU78" s="216">
        <v>6</v>
      </c>
      <c r="AV78" s="217">
        <v>6.99</v>
      </c>
      <c r="AW78" s="216">
        <v>2</v>
      </c>
      <c r="AX78" s="216">
        <v>2.99</v>
      </c>
      <c r="AY78" s="214">
        <v>4</v>
      </c>
      <c r="AZ78" s="214">
        <v>4.99</v>
      </c>
      <c r="BA78" s="221"/>
      <c r="BB78" s="213">
        <v>4.99</v>
      </c>
      <c r="BC78" s="223">
        <v>43059</v>
      </c>
    </row>
    <row r="79" spans="37:58" x14ac:dyDescent="0.25">
      <c r="AK79" s="209" t="s">
        <v>333</v>
      </c>
      <c r="AL79" s="209">
        <v>16</v>
      </c>
      <c r="AM79" s="211">
        <v>656</v>
      </c>
      <c r="AN79" s="229"/>
      <c r="AO79" s="221"/>
      <c r="AP79" s="213">
        <v>1.99</v>
      </c>
      <c r="AQ79" s="214">
        <v>2</v>
      </c>
      <c r="AR79" s="214">
        <v>2.99</v>
      </c>
      <c r="AS79" s="214">
        <v>4</v>
      </c>
      <c r="AT79" s="214">
        <v>4.99</v>
      </c>
      <c r="AU79" s="216">
        <v>3</v>
      </c>
      <c r="AV79" s="216">
        <v>3.99</v>
      </c>
      <c r="AW79" s="216">
        <v>5</v>
      </c>
      <c r="AX79" s="217">
        <v>5.99</v>
      </c>
      <c r="AY79" s="214">
        <v>1</v>
      </c>
      <c r="AZ79" s="214">
        <v>1.99</v>
      </c>
      <c r="BA79" s="221"/>
      <c r="BB79" s="221"/>
      <c r="BC79" s="223">
        <v>43100</v>
      </c>
      <c r="BD79" s="3"/>
      <c r="BE79" s="3"/>
      <c r="BF79" s="3"/>
    </row>
    <row r="80" spans="37:58" x14ac:dyDescent="0.25">
      <c r="AK80" s="209" t="s">
        <v>334</v>
      </c>
      <c r="AL80" s="209">
        <v>17</v>
      </c>
      <c r="AM80" s="211">
        <v>535</v>
      </c>
      <c r="AN80" s="229"/>
      <c r="AO80" s="221"/>
      <c r="AP80" s="221"/>
      <c r="AQ80" s="221"/>
      <c r="AR80" s="213">
        <v>2.99</v>
      </c>
      <c r="AS80" s="216">
        <v>6</v>
      </c>
      <c r="AT80" s="217">
        <v>6.6</v>
      </c>
      <c r="AU80" s="216">
        <v>5</v>
      </c>
      <c r="AV80" s="217">
        <v>5.99</v>
      </c>
      <c r="AW80" s="216">
        <v>4</v>
      </c>
      <c r="AX80" s="216">
        <v>4.99</v>
      </c>
      <c r="AY80" s="221"/>
      <c r="AZ80" s="213">
        <v>2.99</v>
      </c>
      <c r="BA80" s="221"/>
      <c r="BB80" s="221"/>
      <c r="BC80" s="223">
        <v>43109</v>
      </c>
      <c r="BD80" s="3"/>
      <c r="BE80" s="3"/>
      <c r="BF80" s="3"/>
    </row>
    <row r="81" spans="37:58" x14ac:dyDescent="0.25">
      <c r="AK81" s="209" t="s">
        <v>335</v>
      </c>
      <c r="AL81" s="209">
        <v>16</v>
      </c>
      <c r="AM81" s="211">
        <v>581</v>
      </c>
      <c r="AN81" s="229" t="s">
        <v>336</v>
      </c>
      <c r="AO81" s="221"/>
      <c r="AP81" s="221"/>
      <c r="AQ81" s="221"/>
      <c r="AR81" s="213">
        <v>3.99</v>
      </c>
      <c r="AS81" s="214">
        <v>4</v>
      </c>
      <c r="AT81" s="214">
        <v>4.99</v>
      </c>
      <c r="AU81" s="221"/>
      <c r="AV81" s="219">
        <v>5.99</v>
      </c>
      <c r="AW81" s="216">
        <v>1</v>
      </c>
      <c r="AX81" s="216">
        <v>1.99</v>
      </c>
      <c r="AY81" s="221"/>
      <c r="AZ81" s="213">
        <v>3.99</v>
      </c>
      <c r="BA81" s="221"/>
      <c r="BB81" s="221"/>
      <c r="BC81" s="223">
        <v>43175</v>
      </c>
      <c r="BD81" s="3"/>
      <c r="BE81" s="3"/>
      <c r="BF81" s="3"/>
    </row>
    <row r="82" spans="37:58" x14ac:dyDescent="0.25">
      <c r="AK82" s="209" t="s">
        <v>337</v>
      </c>
      <c r="AL82" s="209">
        <v>17</v>
      </c>
      <c r="AM82" s="211">
        <v>473</v>
      </c>
      <c r="AN82" s="229" t="s">
        <v>336</v>
      </c>
      <c r="AO82" s="221"/>
      <c r="AP82" s="213">
        <v>0.99</v>
      </c>
      <c r="AQ82" s="214">
        <v>3</v>
      </c>
      <c r="AR82" s="214">
        <v>3.99</v>
      </c>
      <c r="AS82" s="214">
        <v>5</v>
      </c>
      <c r="AT82" s="214">
        <v>5.99</v>
      </c>
      <c r="AU82" s="221"/>
      <c r="AV82" s="213">
        <v>2.99</v>
      </c>
      <c r="AW82" s="221"/>
      <c r="AX82" s="221"/>
      <c r="AY82" s="214">
        <v>2</v>
      </c>
      <c r="AZ82" s="214">
        <v>2.99</v>
      </c>
      <c r="BA82" s="221"/>
      <c r="BB82" s="221"/>
      <c r="BC82" s="223">
        <v>43192</v>
      </c>
      <c r="BD82" s="3"/>
      <c r="BE82" s="3"/>
      <c r="BF82" s="3"/>
    </row>
    <row r="83" spans="37:58" x14ac:dyDescent="0.25">
      <c r="AK83" s="209" t="s">
        <v>338</v>
      </c>
      <c r="AL83" s="209">
        <v>18</v>
      </c>
      <c r="AM83" s="211">
        <v>539</v>
      </c>
      <c r="AN83" s="229"/>
      <c r="AO83" s="221"/>
      <c r="AP83" s="213">
        <v>1.99</v>
      </c>
      <c r="AQ83" s="214">
        <v>3</v>
      </c>
      <c r="AR83" s="214">
        <v>3.99</v>
      </c>
      <c r="AS83" s="214">
        <v>4</v>
      </c>
      <c r="AT83" s="214">
        <v>4.99</v>
      </c>
      <c r="AU83" s="214">
        <v>2</v>
      </c>
      <c r="AV83" s="214">
        <v>2.99</v>
      </c>
      <c r="AW83" s="214">
        <v>4</v>
      </c>
      <c r="AX83" s="214">
        <v>4.99</v>
      </c>
      <c r="AY83" s="216">
        <v>4</v>
      </c>
      <c r="AZ83" s="216">
        <v>4.99</v>
      </c>
      <c r="BA83" s="221"/>
      <c r="BB83" s="213">
        <v>2.99</v>
      </c>
      <c r="BC83" s="223">
        <v>42919</v>
      </c>
      <c r="BD83" s="3"/>
      <c r="BE83" s="3"/>
      <c r="BF83" s="3"/>
    </row>
    <row r="84" spans="37:58" x14ac:dyDescent="0.25">
      <c r="AK84" s="209" t="s">
        <v>339</v>
      </c>
      <c r="AL84" s="209">
        <v>18</v>
      </c>
      <c r="AM84" s="211">
        <v>539</v>
      </c>
      <c r="AN84" s="229" t="s">
        <v>198</v>
      </c>
      <c r="AO84" s="221"/>
      <c r="AP84" s="213">
        <v>0.99</v>
      </c>
      <c r="AQ84" s="216">
        <v>3</v>
      </c>
      <c r="AR84" s="216">
        <v>3.99</v>
      </c>
      <c r="AS84" s="216">
        <v>3</v>
      </c>
      <c r="AT84" s="216">
        <v>3.99</v>
      </c>
      <c r="AU84" s="216">
        <v>3</v>
      </c>
      <c r="AV84" s="216">
        <v>3.99</v>
      </c>
      <c r="AW84" s="213">
        <v>4</v>
      </c>
      <c r="AX84" s="222">
        <v>7</v>
      </c>
      <c r="AY84" s="221"/>
      <c r="AZ84" s="219">
        <v>5.99</v>
      </c>
      <c r="BA84" s="221"/>
      <c r="BB84" s="213">
        <v>1.99</v>
      </c>
      <c r="BC84" s="223">
        <v>43067</v>
      </c>
      <c r="BD84" s="3"/>
      <c r="BE84" s="3"/>
      <c r="BF84" s="3"/>
    </row>
    <row r="85" spans="37:58" x14ac:dyDescent="0.25">
      <c r="AK85" s="209" t="s">
        <v>340</v>
      </c>
      <c r="AL85" s="209">
        <v>18</v>
      </c>
      <c r="AM85" s="211">
        <v>-1718</v>
      </c>
      <c r="AN85" s="229" t="s">
        <v>240</v>
      </c>
      <c r="AO85" s="221"/>
      <c r="AP85" s="213">
        <v>1.99</v>
      </c>
      <c r="AQ85" s="214">
        <v>2</v>
      </c>
      <c r="AR85" s="214">
        <v>2.99</v>
      </c>
      <c r="AS85" s="214">
        <v>4</v>
      </c>
      <c r="AT85" s="214">
        <v>4.99</v>
      </c>
      <c r="AU85" s="221"/>
      <c r="AV85" s="213">
        <v>3.99</v>
      </c>
      <c r="AW85" s="213">
        <v>2</v>
      </c>
      <c r="AX85" s="213">
        <v>3.99</v>
      </c>
      <c r="AY85" s="221"/>
      <c r="AZ85" s="213">
        <v>2.99</v>
      </c>
      <c r="BA85" s="221"/>
      <c r="BB85" s="221"/>
      <c r="BC85" s="223">
        <v>45250</v>
      </c>
      <c r="BD85" s="3"/>
      <c r="BE85" s="3"/>
      <c r="BF85" s="3"/>
    </row>
    <row r="86" spans="37:58" x14ac:dyDescent="0.25">
      <c r="AK86" s="209" t="s">
        <v>341</v>
      </c>
      <c r="AL86" s="209">
        <v>17</v>
      </c>
      <c r="AM86" s="211">
        <v>423</v>
      </c>
      <c r="AN86" s="229"/>
      <c r="AO86" s="221"/>
      <c r="AP86" s="213">
        <v>1.99</v>
      </c>
      <c r="AQ86" s="216">
        <v>4</v>
      </c>
      <c r="AR86" s="216">
        <v>4.99</v>
      </c>
      <c r="AS86" s="214">
        <v>3</v>
      </c>
      <c r="AT86" s="214">
        <v>3.99</v>
      </c>
      <c r="AU86" s="213">
        <v>5</v>
      </c>
      <c r="AV86" s="222">
        <v>6.99</v>
      </c>
      <c r="AW86" s="214">
        <v>1</v>
      </c>
      <c r="AX86" s="214">
        <v>1.99</v>
      </c>
      <c r="AY86" s="214">
        <v>1</v>
      </c>
      <c r="AZ86" s="214">
        <v>1.99</v>
      </c>
      <c r="BA86" s="221"/>
      <c r="BB86" s="221"/>
      <c r="BC86" s="223">
        <v>43221</v>
      </c>
      <c r="BD86" s="3"/>
      <c r="BE86" s="3"/>
      <c r="BF86" s="3"/>
    </row>
    <row r="87" spans="37:58" x14ac:dyDescent="0.25">
      <c r="AK87" s="209" t="s">
        <v>342</v>
      </c>
      <c r="AL87" s="209">
        <v>18</v>
      </c>
      <c r="AM87" s="211">
        <v>413</v>
      </c>
      <c r="AN87" s="229"/>
      <c r="AO87" s="221"/>
      <c r="AP87" s="213">
        <v>0.99</v>
      </c>
      <c r="AQ87" s="216">
        <v>6</v>
      </c>
      <c r="AR87" s="217">
        <v>6.99</v>
      </c>
      <c r="AS87" s="216">
        <v>4</v>
      </c>
      <c r="AT87" s="216">
        <v>4.99</v>
      </c>
      <c r="AU87" s="213">
        <v>4</v>
      </c>
      <c r="AV87" s="219">
        <v>5.99</v>
      </c>
      <c r="AW87" s="221"/>
      <c r="AX87" s="213">
        <v>3.99</v>
      </c>
      <c r="AY87" s="221"/>
      <c r="AZ87" s="213">
        <v>4.99</v>
      </c>
      <c r="BA87" s="221"/>
      <c r="BB87" s="213">
        <v>2.99</v>
      </c>
      <c r="BC87" s="223">
        <v>43143</v>
      </c>
      <c r="BD87" s="3"/>
      <c r="BE87" s="3"/>
      <c r="BF87" s="3"/>
    </row>
    <row r="88" spans="37:58" x14ac:dyDescent="0.25">
      <c r="AK88" s="209" t="s">
        <v>343</v>
      </c>
      <c r="AL88" s="209">
        <v>16</v>
      </c>
      <c r="AM88" s="211">
        <v>467</v>
      </c>
      <c r="AN88" s="229" t="s">
        <v>175</v>
      </c>
      <c r="AO88" s="221"/>
      <c r="AP88" s="213">
        <v>0.99</v>
      </c>
      <c r="AQ88" s="216">
        <v>7</v>
      </c>
      <c r="AR88" s="217">
        <v>7</v>
      </c>
      <c r="AS88" s="216">
        <v>4</v>
      </c>
      <c r="AT88" s="216">
        <v>4.99</v>
      </c>
      <c r="AU88" s="216">
        <v>4</v>
      </c>
      <c r="AV88" s="216">
        <v>4.99</v>
      </c>
      <c r="AW88" s="214">
        <v>3</v>
      </c>
      <c r="AX88" s="214">
        <v>3.99</v>
      </c>
      <c r="AY88" s="221"/>
      <c r="AZ88" s="213">
        <v>2.99</v>
      </c>
      <c r="BA88" s="221"/>
      <c r="BB88" s="213">
        <v>3.99</v>
      </c>
      <c r="BC88" s="223">
        <v>43289</v>
      </c>
      <c r="BD88" s="3"/>
      <c r="BE88" s="3"/>
      <c r="BF88" s="3"/>
    </row>
    <row r="89" spans="37:58" x14ac:dyDescent="0.25">
      <c r="AK89" s="209" t="s">
        <v>344</v>
      </c>
      <c r="AL89" s="209">
        <v>16</v>
      </c>
      <c r="AM89" s="211">
        <v>386</v>
      </c>
      <c r="AN89" s="229"/>
      <c r="AO89" s="221"/>
      <c r="AP89" s="221"/>
      <c r="AQ89" s="213">
        <v>3</v>
      </c>
      <c r="AR89" s="221"/>
      <c r="AS89" s="221"/>
      <c r="AT89" s="221"/>
      <c r="AU89" s="221"/>
      <c r="AV89" s="213">
        <v>3.99</v>
      </c>
      <c r="AW89" s="213">
        <v>4</v>
      </c>
      <c r="AX89" s="222">
        <v>6.99</v>
      </c>
      <c r="AY89" s="221"/>
      <c r="AZ89" s="213">
        <v>4.99</v>
      </c>
      <c r="BA89" s="221"/>
      <c r="BB89" s="221"/>
      <c r="BC89" s="223">
        <v>43370</v>
      </c>
      <c r="BD89" s="3"/>
      <c r="BE89" s="3"/>
      <c r="BF89" s="3"/>
    </row>
    <row r="90" spans="37:58" x14ac:dyDescent="0.25">
      <c r="AK90" s="209" t="s">
        <v>345</v>
      </c>
      <c r="AL90" s="209">
        <v>16</v>
      </c>
      <c r="AM90" s="211">
        <v>429</v>
      </c>
      <c r="AN90" s="229"/>
      <c r="AO90" s="221"/>
      <c r="AP90" s="213">
        <v>1.99</v>
      </c>
      <c r="AQ90" s="214">
        <v>4</v>
      </c>
      <c r="AR90" s="214">
        <v>4.99</v>
      </c>
      <c r="AS90" s="221"/>
      <c r="AT90" s="213">
        <v>4.99</v>
      </c>
      <c r="AU90" s="216">
        <v>5</v>
      </c>
      <c r="AV90" s="217">
        <v>5.99</v>
      </c>
      <c r="AW90" s="221"/>
      <c r="AX90" s="213">
        <v>2.99</v>
      </c>
      <c r="AY90" s="221"/>
      <c r="AZ90" s="213">
        <v>3.99</v>
      </c>
      <c r="BA90" s="221"/>
      <c r="BB90" s="221"/>
      <c r="BC90" s="223">
        <v>43327</v>
      </c>
      <c r="BD90" s="3"/>
      <c r="BE90" s="3"/>
      <c r="BF90" s="3"/>
    </row>
    <row r="91" spans="37:58" x14ac:dyDescent="0.25">
      <c r="AK91" s="209" t="s">
        <v>14</v>
      </c>
      <c r="AL91" s="209">
        <v>17</v>
      </c>
      <c r="AM91" s="211">
        <v>211</v>
      </c>
      <c r="AN91" s="229" t="s">
        <v>166</v>
      </c>
      <c r="AO91" s="221"/>
      <c r="AP91" s="213">
        <v>1.99</v>
      </c>
      <c r="AQ91" s="233">
        <v>2</v>
      </c>
      <c r="AR91" s="214">
        <v>2.99</v>
      </c>
      <c r="AS91" s="234" t="s">
        <v>346</v>
      </c>
      <c r="AT91" s="235">
        <v>5.99</v>
      </c>
      <c r="AU91" s="234">
        <v>5.5</v>
      </c>
      <c r="AV91" s="235">
        <v>5.5</v>
      </c>
      <c r="AW91" s="234">
        <v>4.4000000000000004</v>
      </c>
      <c r="AX91" s="214">
        <v>4.4000000000000004</v>
      </c>
      <c r="AY91" s="234">
        <v>3</v>
      </c>
      <c r="AZ91" s="214">
        <v>3.99</v>
      </c>
      <c r="BA91" s="221"/>
      <c r="BB91" s="221"/>
      <c r="BC91" s="223">
        <v>43433</v>
      </c>
      <c r="BD91" s="3"/>
      <c r="BE91" s="3"/>
      <c r="BF91" s="3"/>
    </row>
    <row r="92" spans="37:58" x14ac:dyDescent="0.25">
      <c r="AK92" s="209" t="s">
        <v>347</v>
      </c>
      <c r="AL92" s="209">
        <v>17</v>
      </c>
      <c r="AM92" s="211">
        <v>172</v>
      </c>
      <c r="AN92" s="229"/>
      <c r="AO92" s="221"/>
      <c r="AP92" s="213">
        <v>0.99</v>
      </c>
      <c r="AQ92" s="221"/>
      <c r="AR92" s="213">
        <v>3.99</v>
      </c>
      <c r="AS92" s="233">
        <v>2</v>
      </c>
      <c r="AT92" s="214">
        <v>2.99</v>
      </c>
      <c r="AU92" s="236">
        <v>5</v>
      </c>
      <c r="AV92" s="222">
        <v>6.99</v>
      </c>
      <c r="AW92" s="234">
        <v>5</v>
      </c>
      <c r="AX92" s="215">
        <v>5.99</v>
      </c>
      <c r="AY92" s="237">
        <v>6</v>
      </c>
      <c r="AZ92" s="217">
        <v>6.99</v>
      </c>
      <c r="BA92" s="234">
        <v>4</v>
      </c>
      <c r="BB92" s="214">
        <v>4.99</v>
      </c>
      <c r="BC92" s="223">
        <v>43472</v>
      </c>
      <c r="BD92" s="3"/>
      <c r="BE92" s="3"/>
      <c r="BF92" s="3"/>
    </row>
    <row r="93" spans="37:58" x14ac:dyDescent="0.25">
      <c r="AK93" s="209" t="s">
        <v>348</v>
      </c>
      <c r="AL93" s="209">
        <v>16</v>
      </c>
      <c r="AM93" s="211">
        <v>271</v>
      </c>
      <c r="AN93" s="229"/>
      <c r="AO93" s="221"/>
      <c r="AP93" s="213">
        <v>1.99</v>
      </c>
      <c r="AQ93" s="234">
        <v>5.0999999999999996</v>
      </c>
      <c r="AR93" s="215">
        <v>5.99</v>
      </c>
      <c r="AS93" s="237">
        <v>6.5</v>
      </c>
      <c r="AT93" s="217">
        <v>6.99</v>
      </c>
      <c r="AU93" s="234">
        <v>3</v>
      </c>
      <c r="AV93" s="214">
        <v>3.99</v>
      </c>
      <c r="AW93" s="233">
        <v>2</v>
      </c>
      <c r="AX93" s="214">
        <v>2.99</v>
      </c>
      <c r="AY93" s="234">
        <v>3</v>
      </c>
      <c r="AZ93" s="214">
        <v>3.99</v>
      </c>
      <c r="BA93" s="221"/>
      <c r="BB93" s="221"/>
      <c r="BC93" s="223">
        <v>43485</v>
      </c>
      <c r="BD93" s="3"/>
      <c r="BE93" s="3"/>
      <c r="BF93" s="3"/>
    </row>
    <row r="94" spans="37:58" x14ac:dyDescent="0.25">
      <c r="AK94" s="209" t="s">
        <v>349</v>
      </c>
      <c r="AL94" s="209">
        <v>18</v>
      </c>
      <c r="AM94" s="211">
        <v>257</v>
      </c>
      <c r="AN94" s="229"/>
      <c r="AO94" s="221"/>
      <c r="AP94" s="213">
        <v>1.99</v>
      </c>
      <c r="AQ94" s="221"/>
      <c r="AR94" s="213">
        <v>4.99</v>
      </c>
      <c r="AS94" s="236">
        <v>5</v>
      </c>
      <c r="AT94" s="222">
        <v>6.99</v>
      </c>
      <c r="AU94" s="221"/>
      <c r="AV94" s="213">
        <v>2.99</v>
      </c>
      <c r="AW94" s="234">
        <v>3</v>
      </c>
      <c r="AX94" s="214">
        <v>3.99</v>
      </c>
      <c r="AY94" s="221"/>
      <c r="AZ94" s="222">
        <v>6.99</v>
      </c>
      <c r="BA94" s="233">
        <v>2</v>
      </c>
      <c r="BB94" s="214">
        <v>2.99</v>
      </c>
      <c r="BC94" s="223">
        <v>43644</v>
      </c>
      <c r="BD94" s="3"/>
      <c r="BE94" s="3"/>
      <c r="BF94" s="3"/>
    </row>
    <row r="95" spans="37:58" x14ac:dyDescent="0.25">
      <c r="AK95" s="209" t="s">
        <v>350</v>
      </c>
      <c r="AL95" s="209">
        <v>19</v>
      </c>
      <c r="AM95" s="211">
        <v>148</v>
      </c>
      <c r="AN95" s="229"/>
      <c r="AO95" s="221"/>
      <c r="AP95" s="213">
        <v>1.99</v>
      </c>
      <c r="AQ95" s="234">
        <v>4</v>
      </c>
      <c r="AR95" s="214">
        <v>4.99</v>
      </c>
      <c r="AS95" s="221"/>
      <c r="AT95" s="213">
        <v>4.99</v>
      </c>
      <c r="AU95" s="221"/>
      <c r="AV95" s="213">
        <v>4.99</v>
      </c>
      <c r="AW95" s="234">
        <v>3</v>
      </c>
      <c r="AX95" s="214">
        <v>3.99</v>
      </c>
      <c r="AY95" s="236">
        <v>3</v>
      </c>
      <c r="AZ95" s="213">
        <v>4.99</v>
      </c>
      <c r="BA95" s="234">
        <v>1</v>
      </c>
      <c r="BB95" s="214">
        <v>1.99</v>
      </c>
      <c r="BC95" s="223">
        <v>43644</v>
      </c>
      <c r="BD95" s="3"/>
      <c r="BE95" s="3"/>
      <c r="BF95" s="3"/>
    </row>
    <row r="96" spans="37:58" x14ac:dyDescent="0.25">
      <c r="AK96" s="209" t="s">
        <v>351</v>
      </c>
      <c r="AL96" s="209">
        <v>19</v>
      </c>
      <c r="AM96" s="211">
        <v>135</v>
      </c>
      <c r="AN96" s="229"/>
      <c r="AO96" s="221"/>
      <c r="AP96" s="213">
        <v>0.99</v>
      </c>
      <c r="AQ96" s="234">
        <v>4</v>
      </c>
      <c r="AR96" s="214">
        <v>4.99</v>
      </c>
      <c r="AS96" s="234">
        <v>4</v>
      </c>
      <c r="AT96" s="214">
        <v>4.99</v>
      </c>
      <c r="AU96" s="233">
        <v>2</v>
      </c>
      <c r="AV96" s="214">
        <v>2.99</v>
      </c>
      <c r="AW96" s="221"/>
      <c r="AX96" s="219">
        <v>5.99</v>
      </c>
      <c r="AY96" s="234">
        <v>4</v>
      </c>
      <c r="AZ96" s="214">
        <v>4.99</v>
      </c>
      <c r="BA96" s="233">
        <v>2</v>
      </c>
      <c r="BB96" s="214">
        <v>2.99</v>
      </c>
      <c r="BC96" s="223">
        <v>43644</v>
      </c>
      <c r="BD96" s="3"/>
      <c r="BE96" s="3"/>
      <c r="BF96" s="3"/>
    </row>
    <row r="97" spans="37:58" x14ac:dyDescent="0.25">
      <c r="AK97" s="209" t="s">
        <v>352</v>
      </c>
      <c r="AL97" s="209">
        <v>16</v>
      </c>
      <c r="AM97" s="211">
        <v>167</v>
      </c>
      <c r="AN97" s="229"/>
      <c r="AO97" s="221"/>
      <c r="AP97" s="213">
        <v>0.99</v>
      </c>
      <c r="AQ97" s="234">
        <v>1</v>
      </c>
      <c r="AR97" s="214">
        <v>1.99</v>
      </c>
      <c r="AS97" s="237">
        <v>5</v>
      </c>
      <c r="AT97" s="217">
        <v>5.99</v>
      </c>
      <c r="AU97" s="237">
        <v>6</v>
      </c>
      <c r="AV97" s="217">
        <v>6.99</v>
      </c>
      <c r="AW97" s="237">
        <v>4</v>
      </c>
      <c r="AX97" s="216">
        <v>4.99</v>
      </c>
      <c r="AY97" s="237" t="s">
        <v>353</v>
      </c>
      <c r="AZ97" s="216">
        <v>3.99</v>
      </c>
      <c r="BA97" s="221"/>
      <c r="BB97" s="221"/>
      <c r="BC97" s="223">
        <v>43589</v>
      </c>
      <c r="BD97" s="3"/>
      <c r="BE97" s="3"/>
      <c r="BF97" s="3"/>
    </row>
    <row r="98" spans="37:58" x14ac:dyDescent="0.25">
      <c r="AK98" s="209" t="s">
        <v>81</v>
      </c>
      <c r="AL98" s="209">
        <v>18</v>
      </c>
      <c r="AM98" s="211">
        <f>88-444+[1]Jugadores!AM33-112-112-102-6+17-112-5+3-112-35+68-112-112+88-112-8+34-80-7+47-36-112-112-112-27-70-21-2-179+69-112-112+50-112-112</f>
        <v>-2126</v>
      </c>
      <c r="AN98" s="229"/>
      <c r="AO98" s="236">
        <v>4</v>
      </c>
      <c r="AP98" s="222">
        <v>6.99</v>
      </c>
      <c r="AQ98" s="237">
        <v>3</v>
      </c>
      <c r="AR98" s="216">
        <v>3.99</v>
      </c>
      <c r="AS98" s="234">
        <v>0</v>
      </c>
      <c r="AT98" s="214">
        <v>0.99</v>
      </c>
      <c r="AU98" s="234">
        <v>0</v>
      </c>
      <c r="AV98" s="214">
        <v>0.99</v>
      </c>
      <c r="AW98" s="221"/>
      <c r="AX98" s="213">
        <v>1.99</v>
      </c>
      <c r="AY98" s="234">
        <v>1</v>
      </c>
      <c r="AZ98" s="214">
        <v>1.99</v>
      </c>
      <c r="BA98" s="221"/>
      <c r="BB98" s="221"/>
      <c r="BC98" s="223">
        <v>43644</v>
      </c>
      <c r="BD98" s="3"/>
      <c r="BE98" s="3"/>
      <c r="BF98" s="3"/>
    </row>
    <row r="99" spans="37:58" x14ac:dyDescent="0.25">
      <c r="AK99" s="209" t="s">
        <v>354</v>
      </c>
      <c r="AL99" s="209">
        <v>18</v>
      </c>
      <c r="AM99" s="211">
        <f>88-444+[1]Jugadores!AM33-112-112-102-6+17-112-5+3-112-35+68-112-112+88-112-8+34-80-7+47-36-112-112-112-27-70-21-2-179+33+39-112+43-112-112-112</f>
        <v>-2130</v>
      </c>
      <c r="AN99" s="229"/>
      <c r="AO99" s="221"/>
      <c r="AP99" s="221"/>
      <c r="AQ99" s="236">
        <v>5</v>
      </c>
      <c r="AR99" s="222">
        <v>6.99</v>
      </c>
      <c r="AS99" s="234">
        <v>2</v>
      </c>
      <c r="AT99" s="214">
        <v>2.99</v>
      </c>
      <c r="AU99" s="233">
        <v>2</v>
      </c>
      <c r="AV99" s="214">
        <v>2.99</v>
      </c>
      <c r="AW99" s="233">
        <v>2</v>
      </c>
      <c r="AX99" s="214">
        <v>2.99</v>
      </c>
      <c r="AY99" s="237">
        <v>4</v>
      </c>
      <c r="AZ99" s="216">
        <v>4.99</v>
      </c>
      <c r="BA99" s="221"/>
      <c r="BB99" s="221"/>
      <c r="BC99" s="223">
        <v>43644</v>
      </c>
      <c r="BD99" s="3"/>
      <c r="BE99" s="3"/>
      <c r="BF99" s="3"/>
    </row>
    <row r="100" spans="37:58" x14ac:dyDescent="0.25">
      <c r="AK100" s="209" t="s">
        <v>355</v>
      </c>
      <c r="AL100" s="209">
        <v>16</v>
      </c>
      <c r="AM100" s="211">
        <f>88-444+[1]Jugadores!AM33-1629-102</f>
        <v>-2087</v>
      </c>
      <c r="AN100" s="229"/>
      <c r="AO100" s="224"/>
      <c r="AP100" s="224"/>
      <c r="AQ100" s="236">
        <v>5</v>
      </c>
      <c r="AR100" s="222">
        <v>6.99</v>
      </c>
      <c r="AS100" s="234">
        <v>3.3</v>
      </c>
      <c r="AT100" s="214">
        <v>3.99</v>
      </c>
      <c r="AU100" s="237">
        <v>1</v>
      </c>
      <c r="AV100" s="216">
        <v>1.99</v>
      </c>
      <c r="AW100" s="234">
        <v>3</v>
      </c>
      <c r="AX100" s="214">
        <v>3.99</v>
      </c>
      <c r="AY100" s="224"/>
      <c r="AZ100" s="219">
        <v>5.99</v>
      </c>
      <c r="BA100" s="224"/>
      <c r="BB100" s="224"/>
      <c r="BC100" s="223">
        <v>45870</v>
      </c>
      <c r="BD100" s="3"/>
      <c r="BE100" s="3"/>
      <c r="BF100" s="3"/>
    </row>
    <row r="101" spans="37:58" x14ac:dyDescent="0.25">
      <c r="AK101" s="209" t="s">
        <v>356</v>
      </c>
      <c r="AL101" s="209">
        <v>16</v>
      </c>
      <c r="AM101" s="211">
        <f>88-444+[1]Jugadores!AM33-1629-112</f>
        <v>-2097</v>
      </c>
      <c r="AN101" s="229"/>
      <c r="AO101" s="221"/>
      <c r="AP101" s="221"/>
      <c r="AQ101" s="236">
        <v>4</v>
      </c>
      <c r="AR101" s="219">
        <v>5.99</v>
      </c>
      <c r="AS101" s="234">
        <v>3</v>
      </c>
      <c r="AT101" s="214">
        <v>3.99</v>
      </c>
      <c r="AU101" s="234">
        <v>4</v>
      </c>
      <c r="AV101" s="214">
        <v>4.99</v>
      </c>
      <c r="AW101" s="233">
        <v>2</v>
      </c>
      <c r="AX101" s="214">
        <v>2.99</v>
      </c>
      <c r="AY101" s="221"/>
      <c r="AZ101" s="213">
        <v>3.99</v>
      </c>
      <c r="BA101" s="221"/>
      <c r="BB101" s="213">
        <v>4.99</v>
      </c>
      <c r="BC101" s="223">
        <v>45853</v>
      </c>
      <c r="BD101" s="3"/>
      <c r="BE101" s="3"/>
      <c r="BF101" s="3"/>
    </row>
    <row r="102" spans="37:58" x14ac:dyDescent="0.25">
      <c r="AK102" s="209" t="s">
        <v>357</v>
      </c>
      <c r="AL102" s="209">
        <v>16</v>
      </c>
      <c r="AM102" s="211">
        <f>42-584+[1]Jugadores!AM33-112-112+6-112+3-112+21-112+67-112-6-40-34-12-105+55-75+11-112-112+4-112-30-112-112-9-112+100-103-112</f>
        <v>-2145</v>
      </c>
      <c r="AN102" s="229"/>
      <c r="AO102" s="221"/>
      <c r="AP102" s="221"/>
      <c r="AQ102" s="237">
        <v>5</v>
      </c>
      <c r="AR102" s="217">
        <v>5.99</v>
      </c>
      <c r="AS102" s="234">
        <v>4</v>
      </c>
      <c r="AT102" s="214">
        <v>4.99</v>
      </c>
      <c r="AU102" s="221"/>
      <c r="AV102" s="213">
        <v>1.99</v>
      </c>
      <c r="AW102" s="221"/>
      <c r="AX102" s="213">
        <v>3.99</v>
      </c>
      <c r="AY102" s="236">
        <v>3</v>
      </c>
      <c r="AZ102" s="221"/>
      <c r="BA102" s="221"/>
      <c r="BB102" s="221"/>
      <c r="BC102" s="223">
        <v>45901</v>
      </c>
      <c r="BD102" s="3"/>
      <c r="BE102" s="3"/>
      <c r="BF102" s="3"/>
    </row>
    <row r="103" spans="37:58" x14ac:dyDescent="0.25">
      <c r="AK103" s="209" t="s">
        <v>358</v>
      </c>
      <c r="AL103" s="209">
        <v>18</v>
      </c>
      <c r="AM103" s="211">
        <f>42-584+[1]Jugadores!AM33-112-112+6-112+3-112+21-112+67-112-6-40-34-12-105+55+11-112+1-23-112-112-112-115-42-112-112-112</f>
        <v>-2211</v>
      </c>
      <c r="AN103" s="229" t="s">
        <v>175</v>
      </c>
      <c r="AO103" s="221"/>
      <c r="AP103" s="213">
        <v>1.99</v>
      </c>
      <c r="AQ103" s="233">
        <v>2</v>
      </c>
      <c r="AR103" s="214">
        <v>2.99</v>
      </c>
      <c r="AS103" s="233">
        <v>2</v>
      </c>
      <c r="AT103" s="214">
        <v>2.99</v>
      </c>
      <c r="AU103" s="234">
        <v>3</v>
      </c>
      <c r="AV103" s="214">
        <v>3.99</v>
      </c>
      <c r="AW103" s="236">
        <v>4</v>
      </c>
      <c r="AX103" s="219">
        <v>5.99</v>
      </c>
      <c r="AY103" s="221"/>
      <c r="AZ103" s="213">
        <v>3.99</v>
      </c>
      <c r="BA103" s="221"/>
      <c r="BB103" s="213">
        <v>4.99</v>
      </c>
      <c r="BC103" s="223">
        <v>43644</v>
      </c>
      <c r="BD103" s="3"/>
      <c r="BE103" s="3"/>
      <c r="BF103" s="3"/>
    </row>
    <row r="104" spans="37:58" x14ac:dyDescent="0.25">
      <c r="AK104" s="209" t="s">
        <v>359</v>
      </c>
      <c r="AL104" s="209">
        <v>16</v>
      </c>
      <c r="AM104" s="211">
        <f>88-444+[1]Jugadores!AM33-112-112-102-6+17-112-5+3-112-35+68-112-112+88-112-8+34-80-7+47-36-112-57-112+76-112-115-6-112-70-112-112-86+1-80</f>
        <v>-2171</v>
      </c>
      <c r="AN104" s="229" t="s">
        <v>163</v>
      </c>
      <c r="AO104" s="224"/>
      <c r="AP104" s="213">
        <v>1.99</v>
      </c>
      <c r="AQ104" s="233">
        <v>2</v>
      </c>
      <c r="AR104" s="214">
        <v>2.99</v>
      </c>
      <c r="AS104" s="236">
        <v>3</v>
      </c>
      <c r="AT104" s="213">
        <v>4.99</v>
      </c>
      <c r="AU104" s="224"/>
      <c r="AV104" s="222">
        <v>6.99</v>
      </c>
      <c r="AW104" s="224"/>
      <c r="AX104" s="213">
        <v>4.99</v>
      </c>
      <c r="AY104" s="236">
        <v>3</v>
      </c>
      <c r="AZ104" s="213">
        <v>4.99</v>
      </c>
      <c r="BA104" s="224"/>
      <c r="BB104" s="224"/>
      <c r="BC104" s="223">
        <v>45934</v>
      </c>
      <c r="BD104" s="3"/>
      <c r="BE104" s="3"/>
      <c r="BF104" s="3"/>
    </row>
    <row r="105" spans="37:58" x14ac:dyDescent="0.25">
      <c r="AK105" s="209" t="s">
        <v>360</v>
      </c>
      <c r="AL105" s="209">
        <v>17</v>
      </c>
      <c r="AM105" s="211">
        <f>88-444+[1]Jugadores!AM33-112-112-102-6+17-112-5+3-112-35+68-112-112+88-112-8+34-80-7+47-36-112-112-112-27-70-21-2-179+33+15-112-75+7-112+52-28-112-36-112</f>
        <v>-2277</v>
      </c>
      <c r="AN105" s="229"/>
      <c r="AO105" s="221"/>
      <c r="AP105" s="213">
        <v>0.99</v>
      </c>
      <c r="AQ105" s="236">
        <v>4</v>
      </c>
      <c r="AR105" s="219">
        <v>5.99</v>
      </c>
      <c r="AS105" s="234">
        <v>2</v>
      </c>
      <c r="AT105" s="214">
        <v>2.99</v>
      </c>
      <c r="AU105" s="234">
        <v>4</v>
      </c>
      <c r="AV105" s="214">
        <v>4.99</v>
      </c>
      <c r="AW105" s="234">
        <v>2</v>
      </c>
      <c r="AX105" s="214">
        <v>2.99</v>
      </c>
      <c r="AY105" s="236">
        <v>5</v>
      </c>
      <c r="AZ105" s="222">
        <v>6.99</v>
      </c>
      <c r="BA105" s="221"/>
      <c r="BB105" s="221"/>
      <c r="BC105" s="223">
        <v>43644</v>
      </c>
      <c r="BD105" s="3"/>
      <c r="BE105" s="3"/>
      <c r="BF105" s="3"/>
    </row>
    <row r="106" spans="37:58" x14ac:dyDescent="0.25">
      <c r="AK106" s="209" t="s">
        <v>361</v>
      </c>
      <c r="AL106" s="209">
        <v>18</v>
      </c>
      <c r="AM106" s="211">
        <f>42-584+[1]Jugadores!AM33-112-112+6-112+3-112+21-112+67-112-6-40-34-12-105+55+11-112+1-23-112-112-112-115-52-112-112-112</f>
        <v>-2221</v>
      </c>
      <c r="AN106" s="229"/>
      <c r="AO106" s="221"/>
      <c r="AP106" s="213">
        <v>1.99</v>
      </c>
      <c r="AQ106" s="237">
        <v>5</v>
      </c>
      <c r="AR106" s="217">
        <v>5.99</v>
      </c>
      <c r="AS106" s="234">
        <v>4.0999999999999996</v>
      </c>
      <c r="AT106" s="214">
        <v>4.99</v>
      </c>
      <c r="AU106" s="233">
        <v>2</v>
      </c>
      <c r="AV106" s="214">
        <v>2.99</v>
      </c>
      <c r="AW106" s="221"/>
      <c r="AX106" s="219">
        <v>5.99</v>
      </c>
      <c r="AY106" s="237">
        <v>3</v>
      </c>
      <c r="AZ106" s="216">
        <v>3.99</v>
      </c>
      <c r="BA106" s="221"/>
      <c r="BB106" s="213">
        <v>2.99</v>
      </c>
      <c r="BC106" s="223">
        <v>43644</v>
      </c>
      <c r="BD106" s="3"/>
      <c r="BE106" s="3"/>
      <c r="BF106" s="3"/>
    </row>
    <row r="107" spans="37:58" x14ac:dyDescent="0.25">
      <c r="AK107" s="209" t="s">
        <v>362</v>
      </c>
      <c r="AL107" s="209">
        <v>18</v>
      </c>
      <c r="AM107" s="211">
        <f>[1]Jugadores!AM33-2150+2-112</f>
        <v>-2260</v>
      </c>
      <c r="AN107" s="229" t="s">
        <v>198</v>
      </c>
      <c r="AO107" s="221"/>
      <c r="AP107" s="213">
        <v>1.99</v>
      </c>
      <c r="AQ107" s="233">
        <v>2</v>
      </c>
      <c r="AR107" s="214">
        <v>2.99</v>
      </c>
      <c r="AS107" s="234">
        <v>3</v>
      </c>
      <c r="AT107" s="214">
        <v>3.99</v>
      </c>
      <c r="AU107" s="234">
        <v>3</v>
      </c>
      <c r="AV107" s="214">
        <v>3.99</v>
      </c>
      <c r="AW107" s="233">
        <v>2</v>
      </c>
      <c r="AX107" s="214">
        <v>2.99</v>
      </c>
      <c r="AY107" s="234">
        <v>5</v>
      </c>
      <c r="AZ107" s="215">
        <v>5.99</v>
      </c>
      <c r="BA107" s="221"/>
      <c r="BB107" s="221"/>
      <c r="BC107" s="223">
        <v>43644</v>
      </c>
      <c r="BD107" s="3"/>
      <c r="BE107" s="3"/>
      <c r="BF107" s="3"/>
    </row>
    <row r="108" spans="37:58" x14ac:dyDescent="0.25">
      <c r="AK108" s="209" t="s">
        <v>363</v>
      </c>
      <c r="AL108" s="209">
        <v>17</v>
      </c>
      <c r="AM108" s="211">
        <f>88+AK143-2254-112-112</f>
        <v>-2390</v>
      </c>
      <c r="AN108" s="229"/>
      <c r="AO108" s="221"/>
      <c r="AP108" s="213">
        <v>0.99</v>
      </c>
      <c r="AQ108" s="234">
        <v>2</v>
      </c>
      <c r="AR108" s="214">
        <v>2.99</v>
      </c>
      <c r="AS108" s="234">
        <v>4</v>
      </c>
      <c r="AT108" s="214">
        <v>4.99</v>
      </c>
      <c r="AU108" s="234">
        <v>2</v>
      </c>
      <c r="AV108" s="214">
        <v>2.99</v>
      </c>
      <c r="AW108" s="234">
        <v>3</v>
      </c>
      <c r="AX108" s="214">
        <v>3.99</v>
      </c>
      <c r="AY108" s="237">
        <v>5</v>
      </c>
      <c r="AZ108" s="217">
        <v>5.99</v>
      </c>
      <c r="BA108" s="221"/>
      <c r="BB108" s="221"/>
      <c r="BC108" s="223">
        <v>43644</v>
      </c>
      <c r="BD108" s="3"/>
      <c r="BE108" s="3"/>
      <c r="BF108" s="3"/>
    </row>
    <row r="109" spans="37:58" x14ac:dyDescent="0.25">
      <c r="AK109" s="209" t="s">
        <v>364</v>
      </c>
      <c r="AL109" s="209">
        <v>17</v>
      </c>
      <c r="AM109" s="211">
        <f>88-444+[1]Jugadores!AM33-112-112-102-6+17-112-5+3-112-35+68-112-112+88-112-8+34-80-7+47-36-112-112-112-27-70-21-2-179+33+39-112-112+20-112+7-69+8-212-112</f>
        <v>-2419</v>
      </c>
      <c r="AN109" s="229"/>
      <c r="AO109" s="224"/>
      <c r="AP109" s="213">
        <v>0.99</v>
      </c>
      <c r="AQ109" s="237">
        <v>3</v>
      </c>
      <c r="AR109" s="216">
        <v>3.99</v>
      </c>
      <c r="AS109" s="224"/>
      <c r="AT109" s="213">
        <v>3.99</v>
      </c>
      <c r="AU109" s="234">
        <v>6</v>
      </c>
      <c r="AV109" s="215">
        <v>6.99</v>
      </c>
      <c r="AW109" s="234">
        <v>4</v>
      </c>
      <c r="AX109" s="214">
        <v>4.99</v>
      </c>
      <c r="AY109" s="238">
        <v>1</v>
      </c>
      <c r="AZ109" s="216">
        <v>1.99</v>
      </c>
      <c r="BA109" s="224"/>
      <c r="BB109" s="224"/>
      <c r="BC109" s="223">
        <v>46063</v>
      </c>
      <c r="BD109" s="3"/>
      <c r="BE109" s="3"/>
      <c r="BF109" s="3"/>
    </row>
    <row r="110" spans="37:58" x14ac:dyDescent="0.25">
      <c r="AK110" s="209" t="s">
        <v>365</v>
      </c>
      <c r="AL110" s="209">
        <v>16</v>
      </c>
      <c r="AM110" s="211">
        <f>-1500+[1]Jugadores!AM33-770+30-112</f>
        <v>-2352</v>
      </c>
      <c r="AN110" s="229" t="s">
        <v>163</v>
      </c>
      <c r="AO110" s="221"/>
      <c r="AP110" s="213">
        <v>1.99</v>
      </c>
      <c r="AQ110" s="236">
        <v>3</v>
      </c>
      <c r="AR110" s="213">
        <v>4.99</v>
      </c>
      <c r="AS110" s="221"/>
      <c r="AT110" s="213">
        <v>2.99</v>
      </c>
      <c r="AU110" s="234">
        <v>5</v>
      </c>
      <c r="AV110" s="215">
        <v>5.99</v>
      </c>
      <c r="AW110" s="234">
        <v>4</v>
      </c>
      <c r="AX110" s="214">
        <v>4.99</v>
      </c>
      <c r="AY110" s="234">
        <v>4</v>
      </c>
      <c r="AZ110" s="214">
        <v>4.99</v>
      </c>
      <c r="BA110" s="221"/>
      <c r="BB110" s="221"/>
      <c r="BC110" s="223">
        <v>41322</v>
      </c>
      <c r="BD110" s="3"/>
      <c r="BE110" s="3"/>
      <c r="BF110" s="3"/>
    </row>
    <row r="111" spans="37:58" x14ac:dyDescent="0.25">
      <c r="AK111" s="209" t="s">
        <v>366</v>
      </c>
      <c r="AL111" s="209">
        <v>16</v>
      </c>
      <c r="AM111" s="211">
        <f>-1500+[1]Jugadores!AM33-770-112</f>
        <v>-2382</v>
      </c>
      <c r="AN111" s="229" t="s">
        <v>266</v>
      </c>
      <c r="AO111" s="221"/>
      <c r="AP111" s="213">
        <v>1.99</v>
      </c>
      <c r="AQ111" s="236">
        <v>4</v>
      </c>
      <c r="AR111" s="219">
        <v>5.99</v>
      </c>
      <c r="AS111" s="233">
        <v>2</v>
      </c>
      <c r="AT111" s="214">
        <v>2.99</v>
      </c>
      <c r="AU111" s="233">
        <v>2</v>
      </c>
      <c r="AV111" s="214">
        <v>2.99</v>
      </c>
      <c r="AW111" s="237">
        <v>4</v>
      </c>
      <c r="AX111" s="216">
        <v>4.99</v>
      </c>
      <c r="AY111" s="237">
        <v>5</v>
      </c>
      <c r="AZ111" s="217">
        <v>5.99</v>
      </c>
      <c r="BA111" s="221"/>
      <c r="BB111" s="221"/>
      <c r="BC111" s="223">
        <v>46138</v>
      </c>
      <c r="BD111" s="3"/>
      <c r="BE111" s="3"/>
      <c r="BF111" s="3"/>
    </row>
    <row r="112" spans="37:58" x14ac:dyDescent="0.25">
      <c r="AK112" s="209" t="s">
        <v>367</v>
      </c>
      <c r="AL112" s="209">
        <v>16</v>
      </c>
      <c r="AM112" s="211">
        <f>[1]Jugadores!AM33-2100-6-93+31-112-26+34-112</f>
        <v>-2384</v>
      </c>
      <c r="AN112" s="229"/>
      <c r="AO112" s="221"/>
      <c r="AP112" s="213">
        <v>1.99</v>
      </c>
      <c r="AQ112" s="234">
        <v>3</v>
      </c>
      <c r="AR112" s="214">
        <v>3.99</v>
      </c>
      <c r="AS112" s="221"/>
      <c r="AT112" s="213">
        <v>2.99</v>
      </c>
      <c r="AU112" s="237">
        <v>6</v>
      </c>
      <c r="AV112" s="217">
        <v>6.99</v>
      </c>
      <c r="AW112" s="237">
        <v>2</v>
      </c>
      <c r="AX112" s="216">
        <v>2.99</v>
      </c>
      <c r="AY112" s="236">
        <v>4</v>
      </c>
      <c r="AZ112" s="222">
        <v>6.99</v>
      </c>
      <c r="BA112" s="221"/>
      <c r="BB112" s="221"/>
      <c r="BC112" s="223">
        <v>46140</v>
      </c>
      <c r="BD112" s="3"/>
      <c r="BE112" s="3"/>
      <c r="BF112" s="3"/>
    </row>
    <row r="113" spans="37:58" x14ac:dyDescent="0.25">
      <c r="AK113" s="209" t="s">
        <v>368</v>
      </c>
      <c r="AL113" s="209">
        <v>16</v>
      </c>
      <c r="AM113" s="211">
        <f>[1]Jugadores!AM33-2100-6-93+31-112-26-44-112</f>
        <v>-2462</v>
      </c>
      <c r="AN113" s="229" t="s">
        <v>266</v>
      </c>
      <c r="AO113" s="221"/>
      <c r="AP113" s="221"/>
      <c r="AQ113" s="237">
        <v>1</v>
      </c>
      <c r="AR113" s="216">
        <v>1.99</v>
      </c>
      <c r="AS113" s="221"/>
      <c r="AT113" s="213">
        <v>2.99</v>
      </c>
      <c r="AU113" s="234">
        <v>6</v>
      </c>
      <c r="AV113" s="215">
        <v>6.99</v>
      </c>
      <c r="AW113" s="221"/>
      <c r="AX113" s="213">
        <v>2.99</v>
      </c>
      <c r="AY113" s="234">
        <v>4</v>
      </c>
      <c r="AZ113" s="214">
        <v>4.99</v>
      </c>
      <c r="BA113" s="221"/>
      <c r="BB113" s="221"/>
      <c r="BC113" s="223">
        <v>46218</v>
      </c>
      <c r="BD113" s="3"/>
      <c r="BE113" s="3"/>
      <c r="BF113" s="3"/>
    </row>
    <row r="114" spans="37:58" x14ac:dyDescent="0.25">
      <c r="AK114" s="209" t="s">
        <v>369</v>
      </c>
      <c r="AL114" s="209">
        <v>18</v>
      </c>
      <c r="AM114" s="211">
        <f>88+[1]Jugadores!AM33-2254-112-112+6-112-112</f>
        <v>-2608</v>
      </c>
      <c r="AN114" s="229" t="s">
        <v>198</v>
      </c>
      <c r="AO114" s="221"/>
      <c r="AP114" s="221"/>
      <c r="AQ114" s="236">
        <v>5</v>
      </c>
      <c r="AR114" s="222">
        <v>6.99</v>
      </c>
      <c r="AS114" s="236">
        <v>5</v>
      </c>
      <c r="AT114" s="222">
        <v>6.99</v>
      </c>
      <c r="AU114" s="234">
        <v>2</v>
      </c>
      <c r="AV114" s="214">
        <v>2.99</v>
      </c>
      <c r="AW114" s="236">
        <v>5</v>
      </c>
      <c r="AX114" s="222">
        <v>6.99</v>
      </c>
      <c r="AY114" s="234">
        <v>3</v>
      </c>
      <c r="AZ114" s="214">
        <v>3.99</v>
      </c>
      <c r="BA114" s="221"/>
      <c r="BB114" s="221"/>
      <c r="BC114" s="223">
        <v>43644</v>
      </c>
      <c r="BD114" s="3"/>
      <c r="BE114" s="3"/>
      <c r="BF114" s="3"/>
    </row>
    <row r="115" spans="37:58" x14ac:dyDescent="0.25">
      <c r="AK115" s="209" t="s">
        <v>370</v>
      </c>
      <c r="AL115" s="209">
        <v>16</v>
      </c>
      <c r="AM115" s="211">
        <f>88+[1]Jugadores!AM33-2254-112-112+6-112</f>
        <v>-2496</v>
      </c>
      <c r="AN115" s="229" t="s">
        <v>163</v>
      </c>
      <c r="AO115" s="221"/>
      <c r="AP115" s="213">
        <v>2.99</v>
      </c>
      <c r="AQ115" s="236">
        <v>4</v>
      </c>
      <c r="AR115" s="222">
        <v>6.99</v>
      </c>
      <c r="AS115" s="221"/>
      <c r="AT115" s="221"/>
      <c r="AU115" s="237">
        <v>3</v>
      </c>
      <c r="AV115" s="216">
        <v>3.99</v>
      </c>
      <c r="AW115" s="221"/>
      <c r="AX115" s="213">
        <v>4.99</v>
      </c>
      <c r="AY115" s="236">
        <v>2</v>
      </c>
      <c r="AZ115" s="221"/>
      <c r="BA115" s="221"/>
      <c r="BB115" s="221"/>
      <c r="BC115" s="223">
        <v>46252</v>
      </c>
      <c r="BD115" s="3"/>
      <c r="BE115" s="3"/>
      <c r="BF115" s="3"/>
    </row>
    <row r="116" spans="37:58" x14ac:dyDescent="0.25">
      <c r="AK116" s="209" t="s">
        <v>371</v>
      </c>
      <c r="AL116" s="209">
        <v>17</v>
      </c>
      <c r="AM116" s="211">
        <v>3</v>
      </c>
      <c r="AN116" s="229"/>
      <c r="AO116" s="221"/>
      <c r="AP116" s="221"/>
      <c r="AQ116" s="237">
        <v>5</v>
      </c>
      <c r="AR116" s="217">
        <v>5.99</v>
      </c>
      <c r="AS116" s="237">
        <v>4</v>
      </c>
      <c r="AT116" s="216">
        <v>4.99</v>
      </c>
      <c r="AU116" s="237">
        <v>5</v>
      </c>
      <c r="AV116" s="217">
        <v>5.99</v>
      </c>
      <c r="AW116" s="234">
        <v>2</v>
      </c>
      <c r="AX116" s="214">
        <v>2.99</v>
      </c>
      <c r="AY116" s="221"/>
      <c r="AZ116" s="213">
        <v>3.99</v>
      </c>
      <c r="BA116" s="221"/>
      <c r="BB116" s="221"/>
      <c r="BC116" s="223">
        <v>43648</v>
      </c>
      <c r="BD116" s="3"/>
      <c r="BE116" s="3"/>
      <c r="BF116" s="3"/>
    </row>
    <row r="117" spans="37:58" x14ac:dyDescent="0.25">
      <c r="AK117" s="245" t="s">
        <v>372</v>
      </c>
      <c r="AL117" s="221">
        <v>17</v>
      </c>
      <c r="AM117" s="246">
        <v>54</v>
      </c>
      <c r="AN117" s="247"/>
      <c r="AO117" s="221"/>
      <c r="AP117" s="213">
        <v>0.99</v>
      </c>
      <c r="AQ117" s="234">
        <v>3</v>
      </c>
      <c r="AR117" s="214">
        <v>3.99</v>
      </c>
      <c r="AS117" s="234">
        <v>4</v>
      </c>
      <c r="AT117" s="214">
        <v>4.99</v>
      </c>
      <c r="AU117" s="236">
        <v>4</v>
      </c>
      <c r="AV117" s="219">
        <v>5.99</v>
      </c>
      <c r="AW117" s="236">
        <v>4</v>
      </c>
      <c r="AX117" s="222">
        <v>6.99</v>
      </c>
      <c r="AY117" s="237">
        <v>5</v>
      </c>
      <c r="AZ117" s="217">
        <v>5.99</v>
      </c>
      <c r="BA117" s="18"/>
      <c r="BB117" s="18"/>
      <c r="BC117" s="208">
        <v>43699</v>
      </c>
      <c r="BD117" s="3"/>
      <c r="BE117" s="3"/>
      <c r="BF117" s="3"/>
    </row>
    <row r="118" spans="37:58" x14ac:dyDescent="0.25">
      <c r="AK118" s="245" t="s">
        <v>373</v>
      </c>
      <c r="AL118" s="221">
        <v>17</v>
      </c>
      <c r="AM118" s="246">
        <v>0</v>
      </c>
      <c r="AN118" s="247"/>
      <c r="AO118" s="221"/>
      <c r="AP118" s="213">
        <v>1.99</v>
      </c>
      <c r="AQ118" s="237">
        <v>5</v>
      </c>
      <c r="AR118" s="217">
        <v>5.99</v>
      </c>
      <c r="AS118" s="221"/>
      <c r="AT118" s="213">
        <v>3.99</v>
      </c>
      <c r="AU118" s="221"/>
      <c r="AV118" s="213">
        <v>2.99</v>
      </c>
      <c r="AW118" s="221"/>
      <c r="AX118" s="213">
        <v>2.99</v>
      </c>
      <c r="AY118" s="221"/>
      <c r="AZ118" s="213">
        <v>3.99</v>
      </c>
      <c r="BA118" s="221"/>
      <c r="BB118" s="213">
        <v>4.99</v>
      </c>
      <c r="BC118" s="208">
        <v>43704</v>
      </c>
      <c r="BD118" s="3"/>
      <c r="BE118" s="3"/>
      <c r="BF118" s="3"/>
    </row>
    <row r="119" spans="37:58" x14ac:dyDescent="0.25">
      <c r="AK119" s="248" t="s">
        <v>374</v>
      </c>
      <c r="AL119" s="221">
        <v>17</v>
      </c>
      <c r="AM119" s="246">
        <v>10</v>
      </c>
      <c r="AN119" s="247" t="s">
        <v>198</v>
      </c>
      <c r="AO119" s="221"/>
      <c r="AP119" s="221"/>
      <c r="AQ119" s="221"/>
      <c r="AR119" s="213">
        <v>3.99</v>
      </c>
      <c r="AS119" s="221"/>
      <c r="AT119" s="213">
        <v>4.99</v>
      </c>
      <c r="AU119" s="237">
        <v>3</v>
      </c>
      <c r="AV119" s="216">
        <v>3.99</v>
      </c>
      <c r="AW119" s="234">
        <v>2</v>
      </c>
      <c r="AX119" s="214">
        <v>2.99</v>
      </c>
      <c r="AY119" s="236">
        <v>6</v>
      </c>
      <c r="AZ119" s="222">
        <v>7</v>
      </c>
      <c r="BA119" s="221"/>
      <c r="BB119" s="221"/>
      <c r="BC119" s="208">
        <v>43730</v>
      </c>
      <c r="BD119" s="3"/>
      <c r="BE119" s="3"/>
      <c r="BF119" s="3"/>
    </row>
    <row r="120" spans="37:58" x14ac:dyDescent="0.25">
      <c r="AK120" s="245" t="s">
        <v>375</v>
      </c>
      <c r="AL120" s="221">
        <v>17</v>
      </c>
      <c r="AM120" s="251">
        <v>13</v>
      </c>
      <c r="AN120" s="247"/>
      <c r="AO120" s="221"/>
      <c r="AP120" s="221"/>
      <c r="AQ120" s="234">
        <v>3</v>
      </c>
      <c r="AR120" s="214">
        <v>3.99</v>
      </c>
      <c r="AS120" s="236">
        <v>4</v>
      </c>
      <c r="AT120" s="219">
        <v>5.99</v>
      </c>
      <c r="AU120" s="234">
        <v>1</v>
      </c>
      <c r="AV120" s="214">
        <v>1.99</v>
      </c>
      <c r="AW120" s="252">
        <v>5</v>
      </c>
      <c r="AX120" s="235">
        <v>5.99</v>
      </c>
      <c r="AY120" s="236">
        <v>6</v>
      </c>
      <c r="AZ120" s="222">
        <v>7</v>
      </c>
      <c r="BA120" s="221"/>
      <c r="BB120" s="221"/>
      <c r="BC120" s="208">
        <v>43744</v>
      </c>
      <c r="BD120" s="3"/>
      <c r="BE120" s="3"/>
      <c r="BF120" s="3"/>
    </row>
  </sheetData>
  <mergeCells count="1">
    <mergeCell ref="G31:N31"/>
  </mergeCells>
  <conditionalFormatting sqref="E13">
    <cfRule type="cellIs" dxfId="49" priority="1" stopIfTrue="1" operator="lessThan">
      <formula>1</formula>
    </cfRule>
  </conditionalFormatting>
  <conditionalFormatting sqref="E13">
    <cfRule type="cellIs" dxfId="48" priority="2" stopIfTrue="1" operator="between">
      <formula>1</formula>
      <formula>50</formula>
    </cfRule>
  </conditionalFormatting>
  <conditionalFormatting sqref="E13">
    <cfRule type="cellIs" dxfId="47" priority="3" stopIfTrue="1" operator="greaterThan">
      <formula>50</formula>
    </cfRule>
  </conditionalFormatting>
  <conditionalFormatting sqref="AC13:AH13">
    <cfRule type="cellIs" dxfId="46" priority="4" stopIfTrue="1" operator="between">
      <formula>4</formula>
      <formula>5</formula>
    </cfRule>
  </conditionalFormatting>
  <conditionalFormatting sqref="AC13:AH13">
    <cfRule type="cellIs" dxfId="45" priority="5" stopIfTrue="1" operator="lessThan">
      <formula>4</formula>
    </cfRule>
  </conditionalFormatting>
  <conditionalFormatting sqref="AC13:AH13">
    <cfRule type="cellIs" dxfId="44" priority="6" stopIfTrue="1" operator="greaterThan">
      <formula>5</formula>
    </cfRule>
  </conditionalFormatting>
  <conditionalFormatting sqref="BC31:BC43">
    <cfRule type="cellIs" dxfId="43" priority="7" stopIfTrue="1" operator="lessThan">
      <formula>4</formula>
    </cfRule>
  </conditionalFormatting>
  <conditionalFormatting sqref="BC31:BC43">
    <cfRule type="cellIs" dxfId="42" priority="8" stopIfTrue="1" operator="greaterThan">
      <formula>6.4</formula>
    </cfRule>
  </conditionalFormatting>
  <conditionalFormatting sqref="BC31:BC43">
    <cfRule type="cellIs" dxfId="41" priority="9" stopIfTrue="1" operator="lessThan">
      <formula>4</formula>
    </cfRule>
  </conditionalFormatting>
  <conditionalFormatting sqref="BC31:BC43">
    <cfRule type="cellIs" dxfId="40" priority="10" stopIfTrue="1" operator="greaterThan">
      <formula>6.4</formula>
    </cfRule>
  </conditionalFormatting>
  <conditionalFormatting sqref="BC31:BC43">
    <cfRule type="cellIs" dxfId="39" priority="11" stopIfTrue="1" operator="lessThan">
      <formula>4</formula>
    </cfRule>
  </conditionalFormatting>
  <conditionalFormatting sqref="BC31:BC43">
    <cfRule type="cellIs" dxfId="38" priority="12" stopIfTrue="1" operator="greaterThan">
      <formula>6.4</formula>
    </cfRule>
  </conditionalFormatting>
  <conditionalFormatting sqref="BC31:BC43">
    <cfRule type="cellIs" dxfId="37" priority="13" stopIfTrue="1" operator="lessThan">
      <formula>4</formula>
    </cfRule>
  </conditionalFormatting>
  <conditionalFormatting sqref="BC31:BC43">
    <cfRule type="cellIs" dxfId="36" priority="14" stopIfTrue="1" operator="greaterThan">
      <formula>6.4</formula>
    </cfRule>
  </conditionalFormatting>
  <conditionalFormatting sqref="BC31:BC43">
    <cfRule type="cellIs" dxfId="35" priority="15" stopIfTrue="1" operator="lessThan">
      <formula>4</formula>
    </cfRule>
  </conditionalFormatting>
  <conditionalFormatting sqref="BC31:BC43">
    <cfRule type="cellIs" dxfId="34" priority="16" stopIfTrue="1" operator="greaterThan">
      <formula>6.4</formula>
    </cfRule>
  </conditionalFormatting>
  <conditionalFormatting sqref="BC31:BC43">
    <cfRule type="cellIs" dxfId="33" priority="17" stopIfTrue="1" operator="lessThan">
      <formula>4</formula>
    </cfRule>
  </conditionalFormatting>
  <conditionalFormatting sqref="BC31:BC43">
    <cfRule type="cellIs" dxfId="32" priority="18" stopIfTrue="1" operator="greaterThan">
      <formula>6.4</formula>
    </cfRule>
  </conditionalFormatting>
  <conditionalFormatting sqref="BC31:BC43">
    <cfRule type="cellIs" dxfId="31" priority="19" stopIfTrue="1" operator="lessThan">
      <formula>4</formula>
    </cfRule>
  </conditionalFormatting>
  <conditionalFormatting sqref="BC31:BC43">
    <cfRule type="cellIs" dxfId="30" priority="20" stopIfTrue="1" operator="greaterThan">
      <formula>6.4</formula>
    </cfRule>
  </conditionalFormatting>
  <conditionalFormatting sqref="AC15:AH15">
    <cfRule type="cellIs" dxfId="29" priority="21" stopIfTrue="1" operator="between">
      <formula>4</formula>
      <formula>5</formula>
    </cfRule>
  </conditionalFormatting>
  <conditionalFormatting sqref="AC15:AH15">
    <cfRule type="cellIs" dxfId="28" priority="22" stopIfTrue="1" operator="lessThan">
      <formula>4</formula>
    </cfRule>
  </conditionalFormatting>
  <conditionalFormatting sqref="AC15:AH15">
    <cfRule type="cellIs" dxfId="27" priority="23" stopIfTrue="1" operator="greaterThan">
      <formula>5</formula>
    </cfRule>
  </conditionalFormatting>
  <conditionalFormatting sqref="AC12:AH12">
    <cfRule type="cellIs" dxfId="26" priority="24" stopIfTrue="1" operator="between">
      <formula>4</formula>
      <formula>5</formula>
    </cfRule>
  </conditionalFormatting>
  <conditionalFormatting sqref="AC12:AH12">
    <cfRule type="cellIs" dxfId="25" priority="25" stopIfTrue="1" operator="lessThan">
      <formula>4</formula>
    </cfRule>
  </conditionalFormatting>
  <conditionalFormatting sqref="AC12:AH12">
    <cfRule type="cellIs" dxfId="24" priority="26" stopIfTrue="1" operator="greaterThan">
      <formula>5</formula>
    </cfRule>
  </conditionalFormatting>
  <conditionalFormatting sqref="E3 E7:E8 E12:E17 E20:E28">
    <cfRule type="cellIs" dxfId="23" priority="27" stopIfTrue="1" operator="lessThan">
      <formula>1</formula>
    </cfRule>
  </conditionalFormatting>
  <conditionalFormatting sqref="E3 E7:E8 E12:E17 E20:E28">
    <cfRule type="cellIs" dxfId="22" priority="28" stopIfTrue="1" operator="between">
      <formula>1</formula>
      <formula>50</formula>
    </cfRule>
  </conditionalFormatting>
  <conditionalFormatting sqref="E3 E7:E8 E12:E17 E20:E28">
    <cfRule type="cellIs" dxfId="21" priority="29" stopIfTrue="1" operator="greaterThan">
      <formula>50</formula>
    </cfRule>
  </conditionalFormatting>
  <conditionalFormatting sqref="AC3:AH3 AC7:AH8 AC12:AH17 AC20:AH28">
    <cfRule type="cellIs" dxfId="20" priority="30" stopIfTrue="1" operator="between">
      <formula>4</formula>
      <formula>5</formula>
    </cfRule>
  </conditionalFormatting>
  <conditionalFormatting sqref="AC3:AH3 AC7:AH8 AC12:AH17 AC20:AH28">
    <cfRule type="cellIs" dxfId="19" priority="31" stopIfTrue="1" operator="lessThan">
      <formula>4</formula>
    </cfRule>
  </conditionalFormatting>
  <conditionalFormatting sqref="AC3:AH3 AC7:AH8 AC12:AH17 AC20:AH28">
    <cfRule type="cellIs" dxfId="18" priority="32" stopIfTrue="1" operator="greaterThan">
      <formula>5</formula>
    </cfRule>
  </conditionalFormatting>
  <conditionalFormatting sqref="X3:Y3 X7:Y8 X12:Y17 X20:Y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6B8B7"/>
  </sheetPr>
  <dimension ref="A1:W29"/>
  <sheetViews>
    <sheetView zoomScale="110" workbookViewId="0">
      <selection activeCell="W24" sqref="W24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298" t="s">
        <v>376</v>
      </c>
      <c r="B1" s="298" t="s">
        <v>377</v>
      </c>
      <c r="C1" s="298" t="s">
        <v>378</v>
      </c>
      <c r="D1" s="298" t="s">
        <v>379</v>
      </c>
      <c r="E1" s="298" t="s">
        <v>380</v>
      </c>
      <c r="F1" s="298" t="s">
        <v>381</v>
      </c>
      <c r="G1" s="298" t="s">
        <v>382</v>
      </c>
      <c r="H1" s="298" t="s">
        <v>127</v>
      </c>
      <c r="I1" s="298" t="s">
        <v>383</v>
      </c>
      <c r="J1" s="298" t="s">
        <v>384</v>
      </c>
      <c r="K1" s="298" t="s">
        <v>385</v>
      </c>
      <c r="L1" s="298" t="s">
        <v>386</v>
      </c>
      <c r="M1" s="298" t="s">
        <v>387</v>
      </c>
      <c r="N1" s="298" t="s">
        <v>388</v>
      </c>
      <c r="O1" s="298" t="s">
        <v>389</v>
      </c>
      <c r="P1" s="298" t="s">
        <v>198</v>
      </c>
      <c r="Q1" s="298" t="s">
        <v>175</v>
      </c>
      <c r="R1" s="298" t="s">
        <v>166</v>
      </c>
      <c r="S1" s="298" t="s">
        <v>266</v>
      </c>
      <c r="T1" s="298" t="s">
        <v>163</v>
      </c>
      <c r="U1" s="298" t="s">
        <v>390</v>
      </c>
      <c r="V1" s="298" t="s">
        <v>391</v>
      </c>
      <c r="W1" s="298" t="s">
        <v>392</v>
      </c>
    </row>
    <row r="2" spans="1:23" x14ac:dyDescent="0.25">
      <c r="A2" s="42" t="s">
        <v>393</v>
      </c>
      <c r="B2" s="113">
        <v>41884</v>
      </c>
      <c r="C2" s="42" t="s">
        <v>394</v>
      </c>
      <c r="D2" s="42" t="s">
        <v>395</v>
      </c>
      <c r="E2" s="299">
        <v>47129110</v>
      </c>
      <c r="F2" s="299">
        <v>36220760</v>
      </c>
      <c r="G2" s="42">
        <v>115</v>
      </c>
      <c r="H2" s="300">
        <v>1109350</v>
      </c>
      <c r="I2" s="299">
        <v>294908</v>
      </c>
      <c r="J2" s="300">
        <v>1036370</v>
      </c>
      <c r="K2" s="299">
        <v>264270</v>
      </c>
      <c r="L2" s="42">
        <v>5.5</v>
      </c>
      <c r="M2" s="42">
        <v>6.5</v>
      </c>
      <c r="N2" s="42">
        <v>5.5</v>
      </c>
      <c r="O2" s="42" t="s">
        <v>396</v>
      </c>
      <c r="P2" s="42">
        <v>0</v>
      </c>
      <c r="Q2" s="42">
        <v>5</v>
      </c>
      <c r="R2" s="42">
        <v>0</v>
      </c>
      <c r="S2" s="42">
        <v>1</v>
      </c>
      <c r="T2" s="42">
        <v>5</v>
      </c>
      <c r="U2" s="42">
        <f t="shared" ref="U2:U9" si="0">SUM(P2:T2)</f>
        <v>11</v>
      </c>
      <c r="V2" s="42" t="s">
        <v>397</v>
      </c>
      <c r="W2" s="42" t="s">
        <v>398</v>
      </c>
    </row>
    <row r="3" spans="1:23" x14ac:dyDescent="0.25">
      <c r="A3" s="42" t="s">
        <v>399</v>
      </c>
      <c r="B3" s="113">
        <v>39559</v>
      </c>
      <c r="C3" s="42" t="s">
        <v>400</v>
      </c>
      <c r="D3" s="42" t="s">
        <v>401</v>
      </c>
      <c r="E3" s="299">
        <v>256348598</v>
      </c>
      <c r="F3" s="299">
        <v>272162542</v>
      </c>
      <c r="G3" s="42">
        <v>482</v>
      </c>
      <c r="H3" s="300">
        <v>1213540</v>
      </c>
      <c r="I3" s="299">
        <v>226018</v>
      </c>
      <c r="J3" s="300">
        <v>1085590</v>
      </c>
      <c r="K3" s="299">
        <v>181988</v>
      </c>
      <c r="L3" s="42">
        <v>5.75</v>
      </c>
      <c r="M3" s="42">
        <v>6.75</v>
      </c>
      <c r="N3" s="42">
        <v>4.5</v>
      </c>
      <c r="O3" s="42" t="s">
        <v>402</v>
      </c>
      <c r="P3" s="42">
        <v>0</v>
      </c>
      <c r="Q3" s="42">
        <v>1</v>
      </c>
      <c r="R3" s="42">
        <v>1</v>
      </c>
      <c r="S3" s="42">
        <v>1</v>
      </c>
      <c r="T3" s="42">
        <v>1</v>
      </c>
      <c r="U3" s="42">
        <f t="shared" si="0"/>
        <v>4</v>
      </c>
      <c r="V3" s="42" t="s">
        <v>403</v>
      </c>
      <c r="W3" s="42" t="s">
        <v>404</v>
      </c>
    </row>
    <row r="4" spans="1:23" x14ac:dyDescent="0.25">
      <c r="A4" s="42" t="s">
        <v>405</v>
      </c>
      <c r="B4" s="113">
        <v>42028</v>
      </c>
      <c r="C4" s="42" t="s">
        <v>406</v>
      </c>
      <c r="D4" s="42" t="s">
        <v>407</v>
      </c>
      <c r="E4" s="299">
        <v>90598139</v>
      </c>
      <c r="F4" s="299">
        <v>95834988</v>
      </c>
      <c r="G4" s="42">
        <v>246</v>
      </c>
      <c r="H4" s="300">
        <v>1323480</v>
      </c>
      <c r="I4" s="299">
        <v>367712</v>
      </c>
      <c r="J4" s="300">
        <v>1200260</v>
      </c>
      <c r="K4" s="299">
        <v>313134</v>
      </c>
      <c r="L4" s="42">
        <v>6</v>
      </c>
      <c r="M4" s="42">
        <v>6</v>
      </c>
      <c r="N4" s="42">
        <v>5.5</v>
      </c>
      <c r="O4" s="42" t="s">
        <v>408</v>
      </c>
      <c r="P4" s="42">
        <v>2</v>
      </c>
      <c r="Q4" s="42">
        <v>1</v>
      </c>
      <c r="R4" s="42">
        <v>0</v>
      </c>
      <c r="S4" s="42">
        <v>3</v>
      </c>
      <c r="T4" s="42">
        <v>0</v>
      </c>
      <c r="U4" s="42">
        <f t="shared" si="0"/>
        <v>6</v>
      </c>
      <c r="V4" s="42" t="s">
        <v>409</v>
      </c>
      <c r="W4" s="42" t="s">
        <v>410</v>
      </c>
    </row>
    <row r="5" spans="1:23" x14ac:dyDescent="0.25">
      <c r="A5" s="42" t="s">
        <v>411</v>
      </c>
      <c r="B5" s="113">
        <v>39638</v>
      </c>
      <c r="C5" s="42" t="s">
        <v>406</v>
      </c>
      <c r="D5" s="42" t="s">
        <v>412</v>
      </c>
      <c r="E5" s="299">
        <v>101904410</v>
      </c>
      <c r="F5" s="299">
        <v>106728274</v>
      </c>
      <c r="G5" s="42">
        <v>369</v>
      </c>
      <c r="H5" s="300">
        <v>1091490</v>
      </c>
      <c r="I5" s="299">
        <v>314820</v>
      </c>
      <c r="J5" s="300">
        <v>1035660</v>
      </c>
      <c r="K5" s="299">
        <v>295298</v>
      </c>
      <c r="L5" s="42">
        <v>5.25</v>
      </c>
      <c r="M5" s="42">
        <v>5</v>
      </c>
      <c r="N5" s="42">
        <v>6.25</v>
      </c>
      <c r="O5" s="42" t="s">
        <v>413</v>
      </c>
      <c r="P5" s="42">
        <v>0</v>
      </c>
      <c r="Q5" s="42">
        <v>2</v>
      </c>
      <c r="R5" s="42">
        <v>0</v>
      </c>
      <c r="S5" s="42">
        <v>2</v>
      </c>
      <c r="T5" s="42">
        <v>0</v>
      </c>
      <c r="U5" s="42">
        <f t="shared" si="0"/>
        <v>4</v>
      </c>
      <c r="V5" s="42" t="s">
        <v>414</v>
      </c>
      <c r="W5" s="42" t="s">
        <v>415</v>
      </c>
    </row>
    <row r="6" spans="1:23" x14ac:dyDescent="0.25">
      <c r="A6" s="42" t="s">
        <v>416</v>
      </c>
      <c r="B6" s="113">
        <v>38176</v>
      </c>
      <c r="C6" s="42" t="s">
        <v>417</v>
      </c>
      <c r="D6" s="42" t="s">
        <v>401</v>
      </c>
      <c r="E6" s="299">
        <v>114552212</v>
      </c>
      <c r="F6" s="299">
        <v>106068085</v>
      </c>
      <c r="G6" s="42">
        <v>332</v>
      </c>
      <c r="H6" s="300">
        <v>613770</v>
      </c>
      <c r="I6" s="299">
        <v>214342</v>
      </c>
      <c r="J6" s="300">
        <v>594970</v>
      </c>
      <c r="K6" s="299">
        <v>196056</v>
      </c>
      <c r="L6" s="42">
        <v>5.75</v>
      </c>
      <c r="M6" s="42">
        <v>6.5</v>
      </c>
      <c r="N6" s="42">
        <v>5.25</v>
      </c>
      <c r="O6" s="42" t="s">
        <v>418</v>
      </c>
      <c r="P6" s="42">
        <v>0</v>
      </c>
      <c r="Q6" s="42">
        <v>2</v>
      </c>
      <c r="R6" s="42">
        <v>2</v>
      </c>
      <c r="S6" s="42">
        <v>0</v>
      </c>
      <c r="T6" s="42">
        <v>0</v>
      </c>
      <c r="U6" s="42">
        <f t="shared" si="0"/>
        <v>4</v>
      </c>
      <c r="V6" s="42" t="s">
        <v>419</v>
      </c>
      <c r="W6" s="42" t="s">
        <v>420</v>
      </c>
    </row>
    <row r="7" spans="1:23" x14ac:dyDescent="0.25">
      <c r="A7" s="42" t="s">
        <v>421</v>
      </c>
      <c r="B7" s="113">
        <v>37938</v>
      </c>
      <c r="C7" s="42" t="s">
        <v>422</v>
      </c>
      <c r="D7" s="42" t="s">
        <v>401</v>
      </c>
      <c r="E7" s="299">
        <v>152808114</v>
      </c>
      <c r="F7" s="299">
        <v>152569289</v>
      </c>
      <c r="G7" s="42">
        <v>454</v>
      </c>
      <c r="H7" s="300">
        <v>735430</v>
      </c>
      <c r="I7" s="299">
        <v>218146</v>
      </c>
      <c r="J7" s="300">
        <v>656840</v>
      </c>
      <c r="K7" s="299">
        <v>183738</v>
      </c>
      <c r="L7" s="42">
        <v>6.25</v>
      </c>
      <c r="M7" s="42">
        <v>6.5</v>
      </c>
      <c r="N7" s="42">
        <v>5.5</v>
      </c>
      <c r="O7" s="42" t="s">
        <v>423</v>
      </c>
      <c r="P7" s="42">
        <v>0</v>
      </c>
      <c r="Q7" s="42">
        <v>0</v>
      </c>
      <c r="R7" s="42">
        <v>0</v>
      </c>
      <c r="S7" s="42">
        <v>2</v>
      </c>
      <c r="T7" s="42">
        <v>1</v>
      </c>
      <c r="U7" s="42">
        <f t="shared" si="0"/>
        <v>3</v>
      </c>
      <c r="V7" s="42" t="s">
        <v>424</v>
      </c>
      <c r="W7" s="42">
        <v>352</v>
      </c>
    </row>
    <row r="8" spans="1:23" x14ac:dyDescent="0.25">
      <c r="A8" s="42" t="s">
        <v>425</v>
      </c>
      <c r="B8" s="113">
        <v>40968</v>
      </c>
      <c r="C8" s="42" t="s">
        <v>417</v>
      </c>
      <c r="D8" s="42" t="s">
        <v>426</v>
      </c>
      <c r="E8" s="299">
        <v>37248599</v>
      </c>
      <c r="F8" s="299">
        <v>18434858</v>
      </c>
      <c r="G8" s="42">
        <v>83</v>
      </c>
      <c r="H8" s="300">
        <v>926910</v>
      </c>
      <c r="I8" s="299">
        <v>175590</v>
      </c>
      <c r="J8" s="300">
        <v>811840</v>
      </c>
      <c r="K8" s="299">
        <v>152758</v>
      </c>
      <c r="L8" s="42">
        <v>6</v>
      </c>
      <c r="M8" s="42">
        <v>5.75</v>
      </c>
      <c r="N8" s="42">
        <v>5.75</v>
      </c>
      <c r="O8" s="42" t="s">
        <v>427</v>
      </c>
      <c r="P8" s="42">
        <v>1</v>
      </c>
      <c r="Q8" s="42">
        <v>0</v>
      </c>
      <c r="R8" s="42">
        <v>2</v>
      </c>
      <c r="S8" s="42">
        <v>4</v>
      </c>
      <c r="T8" s="42">
        <v>1</v>
      </c>
      <c r="U8" s="42">
        <f t="shared" si="0"/>
        <v>8</v>
      </c>
      <c r="V8" s="42" t="s">
        <v>428</v>
      </c>
      <c r="W8" s="42" t="s">
        <v>398</v>
      </c>
    </row>
    <row r="9" spans="1:23" x14ac:dyDescent="0.25">
      <c r="A9" s="42" t="s">
        <v>429</v>
      </c>
      <c r="B9" s="113">
        <v>40792</v>
      </c>
      <c r="C9" s="42" t="s">
        <v>422</v>
      </c>
      <c r="D9" s="42" t="s">
        <v>430</v>
      </c>
      <c r="E9" s="299">
        <v>276071009</v>
      </c>
      <c r="F9" s="299">
        <v>299255460</v>
      </c>
      <c r="G9" s="42">
        <v>893</v>
      </c>
      <c r="H9" s="300">
        <v>1389140</v>
      </c>
      <c r="I9" s="299">
        <v>226850</v>
      </c>
      <c r="J9" s="300">
        <v>1203640</v>
      </c>
      <c r="K9" s="299">
        <v>176410</v>
      </c>
      <c r="L9" s="42">
        <v>5.25</v>
      </c>
      <c r="M9" s="42">
        <v>6.25</v>
      </c>
      <c r="N9" s="42">
        <v>4.5</v>
      </c>
      <c r="O9" s="42" t="s">
        <v>431</v>
      </c>
      <c r="P9" s="42">
        <v>1</v>
      </c>
      <c r="Q9" s="42">
        <v>1</v>
      </c>
      <c r="R9" s="42">
        <v>3</v>
      </c>
      <c r="S9" s="42">
        <v>0</v>
      </c>
      <c r="T9" s="42">
        <v>6</v>
      </c>
      <c r="U9" s="42">
        <f t="shared" si="0"/>
        <v>11</v>
      </c>
      <c r="V9" s="42" t="s">
        <v>432</v>
      </c>
      <c r="W9" s="42" t="s">
        <v>433</v>
      </c>
    </row>
    <row r="11" spans="1:23" x14ac:dyDescent="0.25">
      <c r="A11" s="298" t="s">
        <v>434</v>
      </c>
      <c r="B11" s="298" t="s">
        <v>377</v>
      </c>
      <c r="C11" s="298" t="s">
        <v>378</v>
      </c>
      <c r="D11" s="298" t="s">
        <v>379</v>
      </c>
      <c r="E11" s="298" t="s">
        <v>380</v>
      </c>
      <c r="F11" s="298" t="s">
        <v>381</v>
      </c>
      <c r="G11" s="298" t="s">
        <v>382</v>
      </c>
      <c r="H11" s="298" t="s">
        <v>127</v>
      </c>
      <c r="I11" s="298" t="s">
        <v>383</v>
      </c>
      <c r="J11" s="298" t="s">
        <v>384</v>
      </c>
      <c r="K11" s="298" t="s">
        <v>385</v>
      </c>
      <c r="L11" s="298" t="s">
        <v>386</v>
      </c>
      <c r="M11" s="298" t="s">
        <v>387</v>
      </c>
      <c r="N11" s="298" t="s">
        <v>388</v>
      </c>
      <c r="O11" s="298" t="s">
        <v>389</v>
      </c>
      <c r="P11" s="298" t="s">
        <v>198</v>
      </c>
      <c r="Q11" s="298" t="s">
        <v>175</v>
      </c>
      <c r="R11" s="298" t="s">
        <v>166</v>
      </c>
      <c r="S11" s="298" t="s">
        <v>266</v>
      </c>
      <c r="T11" s="298" t="s">
        <v>163</v>
      </c>
      <c r="U11" s="298" t="s">
        <v>390</v>
      </c>
      <c r="V11" s="298" t="s">
        <v>391</v>
      </c>
      <c r="W11" s="298" t="s">
        <v>392</v>
      </c>
    </row>
    <row r="12" spans="1:23" x14ac:dyDescent="0.25">
      <c r="A12" s="42" t="s">
        <v>435</v>
      </c>
      <c r="B12" s="113">
        <v>42188</v>
      </c>
      <c r="C12" s="42" t="s">
        <v>436</v>
      </c>
      <c r="D12" s="42" t="s">
        <v>437</v>
      </c>
      <c r="E12" s="299">
        <v>82460995</v>
      </c>
      <c r="F12" s="299">
        <v>96298020</v>
      </c>
      <c r="G12" s="42">
        <v>203</v>
      </c>
      <c r="H12" s="300">
        <v>815450</v>
      </c>
      <c r="I12" s="299">
        <v>255716</v>
      </c>
      <c r="J12" s="300">
        <v>694460</v>
      </c>
      <c r="K12" s="299">
        <v>181616</v>
      </c>
      <c r="L12" s="42">
        <v>5.5</v>
      </c>
      <c r="M12" s="42">
        <v>6.25</v>
      </c>
      <c r="N12" s="42">
        <v>5.5</v>
      </c>
      <c r="O12" s="42" t="s">
        <v>396</v>
      </c>
      <c r="P12" s="42">
        <v>2</v>
      </c>
      <c r="Q12" s="42">
        <v>1</v>
      </c>
      <c r="R12" s="42">
        <v>2</v>
      </c>
      <c r="S12" s="42">
        <v>1</v>
      </c>
      <c r="T12" s="42">
        <v>0</v>
      </c>
      <c r="U12" s="42">
        <f t="shared" ref="U12:U19" si="1">SUM(P12:T12)</f>
        <v>6</v>
      </c>
      <c r="V12" s="42" t="s">
        <v>424</v>
      </c>
      <c r="W12" s="42" t="s">
        <v>438</v>
      </c>
    </row>
    <row r="13" spans="1:23" x14ac:dyDescent="0.25">
      <c r="A13" s="42" t="s">
        <v>439</v>
      </c>
      <c r="B13" s="113">
        <v>41373</v>
      </c>
      <c r="C13" s="42" t="s">
        <v>440</v>
      </c>
      <c r="D13" s="42" t="s">
        <v>441</v>
      </c>
      <c r="E13" s="299">
        <v>60889118</v>
      </c>
      <c r="F13" s="299">
        <v>48697720</v>
      </c>
      <c r="G13" s="42">
        <v>89</v>
      </c>
      <c r="H13" s="300">
        <v>1177340</v>
      </c>
      <c r="I13" s="299">
        <v>300932</v>
      </c>
      <c r="J13" s="300">
        <v>1140440</v>
      </c>
      <c r="K13" s="299">
        <v>291780</v>
      </c>
      <c r="L13" s="42">
        <v>5.75</v>
      </c>
      <c r="M13" s="42">
        <v>6.25</v>
      </c>
      <c r="N13" s="42">
        <v>6.5</v>
      </c>
      <c r="O13" s="42" t="s">
        <v>408</v>
      </c>
      <c r="P13" s="42">
        <v>0</v>
      </c>
      <c r="Q13" s="42">
        <v>1</v>
      </c>
      <c r="R13" s="42">
        <v>0</v>
      </c>
      <c r="S13" s="42">
        <v>1</v>
      </c>
      <c r="T13" s="42">
        <v>0</v>
      </c>
      <c r="U13" s="42">
        <f t="shared" si="1"/>
        <v>2</v>
      </c>
      <c r="V13" s="42" t="s">
        <v>442</v>
      </c>
      <c r="W13" s="42">
        <v>352</v>
      </c>
    </row>
    <row r="14" spans="1:23" x14ac:dyDescent="0.25">
      <c r="A14" s="42" t="s">
        <v>443</v>
      </c>
      <c r="B14" s="113">
        <v>40967</v>
      </c>
      <c r="C14" s="42" t="s">
        <v>436</v>
      </c>
      <c r="D14" s="42" t="s">
        <v>407</v>
      </c>
      <c r="E14" s="299">
        <v>82442500</v>
      </c>
      <c r="F14" s="299">
        <v>87332141</v>
      </c>
      <c r="G14" s="42">
        <v>178</v>
      </c>
      <c r="H14" s="300">
        <v>777010</v>
      </c>
      <c r="I14" s="299">
        <v>290792</v>
      </c>
      <c r="J14" s="300">
        <v>723210</v>
      </c>
      <c r="K14" s="299">
        <v>261158</v>
      </c>
      <c r="L14" s="42">
        <v>5.5</v>
      </c>
      <c r="M14" s="42">
        <v>5.75</v>
      </c>
      <c r="N14" s="42">
        <v>6.75</v>
      </c>
      <c r="O14" s="42" t="s">
        <v>444</v>
      </c>
      <c r="P14" s="42">
        <v>0</v>
      </c>
      <c r="Q14" s="42">
        <v>2</v>
      </c>
      <c r="R14" s="42">
        <v>2</v>
      </c>
      <c r="S14" s="42">
        <v>4</v>
      </c>
      <c r="T14" s="42">
        <v>2</v>
      </c>
      <c r="U14" s="42">
        <f t="shared" si="1"/>
        <v>10</v>
      </c>
      <c r="V14" s="42" t="s">
        <v>419</v>
      </c>
      <c r="W14" s="42">
        <v>352</v>
      </c>
    </row>
    <row r="15" spans="1:23" x14ac:dyDescent="0.25">
      <c r="A15" s="42" t="s">
        <v>445</v>
      </c>
      <c r="B15" s="113">
        <v>38761</v>
      </c>
      <c r="C15" s="42" t="s">
        <v>446</v>
      </c>
      <c r="D15" s="42" t="s">
        <v>447</v>
      </c>
      <c r="E15" s="299">
        <v>338220879</v>
      </c>
      <c r="F15" s="299">
        <v>354040033</v>
      </c>
      <c r="G15" s="42">
        <v>1243</v>
      </c>
      <c r="H15" s="300">
        <v>643900</v>
      </c>
      <c r="I15" s="299">
        <v>150312</v>
      </c>
      <c r="J15" s="300">
        <v>556130</v>
      </c>
      <c r="K15" s="299">
        <v>111082</v>
      </c>
      <c r="L15" s="42">
        <v>6</v>
      </c>
      <c r="M15" s="42">
        <v>6.25</v>
      </c>
      <c r="N15" s="42">
        <v>6.25</v>
      </c>
      <c r="O15" s="42" t="s">
        <v>448</v>
      </c>
      <c r="P15" s="42">
        <v>1</v>
      </c>
      <c r="Q15" s="42">
        <v>4</v>
      </c>
      <c r="R15" s="42">
        <v>1</v>
      </c>
      <c r="S15" s="42">
        <v>1</v>
      </c>
      <c r="T15" s="42">
        <v>0</v>
      </c>
      <c r="U15" s="42">
        <f t="shared" si="1"/>
        <v>7</v>
      </c>
      <c r="V15" s="42" t="s">
        <v>414</v>
      </c>
      <c r="W15" s="42" t="s">
        <v>449</v>
      </c>
    </row>
    <row r="16" spans="1:23" x14ac:dyDescent="0.25">
      <c r="A16" s="42" t="s">
        <v>450</v>
      </c>
      <c r="B16" s="113">
        <v>42114</v>
      </c>
      <c r="C16" s="42" t="s">
        <v>436</v>
      </c>
      <c r="D16" s="42" t="s">
        <v>451</v>
      </c>
      <c r="E16" s="299">
        <v>46709570</v>
      </c>
      <c r="F16" s="299">
        <v>37113808</v>
      </c>
      <c r="G16" s="42">
        <v>218</v>
      </c>
      <c r="H16" s="300">
        <v>829470</v>
      </c>
      <c r="I16" s="299">
        <v>182412</v>
      </c>
      <c r="J16" s="300">
        <v>756500</v>
      </c>
      <c r="K16" s="299">
        <v>160334</v>
      </c>
      <c r="L16" s="42">
        <v>5.25</v>
      </c>
      <c r="M16" s="42">
        <v>6.5</v>
      </c>
      <c r="N16" s="42">
        <v>5</v>
      </c>
      <c r="O16" s="42" t="s">
        <v>452</v>
      </c>
      <c r="P16" s="42">
        <v>2</v>
      </c>
      <c r="Q16" s="42">
        <v>3</v>
      </c>
      <c r="R16" s="42">
        <v>1</v>
      </c>
      <c r="S16" s="42">
        <v>1</v>
      </c>
      <c r="T16" s="42">
        <v>2</v>
      </c>
      <c r="U16" s="42">
        <f t="shared" si="1"/>
        <v>9</v>
      </c>
      <c r="V16" s="42" t="s">
        <v>453</v>
      </c>
      <c r="W16" s="42" t="s">
        <v>454</v>
      </c>
    </row>
    <row r="17" spans="1:23" x14ac:dyDescent="0.25">
      <c r="A17" s="42" t="s">
        <v>455</v>
      </c>
      <c r="B17" s="113">
        <v>42081</v>
      </c>
      <c r="C17" s="42" t="s">
        <v>456</v>
      </c>
      <c r="D17" s="42" t="s">
        <v>437</v>
      </c>
      <c r="E17" s="299">
        <v>65518666</v>
      </c>
      <c r="F17" s="299">
        <v>79171407</v>
      </c>
      <c r="G17" s="42">
        <v>144</v>
      </c>
      <c r="H17" s="300">
        <v>1116530</v>
      </c>
      <c r="I17" s="299">
        <v>355742</v>
      </c>
      <c r="J17" s="300">
        <v>1052690</v>
      </c>
      <c r="K17" s="299">
        <v>319518</v>
      </c>
      <c r="L17" s="42">
        <v>5.25</v>
      </c>
      <c r="M17" s="42">
        <v>6.25</v>
      </c>
      <c r="N17" s="42">
        <v>5.75</v>
      </c>
      <c r="O17" s="42" t="s">
        <v>457</v>
      </c>
      <c r="P17" s="42">
        <v>0</v>
      </c>
      <c r="Q17" s="42">
        <v>2</v>
      </c>
      <c r="R17" s="42">
        <v>0</v>
      </c>
      <c r="S17" s="42">
        <v>1</v>
      </c>
      <c r="T17" s="42">
        <v>1</v>
      </c>
      <c r="U17" s="42">
        <f t="shared" si="1"/>
        <v>4</v>
      </c>
      <c r="V17" s="42" t="s">
        <v>458</v>
      </c>
      <c r="W17" s="42" t="s">
        <v>459</v>
      </c>
    </row>
    <row r="18" spans="1:23" x14ac:dyDescent="0.25">
      <c r="A18" s="42" t="s">
        <v>460</v>
      </c>
      <c r="B18" s="113">
        <v>42987</v>
      </c>
      <c r="C18" s="42" t="s">
        <v>422</v>
      </c>
      <c r="D18" s="42" t="s">
        <v>461</v>
      </c>
      <c r="E18" s="299">
        <v>12127780</v>
      </c>
      <c r="F18" s="299">
        <v>10570244</v>
      </c>
      <c r="G18" s="42">
        <v>41</v>
      </c>
      <c r="H18" s="300">
        <v>485360</v>
      </c>
      <c r="I18" s="299">
        <v>114784</v>
      </c>
      <c r="J18" s="300">
        <v>416940</v>
      </c>
      <c r="K18" s="299">
        <v>101762</v>
      </c>
      <c r="L18" s="42">
        <v>6</v>
      </c>
      <c r="M18" s="42">
        <v>6.5</v>
      </c>
      <c r="N18" s="42">
        <v>3.5</v>
      </c>
      <c r="O18" s="42" t="s">
        <v>462</v>
      </c>
      <c r="P18" s="42">
        <v>4</v>
      </c>
      <c r="Q18" s="42">
        <v>0</v>
      </c>
      <c r="R18" s="42">
        <v>1</v>
      </c>
      <c r="S18" s="42">
        <v>0</v>
      </c>
      <c r="T18" s="42">
        <v>3</v>
      </c>
      <c r="U18" s="42">
        <f t="shared" si="1"/>
        <v>8</v>
      </c>
      <c r="V18" s="42" t="s">
        <v>463</v>
      </c>
      <c r="W18" s="42">
        <v>343</v>
      </c>
    </row>
    <row r="19" spans="1:23" x14ac:dyDescent="0.25">
      <c r="A19" s="42" t="s">
        <v>429</v>
      </c>
      <c r="B19" s="113">
        <v>40792</v>
      </c>
      <c r="C19" s="42" t="s">
        <v>422</v>
      </c>
      <c r="D19" s="42" t="s">
        <v>430</v>
      </c>
      <c r="E19" s="299">
        <v>276071009</v>
      </c>
      <c r="F19" s="299">
        <v>299255460</v>
      </c>
      <c r="G19" s="42">
        <v>893</v>
      </c>
      <c r="H19" s="300">
        <v>1389140</v>
      </c>
      <c r="I19" s="299">
        <v>226850</v>
      </c>
      <c r="J19" s="300">
        <v>1203640</v>
      </c>
      <c r="K19" s="299">
        <v>176410</v>
      </c>
      <c r="L19" s="42">
        <v>5.25</v>
      </c>
      <c r="M19" s="42">
        <v>6.25</v>
      </c>
      <c r="N19" s="42">
        <v>4.5</v>
      </c>
      <c r="O19" s="42" t="s">
        <v>431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432</v>
      </c>
      <c r="W19" s="42" t="s">
        <v>433</v>
      </c>
    </row>
    <row r="21" spans="1:23" x14ac:dyDescent="0.25">
      <c r="A21" s="298" t="s">
        <v>1000</v>
      </c>
      <c r="B21" s="298" t="s">
        <v>377</v>
      </c>
      <c r="C21" s="298" t="s">
        <v>378</v>
      </c>
      <c r="D21" s="298" t="s">
        <v>379</v>
      </c>
      <c r="E21" s="298" t="s">
        <v>380</v>
      </c>
      <c r="F21" s="298" t="s">
        <v>381</v>
      </c>
      <c r="G21" s="298" t="s">
        <v>382</v>
      </c>
      <c r="H21" s="298" t="s">
        <v>127</v>
      </c>
      <c r="I21" s="298" t="s">
        <v>383</v>
      </c>
      <c r="J21" s="298" t="s">
        <v>384</v>
      </c>
      <c r="K21" s="298" t="s">
        <v>385</v>
      </c>
      <c r="L21" s="298" t="s">
        <v>386</v>
      </c>
      <c r="M21" s="298" t="s">
        <v>387</v>
      </c>
      <c r="N21" s="298" t="s">
        <v>388</v>
      </c>
      <c r="O21" s="298" t="s">
        <v>389</v>
      </c>
      <c r="P21" s="298" t="s">
        <v>198</v>
      </c>
      <c r="Q21" s="298" t="s">
        <v>175</v>
      </c>
      <c r="R21" s="298" t="s">
        <v>166</v>
      </c>
      <c r="S21" s="298" t="s">
        <v>266</v>
      </c>
      <c r="T21" s="298" t="s">
        <v>163</v>
      </c>
      <c r="U21" s="298" t="s">
        <v>390</v>
      </c>
      <c r="V21" s="298" t="s">
        <v>391</v>
      </c>
      <c r="W21" s="298" t="s">
        <v>392</v>
      </c>
    </row>
    <row r="22" spans="1:23" x14ac:dyDescent="0.25">
      <c r="A22" s="42" t="s">
        <v>1001</v>
      </c>
      <c r="B22" s="113">
        <v>39966</v>
      </c>
      <c r="C22" s="42" t="s">
        <v>406</v>
      </c>
      <c r="D22" s="42" t="s">
        <v>1002</v>
      </c>
      <c r="E22" s="299">
        <v>660831042</v>
      </c>
      <c r="F22" s="299">
        <v>719932639</v>
      </c>
      <c r="G22" s="42">
        <v>1957</v>
      </c>
      <c r="H22" s="300">
        <v>1498610</v>
      </c>
      <c r="I22" s="299">
        <v>567506</v>
      </c>
      <c r="J22" s="300">
        <v>1394210</v>
      </c>
      <c r="K22" s="299">
        <v>502888</v>
      </c>
      <c r="L22" s="36">
        <v>6</v>
      </c>
      <c r="M22" s="36">
        <v>7</v>
      </c>
      <c r="N22" s="36">
        <v>9.25</v>
      </c>
      <c r="O22" s="42" t="s">
        <v>1003</v>
      </c>
      <c r="P22" s="42">
        <v>1</v>
      </c>
      <c r="Q22" s="42">
        <v>3</v>
      </c>
      <c r="R22" s="42">
        <v>1</v>
      </c>
      <c r="S22" s="42">
        <v>0</v>
      </c>
      <c r="T22" s="42">
        <v>1</v>
      </c>
      <c r="U22" s="42">
        <f t="shared" ref="U22:U29" si="2">SUM(P22:T22)</f>
        <v>6</v>
      </c>
      <c r="V22" s="42" t="s">
        <v>1004</v>
      </c>
      <c r="W22" s="42" t="s">
        <v>1005</v>
      </c>
    </row>
    <row r="23" spans="1:23" x14ac:dyDescent="0.25">
      <c r="A23" s="42" t="s">
        <v>1006</v>
      </c>
      <c r="B23" s="113">
        <v>40045</v>
      </c>
      <c r="C23" s="42" t="s">
        <v>1026</v>
      </c>
      <c r="D23" s="42" t="s">
        <v>430</v>
      </c>
      <c r="E23" s="299">
        <v>611700702</v>
      </c>
      <c r="F23" s="299">
        <v>646447378</v>
      </c>
      <c r="G23" s="42">
        <v>1082</v>
      </c>
      <c r="H23" s="300">
        <v>712010</v>
      </c>
      <c r="I23" s="299">
        <v>181102</v>
      </c>
      <c r="J23" s="300">
        <v>705200</v>
      </c>
      <c r="K23" s="299">
        <v>178568</v>
      </c>
      <c r="L23" s="36">
        <v>6</v>
      </c>
      <c r="M23" s="36">
        <v>6.25</v>
      </c>
      <c r="N23" s="36">
        <v>6.75</v>
      </c>
      <c r="O23" s="42" t="s">
        <v>1031</v>
      </c>
      <c r="P23" s="42">
        <v>1</v>
      </c>
      <c r="Q23" s="42">
        <v>3</v>
      </c>
      <c r="R23" s="42">
        <v>1</v>
      </c>
      <c r="S23" s="42">
        <v>1</v>
      </c>
      <c r="T23" s="42">
        <v>2</v>
      </c>
      <c r="U23" s="42">
        <f t="shared" si="2"/>
        <v>8</v>
      </c>
      <c r="V23" s="42" t="s">
        <v>1004</v>
      </c>
      <c r="W23" s="42" t="s">
        <v>1007</v>
      </c>
    </row>
    <row r="24" spans="1:23" x14ac:dyDescent="0.25">
      <c r="A24" s="42" t="s">
        <v>1008</v>
      </c>
      <c r="B24" s="113">
        <v>39067</v>
      </c>
      <c r="C24" s="42" t="s">
        <v>1009</v>
      </c>
      <c r="D24" s="42" t="s">
        <v>1010</v>
      </c>
      <c r="E24" s="299">
        <v>285573364</v>
      </c>
      <c r="F24" s="299">
        <v>326420263</v>
      </c>
      <c r="G24" s="42">
        <v>589</v>
      </c>
      <c r="H24" s="300">
        <v>2218860</v>
      </c>
      <c r="I24" s="299">
        <v>406454</v>
      </c>
      <c r="J24" s="300">
        <v>2207750</v>
      </c>
      <c r="K24" s="299">
        <v>403510</v>
      </c>
      <c r="L24" s="36">
        <v>6</v>
      </c>
      <c r="M24" s="36">
        <v>6</v>
      </c>
      <c r="N24" s="36">
        <v>6.75</v>
      </c>
      <c r="O24" s="42" t="s">
        <v>1011</v>
      </c>
      <c r="P24" s="42">
        <v>1</v>
      </c>
      <c r="Q24" s="42">
        <v>1</v>
      </c>
      <c r="R24" s="42">
        <v>1</v>
      </c>
      <c r="S24" s="42">
        <v>0</v>
      </c>
      <c r="T24" s="42">
        <v>1</v>
      </c>
      <c r="U24" s="42">
        <f t="shared" si="2"/>
        <v>4</v>
      </c>
      <c r="V24" s="42" t="s">
        <v>1004</v>
      </c>
      <c r="W24" s="42">
        <v>352</v>
      </c>
    </row>
    <row r="25" spans="1:23" x14ac:dyDescent="0.25">
      <c r="A25" s="42" t="s">
        <v>1012</v>
      </c>
      <c r="B25" s="113">
        <v>39248</v>
      </c>
      <c r="C25" s="42" t="s">
        <v>422</v>
      </c>
      <c r="D25" s="42" t="s">
        <v>1013</v>
      </c>
      <c r="E25" s="299">
        <v>341496415</v>
      </c>
      <c r="F25" s="299">
        <v>390590858</v>
      </c>
      <c r="G25" s="42">
        <v>1273</v>
      </c>
      <c r="H25" s="300">
        <v>1354780</v>
      </c>
      <c r="I25" s="299">
        <v>346236</v>
      </c>
      <c r="J25" s="300">
        <v>1280580</v>
      </c>
      <c r="K25" s="299">
        <v>307364</v>
      </c>
      <c r="L25" s="36">
        <v>6</v>
      </c>
      <c r="M25" s="36">
        <v>5.75</v>
      </c>
      <c r="N25" s="36">
        <v>10</v>
      </c>
      <c r="O25" s="42" t="s">
        <v>1014</v>
      </c>
      <c r="P25" s="42">
        <v>3</v>
      </c>
      <c r="Q25" s="42">
        <v>3</v>
      </c>
      <c r="R25" s="42">
        <v>1</v>
      </c>
      <c r="S25" s="42">
        <v>1</v>
      </c>
      <c r="T25" s="42">
        <v>3</v>
      </c>
      <c r="U25" s="42">
        <f t="shared" si="2"/>
        <v>11</v>
      </c>
      <c r="V25" s="42" t="s">
        <v>1015</v>
      </c>
      <c r="W25" s="42">
        <v>352</v>
      </c>
    </row>
    <row r="26" spans="1:23" x14ac:dyDescent="0.25">
      <c r="A26" s="42" t="s">
        <v>1016</v>
      </c>
      <c r="B26" s="113">
        <v>42724</v>
      </c>
      <c r="C26" s="42" t="s">
        <v>417</v>
      </c>
      <c r="D26" s="42" t="s">
        <v>1017</v>
      </c>
      <c r="E26" s="299">
        <v>51840220</v>
      </c>
      <c r="F26" s="299">
        <v>37476063</v>
      </c>
      <c r="G26" s="42">
        <v>344</v>
      </c>
      <c r="H26" s="300">
        <v>2110120</v>
      </c>
      <c r="I26" s="299">
        <v>345690</v>
      </c>
      <c r="J26" s="300">
        <v>1826850</v>
      </c>
      <c r="K26" s="299">
        <v>275318</v>
      </c>
      <c r="L26" s="36">
        <v>6</v>
      </c>
      <c r="M26" s="36">
        <v>7.25</v>
      </c>
      <c r="N26" s="36">
        <v>7.75</v>
      </c>
      <c r="O26" s="42" t="s">
        <v>457</v>
      </c>
      <c r="P26" s="42">
        <v>2</v>
      </c>
      <c r="Q26" s="42">
        <v>3</v>
      </c>
      <c r="R26" s="42">
        <v>4</v>
      </c>
      <c r="S26" s="42">
        <v>0</v>
      </c>
      <c r="T26" s="42">
        <v>2</v>
      </c>
      <c r="U26" s="42">
        <f t="shared" si="2"/>
        <v>11</v>
      </c>
      <c r="V26" s="42" t="s">
        <v>1018</v>
      </c>
      <c r="W26" s="42" t="s">
        <v>1019</v>
      </c>
    </row>
    <row r="27" spans="1:23" x14ac:dyDescent="0.25">
      <c r="A27" s="42" t="s">
        <v>1020</v>
      </c>
      <c r="B27" s="113">
        <v>39413</v>
      </c>
      <c r="C27" s="42" t="s">
        <v>1021</v>
      </c>
      <c r="D27" s="42" t="s">
        <v>1022</v>
      </c>
      <c r="E27" s="299">
        <v>310869731</v>
      </c>
      <c r="F27" s="299">
        <v>313072470</v>
      </c>
      <c r="G27" s="42">
        <v>496</v>
      </c>
      <c r="H27" s="300">
        <v>930840</v>
      </c>
      <c r="I27" s="299">
        <v>178784</v>
      </c>
      <c r="J27" s="300">
        <v>844690</v>
      </c>
      <c r="K27" s="299">
        <v>159764</v>
      </c>
      <c r="L27" s="36">
        <v>6.25</v>
      </c>
      <c r="M27" s="36">
        <v>7.25</v>
      </c>
      <c r="N27" s="36">
        <v>6.75</v>
      </c>
      <c r="O27" s="42" t="s">
        <v>1023</v>
      </c>
      <c r="P27" s="42">
        <v>0</v>
      </c>
      <c r="Q27" s="42">
        <v>3</v>
      </c>
      <c r="R27" s="42">
        <v>1</v>
      </c>
      <c r="S27" s="42">
        <v>1</v>
      </c>
      <c r="T27" s="42">
        <v>2</v>
      </c>
      <c r="U27" s="42">
        <f t="shared" si="2"/>
        <v>7</v>
      </c>
      <c r="V27" s="42" t="s">
        <v>1024</v>
      </c>
      <c r="W27" s="42">
        <v>352</v>
      </c>
    </row>
    <row r="28" spans="1:23" x14ac:dyDescent="0.25">
      <c r="A28" s="42" t="s">
        <v>1025</v>
      </c>
      <c r="B28" s="113">
        <v>39396</v>
      </c>
      <c r="C28" s="42" t="s">
        <v>1026</v>
      </c>
      <c r="D28" s="42" t="s">
        <v>1027</v>
      </c>
      <c r="E28" s="299">
        <v>350603253</v>
      </c>
      <c r="F28" s="299">
        <v>392730172</v>
      </c>
      <c r="G28" s="42">
        <v>927</v>
      </c>
      <c r="H28" s="300">
        <v>1238970</v>
      </c>
      <c r="I28" s="299">
        <v>330288</v>
      </c>
      <c r="J28" s="300">
        <v>1173940</v>
      </c>
      <c r="K28" s="299">
        <v>300720</v>
      </c>
      <c r="L28" s="36">
        <v>5.75</v>
      </c>
      <c r="M28" s="36">
        <v>6.5</v>
      </c>
      <c r="N28" s="36">
        <v>10.25</v>
      </c>
      <c r="O28" s="42" t="s">
        <v>1028</v>
      </c>
      <c r="P28" s="42">
        <v>2</v>
      </c>
      <c r="Q28" s="42">
        <v>3</v>
      </c>
      <c r="R28" s="42">
        <v>2</v>
      </c>
      <c r="S28" s="42">
        <v>2</v>
      </c>
      <c r="T28" s="42">
        <v>0</v>
      </c>
      <c r="U28" s="42">
        <f t="shared" si="2"/>
        <v>9</v>
      </c>
      <c r="V28" s="42" t="s">
        <v>1004</v>
      </c>
      <c r="W28" s="42">
        <v>352</v>
      </c>
    </row>
    <row r="29" spans="1:23" x14ac:dyDescent="0.25">
      <c r="A29" s="42" t="s">
        <v>429</v>
      </c>
      <c r="B29" s="113">
        <v>40792</v>
      </c>
      <c r="C29" s="42" t="s">
        <v>422</v>
      </c>
      <c r="D29" s="42" t="s">
        <v>430</v>
      </c>
      <c r="E29" s="299">
        <v>320425896</v>
      </c>
      <c r="F29" s="299">
        <v>323175820</v>
      </c>
      <c r="G29" s="42">
        <v>930</v>
      </c>
      <c r="H29" s="300">
        <v>2983360</v>
      </c>
      <c r="I29" s="299">
        <v>400864</v>
      </c>
      <c r="J29" s="300">
        <v>2563140</v>
      </c>
      <c r="K29" s="299">
        <v>292382</v>
      </c>
      <c r="L29" s="36">
        <v>6</v>
      </c>
      <c r="M29" s="36">
        <v>7</v>
      </c>
      <c r="N29" s="36">
        <v>8.25</v>
      </c>
      <c r="O29" s="42" t="s">
        <v>1029</v>
      </c>
      <c r="P29" s="42">
        <v>0</v>
      </c>
      <c r="Q29" s="42">
        <v>0</v>
      </c>
      <c r="R29" s="42">
        <v>3</v>
      </c>
      <c r="S29" s="42">
        <v>0</v>
      </c>
      <c r="T29" s="42">
        <v>3</v>
      </c>
      <c r="U29" s="42">
        <f t="shared" si="2"/>
        <v>6</v>
      </c>
      <c r="V29" s="42" t="s">
        <v>1030</v>
      </c>
      <c r="W29" s="42" t="s">
        <v>454</v>
      </c>
    </row>
  </sheetData>
  <conditionalFormatting sqref="U12:U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9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14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6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17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18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21">
      <colorScale>
        <cfvo type="min"/>
        <cfvo type="max"/>
        <color rgb="FFFCFCFF"/>
        <color rgb="FFF8696B"/>
      </colorScale>
    </cfRule>
  </conditionalFormatting>
  <conditionalFormatting sqref="U22:U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2:M2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2:L2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2:I29 K22:K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9 J22:J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F2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>
        <f>SUM(N3:N15)</f>
        <v>300602</v>
      </c>
      <c r="AH1" s="77">
        <f>SUM(AH3:AH15)</f>
        <v>200487.48</v>
      </c>
    </row>
    <row r="2" spans="1:45" x14ac:dyDescent="0.25">
      <c r="A2" s="96" t="s">
        <v>464</v>
      </c>
      <c r="B2" s="96" t="s">
        <v>109</v>
      </c>
      <c r="C2" s="96" t="s">
        <v>465</v>
      </c>
      <c r="D2" s="96" t="s">
        <v>111</v>
      </c>
      <c r="E2" s="96" t="s">
        <v>466</v>
      </c>
      <c r="F2" s="96" t="s">
        <v>467</v>
      </c>
      <c r="G2" s="96" t="s">
        <v>131</v>
      </c>
      <c r="H2" s="96" t="s">
        <v>132</v>
      </c>
      <c r="I2" s="96" t="s">
        <v>133</v>
      </c>
      <c r="J2" s="96" t="s">
        <v>134</v>
      </c>
      <c r="K2" s="96" t="s">
        <v>135</v>
      </c>
      <c r="L2" s="96" t="s">
        <v>136</v>
      </c>
      <c r="M2" s="96" t="s">
        <v>114</v>
      </c>
      <c r="N2" s="96" t="s">
        <v>468</v>
      </c>
      <c r="O2" s="96" t="s">
        <v>469</v>
      </c>
      <c r="P2" s="96" t="s">
        <v>470</v>
      </c>
      <c r="Q2" s="96" t="s">
        <v>471</v>
      </c>
      <c r="R2" s="96" t="s">
        <v>472</v>
      </c>
      <c r="S2" s="96" t="s">
        <v>473</v>
      </c>
      <c r="T2" s="96" t="s">
        <v>474</v>
      </c>
      <c r="U2" s="96" t="s">
        <v>475</v>
      </c>
      <c r="V2" s="96" t="s">
        <v>476</v>
      </c>
      <c r="X2" s="13" t="s">
        <v>464</v>
      </c>
      <c r="Y2" s="13" t="s">
        <v>466</v>
      </c>
      <c r="Z2" s="13" t="s">
        <v>467</v>
      </c>
      <c r="AA2" s="13" t="s">
        <v>131</v>
      </c>
      <c r="AB2" s="13" t="s">
        <v>132</v>
      </c>
      <c r="AC2" s="13" t="s">
        <v>133</v>
      </c>
      <c r="AD2" s="13" t="s">
        <v>134</v>
      </c>
      <c r="AE2" s="13" t="s">
        <v>135</v>
      </c>
      <c r="AF2" s="13" t="s">
        <v>136</v>
      </c>
      <c r="AG2" s="13" t="s">
        <v>114</v>
      </c>
      <c r="AH2" s="13" t="s">
        <v>468</v>
      </c>
      <c r="AI2" s="13" t="s">
        <v>469</v>
      </c>
      <c r="AJ2" s="13" t="s">
        <v>470</v>
      </c>
      <c r="AK2" s="13" t="s">
        <v>471</v>
      </c>
      <c r="AL2" s="13" t="s">
        <v>472</v>
      </c>
      <c r="AM2" s="13" t="s">
        <v>473</v>
      </c>
      <c r="AN2" s="13" t="s">
        <v>474</v>
      </c>
      <c r="AO2" s="13" t="s">
        <v>475</v>
      </c>
      <c r="AP2" s="13" t="s">
        <v>476</v>
      </c>
    </row>
    <row r="3" spans="1:45" x14ac:dyDescent="0.25">
      <c r="A3" t="s">
        <v>152</v>
      </c>
      <c r="B3" s="18" t="s">
        <v>153</v>
      </c>
      <c r="C3" s="6"/>
      <c r="D3" s="6" t="s">
        <v>477</v>
      </c>
      <c r="E3" s="6">
        <f>PLANTILLA!E4</f>
        <v>28</v>
      </c>
      <c r="F3" s="20">
        <f ca="1">PLANTILLA!F4</f>
        <v>51</v>
      </c>
      <c r="G3" s="89">
        <f>PLANTILLA!X4</f>
        <v>15</v>
      </c>
      <c r="H3" s="89">
        <f>PLANTILLA!Y4</f>
        <v>13.153846153846153</v>
      </c>
      <c r="I3" s="89">
        <f>PLANTILLA!Z4</f>
        <v>0</v>
      </c>
      <c r="J3" s="89">
        <f>PLANTILLA!AA4</f>
        <v>1</v>
      </c>
      <c r="K3" s="89">
        <f>PLANTILLA!AB4</f>
        <v>1</v>
      </c>
      <c r="L3" s="89">
        <f>PLANTILLA!AC4</f>
        <v>1</v>
      </c>
      <c r="M3" s="89">
        <f>PLANTILLA!AD4</f>
        <v>16.333333333333332</v>
      </c>
      <c r="N3" s="37">
        <f>PLANTILLA!V4</f>
        <v>32810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254">
        <f t="shared" ref="V3:V15" si="0">SUM(O3:U3)</f>
        <v>131.5</v>
      </c>
      <c r="X3" t="s">
        <v>152</v>
      </c>
      <c r="Y3" s="6">
        <f>E3</f>
        <v>28</v>
      </c>
      <c r="Z3" s="6">
        <f ca="1">F3+(7*$AR$8)</f>
        <v>51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1</v>
      </c>
      <c r="AE3" s="55">
        <f>K3</f>
        <v>1</v>
      </c>
      <c r="AF3" s="55">
        <f>L3</f>
        <v>1</v>
      </c>
      <c r="AG3" s="55">
        <f>M3</f>
        <v>16.333333333333332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254">
        <f t="shared" ref="AP3:AP15" si="9">SUM(AI3:AO3)</f>
        <v>131.5</v>
      </c>
    </row>
    <row r="4" spans="1:45" x14ac:dyDescent="0.25">
      <c r="A4" t="s">
        <v>155</v>
      </c>
      <c r="B4" s="18" t="s">
        <v>191</v>
      </c>
      <c r="C4" s="6"/>
      <c r="D4" s="6" t="s">
        <v>478</v>
      </c>
      <c r="E4" s="6">
        <f>PLANTILLA!E17</f>
        <v>33</v>
      </c>
      <c r="F4" s="20">
        <f ca="1">PLANTILLA!F17</f>
        <v>34</v>
      </c>
      <c r="G4" s="89">
        <f>PLANTILLA!X17</f>
        <v>0</v>
      </c>
      <c r="H4" s="89">
        <f>PLANTILLA!Y17</f>
        <v>5.95</v>
      </c>
      <c r="I4" s="89">
        <f>PLANTILLA!Z17</f>
        <v>13</v>
      </c>
      <c r="J4" s="89">
        <f>PLANTILLA!AA17</f>
        <v>7</v>
      </c>
      <c r="K4" s="89">
        <f>PLANTILLA!AB17</f>
        <v>12</v>
      </c>
      <c r="L4" s="89">
        <f>PLANTILLA!AC17</f>
        <v>4</v>
      </c>
      <c r="M4" s="89">
        <f>PLANTILLA!AD17</f>
        <v>16</v>
      </c>
      <c r="N4" s="37">
        <f>PLANTILLA!V17</f>
        <v>11030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254">
        <f t="shared" si="0"/>
        <v>165.3</v>
      </c>
      <c r="X4" t="s">
        <v>155</v>
      </c>
      <c r="Y4" s="6">
        <f>E4</f>
        <v>33</v>
      </c>
      <c r="Z4" s="6">
        <f ca="1">F4+(7*$AR$8)</f>
        <v>34</v>
      </c>
      <c r="AA4" s="55">
        <f t="shared" si="1"/>
        <v>0</v>
      </c>
      <c r="AB4" s="55">
        <f>15+3/18</f>
        <v>15.166666666666666</v>
      </c>
      <c r="AC4" s="55">
        <f t="shared" ref="AC4:AC15" si="10">I4</f>
        <v>13</v>
      </c>
      <c r="AD4" s="55">
        <f>5+2/10</f>
        <v>5.2</v>
      </c>
      <c r="AE4" s="55">
        <f t="shared" ref="AE4:AE15" si="11">K4</f>
        <v>12</v>
      </c>
      <c r="AF4" s="55">
        <f t="shared" ref="AF4:AF15" si="12">L4</f>
        <v>4</v>
      </c>
      <c r="AG4" s="55">
        <f t="shared" ref="AG4:AG15" si="13">M4</f>
        <v>16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254">
        <f t="shared" si="9"/>
        <v>165.3</v>
      </c>
    </row>
    <row r="5" spans="1:45" x14ac:dyDescent="0.25">
      <c r="A5" t="s">
        <v>164</v>
      </c>
      <c r="B5" s="18" t="s">
        <v>191</v>
      </c>
      <c r="C5" s="6"/>
      <c r="D5" s="6" t="s">
        <v>479</v>
      </c>
      <c r="E5" s="6">
        <f>PLANTILLA!E7</f>
        <v>28</v>
      </c>
      <c r="F5" s="20">
        <f ca="1">PLANTILLA!F7</f>
        <v>79</v>
      </c>
      <c r="G5" s="89">
        <f>PLANTILLA!X7</f>
        <v>0</v>
      </c>
      <c r="H5" s="89">
        <f>PLANTILLA!Y7</f>
        <v>14.75</v>
      </c>
      <c r="I5" s="89">
        <f>PLANTILLA!Z7</f>
        <v>3.25</v>
      </c>
      <c r="J5" s="89">
        <f>PLANTILLA!AA7</f>
        <v>9</v>
      </c>
      <c r="K5" s="89">
        <f>PLANTILLA!AB7</f>
        <v>12</v>
      </c>
      <c r="L5" s="89">
        <f>PLANTILLA!AC7</f>
        <v>3.95</v>
      </c>
      <c r="M5" s="89">
        <f>PLANTILLA!AD7</f>
        <v>15.333333333333334</v>
      </c>
      <c r="N5" s="37">
        <f>PLANTILLA!V7</f>
        <v>27600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254">
        <f t="shared" si="0"/>
        <v>165.5</v>
      </c>
      <c r="X5" t="s">
        <v>164</v>
      </c>
      <c r="Y5" s="6">
        <f>E5</f>
        <v>28</v>
      </c>
      <c r="Z5" s="6">
        <f ca="1">F5+(7*$AR$8)</f>
        <v>79</v>
      </c>
      <c r="AA5" s="55">
        <f t="shared" si="1"/>
        <v>0</v>
      </c>
      <c r="AB5" s="55">
        <f>13+5/12</f>
        <v>13.416666666666666</v>
      </c>
      <c r="AC5" s="55">
        <f t="shared" si="10"/>
        <v>3.25</v>
      </c>
      <c r="AD5" s="55">
        <f>7+1/12</f>
        <v>7.083333333333333</v>
      </c>
      <c r="AE5" s="55">
        <f t="shared" si="11"/>
        <v>12</v>
      </c>
      <c r="AF5" s="55">
        <f t="shared" si="12"/>
        <v>3.95</v>
      </c>
      <c r="AG5" s="55">
        <f t="shared" si="13"/>
        <v>15.333333333333334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254">
        <f t="shared" si="9"/>
        <v>165.5</v>
      </c>
    </row>
    <row r="6" spans="1:45" x14ac:dyDescent="0.25">
      <c r="A6" t="s">
        <v>158</v>
      </c>
      <c r="B6" s="18" t="s">
        <v>191</v>
      </c>
      <c r="C6" s="6"/>
      <c r="D6" s="6" t="s">
        <v>480</v>
      </c>
      <c r="E6" s="6">
        <f>PLANTILLA!E6</f>
        <v>28</v>
      </c>
      <c r="F6" s="20">
        <f ca="1">PLANTILLA!F6</f>
        <v>29</v>
      </c>
      <c r="G6" s="89">
        <f>PLANTILLA!X6</f>
        <v>0</v>
      </c>
      <c r="H6" s="89">
        <f>PLANTILLA!Y6</f>
        <v>16</v>
      </c>
      <c r="I6" s="89">
        <f>PLANTILLA!Z6</f>
        <v>5</v>
      </c>
      <c r="J6" s="89">
        <f>PLANTILLA!AA6</f>
        <v>8.875</v>
      </c>
      <c r="K6" s="89">
        <f>PLANTILLA!AB6</f>
        <v>9</v>
      </c>
      <c r="L6" s="89">
        <f>PLANTILLA!AC6</f>
        <v>1</v>
      </c>
      <c r="M6" s="89">
        <f>PLANTILLA!AD6</f>
        <v>15</v>
      </c>
      <c r="N6" s="37">
        <f>PLANTILLA!V6</f>
        <v>39530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254">
        <f t="shared" si="0"/>
        <v>164.5</v>
      </c>
      <c r="X6" t="s">
        <v>158</v>
      </c>
      <c r="Y6" s="6">
        <f>E6</f>
        <v>28</v>
      </c>
      <c r="Z6" s="6">
        <f ca="1">F6+(7*$AR$8)</f>
        <v>29</v>
      </c>
      <c r="AA6" s="55">
        <f t="shared" si="1"/>
        <v>0</v>
      </c>
      <c r="AB6" s="55">
        <f>15+3/18</f>
        <v>15.166666666666666</v>
      </c>
      <c r="AC6" s="55">
        <f t="shared" si="10"/>
        <v>5</v>
      </c>
      <c r="AD6" s="55">
        <f>J6+(0.5*AR9)/4</f>
        <v>8.875</v>
      </c>
      <c r="AE6" s="55">
        <f t="shared" si="11"/>
        <v>9</v>
      </c>
      <c r="AF6" s="55">
        <f t="shared" si="12"/>
        <v>1</v>
      </c>
      <c r="AG6" s="55">
        <f t="shared" si="13"/>
        <v>15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254">
        <f t="shared" si="9"/>
        <v>164.5</v>
      </c>
    </row>
    <row r="7" spans="1:45" x14ac:dyDescent="0.25">
      <c r="A7" t="s">
        <v>167</v>
      </c>
      <c r="B7" s="18" t="s">
        <v>191</v>
      </c>
      <c r="C7" s="6"/>
      <c r="D7" s="6" t="s">
        <v>481</v>
      </c>
      <c r="E7" s="6">
        <f>PLANTILLA!E8</f>
        <v>28</v>
      </c>
      <c r="F7" s="20">
        <f ca="1">PLANTILLA!F8</f>
        <v>64</v>
      </c>
      <c r="G7" s="89">
        <f>PLANTILLA!X8</f>
        <v>0</v>
      </c>
      <c r="H7" s="89">
        <f>PLANTILLA!Y8</f>
        <v>13.066666666666666</v>
      </c>
      <c r="I7" s="89">
        <f>PLANTILLA!Z8</f>
        <v>11.444444444444445</v>
      </c>
      <c r="J7" s="89">
        <f>PLANTILLA!AA8</f>
        <v>5</v>
      </c>
      <c r="K7" s="89">
        <f>PLANTILLA!AB8</f>
        <v>11.142857142857142</v>
      </c>
      <c r="L7" s="89">
        <f>PLANTILLA!AC8</f>
        <v>4</v>
      </c>
      <c r="M7" s="89">
        <f>PLANTILLA!AD8</f>
        <v>15</v>
      </c>
      <c r="N7" s="37">
        <f>PLANTILLA!V8</f>
        <v>16890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254">
        <f t="shared" si="0"/>
        <v>161.5</v>
      </c>
      <c r="X7" t="s">
        <v>167</v>
      </c>
      <c r="Y7" s="6">
        <f>E7</f>
        <v>28</v>
      </c>
      <c r="Z7" s="6">
        <f ca="1">F7+(7*$AR$8)</f>
        <v>64</v>
      </c>
      <c r="AA7" s="55">
        <f t="shared" si="1"/>
        <v>0</v>
      </c>
      <c r="AB7" s="55">
        <f>11+7/10</f>
        <v>11.7</v>
      </c>
      <c r="AC7" s="55">
        <f t="shared" si="10"/>
        <v>11.444444444444445</v>
      </c>
      <c r="AD7" s="55">
        <f>J7</f>
        <v>5</v>
      </c>
      <c r="AE7" s="55">
        <f t="shared" si="11"/>
        <v>11.142857142857142</v>
      </c>
      <c r="AF7" s="55">
        <f t="shared" si="12"/>
        <v>4</v>
      </c>
      <c r="AG7" s="55">
        <f t="shared" si="13"/>
        <v>15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254">
        <f t="shared" si="9"/>
        <v>161.5</v>
      </c>
      <c r="AR7" s="90" t="s">
        <v>137</v>
      </c>
      <c r="AS7" s="90" t="s">
        <v>482</v>
      </c>
    </row>
    <row r="8" spans="1:45" x14ac:dyDescent="0.25">
      <c r="A8" t="s">
        <v>171</v>
      </c>
      <c r="B8" s="18" t="s">
        <v>191</v>
      </c>
      <c r="C8" s="6"/>
      <c r="D8" s="6" t="s">
        <v>483</v>
      </c>
      <c r="E8" s="6">
        <f>PLANTILLA!E9</f>
        <v>28</v>
      </c>
      <c r="F8" s="20">
        <f ca="1">PLANTILLA!F9</f>
        <v>107</v>
      </c>
      <c r="G8" s="89">
        <f>PLANTILLA!X9</f>
        <v>0</v>
      </c>
      <c r="H8" s="89">
        <f>PLANTILLA!Y9</f>
        <v>14.75</v>
      </c>
      <c r="I8" s="89">
        <f>PLANTILLA!Z9</f>
        <v>5.125</v>
      </c>
      <c r="J8" s="89">
        <f>PLANTILLA!AA9</f>
        <v>3</v>
      </c>
      <c r="K8" s="89">
        <f>PLANTILLA!AB9</f>
        <v>12.222222222222221</v>
      </c>
      <c r="L8" s="89">
        <f>PLANTILLA!AC9</f>
        <v>6</v>
      </c>
      <c r="M8" s="89">
        <f>PLANTILLA!AD9</f>
        <v>14</v>
      </c>
      <c r="N8" s="37">
        <f>PLANTILLA!V9</f>
        <v>27050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254">
        <f t="shared" si="0"/>
        <v>161.5</v>
      </c>
      <c r="X8" t="s">
        <v>171</v>
      </c>
      <c r="Y8" s="6">
        <f>E8+1</f>
        <v>29</v>
      </c>
      <c r="Z8" s="6">
        <f ca="1">F8+(7*$AR$8)-112</f>
        <v>-5</v>
      </c>
      <c r="AA8" s="55">
        <f t="shared" si="1"/>
        <v>0</v>
      </c>
      <c r="AB8" s="55">
        <f>H8</f>
        <v>14.75</v>
      </c>
      <c r="AC8" s="55">
        <f t="shared" si="10"/>
        <v>5.125</v>
      </c>
      <c r="AD8" s="55">
        <f>J8</f>
        <v>3</v>
      </c>
      <c r="AE8" s="55">
        <f t="shared" si="11"/>
        <v>12.222222222222221</v>
      </c>
      <c r="AF8" s="55">
        <f t="shared" si="12"/>
        <v>6</v>
      </c>
      <c r="AG8" s="55">
        <f t="shared" si="13"/>
        <v>14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254">
        <f t="shared" si="9"/>
        <v>161.5</v>
      </c>
      <c r="AQ8" s="90" t="s">
        <v>191</v>
      </c>
      <c r="AR8" s="54">
        <v>0</v>
      </c>
      <c r="AS8" s="97">
        <f>AR8/16</f>
        <v>0</v>
      </c>
    </row>
    <row r="9" spans="1:45" x14ac:dyDescent="0.25">
      <c r="A9" t="s">
        <v>160</v>
      </c>
      <c r="B9" s="18" t="s">
        <v>191</v>
      </c>
      <c r="C9" s="6" t="s">
        <v>163</v>
      </c>
      <c r="D9" s="6" t="s">
        <v>484</v>
      </c>
      <c r="E9" s="6">
        <f>PLANTILLA!E10</f>
        <v>28</v>
      </c>
      <c r="F9" s="20">
        <f ca="1">PLANTILLA!F10</f>
        <v>44</v>
      </c>
      <c r="G9" s="89">
        <f>PLANTILLA!X10</f>
        <v>0</v>
      </c>
      <c r="H9" s="89">
        <f>PLANTILLA!Y10</f>
        <v>14.25</v>
      </c>
      <c r="I9" s="89">
        <f>PLANTILLA!Z10</f>
        <v>4.25</v>
      </c>
      <c r="J9" s="89">
        <f>PLANTILLA!AA10</f>
        <v>13.8</v>
      </c>
      <c r="K9" s="89">
        <f>PLANTILLA!AB10</f>
        <v>8.1999999999999993</v>
      </c>
      <c r="L9" s="89">
        <f>PLANTILLA!AC10</f>
        <v>7</v>
      </c>
      <c r="M9" s="89">
        <f>PLANTILLA!AD10</f>
        <v>15.333333333333334</v>
      </c>
      <c r="N9" s="37">
        <f>PLANTILLA!V10</f>
        <v>27020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254">
        <f t="shared" si="0"/>
        <v>172.5</v>
      </c>
      <c r="X9" t="s">
        <v>160</v>
      </c>
      <c r="Y9" s="6">
        <f>E9</f>
        <v>28</v>
      </c>
      <c r="Z9" s="6">
        <f ca="1">F9+(7*$AR$8)</f>
        <v>44</v>
      </c>
      <c r="AA9" s="55">
        <f t="shared" si="1"/>
        <v>0</v>
      </c>
      <c r="AB9" s="55">
        <f>12+10/11</f>
        <v>12.909090909090908</v>
      </c>
      <c r="AC9" s="55">
        <f t="shared" si="10"/>
        <v>4.25</v>
      </c>
      <c r="AD9" s="55">
        <v>12.5</v>
      </c>
      <c r="AE9" s="55">
        <f t="shared" si="11"/>
        <v>8.1999999999999993</v>
      </c>
      <c r="AF9" s="55">
        <f t="shared" si="12"/>
        <v>7</v>
      </c>
      <c r="AG9" s="55">
        <f t="shared" si="13"/>
        <v>15.333333333333334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254">
        <f t="shared" si="9"/>
        <v>172.5</v>
      </c>
      <c r="AR9" s="98"/>
      <c r="AS9" s="98"/>
    </row>
    <row r="10" spans="1:45" x14ac:dyDescent="0.25">
      <c r="A10" t="s">
        <v>168</v>
      </c>
      <c r="B10" s="18" t="s">
        <v>191</v>
      </c>
      <c r="C10" s="6" t="s">
        <v>163</v>
      </c>
      <c r="D10" s="6" t="s">
        <v>485</v>
      </c>
      <c r="E10" s="6">
        <f>PLANTILLA!E12</f>
        <v>28</v>
      </c>
      <c r="F10" s="20">
        <f ca="1">PLANTILLA!F12</f>
        <v>44</v>
      </c>
      <c r="G10" s="89">
        <f>PLANTILLA!X12</f>
        <v>0</v>
      </c>
      <c r="H10" s="89">
        <f>PLANTILLA!Y12</f>
        <v>13.2</v>
      </c>
      <c r="I10" s="89">
        <f>PLANTILLA!Z12</f>
        <v>4.25</v>
      </c>
      <c r="J10" s="89">
        <f>PLANTILLA!AA12</f>
        <v>13.2</v>
      </c>
      <c r="K10" s="89">
        <f>PLANTILLA!AB12</f>
        <v>9.1666666666666661</v>
      </c>
      <c r="L10" s="89">
        <f>PLANTILLA!AC12</f>
        <v>7.25</v>
      </c>
      <c r="M10" s="89">
        <f>PLANTILLA!AD12</f>
        <v>16</v>
      </c>
      <c r="N10" s="37">
        <f>PLANTILLA!V12</f>
        <v>19070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254">
        <f t="shared" si="0"/>
        <v>165.5</v>
      </c>
      <c r="X10" t="s">
        <v>168</v>
      </c>
      <c r="Y10" s="6">
        <f>E10</f>
        <v>28</v>
      </c>
      <c r="Z10" s="6">
        <f ca="1">F10+(7*$AR$8)</f>
        <v>44</v>
      </c>
      <c r="AA10" s="55">
        <f t="shared" si="1"/>
        <v>0</v>
      </c>
      <c r="AB10" s="55">
        <v>12</v>
      </c>
      <c r="AC10" s="55">
        <f t="shared" si="10"/>
        <v>4.25</v>
      </c>
      <c r="AD10" s="55">
        <v>11.9</v>
      </c>
      <c r="AE10" s="55">
        <f t="shared" si="11"/>
        <v>9.1666666666666661</v>
      </c>
      <c r="AF10" s="55">
        <f t="shared" si="12"/>
        <v>7.25</v>
      </c>
      <c r="AG10" s="55">
        <f t="shared" si="13"/>
        <v>16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254">
        <f t="shared" si="9"/>
        <v>165.5</v>
      </c>
      <c r="AR10" s="98"/>
      <c r="AS10" s="98"/>
    </row>
    <row r="11" spans="1:45" x14ac:dyDescent="0.25">
      <c r="A11" t="s">
        <v>161</v>
      </c>
      <c r="B11" s="18" t="s">
        <v>486</v>
      </c>
      <c r="C11" s="6" t="s">
        <v>166</v>
      </c>
      <c r="D11" s="6" t="s">
        <v>487</v>
      </c>
      <c r="E11" s="6">
        <f>PLANTILLA!E15</f>
        <v>28</v>
      </c>
      <c r="F11" s="20">
        <f ca="1">PLANTILLA!F15</f>
        <v>14</v>
      </c>
      <c r="G11" s="89">
        <f>PLANTILLA!X15</f>
        <v>0</v>
      </c>
      <c r="H11" s="89">
        <f>PLANTILLA!Y15</f>
        <v>13.571428571428571</v>
      </c>
      <c r="I11" s="89">
        <f>PLANTILLA!Z15</f>
        <v>9.7142857142857135</v>
      </c>
      <c r="J11" s="89">
        <f>PLANTILLA!AA15</f>
        <v>5</v>
      </c>
      <c r="K11" s="89">
        <f>PLANTILLA!AB15</f>
        <v>9</v>
      </c>
      <c r="L11" s="89">
        <f>PLANTILLA!AC15</f>
        <v>4</v>
      </c>
      <c r="M11" s="89">
        <f>PLANTILLA!AD15</f>
        <v>21</v>
      </c>
      <c r="N11" s="37">
        <f>PLANTILLA!V15</f>
        <v>21972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254">
        <f t="shared" si="0"/>
        <v>159</v>
      </c>
      <c r="X11" t="s">
        <v>161</v>
      </c>
      <c r="Y11" s="6">
        <f>E11</f>
        <v>28</v>
      </c>
      <c r="Z11" s="6">
        <f ca="1">F11+(7*$AR$8)</f>
        <v>14</v>
      </c>
      <c r="AA11" s="55">
        <f t="shared" si="1"/>
        <v>0</v>
      </c>
      <c r="AB11" s="55">
        <f>H11+2/10</f>
        <v>13.77142857142857</v>
      </c>
      <c r="AC11" s="55">
        <f t="shared" si="10"/>
        <v>9.7142857142857135</v>
      </c>
      <c r="AD11" s="55">
        <f>J11</f>
        <v>5</v>
      </c>
      <c r="AE11" s="55">
        <f t="shared" si="11"/>
        <v>9</v>
      </c>
      <c r="AF11" s="55">
        <f t="shared" si="12"/>
        <v>4</v>
      </c>
      <c r="AG11" s="55">
        <f t="shared" si="13"/>
        <v>21</v>
      </c>
      <c r="AH11" s="37">
        <f>N11</f>
        <v>21972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254">
        <f t="shared" si="9"/>
        <v>159</v>
      </c>
    </row>
    <row r="12" spans="1:45" x14ac:dyDescent="0.25">
      <c r="A12" t="s">
        <v>488</v>
      </c>
      <c r="B12" s="18" t="s">
        <v>486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254">
        <f t="shared" si="0"/>
        <v>0</v>
      </c>
      <c r="X12" t="s">
        <v>488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254">
        <f t="shared" si="9"/>
        <v>0</v>
      </c>
    </row>
    <row r="13" spans="1:45" x14ac:dyDescent="0.25">
      <c r="A13" t="s">
        <v>169</v>
      </c>
      <c r="B13" s="18" t="s">
        <v>489</v>
      </c>
      <c r="C13" s="6" t="s">
        <v>166</v>
      </c>
      <c r="D13" s="6" t="s">
        <v>490</v>
      </c>
      <c r="E13" s="6">
        <f>PLANTILLA!E13</f>
        <v>28</v>
      </c>
      <c r="F13" s="20">
        <f ca="1">PLANTILLA!F13</f>
        <v>40</v>
      </c>
      <c r="G13" s="89">
        <f>PLANTILLA!X13</f>
        <v>0</v>
      </c>
      <c r="H13" s="89">
        <f>PLANTILLA!Y13</f>
        <v>12.416666666666666</v>
      </c>
      <c r="I13" s="89">
        <f>PLANTILLA!Z13</f>
        <v>6.2</v>
      </c>
      <c r="J13" s="89">
        <f>PLANTILLA!AA13</f>
        <v>15.666666666666666</v>
      </c>
      <c r="K13" s="89">
        <f>PLANTILLA!AB13</f>
        <v>9.5</v>
      </c>
      <c r="L13" s="89">
        <f>PLANTILLA!AC13</f>
        <v>7.8</v>
      </c>
      <c r="M13" s="89">
        <f>PLANTILLA!AD13</f>
        <v>16.666666666666668</v>
      </c>
      <c r="N13" s="37">
        <f>PLANTILLA!V13</f>
        <v>28380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254">
        <f t="shared" si="0"/>
        <v>179</v>
      </c>
      <c r="X13" t="s">
        <v>169</v>
      </c>
      <c r="Y13" s="6">
        <f>E13</f>
        <v>28</v>
      </c>
      <c r="Z13" s="6">
        <f ca="1">F13+(7*$AR$8)</f>
        <v>40</v>
      </c>
      <c r="AA13" s="55">
        <f t="shared" si="1"/>
        <v>0</v>
      </c>
      <c r="AB13" s="55">
        <f>10+6/9</f>
        <v>10.666666666666666</v>
      </c>
      <c r="AC13" s="55">
        <f t="shared" si="10"/>
        <v>6.2</v>
      </c>
      <c r="AD13" s="55">
        <v>14</v>
      </c>
      <c r="AE13" s="55">
        <f t="shared" si="11"/>
        <v>9.5</v>
      </c>
      <c r="AF13" s="55">
        <f t="shared" si="12"/>
        <v>7.8</v>
      </c>
      <c r="AG13" s="55">
        <f t="shared" si="13"/>
        <v>16.666666666666668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254">
        <f t="shared" si="9"/>
        <v>179</v>
      </c>
    </row>
    <row r="14" spans="1:45" x14ac:dyDescent="0.25">
      <c r="A14" t="s">
        <v>491</v>
      </c>
      <c r="B14" s="18" t="s">
        <v>489</v>
      </c>
      <c r="C14" s="6" t="s">
        <v>166</v>
      </c>
      <c r="D14" s="6" t="s">
        <v>492</v>
      </c>
      <c r="E14" s="6">
        <f>PLANTILLA!E11</f>
        <v>28</v>
      </c>
      <c r="F14" s="20">
        <f ca="1">PLANTILLA!F11</f>
        <v>5</v>
      </c>
      <c r="G14" s="89">
        <f>PLANTILLA!X11</f>
        <v>0</v>
      </c>
      <c r="H14" s="89">
        <f>PLANTILLA!Y11</f>
        <v>13.692307692307692</v>
      </c>
      <c r="I14" s="89">
        <f>PLANTILLA!Z11</f>
        <v>4.25</v>
      </c>
      <c r="J14" s="89">
        <f>PLANTILLA!AA11</f>
        <v>14.75</v>
      </c>
      <c r="K14" s="89">
        <f>PLANTILLA!AB11</f>
        <v>10</v>
      </c>
      <c r="L14" s="89">
        <f>PLANTILLA!AC11</f>
        <v>7</v>
      </c>
      <c r="M14" s="89">
        <f>PLANTILLA!AD11</f>
        <v>16</v>
      </c>
      <c r="N14" s="37">
        <f>PLANTILLA!V11</f>
        <v>26350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254">
        <f t="shared" si="0"/>
        <v>177</v>
      </c>
      <c r="X14" t="s">
        <v>491</v>
      </c>
      <c r="Y14" s="6">
        <f>E14+1</f>
        <v>29</v>
      </c>
      <c r="Z14" s="6">
        <f ca="1">F14+(7*$AR$8)-112</f>
        <v>-107</v>
      </c>
      <c r="AA14" s="55">
        <f t="shared" si="1"/>
        <v>0</v>
      </c>
      <c r="AB14" s="55">
        <f>12+2/11</f>
        <v>12.181818181818182</v>
      </c>
      <c r="AC14" s="55">
        <f t="shared" si="10"/>
        <v>4.25</v>
      </c>
      <c r="AD14" s="55">
        <f>12+5/6</f>
        <v>12.833333333333334</v>
      </c>
      <c r="AE14" s="55">
        <f t="shared" si="11"/>
        <v>10</v>
      </c>
      <c r="AF14" s="55">
        <f t="shared" si="12"/>
        <v>7</v>
      </c>
      <c r="AG14" s="55">
        <f t="shared" si="13"/>
        <v>16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254">
        <f t="shared" si="9"/>
        <v>177</v>
      </c>
    </row>
    <row r="15" spans="1:45" x14ac:dyDescent="0.25">
      <c r="A15" t="s">
        <v>157</v>
      </c>
      <c r="B15" s="18" t="s">
        <v>489</v>
      </c>
      <c r="C15" s="6" t="s">
        <v>163</v>
      </c>
      <c r="D15" s="6" t="s">
        <v>493</v>
      </c>
      <c r="E15" s="6">
        <f>PLANTILLA!E14</f>
        <v>28</v>
      </c>
      <c r="F15" s="20">
        <f ca="1">PLANTILLA!F14</f>
        <v>40</v>
      </c>
      <c r="G15" s="89">
        <f>PLANTILLA!X14</f>
        <v>0</v>
      </c>
      <c r="H15" s="89">
        <f>PLANTILLA!Y14</f>
        <v>12.75</v>
      </c>
      <c r="I15" s="89">
        <f>PLANTILLA!Z14</f>
        <v>6</v>
      </c>
      <c r="J15" s="89">
        <f>PLANTILLA!AA14</f>
        <v>14.833333333333334</v>
      </c>
      <c r="K15" s="89">
        <f>PLANTILLA!AB14</f>
        <v>8.8571428571428577</v>
      </c>
      <c r="L15" s="89">
        <f>PLANTILLA!AC14</f>
        <v>8</v>
      </c>
      <c r="M15" s="89">
        <f>PLANTILLA!AD14</f>
        <v>15.666666666666666</v>
      </c>
      <c r="N15" s="37">
        <f>PLANTILLA!V14</f>
        <v>22900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254">
        <f t="shared" si="0"/>
        <v>168.5</v>
      </c>
      <c r="X15" t="s">
        <v>157</v>
      </c>
      <c r="Y15" s="6">
        <f>E15</f>
        <v>28</v>
      </c>
      <c r="Z15" s="6">
        <f ca="1">F15+(7*$AR$8)</f>
        <v>40</v>
      </c>
      <c r="AA15" s="55">
        <f t="shared" si="1"/>
        <v>0</v>
      </c>
      <c r="AB15" s="55">
        <f>11+1/10</f>
        <v>11.1</v>
      </c>
      <c r="AC15" s="55">
        <f t="shared" si="10"/>
        <v>6</v>
      </c>
      <c r="AD15" s="55">
        <f>13+2/6</f>
        <v>13.333333333333334</v>
      </c>
      <c r="AE15" s="55">
        <f t="shared" si="11"/>
        <v>8.8571428571428577</v>
      </c>
      <c r="AF15" s="55">
        <f t="shared" si="12"/>
        <v>8</v>
      </c>
      <c r="AG15" s="55">
        <f t="shared" si="13"/>
        <v>15.666666666666666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254">
        <f t="shared" si="9"/>
        <v>168.5</v>
      </c>
    </row>
    <row r="16" spans="1:45" x14ac:dyDescent="0.25">
      <c r="N16" s="77">
        <f>SUM(N18:N30)</f>
        <v>216133.18000000002</v>
      </c>
      <c r="AH16" s="77">
        <f>SUM(AH18:AH30)</f>
        <v>236304.655</v>
      </c>
    </row>
    <row r="17" spans="1:45" x14ac:dyDescent="0.25">
      <c r="A17" s="13" t="s">
        <v>464</v>
      </c>
      <c r="B17" s="13" t="s">
        <v>109</v>
      </c>
      <c r="C17" s="13" t="s">
        <v>465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131</v>
      </c>
      <c r="H17" s="13" t="s">
        <v>132</v>
      </c>
      <c r="I17" s="13" t="s">
        <v>133</v>
      </c>
      <c r="J17" s="13" t="s">
        <v>134</v>
      </c>
      <c r="K17" s="13" t="s">
        <v>135</v>
      </c>
      <c r="L17" s="13" t="s">
        <v>136</v>
      </c>
      <c r="M17" s="13" t="s">
        <v>114</v>
      </c>
      <c r="N17" s="13" t="s">
        <v>468</v>
      </c>
      <c r="O17" s="13" t="s">
        <v>469</v>
      </c>
      <c r="P17" s="13" t="s">
        <v>470</v>
      </c>
      <c r="Q17" s="13" t="s">
        <v>471</v>
      </c>
      <c r="R17" s="13" t="s">
        <v>472</v>
      </c>
      <c r="S17" s="13" t="s">
        <v>473</v>
      </c>
      <c r="T17" s="13" t="s">
        <v>474</v>
      </c>
      <c r="U17" s="13" t="s">
        <v>475</v>
      </c>
      <c r="V17" s="13" t="s">
        <v>476</v>
      </c>
      <c r="X17" s="13" t="s">
        <v>464</v>
      </c>
      <c r="Y17" s="13" t="str">
        <f>Y2</f>
        <v>Año</v>
      </c>
      <c r="Z17" s="13" t="str">
        <f>Z2</f>
        <v>Dia</v>
      </c>
      <c r="AA17" s="13" t="s">
        <v>131</v>
      </c>
      <c r="AB17" s="13" t="s">
        <v>132</v>
      </c>
      <c r="AC17" s="13" t="s">
        <v>133</v>
      </c>
      <c r="AD17" s="13" t="s">
        <v>134</v>
      </c>
      <c r="AE17" s="13" t="s">
        <v>135</v>
      </c>
      <c r="AF17" s="13" t="s">
        <v>136</v>
      </c>
      <c r="AG17" s="13" t="s">
        <v>114</v>
      </c>
      <c r="AH17" s="13" t="s">
        <v>468</v>
      </c>
      <c r="AI17" s="13" t="s">
        <v>469</v>
      </c>
      <c r="AJ17" s="13" t="s">
        <v>470</v>
      </c>
      <c r="AK17" s="13" t="s">
        <v>471</v>
      </c>
      <c r="AL17" s="13" t="s">
        <v>472</v>
      </c>
      <c r="AM17" s="13" t="s">
        <v>473</v>
      </c>
      <c r="AN17" s="13" t="s">
        <v>474</v>
      </c>
      <c r="AO17" s="13" t="s">
        <v>475</v>
      </c>
      <c r="AP17" s="13" t="s">
        <v>476</v>
      </c>
    </row>
    <row r="18" spans="1:45" x14ac:dyDescent="0.25">
      <c r="A18" t="s">
        <v>152</v>
      </c>
      <c r="B18" s="18" t="s">
        <v>153</v>
      </c>
      <c r="C18" s="6"/>
      <c r="D18" s="6" t="str">
        <f>D3</f>
        <v>C. Fonteboa</v>
      </c>
      <c r="E18" s="6">
        <f t="shared" ref="E18:E26" si="14">Y3</f>
        <v>28</v>
      </c>
      <c r="F18" s="6">
        <f t="shared" ref="F18:F26" ca="1" si="15">Z3</f>
        <v>51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1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16.333333333333332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254">
        <f t="shared" ref="V18:V30" si="31">SUM(O18:U18)</f>
        <v>131.5</v>
      </c>
      <c r="X18" t="s">
        <v>152</v>
      </c>
      <c r="Y18" s="6">
        <f>E18+2</f>
        <v>30</v>
      </c>
      <c r="Z18" s="6">
        <f ca="1">F18+(($AR$22+$AR$23)*7)-112-112</f>
        <v>30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1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254">
        <f t="shared" ref="AP18:AP30" si="35">SUM(AI18:AO18)</f>
        <v>146.5</v>
      </c>
    </row>
    <row r="19" spans="1:45" x14ac:dyDescent="0.25">
      <c r="A19" t="s">
        <v>155</v>
      </c>
      <c r="B19" s="18" t="s">
        <v>191</v>
      </c>
      <c r="C19" s="6"/>
      <c r="D19" s="6" t="str">
        <f>D4</f>
        <v>M. Fernandez</v>
      </c>
      <c r="E19" s="6">
        <f t="shared" si="14"/>
        <v>33</v>
      </c>
      <c r="F19" s="6">
        <f t="shared" ca="1" si="15"/>
        <v>34</v>
      </c>
      <c r="G19" s="55">
        <f t="shared" si="16"/>
        <v>0</v>
      </c>
      <c r="H19" s="55">
        <f t="shared" si="17"/>
        <v>15.166666666666666</v>
      </c>
      <c r="I19" s="55">
        <f t="shared" si="18"/>
        <v>13</v>
      </c>
      <c r="J19" s="55">
        <f t="shared" si="19"/>
        <v>5.2</v>
      </c>
      <c r="K19" s="55">
        <f t="shared" si="20"/>
        <v>12</v>
      </c>
      <c r="L19" s="55">
        <f t="shared" si="21"/>
        <v>4</v>
      </c>
      <c r="M19" s="55">
        <f t="shared" si="22"/>
        <v>16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254">
        <f t="shared" si="31"/>
        <v>165.3</v>
      </c>
      <c r="X19" t="s">
        <v>155</v>
      </c>
      <c r="Y19" s="6">
        <f>E19+2</f>
        <v>35</v>
      </c>
      <c r="Z19" s="6">
        <f ca="1">F19+(($AR$22+$AR$23)*7)-112-112</f>
        <v>13</v>
      </c>
      <c r="AA19" s="55">
        <f t="shared" ref="AA19:AA30" si="36">G19</f>
        <v>0</v>
      </c>
      <c r="AB19" s="55">
        <f t="shared" ref="AB19:AB30" si="37">H19</f>
        <v>15.166666666666666</v>
      </c>
      <c r="AC19" s="55">
        <f t="shared" ref="AC19:AC30" si="38">I19</f>
        <v>13</v>
      </c>
      <c r="AD19" s="55">
        <f t="shared" ref="AD19:AD30" si="39">J19</f>
        <v>5.2</v>
      </c>
      <c r="AE19" s="55">
        <f>8+3/5</f>
        <v>8.6</v>
      </c>
      <c r="AF19" s="55">
        <f t="shared" ref="AF19:AF30" si="40">L19</f>
        <v>4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254">
        <f t="shared" si="35"/>
        <v>194.3</v>
      </c>
    </row>
    <row r="20" spans="1:45" x14ac:dyDescent="0.25">
      <c r="A20" t="s">
        <v>164</v>
      </c>
      <c r="B20" s="18" t="s">
        <v>191</v>
      </c>
      <c r="C20" s="6"/>
      <c r="D20" s="6" t="str">
        <f>D5</f>
        <v>B. Abandero</v>
      </c>
      <c r="E20" s="6">
        <f t="shared" si="14"/>
        <v>28</v>
      </c>
      <c r="F20" s="6">
        <f t="shared" ca="1" si="15"/>
        <v>79</v>
      </c>
      <c r="G20" s="55">
        <f t="shared" si="16"/>
        <v>0</v>
      </c>
      <c r="H20" s="55">
        <f t="shared" si="17"/>
        <v>13.416666666666666</v>
      </c>
      <c r="I20" s="55">
        <f t="shared" si="18"/>
        <v>3.25</v>
      </c>
      <c r="J20" s="55">
        <f t="shared" si="19"/>
        <v>7.083333333333333</v>
      </c>
      <c r="K20" s="55">
        <f t="shared" si="20"/>
        <v>12</v>
      </c>
      <c r="L20" s="55">
        <f t="shared" si="21"/>
        <v>3.95</v>
      </c>
      <c r="M20" s="55">
        <f t="shared" si="22"/>
        <v>15.333333333333334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254">
        <f t="shared" si="31"/>
        <v>165.5</v>
      </c>
      <c r="X20" t="s">
        <v>164</v>
      </c>
      <c r="Y20" s="6">
        <f>E20+2</f>
        <v>30</v>
      </c>
      <c r="Z20" s="6">
        <f ca="1">F20+(($AR$22+$AR$23)*7)-112-112</f>
        <v>58</v>
      </c>
      <c r="AA20" s="55">
        <f t="shared" si="36"/>
        <v>0</v>
      </c>
      <c r="AB20" s="55">
        <f t="shared" si="37"/>
        <v>13.416666666666666</v>
      </c>
      <c r="AC20" s="55">
        <f t="shared" si="38"/>
        <v>3.25</v>
      </c>
      <c r="AD20" s="55">
        <f t="shared" si="39"/>
        <v>7.083333333333333</v>
      </c>
      <c r="AE20" s="55">
        <v>12</v>
      </c>
      <c r="AF20" s="55">
        <f t="shared" si="40"/>
        <v>3.95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254">
        <f t="shared" si="35"/>
        <v>194.5</v>
      </c>
      <c r="AQ20" s="90"/>
    </row>
    <row r="21" spans="1:45" x14ac:dyDescent="0.25">
      <c r="A21" t="s">
        <v>158</v>
      </c>
      <c r="B21" s="18" t="s">
        <v>191</v>
      </c>
      <c r="C21" s="6"/>
      <c r="D21" s="6" t="str">
        <f>D6</f>
        <v>I. R. Figueroa</v>
      </c>
      <c r="E21" s="6">
        <f t="shared" si="14"/>
        <v>28</v>
      </c>
      <c r="F21" s="6">
        <f t="shared" ca="1" si="15"/>
        <v>29</v>
      </c>
      <c r="G21" s="55">
        <f t="shared" si="16"/>
        <v>0</v>
      </c>
      <c r="H21" s="55">
        <f t="shared" si="17"/>
        <v>15.166666666666666</v>
      </c>
      <c r="I21" s="55">
        <f t="shared" si="18"/>
        <v>5</v>
      </c>
      <c r="J21" s="55">
        <f t="shared" si="19"/>
        <v>8.875</v>
      </c>
      <c r="K21" s="55">
        <f t="shared" si="20"/>
        <v>9</v>
      </c>
      <c r="L21" s="55">
        <f t="shared" si="21"/>
        <v>1</v>
      </c>
      <c r="M21" s="55">
        <f t="shared" si="22"/>
        <v>15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254">
        <f t="shared" si="31"/>
        <v>164.5</v>
      </c>
      <c r="X21" t="s">
        <v>158</v>
      </c>
      <c r="Y21" s="6">
        <f>E21+2</f>
        <v>30</v>
      </c>
      <c r="Z21" s="6">
        <f ca="1">F21+(($AR$22+$AR$23)*7)-112-112</f>
        <v>8</v>
      </c>
      <c r="AA21" s="55">
        <f t="shared" si="36"/>
        <v>0</v>
      </c>
      <c r="AB21" s="55">
        <f t="shared" si="37"/>
        <v>15.166666666666666</v>
      </c>
      <c r="AC21" s="55">
        <f t="shared" si="38"/>
        <v>5</v>
      </c>
      <c r="AD21" s="55">
        <f t="shared" si="39"/>
        <v>8.875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254">
        <f t="shared" si="35"/>
        <v>193.5</v>
      </c>
      <c r="AQ21" s="90"/>
      <c r="AR21" s="90" t="s">
        <v>137</v>
      </c>
      <c r="AS21" s="90" t="s">
        <v>482</v>
      </c>
    </row>
    <row r="22" spans="1:45" x14ac:dyDescent="0.25">
      <c r="A22" t="s">
        <v>167</v>
      </c>
      <c r="B22" s="18" t="s">
        <v>191</v>
      </c>
      <c r="C22" s="6"/>
      <c r="D22" s="6" t="str">
        <f>D7</f>
        <v>G. Pedrajas</v>
      </c>
      <c r="E22" s="6">
        <f t="shared" si="14"/>
        <v>28</v>
      </c>
      <c r="F22" s="6">
        <f t="shared" ca="1" si="15"/>
        <v>64</v>
      </c>
      <c r="G22" s="55">
        <f t="shared" si="16"/>
        <v>0</v>
      </c>
      <c r="H22" s="55">
        <f t="shared" si="17"/>
        <v>11.7</v>
      </c>
      <c r="I22" s="55">
        <f t="shared" si="18"/>
        <v>11.444444444444445</v>
      </c>
      <c r="J22" s="55">
        <f t="shared" si="19"/>
        <v>5</v>
      </c>
      <c r="K22" s="55">
        <f t="shared" si="20"/>
        <v>11.142857142857142</v>
      </c>
      <c r="L22" s="55">
        <f t="shared" si="21"/>
        <v>4</v>
      </c>
      <c r="M22" s="55">
        <f t="shared" si="22"/>
        <v>15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254">
        <f t="shared" si="31"/>
        <v>161.5</v>
      </c>
      <c r="X22" t="s">
        <v>167</v>
      </c>
      <c r="Y22" s="6">
        <f>E22+2</f>
        <v>30</v>
      </c>
      <c r="Z22" s="6">
        <f ca="1">F22+(($AR$22+$AR$23)*7)-112-112</f>
        <v>43</v>
      </c>
      <c r="AA22" s="55">
        <f t="shared" si="36"/>
        <v>0</v>
      </c>
      <c r="AB22" s="55">
        <f t="shared" si="37"/>
        <v>11.7</v>
      </c>
      <c r="AC22" s="55">
        <f t="shared" si="38"/>
        <v>11.444444444444445</v>
      </c>
      <c r="AD22" s="55">
        <f t="shared" si="39"/>
        <v>5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254">
        <f t="shared" si="35"/>
        <v>190.5</v>
      </c>
      <c r="AQ22" s="90" t="s">
        <v>494</v>
      </c>
      <c r="AR22" s="54">
        <v>14</v>
      </c>
      <c r="AS22" s="97">
        <f>AR22/16</f>
        <v>0.875</v>
      </c>
    </row>
    <row r="23" spans="1:45" x14ac:dyDescent="0.25">
      <c r="A23" t="s">
        <v>171</v>
      </c>
      <c r="B23" s="18" t="s">
        <v>191</v>
      </c>
      <c r="C23" s="6"/>
      <c r="D23" s="6" t="s">
        <v>483</v>
      </c>
      <c r="E23" s="6">
        <f t="shared" si="14"/>
        <v>29</v>
      </c>
      <c r="F23" s="6">
        <f t="shared" ca="1" si="15"/>
        <v>-5</v>
      </c>
      <c r="G23" s="55">
        <f t="shared" si="16"/>
        <v>0</v>
      </c>
      <c r="H23" s="55">
        <f t="shared" si="17"/>
        <v>14.75</v>
      </c>
      <c r="I23" s="55">
        <f t="shared" si="18"/>
        <v>5.125</v>
      </c>
      <c r="J23" s="55">
        <f t="shared" si="19"/>
        <v>3</v>
      </c>
      <c r="K23" s="55">
        <f t="shared" si="20"/>
        <v>12.222222222222221</v>
      </c>
      <c r="L23" s="55">
        <f t="shared" si="21"/>
        <v>6</v>
      </c>
      <c r="M23" s="55">
        <f t="shared" si="22"/>
        <v>14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254">
        <f t="shared" si="31"/>
        <v>161.5</v>
      </c>
      <c r="X23" t="s">
        <v>171</v>
      </c>
      <c r="Y23" s="6">
        <f>E23+1</f>
        <v>30</v>
      </c>
      <c r="Z23" s="6">
        <f ca="1">F23+(($AR$22+$AR$23)*7)-112</f>
        <v>86</v>
      </c>
      <c r="AA23" s="55">
        <f t="shared" si="36"/>
        <v>0</v>
      </c>
      <c r="AB23" s="55">
        <f t="shared" si="37"/>
        <v>14.75</v>
      </c>
      <c r="AC23" s="55">
        <f t="shared" si="38"/>
        <v>5.125</v>
      </c>
      <c r="AD23" s="55">
        <f t="shared" si="39"/>
        <v>3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254">
        <f t="shared" si="35"/>
        <v>190.5</v>
      </c>
      <c r="AQ23" s="90" t="s">
        <v>196</v>
      </c>
      <c r="AR23" s="54">
        <v>15</v>
      </c>
      <c r="AS23" s="97">
        <f>AR23/16</f>
        <v>0.9375</v>
      </c>
    </row>
    <row r="24" spans="1:45" x14ac:dyDescent="0.25">
      <c r="A24" t="s">
        <v>160</v>
      </c>
      <c r="B24" s="18" t="s">
        <v>191</v>
      </c>
      <c r="C24" s="6" t="s">
        <v>163</v>
      </c>
      <c r="D24" s="6" t="s">
        <v>484</v>
      </c>
      <c r="E24" s="6">
        <f t="shared" si="14"/>
        <v>28</v>
      </c>
      <c r="F24" s="6">
        <f t="shared" ca="1" si="15"/>
        <v>44</v>
      </c>
      <c r="G24" s="55">
        <f t="shared" si="16"/>
        <v>0</v>
      </c>
      <c r="H24" s="55">
        <f t="shared" si="17"/>
        <v>12.909090909090908</v>
      </c>
      <c r="I24" s="55">
        <f t="shared" si="18"/>
        <v>4.25</v>
      </c>
      <c r="J24" s="55">
        <f t="shared" si="19"/>
        <v>12.5</v>
      </c>
      <c r="K24" s="55">
        <f t="shared" si="20"/>
        <v>8.1999999999999993</v>
      </c>
      <c r="L24" s="55">
        <f t="shared" si="21"/>
        <v>7</v>
      </c>
      <c r="M24" s="55">
        <f t="shared" si="22"/>
        <v>15.333333333333334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254">
        <f t="shared" si="31"/>
        <v>172.5</v>
      </c>
      <c r="X24" t="s">
        <v>160</v>
      </c>
      <c r="Y24" s="6">
        <f>E24+2</f>
        <v>30</v>
      </c>
      <c r="Z24" s="6">
        <f ca="1">F24+(($AR$22+$AR$23)*7)-112-112</f>
        <v>23</v>
      </c>
      <c r="AA24" s="55">
        <f t="shared" si="36"/>
        <v>0</v>
      </c>
      <c r="AB24" s="55">
        <f t="shared" si="37"/>
        <v>12.909090909090908</v>
      </c>
      <c r="AC24" s="55">
        <f t="shared" si="38"/>
        <v>4.25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254">
        <f t="shared" si="35"/>
        <v>201.5</v>
      </c>
      <c r="AQ24" s="90"/>
    </row>
    <row r="25" spans="1:45" x14ac:dyDescent="0.25">
      <c r="A25" t="s">
        <v>168</v>
      </c>
      <c r="B25" s="18" t="s">
        <v>191</v>
      </c>
      <c r="C25" s="6" t="s">
        <v>163</v>
      </c>
      <c r="D25" s="6" t="s">
        <v>485</v>
      </c>
      <c r="E25" s="6">
        <f t="shared" si="14"/>
        <v>28</v>
      </c>
      <c r="F25" s="6">
        <f t="shared" ca="1" si="15"/>
        <v>44</v>
      </c>
      <c r="G25" s="55">
        <f t="shared" si="16"/>
        <v>0</v>
      </c>
      <c r="H25" s="55">
        <f t="shared" si="17"/>
        <v>12</v>
      </c>
      <c r="I25" s="55">
        <f t="shared" si="18"/>
        <v>4.25</v>
      </c>
      <c r="J25" s="55">
        <f t="shared" si="19"/>
        <v>11.9</v>
      </c>
      <c r="K25" s="55">
        <f t="shared" si="20"/>
        <v>9.1666666666666661</v>
      </c>
      <c r="L25" s="55">
        <f t="shared" si="21"/>
        <v>7.25</v>
      </c>
      <c r="M25" s="55">
        <f t="shared" si="22"/>
        <v>16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254">
        <f t="shared" si="31"/>
        <v>165.5</v>
      </c>
      <c r="X25" t="s">
        <v>168</v>
      </c>
      <c r="Y25" s="6">
        <f>E25+2</f>
        <v>30</v>
      </c>
      <c r="Z25" s="6">
        <f ca="1">F25+(($AR$22+$AR$23)*7)-112-112</f>
        <v>23</v>
      </c>
      <c r="AA25" s="55">
        <f t="shared" si="36"/>
        <v>0</v>
      </c>
      <c r="AB25" s="55">
        <f t="shared" si="37"/>
        <v>12</v>
      </c>
      <c r="AC25" s="55">
        <f t="shared" si="38"/>
        <v>4.25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254">
        <f t="shared" si="35"/>
        <v>194.5</v>
      </c>
      <c r="AQ25" s="90"/>
    </row>
    <row r="26" spans="1:45" x14ac:dyDescent="0.25">
      <c r="A26" t="s">
        <v>161</v>
      </c>
      <c r="B26" s="18" t="s">
        <v>486</v>
      </c>
      <c r="C26" s="6" t="s">
        <v>166</v>
      </c>
      <c r="D26" s="6" t="str">
        <f>D11</f>
        <v>J. Gräbitz</v>
      </c>
      <c r="E26" s="6">
        <f t="shared" si="14"/>
        <v>28</v>
      </c>
      <c r="F26" s="6">
        <f t="shared" ca="1" si="15"/>
        <v>14</v>
      </c>
      <c r="G26" s="55">
        <f t="shared" si="16"/>
        <v>0</v>
      </c>
      <c r="H26" s="55">
        <f t="shared" si="17"/>
        <v>13.77142857142857</v>
      </c>
      <c r="I26" s="55">
        <f t="shared" si="18"/>
        <v>9.7142857142857135</v>
      </c>
      <c r="J26" s="55">
        <f t="shared" si="19"/>
        <v>5</v>
      </c>
      <c r="K26" s="55">
        <f t="shared" si="20"/>
        <v>9</v>
      </c>
      <c r="L26" s="55">
        <f t="shared" si="21"/>
        <v>4</v>
      </c>
      <c r="M26" s="55">
        <f t="shared" si="22"/>
        <v>21</v>
      </c>
      <c r="N26" s="37">
        <f t="shared" si="23"/>
        <v>21972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254">
        <f t="shared" si="31"/>
        <v>159</v>
      </c>
      <c r="X26" t="s">
        <v>161</v>
      </c>
      <c r="Y26" s="6">
        <f>E26+2</f>
        <v>30</v>
      </c>
      <c r="Z26" s="6">
        <f ca="1">F26+(($AR$22+$AR$23)*7)-112-112</f>
        <v>-7</v>
      </c>
      <c r="AA26" s="55">
        <f t="shared" si="36"/>
        <v>0</v>
      </c>
      <c r="AB26" s="55">
        <f t="shared" si="37"/>
        <v>13.77142857142857</v>
      </c>
      <c r="AC26" s="55">
        <f t="shared" si="38"/>
        <v>9.7142857142857135</v>
      </c>
      <c r="AD26" s="55">
        <f t="shared" si="39"/>
        <v>5</v>
      </c>
      <c r="AE26" s="55">
        <f>9+1/6</f>
        <v>9.1666666666666661</v>
      </c>
      <c r="AF26" s="55">
        <f t="shared" si="40"/>
        <v>4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254">
        <f t="shared" si="35"/>
        <v>188</v>
      </c>
    </row>
    <row r="27" spans="1:45" x14ac:dyDescent="0.25">
      <c r="A27" t="s">
        <v>488</v>
      </c>
      <c r="B27" s="18" t="s">
        <v>486</v>
      </c>
      <c r="C27" s="6" t="s">
        <v>495</v>
      </c>
      <c r="D27" s="6" t="s">
        <v>496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254">
        <f t="shared" si="31"/>
        <v>126</v>
      </c>
      <c r="X27" t="s">
        <v>488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254">
        <f t="shared" si="35"/>
        <v>155</v>
      </c>
    </row>
    <row r="28" spans="1:45" x14ac:dyDescent="0.25">
      <c r="A28" t="s">
        <v>169</v>
      </c>
      <c r="B28" s="18" t="s">
        <v>489</v>
      </c>
      <c r="C28" s="6" t="s">
        <v>166</v>
      </c>
      <c r="D28" s="6" t="s">
        <v>490</v>
      </c>
      <c r="E28" s="6">
        <f t="shared" ref="E28:F30" si="47">Y13</f>
        <v>28</v>
      </c>
      <c r="F28" s="6">
        <f t="shared" ca="1" si="47"/>
        <v>40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6.2</v>
      </c>
      <c r="J28" s="55">
        <f t="shared" si="48"/>
        <v>14</v>
      </c>
      <c r="K28" s="55">
        <f t="shared" si="48"/>
        <v>9.5</v>
      </c>
      <c r="L28" s="55">
        <f t="shared" si="48"/>
        <v>7.8</v>
      </c>
      <c r="M28" s="55">
        <f t="shared" si="48"/>
        <v>16.666666666666668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254">
        <f t="shared" si="31"/>
        <v>179</v>
      </c>
      <c r="X28" t="s">
        <v>169</v>
      </c>
      <c r="Y28" s="6">
        <f>E28+2</f>
        <v>30</v>
      </c>
      <c r="Z28" s="6">
        <f ca="1">F28+(($AR$22+$AR$23)*7)-112-112</f>
        <v>19</v>
      </c>
      <c r="AA28" s="55">
        <f t="shared" si="36"/>
        <v>0</v>
      </c>
      <c r="AB28" s="55">
        <f t="shared" si="37"/>
        <v>10.666666666666666</v>
      </c>
      <c r="AC28" s="55">
        <f t="shared" si="38"/>
        <v>6.2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254">
        <f t="shared" si="35"/>
        <v>208</v>
      </c>
    </row>
    <row r="29" spans="1:45" x14ac:dyDescent="0.25">
      <c r="A29" t="s">
        <v>491</v>
      </c>
      <c r="B29" s="18" t="s">
        <v>489</v>
      </c>
      <c r="C29" s="6" t="s">
        <v>166</v>
      </c>
      <c r="D29" s="6" t="s">
        <v>492</v>
      </c>
      <c r="E29" s="6">
        <f t="shared" si="47"/>
        <v>29</v>
      </c>
      <c r="F29" s="6">
        <f t="shared" ca="1" si="47"/>
        <v>-107</v>
      </c>
      <c r="G29" s="55">
        <f>AA14</f>
        <v>0</v>
      </c>
      <c r="H29" s="55">
        <f t="shared" si="48"/>
        <v>12.181818181818182</v>
      </c>
      <c r="I29" s="55">
        <f t="shared" si="48"/>
        <v>4.25</v>
      </c>
      <c r="J29" s="55">
        <f t="shared" si="48"/>
        <v>12.833333333333334</v>
      </c>
      <c r="K29" s="55">
        <f t="shared" si="48"/>
        <v>10</v>
      </c>
      <c r="L29" s="55">
        <f t="shared" si="48"/>
        <v>7</v>
      </c>
      <c r="M29" s="55">
        <f t="shared" si="48"/>
        <v>16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254">
        <f t="shared" si="31"/>
        <v>177</v>
      </c>
      <c r="X29" t="s">
        <v>491</v>
      </c>
      <c r="Y29" s="6">
        <f>E29+1</f>
        <v>30</v>
      </c>
      <c r="Z29" s="6">
        <f ca="1">F29+(($AR$22+$AR$23)*7)-112</f>
        <v>-16</v>
      </c>
      <c r="AA29" s="55">
        <f t="shared" si="36"/>
        <v>0</v>
      </c>
      <c r="AB29" s="55">
        <f t="shared" si="37"/>
        <v>12.181818181818182</v>
      </c>
      <c r="AC29" s="55">
        <f t="shared" si="38"/>
        <v>4.25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254">
        <f t="shared" si="35"/>
        <v>206</v>
      </c>
    </row>
    <row r="30" spans="1:45" x14ac:dyDescent="0.25">
      <c r="A30" t="s">
        <v>157</v>
      </c>
      <c r="B30" s="18" t="s">
        <v>489</v>
      </c>
      <c r="C30" s="6" t="s">
        <v>163</v>
      </c>
      <c r="D30" s="6" t="s">
        <v>493</v>
      </c>
      <c r="E30" s="6">
        <f t="shared" si="47"/>
        <v>28</v>
      </c>
      <c r="F30" s="6">
        <f t="shared" ca="1" si="47"/>
        <v>40</v>
      </c>
      <c r="G30" s="55">
        <f>AA15</f>
        <v>0</v>
      </c>
      <c r="H30" s="55">
        <f t="shared" si="48"/>
        <v>11.1</v>
      </c>
      <c r="I30" s="55">
        <f t="shared" si="48"/>
        <v>6</v>
      </c>
      <c r="J30" s="55">
        <f t="shared" si="48"/>
        <v>13.333333333333334</v>
      </c>
      <c r="K30" s="55">
        <f t="shared" si="48"/>
        <v>8.8571428571428577</v>
      </c>
      <c r="L30" s="55">
        <f t="shared" si="48"/>
        <v>8</v>
      </c>
      <c r="M30" s="55">
        <f t="shared" si="48"/>
        <v>15.666666666666666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254">
        <f t="shared" si="31"/>
        <v>168.5</v>
      </c>
      <c r="X30" t="s">
        <v>157</v>
      </c>
      <c r="Y30" s="6">
        <f>E30+2</f>
        <v>30</v>
      </c>
      <c r="Z30" s="6">
        <f ca="1">F30+(($AR$22+$AR$23)*7)-112-112</f>
        <v>19</v>
      </c>
      <c r="AA30" s="55">
        <f t="shared" si="36"/>
        <v>0</v>
      </c>
      <c r="AB30" s="55">
        <f t="shared" si="37"/>
        <v>11.1</v>
      </c>
      <c r="AC30" s="55">
        <f t="shared" si="38"/>
        <v>6</v>
      </c>
      <c r="AD30" s="55">
        <f t="shared" si="39"/>
        <v>13.333333333333334</v>
      </c>
      <c r="AE30" s="55">
        <f>8+3/5</f>
        <v>8.6</v>
      </c>
      <c r="AF30" s="55">
        <f t="shared" si="40"/>
        <v>8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254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0B5-5C01-40EE-B490-7F75B04C6567}">
  <sheetPr>
    <tabColor rgb="FFFABF8F"/>
  </sheetPr>
  <dimension ref="A1:AC58"/>
  <sheetViews>
    <sheetView zoomScale="80" zoomScaleNormal="80" workbookViewId="0">
      <pane xSplit="3" topLeftCell="D1" activePane="topRight" state="frozen"/>
      <selection pane="topRight" activeCell="D10" sqref="D10"/>
    </sheetView>
  </sheetViews>
  <sheetFormatPr baseColWidth="10" defaultRowHeight="15" x14ac:dyDescent="0.25"/>
  <cols>
    <col min="1" max="1" width="23" style="344" bestFit="1" customWidth="1"/>
    <col min="2" max="2" width="15.5703125" style="344" bestFit="1" customWidth="1"/>
    <col min="3" max="3" width="18" style="387" bestFit="1" customWidth="1"/>
    <col min="4" max="5" width="15.5703125" style="344" bestFit="1" customWidth="1"/>
    <col min="6" max="19" width="14.28515625" style="344" bestFit="1" customWidth="1"/>
    <col min="20" max="20" width="5.28515625" style="344" customWidth="1"/>
    <col min="21" max="21" width="24.5703125" bestFit="1" customWidth="1"/>
    <col min="22" max="22" width="20" bestFit="1" customWidth="1"/>
    <col min="23" max="23" width="11.5703125" bestFit="1" customWidth="1"/>
    <col min="24" max="24" width="2.7109375" customWidth="1"/>
    <col min="25" max="25" width="24.5703125" bestFit="1" customWidth="1"/>
    <col min="26" max="26" width="20" bestFit="1" customWidth="1"/>
    <col min="27" max="27" width="10.85546875" bestFit="1" customWidth="1"/>
  </cols>
  <sheetData>
    <row r="1" spans="1:29" x14ac:dyDescent="0.25">
      <c r="A1" s="382"/>
      <c r="B1" s="382"/>
      <c r="C1" s="385"/>
      <c r="D1" s="383">
        <v>44319</v>
      </c>
      <c r="E1" s="383">
        <f t="shared" ref="E1:S1" si="0">D1+7</f>
        <v>44326</v>
      </c>
      <c r="F1" s="383">
        <f t="shared" si="0"/>
        <v>44333</v>
      </c>
      <c r="G1" s="383">
        <f t="shared" si="0"/>
        <v>44340</v>
      </c>
      <c r="H1" s="383">
        <f t="shared" si="0"/>
        <v>44347</v>
      </c>
      <c r="I1" s="383">
        <f t="shared" si="0"/>
        <v>44354</v>
      </c>
      <c r="J1" s="383">
        <f t="shared" si="0"/>
        <v>44361</v>
      </c>
      <c r="K1" s="383">
        <f t="shared" si="0"/>
        <v>44368</v>
      </c>
      <c r="L1" s="383">
        <f t="shared" si="0"/>
        <v>44375</v>
      </c>
      <c r="M1" s="383">
        <f t="shared" si="0"/>
        <v>44382</v>
      </c>
      <c r="N1" s="383">
        <f t="shared" si="0"/>
        <v>44389</v>
      </c>
      <c r="O1" s="383">
        <f t="shared" si="0"/>
        <v>44396</v>
      </c>
      <c r="P1" s="383">
        <f t="shared" si="0"/>
        <v>44403</v>
      </c>
      <c r="Q1" s="383">
        <f t="shared" si="0"/>
        <v>44410</v>
      </c>
      <c r="R1" s="383">
        <f t="shared" si="0"/>
        <v>44417</v>
      </c>
      <c r="S1" s="383">
        <f t="shared" si="0"/>
        <v>44424</v>
      </c>
    </row>
    <row r="2" spans="1:29" ht="21" x14ac:dyDescent="0.35">
      <c r="A2" s="354"/>
      <c r="B2" s="354"/>
      <c r="C2" s="354" t="s">
        <v>1000</v>
      </c>
      <c r="D2" s="426" t="s">
        <v>497</v>
      </c>
      <c r="E2" s="427" t="s">
        <v>498</v>
      </c>
      <c r="F2" s="427" t="s">
        <v>499</v>
      </c>
      <c r="G2" s="427" t="s">
        <v>500</v>
      </c>
      <c r="H2" s="427" t="s">
        <v>501</v>
      </c>
      <c r="I2" s="427" t="s">
        <v>502</v>
      </c>
      <c r="J2" s="427" t="s">
        <v>503</v>
      </c>
      <c r="K2" s="427" t="s">
        <v>504</v>
      </c>
      <c r="L2" s="427" t="s">
        <v>505</v>
      </c>
      <c r="M2" s="427" t="s">
        <v>506</v>
      </c>
      <c r="N2" s="427" t="s">
        <v>507</v>
      </c>
      <c r="O2" s="427" t="s">
        <v>508</v>
      </c>
      <c r="P2" s="427" t="s">
        <v>509</v>
      </c>
      <c r="Q2" s="427" t="s">
        <v>510</v>
      </c>
      <c r="R2" s="427" t="s">
        <v>511</v>
      </c>
      <c r="S2" s="428" t="s">
        <v>512</v>
      </c>
      <c r="U2" s="416" t="s">
        <v>513</v>
      </c>
      <c r="V2" s="417">
        <f>V3+V7+V10+V21+V14</f>
        <v>71589146</v>
      </c>
      <c r="W2" s="418">
        <f t="shared" ref="W2:W7" si="1">V2/$V$2</f>
        <v>1</v>
      </c>
      <c r="X2" s="419"/>
      <c r="Y2" s="420" t="s">
        <v>514</v>
      </c>
      <c r="Z2" s="421">
        <f>Z3+Z7+Z14</f>
        <v>71589146</v>
      </c>
      <c r="AA2" s="422">
        <f>Z2/$Z$2</f>
        <v>1</v>
      </c>
      <c r="AC2" s="357"/>
    </row>
    <row r="3" spans="1:29" ht="21" x14ac:dyDescent="0.35">
      <c r="A3" s="345"/>
      <c r="B3" s="355"/>
      <c r="C3" s="354" t="s">
        <v>515</v>
      </c>
      <c r="D3" s="429">
        <f>2783*1.1</f>
        <v>3061.3</v>
      </c>
      <c r="E3" s="430">
        <f t="shared" ref="E3:S3" si="2">D3+D11/30</f>
        <v>3062.3</v>
      </c>
      <c r="F3" s="430">
        <f t="shared" si="2"/>
        <v>3063.3</v>
      </c>
      <c r="G3" s="430">
        <f t="shared" si="2"/>
        <v>3064.3</v>
      </c>
      <c r="H3" s="430">
        <f t="shared" si="2"/>
        <v>3065.3</v>
      </c>
      <c r="I3" s="430">
        <f t="shared" si="2"/>
        <v>3066.3</v>
      </c>
      <c r="J3" s="430">
        <f t="shared" si="2"/>
        <v>3067.3</v>
      </c>
      <c r="K3" s="430">
        <f t="shared" si="2"/>
        <v>3068.3</v>
      </c>
      <c r="L3" s="430">
        <f t="shared" si="2"/>
        <v>3069.3</v>
      </c>
      <c r="M3" s="430">
        <f t="shared" si="2"/>
        <v>3070.3</v>
      </c>
      <c r="N3" s="430">
        <f t="shared" si="2"/>
        <v>3071.3</v>
      </c>
      <c r="O3" s="430">
        <f t="shared" si="2"/>
        <v>3072.3</v>
      </c>
      <c r="P3" s="430">
        <f t="shared" si="2"/>
        <v>3073.3</v>
      </c>
      <c r="Q3" s="430">
        <f t="shared" si="2"/>
        <v>3074.3</v>
      </c>
      <c r="R3" s="430">
        <f t="shared" si="2"/>
        <v>3075.3</v>
      </c>
      <c r="S3" s="431">
        <f t="shared" si="2"/>
        <v>3076.3</v>
      </c>
      <c r="U3" s="397" t="s">
        <v>516</v>
      </c>
      <c r="V3" s="398">
        <f>V4+V5+V6</f>
        <v>7276060</v>
      </c>
      <c r="W3" s="399">
        <f t="shared" si="1"/>
        <v>0.10163635699746998</v>
      </c>
      <c r="X3" s="348"/>
      <c r="Y3" s="412" t="s">
        <v>517</v>
      </c>
      <c r="Z3" s="398">
        <f>Z4+Z5</f>
        <v>64259006</v>
      </c>
      <c r="AA3" s="399">
        <f>Z3/$Z$2</f>
        <v>0.89760822122392692</v>
      </c>
    </row>
    <row r="4" spans="1:29" s="389" customFormat="1" ht="18.75" customHeight="1" x14ac:dyDescent="0.3">
      <c r="A4" s="458" t="s">
        <v>952</v>
      </c>
      <c r="B4" s="459"/>
      <c r="C4" s="460">
        <v>0</v>
      </c>
      <c r="D4" s="432">
        <f>C4</f>
        <v>0</v>
      </c>
      <c r="E4" s="433">
        <f>D26</f>
        <v>0</v>
      </c>
      <c r="F4" s="433">
        <f t="shared" ref="F4:S4" si="3">E26</f>
        <v>0</v>
      </c>
      <c r="G4" s="433">
        <f t="shared" si="3"/>
        <v>0</v>
      </c>
      <c r="H4" s="433">
        <f t="shared" si="3"/>
        <v>0</v>
      </c>
      <c r="I4" s="433">
        <f t="shared" si="3"/>
        <v>0</v>
      </c>
      <c r="J4" s="433">
        <f t="shared" si="3"/>
        <v>0</v>
      </c>
      <c r="K4" s="433">
        <f t="shared" si="3"/>
        <v>0</v>
      </c>
      <c r="L4" s="433">
        <f t="shared" si="3"/>
        <v>0</v>
      </c>
      <c r="M4" s="433">
        <f t="shared" si="3"/>
        <v>0</v>
      </c>
      <c r="N4" s="433">
        <f t="shared" si="3"/>
        <v>0</v>
      </c>
      <c r="O4" s="433">
        <f t="shared" si="3"/>
        <v>0</v>
      </c>
      <c r="P4" s="433">
        <f t="shared" si="3"/>
        <v>0</v>
      </c>
      <c r="Q4" s="433">
        <f t="shared" si="3"/>
        <v>0</v>
      </c>
      <c r="R4" s="433">
        <f t="shared" si="3"/>
        <v>0</v>
      </c>
      <c r="S4" s="433">
        <f t="shared" si="3"/>
        <v>0</v>
      </c>
      <c r="T4" s="388"/>
      <c r="U4" s="400" t="s">
        <v>519</v>
      </c>
      <c r="V4" s="401">
        <f>(45*36877)+(75*13921)+(90*11448)+(300*1414)</f>
        <v>4158060</v>
      </c>
      <c r="W4" s="402">
        <f t="shared" si="1"/>
        <v>5.8082268504781438E-2</v>
      </c>
      <c r="X4" s="408"/>
      <c r="Y4" s="413" t="s">
        <v>520</v>
      </c>
      <c r="Z4" s="401">
        <v>300000</v>
      </c>
      <c r="AA4" s="402">
        <f>Z4/$Z$2</f>
        <v>4.1905793931387306E-3</v>
      </c>
    </row>
    <row r="5" spans="1:29" s="389" customFormat="1" ht="18.75" customHeight="1" x14ac:dyDescent="0.3">
      <c r="A5" s="456" t="s">
        <v>518</v>
      </c>
      <c r="B5" s="457"/>
      <c r="C5" s="461">
        <v>3081945</v>
      </c>
      <c r="D5" s="434">
        <f>C5</f>
        <v>3081945</v>
      </c>
      <c r="E5" s="435">
        <f t="shared" ref="E5:S5" si="4">D27</f>
        <v>2711383</v>
      </c>
      <c r="F5" s="435">
        <f t="shared" si="4"/>
        <v>2937481</v>
      </c>
      <c r="G5" s="435">
        <f t="shared" si="4"/>
        <v>2601419</v>
      </c>
      <c r="H5" s="435">
        <f t="shared" si="4"/>
        <v>2877357</v>
      </c>
      <c r="I5" s="435">
        <f t="shared" si="4"/>
        <v>2581295</v>
      </c>
      <c r="J5" s="435">
        <f t="shared" si="4"/>
        <v>2862233</v>
      </c>
      <c r="K5" s="435">
        <f t="shared" si="4"/>
        <v>2519171</v>
      </c>
      <c r="L5" s="435">
        <f t="shared" si="4"/>
        <v>2802109</v>
      </c>
      <c r="M5" s="435">
        <f t="shared" si="4"/>
        <v>2461047</v>
      </c>
      <c r="N5" s="435">
        <f t="shared" si="4"/>
        <v>2744985</v>
      </c>
      <c r="O5" s="435">
        <f t="shared" si="4"/>
        <v>2403923</v>
      </c>
      <c r="P5" s="435">
        <f t="shared" si="4"/>
        <v>2687861</v>
      </c>
      <c r="Q5" s="435">
        <f t="shared" si="4"/>
        <v>2346799</v>
      </c>
      <c r="R5" s="435">
        <f t="shared" si="4"/>
        <v>2630737</v>
      </c>
      <c r="S5" s="436">
        <f t="shared" si="4"/>
        <v>2304675</v>
      </c>
      <c r="T5" s="388"/>
      <c r="U5" s="400" t="s">
        <v>391</v>
      </c>
      <c r="V5" s="401">
        <f>1475000+1643000</f>
        <v>3118000</v>
      </c>
      <c r="W5" s="402">
        <f t="shared" si="1"/>
        <v>4.355408849268854E-2</v>
      </c>
      <c r="X5" s="408"/>
      <c r="Y5" s="413" t="s">
        <v>992</v>
      </c>
      <c r="Z5" s="401">
        <v>63959006</v>
      </c>
      <c r="AA5" s="402">
        <f>Z5/$Z$2</f>
        <v>0.8934176418307882</v>
      </c>
    </row>
    <row r="6" spans="1:29" ht="18.75" customHeight="1" x14ac:dyDescent="0.35">
      <c r="A6" s="443" t="s">
        <v>521</v>
      </c>
      <c r="B6" s="424" t="s">
        <v>521</v>
      </c>
      <c r="C6" s="462">
        <f t="shared" ref="C6:C25" si="5">SUM(D6:S6)</f>
        <v>4705000</v>
      </c>
      <c r="D6" s="470">
        <v>35000</v>
      </c>
      <c r="E6" s="471">
        <f>35000+575000</f>
        <v>610000</v>
      </c>
      <c r="F6" s="471">
        <v>35000</v>
      </c>
      <c r="G6" s="471">
        <f>65000+575000</f>
        <v>640000</v>
      </c>
      <c r="H6" s="471">
        <v>65000</v>
      </c>
      <c r="I6" s="471">
        <f>65000+575000</f>
        <v>640000</v>
      </c>
      <c r="J6" s="471">
        <v>15000</v>
      </c>
      <c r="K6" s="471">
        <f>65000+575000</f>
        <v>640000</v>
      </c>
      <c r="L6" s="471">
        <v>15000</v>
      </c>
      <c r="M6" s="471">
        <f>65000+575000</f>
        <v>640000</v>
      </c>
      <c r="N6" s="471">
        <v>15000</v>
      </c>
      <c r="O6" s="471">
        <f>65000+575000</f>
        <v>640000</v>
      </c>
      <c r="P6" s="471">
        <v>15000</v>
      </c>
      <c r="Q6" s="471">
        <f>65000+575000</f>
        <v>640000</v>
      </c>
      <c r="R6" s="471">
        <v>30000</v>
      </c>
      <c r="S6" s="472">
        <v>30000</v>
      </c>
      <c r="U6" s="400" t="s">
        <v>980</v>
      </c>
      <c r="V6" s="401">
        <v>0</v>
      </c>
      <c r="W6" s="402">
        <f t="shared" si="1"/>
        <v>0</v>
      </c>
      <c r="X6" s="348"/>
      <c r="Y6" s="412"/>
      <c r="Z6" s="398"/>
      <c r="AA6" s="399"/>
    </row>
    <row r="7" spans="1:29" ht="18.75" customHeight="1" x14ac:dyDescent="0.35">
      <c r="A7" s="443" t="s">
        <v>522</v>
      </c>
      <c r="B7" s="424" t="s">
        <v>522</v>
      </c>
      <c r="C7" s="462">
        <f t="shared" si="5"/>
        <v>2592660</v>
      </c>
      <c r="D7" s="473">
        <v>119500</v>
      </c>
      <c r="E7" s="474">
        <v>141160</v>
      </c>
      <c r="F7" s="474">
        <v>154000</v>
      </c>
      <c r="G7" s="474">
        <v>161000</v>
      </c>
      <c r="H7" s="474">
        <v>164000</v>
      </c>
      <c r="I7" s="474">
        <v>166000</v>
      </c>
      <c r="J7" s="474">
        <v>167000</v>
      </c>
      <c r="K7" s="474">
        <v>168000</v>
      </c>
      <c r="L7" s="474">
        <v>169000</v>
      </c>
      <c r="M7" s="474">
        <f>L7</f>
        <v>169000</v>
      </c>
      <c r="N7" s="474">
        <f t="shared" ref="N7:S7" si="6">M7</f>
        <v>169000</v>
      </c>
      <c r="O7" s="474">
        <f t="shared" si="6"/>
        <v>169000</v>
      </c>
      <c r="P7" s="474">
        <f t="shared" si="6"/>
        <v>169000</v>
      </c>
      <c r="Q7" s="474">
        <f t="shared" si="6"/>
        <v>169000</v>
      </c>
      <c r="R7" s="474">
        <f t="shared" si="6"/>
        <v>169000</v>
      </c>
      <c r="S7" s="475">
        <f t="shared" si="6"/>
        <v>169000</v>
      </c>
      <c r="U7" s="397" t="s">
        <v>981</v>
      </c>
      <c r="V7" s="398">
        <f>V9</f>
        <v>0</v>
      </c>
      <c r="W7" s="399">
        <f t="shared" si="1"/>
        <v>0</v>
      </c>
      <c r="X7" s="348"/>
      <c r="Y7" s="412" t="s">
        <v>993</v>
      </c>
      <c r="Z7" s="398">
        <f>Z9</f>
        <v>-1103332</v>
      </c>
      <c r="AA7" s="399">
        <f>Z7/$Z$2</f>
        <v>-1.5412001143301808E-2</v>
      </c>
    </row>
    <row r="8" spans="1:29" ht="18.75" customHeight="1" x14ac:dyDescent="0.3">
      <c r="A8" s="443" t="s">
        <v>523</v>
      </c>
      <c r="B8" s="424" t="s">
        <v>524</v>
      </c>
      <c r="C8" s="462">
        <f t="shared" si="5"/>
        <v>0</v>
      </c>
      <c r="D8" s="470">
        <v>0</v>
      </c>
      <c r="E8" s="471">
        <v>0</v>
      </c>
      <c r="F8" s="471">
        <v>0</v>
      </c>
      <c r="G8" s="471">
        <v>0</v>
      </c>
      <c r="H8" s="471">
        <v>0</v>
      </c>
      <c r="I8" s="471">
        <v>0</v>
      </c>
      <c r="J8" s="471">
        <v>0</v>
      </c>
      <c r="K8" s="471">
        <v>0</v>
      </c>
      <c r="L8" s="471">
        <v>0</v>
      </c>
      <c r="M8" s="471">
        <v>0</v>
      </c>
      <c r="N8" s="471">
        <v>0</v>
      </c>
      <c r="O8" s="471">
        <v>0</v>
      </c>
      <c r="P8" s="471">
        <v>0</v>
      </c>
      <c r="Q8" s="471">
        <v>0</v>
      </c>
      <c r="R8" s="471">
        <v>0</v>
      </c>
      <c r="S8" s="472">
        <v>0</v>
      </c>
      <c r="U8" s="400" t="s">
        <v>982</v>
      </c>
      <c r="V8" s="401">
        <f>C4</f>
        <v>0</v>
      </c>
      <c r="W8" s="348"/>
      <c r="X8" s="348"/>
      <c r="Y8" s="413" t="s">
        <v>996</v>
      </c>
      <c r="Z8" s="401">
        <f>G4</f>
        <v>0</v>
      </c>
      <c r="AA8" s="402">
        <f>Z8/$Z$2</f>
        <v>0</v>
      </c>
    </row>
    <row r="9" spans="1:29" ht="18.75" customHeight="1" x14ac:dyDescent="0.3">
      <c r="A9" s="443"/>
      <c r="B9" s="424" t="s">
        <v>525</v>
      </c>
      <c r="C9" s="462">
        <f t="shared" si="5"/>
        <v>0</v>
      </c>
      <c r="D9" s="470">
        <v>0</v>
      </c>
      <c r="E9" s="471">
        <v>0</v>
      </c>
      <c r="F9" s="471">
        <v>0</v>
      </c>
      <c r="G9" s="471">
        <v>0</v>
      </c>
      <c r="H9" s="471">
        <v>0</v>
      </c>
      <c r="I9" s="471">
        <v>0</v>
      </c>
      <c r="J9" s="471">
        <v>0</v>
      </c>
      <c r="K9" s="471">
        <v>0</v>
      </c>
      <c r="L9" s="471">
        <v>0</v>
      </c>
      <c r="M9" s="471">
        <v>0</v>
      </c>
      <c r="N9" s="471">
        <v>0</v>
      </c>
      <c r="O9" s="471">
        <v>0</v>
      </c>
      <c r="P9" s="471">
        <v>0</v>
      </c>
      <c r="Q9" s="471">
        <v>0</v>
      </c>
      <c r="R9" s="471">
        <v>0</v>
      </c>
      <c r="S9" s="472">
        <v>0</v>
      </c>
      <c r="U9" s="400" t="s">
        <v>983</v>
      </c>
      <c r="V9" s="403">
        <f>C26</f>
        <v>0</v>
      </c>
      <c r="W9" s="402">
        <f>V9/$V$2</f>
        <v>0</v>
      </c>
      <c r="X9" s="348"/>
      <c r="Y9" s="413" t="s">
        <v>997</v>
      </c>
      <c r="Z9" s="403">
        <f>V14-Z14</f>
        <v>-1103332</v>
      </c>
      <c r="AA9" s="402">
        <f>Z9/$Z$2</f>
        <v>-1.5412001143301808E-2</v>
      </c>
    </row>
    <row r="10" spans="1:29" ht="18.75" customHeight="1" x14ac:dyDescent="0.35">
      <c r="A10" s="443" t="s">
        <v>526</v>
      </c>
      <c r="B10" s="424" t="s">
        <v>526</v>
      </c>
      <c r="C10" s="462">
        <f t="shared" si="5"/>
        <v>32000</v>
      </c>
      <c r="D10" s="473">
        <v>2000</v>
      </c>
      <c r="E10" s="474">
        <f t="shared" ref="E10:S10" si="7">D10</f>
        <v>2000</v>
      </c>
      <c r="F10" s="474">
        <f t="shared" si="7"/>
        <v>2000</v>
      </c>
      <c r="G10" s="474">
        <f t="shared" si="7"/>
        <v>2000</v>
      </c>
      <c r="H10" s="474">
        <f t="shared" si="7"/>
        <v>2000</v>
      </c>
      <c r="I10" s="474">
        <f t="shared" si="7"/>
        <v>2000</v>
      </c>
      <c r="J10" s="474">
        <f t="shared" si="7"/>
        <v>2000</v>
      </c>
      <c r="K10" s="474">
        <f t="shared" si="7"/>
        <v>2000</v>
      </c>
      <c r="L10" s="474">
        <f t="shared" si="7"/>
        <v>2000</v>
      </c>
      <c r="M10" s="474">
        <f t="shared" si="7"/>
        <v>2000</v>
      </c>
      <c r="N10" s="474">
        <f t="shared" si="7"/>
        <v>2000</v>
      </c>
      <c r="O10" s="474">
        <f t="shared" si="7"/>
        <v>2000</v>
      </c>
      <c r="P10" s="474">
        <f t="shared" si="7"/>
        <v>2000</v>
      </c>
      <c r="Q10" s="474">
        <f t="shared" si="7"/>
        <v>2000</v>
      </c>
      <c r="R10" s="474">
        <f t="shared" si="7"/>
        <v>2000</v>
      </c>
      <c r="S10" s="475">
        <f t="shared" si="7"/>
        <v>2000</v>
      </c>
      <c r="U10" s="404" t="s">
        <v>531</v>
      </c>
      <c r="V10" s="398">
        <f>V12</f>
        <v>53901001</v>
      </c>
      <c r="W10" s="399">
        <f>V10/$V$2</f>
        <v>0.75292141353383379</v>
      </c>
      <c r="X10" s="348"/>
      <c r="Y10" s="414"/>
      <c r="Z10" s="398"/>
      <c r="AA10" s="399"/>
    </row>
    <row r="11" spans="1:29" ht="18.75" customHeight="1" x14ac:dyDescent="0.3">
      <c r="A11" s="487" t="s">
        <v>527</v>
      </c>
      <c r="B11" s="424" t="s">
        <v>528</v>
      </c>
      <c r="C11" s="462">
        <f t="shared" si="5"/>
        <v>480</v>
      </c>
      <c r="D11" s="473">
        <v>30</v>
      </c>
      <c r="E11" s="474">
        <v>30</v>
      </c>
      <c r="F11" s="474">
        <v>30</v>
      </c>
      <c r="G11" s="474">
        <v>30</v>
      </c>
      <c r="H11" s="474">
        <v>30</v>
      </c>
      <c r="I11" s="474">
        <v>30</v>
      </c>
      <c r="J11" s="474">
        <v>30</v>
      </c>
      <c r="K11" s="474">
        <v>30</v>
      </c>
      <c r="L11" s="474">
        <v>30</v>
      </c>
      <c r="M11" s="474">
        <v>30</v>
      </c>
      <c r="N11" s="474">
        <v>30</v>
      </c>
      <c r="O11" s="474">
        <v>30</v>
      </c>
      <c r="P11" s="474">
        <v>30</v>
      </c>
      <c r="Q11" s="474">
        <v>30</v>
      </c>
      <c r="R11" s="474">
        <v>30</v>
      </c>
      <c r="S11" s="475">
        <v>30</v>
      </c>
      <c r="U11" s="400" t="s">
        <v>984</v>
      </c>
      <c r="V11" s="405">
        <f>B31</f>
        <v>61403112</v>
      </c>
      <c r="W11" s="402"/>
      <c r="X11" s="348"/>
      <c r="Y11" s="413"/>
      <c r="Z11" s="405"/>
      <c r="AA11" s="348"/>
    </row>
    <row r="12" spans="1:29" ht="18.75" customHeight="1" x14ac:dyDescent="0.3">
      <c r="A12" s="487"/>
      <c r="B12" s="424" t="s">
        <v>529</v>
      </c>
      <c r="C12" s="462">
        <f t="shared" si="5"/>
        <v>0</v>
      </c>
      <c r="D12" s="473">
        <v>0</v>
      </c>
      <c r="E12" s="474">
        <v>0</v>
      </c>
      <c r="F12" s="474">
        <v>0</v>
      </c>
      <c r="G12" s="474">
        <v>0</v>
      </c>
      <c r="H12" s="474">
        <v>0</v>
      </c>
      <c r="I12" s="474">
        <v>0</v>
      </c>
      <c r="J12" s="474">
        <v>0</v>
      </c>
      <c r="K12" s="474">
        <v>0</v>
      </c>
      <c r="L12" s="474">
        <v>0</v>
      </c>
      <c r="M12" s="474">
        <v>0</v>
      </c>
      <c r="N12" s="474">
        <v>0</v>
      </c>
      <c r="O12" s="474">
        <v>0</v>
      </c>
      <c r="P12" s="474">
        <v>0</v>
      </c>
      <c r="Q12" s="474">
        <v>0</v>
      </c>
      <c r="R12" s="474">
        <v>0</v>
      </c>
      <c r="S12" s="475">
        <v>0</v>
      </c>
      <c r="U12" s="400" t="s">
        <v>985</v>
      </c>
      <c r="V12" s="405">
        <f>E31</f>
        <v>53901001</v>
      </c>
      <c r="W12" s="402">
        <f t="shared" ref="W12:W19" si="8">V12/$V$2</f>
        <v>0.75292141353383379</v>
      </c>
      <c r="X12" s="348"/>
      <c r="Y12" s="413"/>
      <c r="Z12" s="405"/>
      <c r="AA12" s="348"/>
    </row>
    <row r="13" spans="1:29" ht="18.75" customHeight="1" x14ac:dyDescent="0.3">
      <c r="A13" s="488"/>
      <c r="B13" s="455" t="s">
        <v>933</v>
      </c>
      <c r="C13" s="463">
        <v>0</v>
      </c>
      <c r="D13" s="476">
        <v>0</v>
      </c>
      <c r="E13" s="477">
        <v>0</v>
      </c>
      <c r="F13" s="477">
        <f t="shared" ref="F13:S13" si="9">E13</f>
        <v>0</v>
      </c>
      <c r="G13" s="477">
        <f t="shared" si="9"/>
        <v>0</v>
      </c>
      <c r="H13" s="477">
        <f t="shared" si="9"/>
        <v>0</v>
      </c>
      <c r="I13" s="477">
        <f t="shared" si="9"/>
        <v>0</v>
      </c>
      <c r="J13" s="477">
        <f t="shared" si="9"/>
        <v>0</v>
      </c>
      <c r="K13" s="477">
        <f t="shared" si="9"/>
        <v>0</v>
      </c>
      <c r="L13" s="477">
        <f t="shared" si="9"/>
        <v>0</v>
      </c>
      <c r="M13" s="477">
        <f t="shared" si="9"/>
        <v>0</v>
      </c>
      <c r="N13" s="477">
        <f t="shared" si="9"/>
        <v>0</v>
      </c>
      <c r="O13" s="477">
        <f t="shared" si="9"/>
        <v>0</v>
      </c>
      <c r="P13" s="477">
        <f t="shared" si="9"/>
        <v>0</v>
      </c>
      <c r="Q13" s="477">
        <f t="shared" si="9"/>
        <v>0</v>
      </c>
      <c r="R13" s="477">
        <f t="shared" si="9"/>
        <v>0</v>
      </c>
      <c r="S13" s="478">
        <f t="shared" si="9"/>
        <v>0</v>
      </c>
      <c r="U13" s="400" t="s">
        <v>955</v>
      </c>
      <c r="V13" s="405">
        <f>-1*C31</f>
        <v>-7502111</v>
      </c>
      <c r="W13" s="402">
        <f t="shared" si="8"/>
        <v>-0.10479397253879799</v>
      </c>
      <c r="X13" s="348"/>
      <c r="Y13" s="413"/>
      <c r="Z13" s="405"/>
      <c r="AA13" s="348"/>
    </row>
    <row r="14" spans="1:29" s="389" customFormat="1" ht="18.75" customHeight="1" x14ac:dyDescent="0.35">
      <c r="A14" s="453" t="s">
        <v>530</v>
      </c>
      <c r="B14" s="454"/>
      <c r="C14" s="464">
        <f t="shared" si="5"/>
        <v>7330140</v>
      </c>
      <c r="D14" s="437">
        <f t="shared" ref="D14:S14" si="10">SUM(D6:D13)</f>
        <v>156530</v>
      </c>
      <c r="E14" s="438">
        <f t="shared" si="10"/>
        <v>753190</v>
      </c>
      <c r="F14" s="438">
        <f t="shared" si="10"/>
        <v>191030</v>
      </c>
      <c r="G14" s="438">
        <f t="shared" si="10"/>
        <v>803030</v>
      </c>
      <c r="H14" s="438">
        <f t="shared" si="10"/>
        <v>231030</v>
      </c>
      <c r="I14" s="438">
        <f t="shared" si="10"/>
        <v>808030</v>
      </c>
      <c r="J14" s="438">
        <f t="shared" si="10"/>
        <v>184030</v>
      </c>
      <c r="K14" s="438">
        <f t="shared" si="10"/>
        <v>810030</v>
      </c>
      <c r="L14" s="438">
        <f t="shared" si="10"/>
        <v>186030</v>
      </c>
      <c r="M14" s="438">
        <f t="shared" si="10"/>
        <v>811030</v>
      </c>
      <c r="N14" s="438">
        <f t="shared" si="10"/>
        <v>186030</v>
      </c>
      <c r="O14" s="438">
        <f t="shared" si="10"/>
        <v>811030</v>
      </c>
      <c r="P14" s="438">
        <f t="shared" si="10"/>
        <v>186030</v>
      </c>
      <c r="Q14" s="438">
        <f t="shared" si="10"/>
        <v>811030</v>
      </c>
      <c r="R14" s="438">
        <f t="shared" si="10"/>
        <v>201030</v>
      </c>
      <c r="S14" s="439">
        <f t="shared" si="10"/>
        <v>201030</v>
      </c>
      <c r="T14" s="388"/>
      <c r="U14" s="404" t="s">
        <v>991</v>
      </c>
      <c r="V14" s="398">
        <f>V16+V17+V15+V18+V19</f>
        <v>7330140</v>
      </c>
      <c r="W14" s="399">
        <f t="shared" si="8"/>
        <v>0.10239177877607313</v>
      </c>
      <c r="X14" s="348"/>
      <c r="Y14" s="414" t="s">
        <v>994</v>
      </c>
      <c r="Z14" s="398">
        <f>Z16+Z17+Z15+Z18+Z19+Z20</f>
        <v>8433472</v>
      </c>
      <c r="AA14" s="399">
        <f t="shared" ref="AA14:AA20" si="11">Z14/$Z$2</f>
        <v>0.11780377991937493</v>
      </c>
    </row>
    <row r="15" spans="1:29" ht="18.75" customHeight="1" x14ac:dyDescent="0.3">
      <c r="A15" s="444" t="s">
        <v>383</v>
      </c>
      <c r="B15" s="425" t="str">
        <f>A15</f>
        <v>Sueldos</v>
      </c>
      <c r="C15" s="465">
        <f t="shared" si="5"/>
        <v>6314368</v>
      </c>
      <c r="D15" s="479">
        <v>394648</v>
      </c>
      <c r="E15" s="480">
        <v>394648</v>
      </c>
      <c r="F15" s="480">
        <v>394648</v>
      </c>
      <c r="G15" s="480">
        <f t="shared" ref="F15:S16" si="12">F15</f>
        <v>394648</v>
      </c>
      <c r="H15" s="480">
        <f t="shared" si="12"/>
        <v>394648</v>
      </c>
      <c r="I15" s="480">
        <f t="shared" si="12"/>
        <v>394648</v>
      </c>
      <c r="J15" s="480">
        <f t="shared" si="12"/>
        <v>394648</v>
      </c>
      <c r="K15" s="480">
        <f t="shared" si="12"/>
        <v>394648</v>
      </c>
      <c r="L15" s="480">
        <f t="shared" si="12"/>
        <v>394648</v>
      </c>
      <c r="M15" s="480">
        <f t="shared" si="12"/>
        <v>394648</v>
      </c>
      <c r="N15" s="480">
        <f t="shared" si="12"/>
        <v>394648</v>
      </c>
      <c r="O15" s="480">
        <f t="shared" si="12"/>
        <v>394648</v>
      </c>
      <c r="P15" s="480">
        <f t="shared" si="12"/>
        <v>394648</v>
      </c>
      <c r="Q15" s="480">
        <f t="shared" si="12"/>
        <v>394648</v>
      </c>
      <c r="R15" s="480">
        <f t="shared" si="12"/>
        <v>394648</v>
      </c>
      <c r="S15" s="481">
        <f t="shared" si="12"/>
        <v>394648</v>
      </c>
      <c r="U15" s="400" t="s">
        <v>515</v>
      </c>
      <c r="V15" s="405">
        <f>C11</f>
        <v>480</v>
      </c>
      <c r="W15" s="402">
        <f t="shared" si="8"/>
        <v>6.7049270290219691E-6</v>
      </c>
      <c r="X15" s="348"/>
      <c r="Y15" s="413" t="s">
        <v>995</v>
      </c>
      <c r="Z15" s="405">
        <f>C16</f>
        <v>690624</v>
      </c>
      <c r="AA15" s="402">
        <f t="shared" si="11"/>
        <v>9.64704900935681E-3</v>
      </c>
    </row>
    <row r="16" spans="1:29" ht="18.75" customHeight="1" x14ac:dyDescent="0.3">
      <c r="A16" s="444" t="s">
        <v>532</v>
      </c>
      <c r="B16" s="425" t="str">
        <f>A16</f>
        <v xml:space="preserve">Mantenimiento </v>
      </c>
      <c r="C16" s="465">
        <f t="shared" si="5"/>
        <v>690624</v>
      </c>
      <c r="D16" s="479">
        <f>41729+1435</f>
        <v>43164</v>
      </c>
      <c r="E16" s="480">
        <f>D16</f>
        <v>43164</v>
      </c>
      <c r="F16" s="480">
        <f t="shared" si="12"/>
        <v>43164</v>
      </c>
      <c r="G16" s="480">
        <f t="shared" si="12"/>
        <v>43164</v>
      </c>
      <c r="H16" s="480">
        <f t="shared" si="12"/>
        <v>43164</v>
      </c>
      <c r="I16" s="480">
        <f t="shared" si="12"/>
        <v>43164</v>
      </c>
      <c r="J16" s="480">
        <f t="shared" si="12"/>
        <v>43164</v>
      </c>
      <c r="K16" s="480">
        <f t="shared" si="12"/>
        <v>43164</v>
      </c>
      <c r="L16" s="480">
        <f t="shared" si="12"/>
        <v>43164</v>
      </c>
      <c r="M16" s="480">
        <f t="shared" si="12"/>
        <v>43164</v>
      </c>
      <c r="N16" s="480">
        <f t="shared" si="12"/>
        <v>43164</v>
      </c>
      <c r="O16" s="480">
        <f t="shared" si="12"/>
        <v>43164</v>
      </c>
      <c r="P16" s="480">
        <f t="shared" si="12"/>
        <v>43164</v>
      </c>
      <c r="Q16" s="480">
        <f t="shared" si="12"/>
        <v>43164</v>
      </c>
      <c r="R16" s="480">
        <f t="shared" si="12"/>
        <v>43164</v>
      </c>
      <c r="S16" s="481">
        <f t="shared" si="12"/>
        <v>43164</v>
      </c>
      <c r="U16" s="400" t="s">
        <v>529</v>
      </c>
      <c r="V16" s="403">
        <f>C12</f>
        <v>0</v>
      </c>
      <c r="W16" s="402">
        <f t="shared" si="8"/>
        <v>0</v>
      </c>
      <c r="X16" s="348"/>
      <c r="Y16" s="413" t="s">
        <v>542</v>
      </c>
      <c r="Z16" s="403">
        <f>C15</f>
        <v>6314368</v>
      </c>
      <c r="AA16" s="402">
        <f t="shared" si="11"/>
        <v>8.8202868071648732E-2</v>
      </c>
    </row>
    <row r="17" spans="1:27" ht="18.75" customHeight="1" x14ac:dyDescent="0.3">
      <c r="A17" s="444" t="s">
        <v>533</v>
      </c>
      <c r="B17" s="425" t="s">
        <v>519</v>
      </c>
      <c r="C17" s="465">
        <f t="shared" si="5"/>
        <v>0</v>
      </c>
      <c r="D17" s="479">
        <v>0</v>
      </c>
      <c r="E17" s="480">
        <v>0</v>
      </c>
      <c r="F17" s="480">
        <v>0</v>
      </c>
      <c r="G17" s="480">
        <v>0</v>
      </c>
      <c r="H17" s="480">
        <v>0</v>
      </c>
      <c r="I17" s="480">
        <v>0</v>
      </c>
      <c r="J17" s="480">
        <v>0</v>
      </c>
      <c r="K17" s="480">
        <v>0</v>
      </c>
      <c r="L17" s="480">
        <v>0</v>
      </c>
      <c r="M17" s="480">
        <v>0</v>
      </c>
      <c r="N17" s="480">
        <v>0</v>
      </c>
      <c r="O17" s="480">
        <v>0</v>
      </c>
      <c r="P17" s="480">
        <v>0</v>
      </c>
      <c r="Q17" s="480">
        <v>0</v>
      </c>
      <c r="R17" s="480">
        <v>0</v>
      </c>
      <c r="S17" s="481">
        <v>0</v>
      </c>
      <c r="U17" s="400" t="s">
        <v>521</v>
      </c>
      <c r="V17" s="403">
        <f>C6</f>
        <v>4705000</v>
      </c>
      <c r="W17" s="402">
        <f t="shared" si="8"/>
        <v>6.5722253482392426E-2</v>
      </c>
      <c r="X17" s="348"/>
      <c r="Y17" s="413" t="s">
        <v>534</v>
      </c>
      <c r="Z17" s="403">
        <f>C18</f>
        <v>1044480</v>
      </c>
      <c r="AA17" s="402">
        <f t="shared" si="11"/>
        <v>1.4589921215151805E-2</v>
      </c>
    </row>
    <row r="18" spans="1:27" ht="18.75" customHeight="1" x14ac:dyDescent="0.3">
      <c r="A18" s="444" t="s">
        <v>534</v>
      </c>
      <c r="B18" s="425" t="str">
        <f>A18</f>
        <v>Empleados</v>
      </c>
      <c r="C18" s="465">
        <f t="shared" si="5"/>
        <v>1044480</v>
      </c>
      <c r="D18" s="479">
        <v>65280</v>
      </c>
      <c r="E18" s="480">
        <f t="shared" ref="E18:S24" si="13">D18</f>
        <v>65280</v>
      </c>
      <c r="F18" s="480">
        <f t="shared" si="13"/>
        <v>65280</v>
      </c>
      <c r="G18" s="480">
        <f t="shared" si="13"/>
        <v>65280</v>
      </c>
      <c r="H18" s="480">
        <f t="shared" si="13"/>
        <v>65280</v>
      </c>
      <c r="I18" s="480">
        <f t="shared" si="13"/>
        <v>65280</v>
      </c>
      <c r="J18" s="480">
        <f t="shared" si="13"/>
        <v>65280</v>
      </c>
      <c r="K18" s="480">
        <f t="shared" si="13"/>
        <v>65280</v>
      </c>
      <c r="L18" s="480">
        <f t="shared" si="13"/>
        <v>65280</v>
      </c>
      <c r="M18" s="480">
        <f t="shared" si="13"/>
        <v>65280</v>
      </c>
      <c r="N18" s="480">
        <f t="shared" si="13"/>
        <v>65280</v>
      </c>
      <c r="O18" s="480">
        <f t="shared" si="13"/>
        <v>65280</v>
      </c>
      <c r="P18" s="480">
        <f t="shared" si="13"/>
        <v>65280</v>
      </c>
      <c r="Q18" s="480">
        <f t="shared" si="13"/>
        <v>65280</v>
      </c>
      <c r="R18" s="480">
        <f t="shared" si="13"/>
        <v>65280</v>
      </c>
      <c r="S18" s="481">
        <f t="shared" si="13"/>
        <v>65280</v>
      </c>
      <c r="U18" s="400" t="s">
        <v>522</v>
      </c>
      <c r="V18" s="403">
        <f>C7</f>
        <v>2592660</v>
      </c>
      <c r="W18" s="402">
        <f t="shared" si="8"/>
        <v>3.6215825231383537E-2</v>
      </c>
      <c r="X18" s="348"/>
      <c r="Y18" s="413" t="s">
        <v>536</v>
      </c>
      <c r="Z18" s="403">
        <f>C19</f>
        <v>320000</v>
      </c>
      <c r="AA18" s="402">
        <f t="shared" si="11"/>
        <v>4.4699513526813128E-3</v>
      </c>
    </row>
    <row r="19" spans="1:27" ht="18.75" customHeight="1" x14ac:dyDescent="0.3">
      <c r="A19" s="444" t="s">
        <v>536</v>
      </c>
      <c r="B19" s="425" t="str">
        <f>A19</f>
        <v>Juveniles</v>
      </c>
      <c r="C19" s="465">
        <f t="shared" si="5"/>
        <v>320000</v>
      </c>
      <c r="D19" s="479">
        <v>20000</v>
      </c>
      <c r="E19" s="480">
        <f t="shared" si="13"/>
        <v>20000</v>
      </c>
      <c r="F19" s="480">
        <f t="shared" si="13"/>
        <v>20000</v>
      </c>
      <c r="G19" s="480">
        <f t="shared" si="13"/>
        <v>20000</v>
      </c>
      <c r="H19" s="480">
        <f t="shared" si="13"/>
        <v>20000</v>
      </c>
      <c r="I19" s="480">
        <f t="shared" si="13"/>
        <v>20000</v>
      </c>
      <c r="J19" s="480">
        <f t="shared" si="13"/>
        <v>20000</v>
      </c>
      <c r="K19" s="480">
        <f t="shared" si="13"/>
        <v>20000</v>
      </c>
      <c r="L19" s="480">
        <f t="shared" si="13"/>
        <v>20000</v>
      </c>
      <c r="M19" s="480">
        <f t="shared" si="13"/>
        <v>20000</v>
      </c>
      <c r="N19" s="480">
        <f t="shared" si="13"/>
        <v>20000</v>
      </c>
      <c r="O19" s="480">
        <f t="shared" si="13"/>
        <v>20000</v>
      </c>
      <c r="P19" s="480">
        <f t="shared" si="13"/>
        <v>20000</v>
      </c>
      <c r="Q19" s="480">
        <f t="shared" si="13"/>
        <v>20000</v>
      </c>
      <c r="R19" s="480">
        <f t="shared" si="13"/>
        <v>20000</v>
      </c>
      <c r="S19" s="481">
        <f t="shared" si="13"/>
        <v>20000</v>
      </c>
      <c r="U19" s="400" t="s">
        <v>526</v>
      </c>
      <c r="V19" s="406">
        <f>C10</f>
        <v>32000</v>
      </c>
      <c r="W19" s="402">
        <f t="shared" si="8"/>
        <v>4.4699513526813128E-4</v>
      </c>
      <c r="X19" s="408"/>
      <c r="Y19" s="381" t="s">
        <v>538</v>
      </c>
      <c r="Z19" s="406">
        <f>C22</f>
        <v>64000</v>
      </c>
      <c r="AA19" s="402">
        <f t="shared" si="11"/>
        <v>8.9399027053626255E-4</v>
      </c>
    </row>
    <row r="20" spans="1:27" ht="18.75" customHeight="1" x14ac:dyDescent="0.3">
      <c r="A20" s="444" t="s">
        <v>537</v>
      </c>
      <c r="B20" s="425" t="s">
        <v>535</v>
      </c>
      <c r="C20" s="465">
        <f t="shared" si="5"/>
        <v>0</v>
      </c>
      <c r="D20" s="479">
        <v>0</v>
      </c>
      <c r="E20" s="480">
        <v>0</v>
      </c>
      <c r="F20" s="480">
        <f t="shared" si="13"/>
        <v>0</v>
      </c>
      <c r="G20" s="480">
        <f t="shared" si="13"/>
        <v>0</v>
      </c>
      <c r="H20" s="480">
        <f t="shared" si="13"/>
        <v>0</v>
      </c>
      <c r="I20" s="480">
        <f t="shared" si="13"/>
        <v>0</v>
      </c>
      <c r="J20" s="480">
        <f t="shared" si="13"/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f t="shared" si="13"/>
        <v>0</v>
      </c>
      <c r="P20" s="480">
        <f t="shared" si="13"/>
        <v>0</v>
      </c>
      <c r="Q20" s="480">
        <v>0</v>
      </c>
      <c r="R20" s="480">
        <v>0</v>
      </c>
      <c r="S20" s="481">
        <v>0</v>
      </c>
      <c r="U20" s="407"/>
      <c r="V20" s="388"/>
      <c r="W20" s="408"/>
      <c r="X20" s="408"/>
      <c r="Y20" s="413" t="s">
        <v>539</v>
      </c>
      <c r="Z20" s="406">
        <f>C24</f>
        <v>0</v>
      </c>
      <c r="AA20" s="402">
        <f t="shared" si="11"/>
        <v>0</v>
      </c>
    </row>
    <row r="21" spans="1:27" ht="18.75" customHeight="1" x14ac:dyDescent="0.35">
      <c r="A21" s="489" t="s">
        <v>527</v>
      </c>
      <c r="B21" s="425" t="s">
        <v>391</v>
      </c>
      <c r="C21" s="465">
        <f t="shared" si="5"/>
        <v>0</v>
      </c>
      <c r="D21" s="479">
        <v>0</v>
      </c>
      <c r="E21" s="480">
        <f>D21</f>
        <v>0</v>
      </c>
      <c r="F21" s="480">
        <f t="shared" si="13"/>
        <v>0</v>
      </c>
      <c r="G21" s="480">
        <f t="shared" si="13"/>
        <v>0</v>
      </c>
      <c r="H21" s="480">
        <f t="shared" si="13"/>
        <v>0</v>
      </c>
      <c r="I21" s="480">
        <f t="shared" si="13"/>
        <v>0</v>
      </c>
      <c r="J21" s="480">
        <f t="shared" si="13"/>
        <v>0</v>
      </c>
      <c r="K21" s="480">
        <f t="shared" si="13"/>
        <v>0</v>
      </c>
      <c r="L21" s="480">
        <f t="shared" si="13"/>
        <v>0</v>
      </c>
      <c r="M21" s="480">
        <f t="shared" si="13"/>
        <v>0</v>
      </c>
      <c r="N21" s="480">
        <f t="shared" si="13"/>
        <v>0</v>
      </c>
      <c r="O21" s="480">
        <f t="shared" si="13"/>
        <v>0</v>
      </c>
      <c r="P21" s="480">
        <f t="shared" si="13"/>
        <v>0</v>
      </c>
      <c r="Q21" s="480">
        <v>0</v>
      </c>
      <c r="R21" s="480">
        <f t="shared" ref="R21:S24" si="14">Q21</f>
        <v>0</v>
      </c>
      <c r="S21" s="481">
        <f t="shared" si="14"/>
        <v>0</v>
      </c>
      <c r="U21" s="404" t="s">
        <v>986</v>
      </c>
      <c r="V21" s="398">
        <f>V27</f>
        <v>3081945</v>
      </c>
      <c r="W21" s="399">
        <f>V21/$V$2</f>
        <v>4.305045069262315E-2</v>
      </c>
      <c r="X21" s="408"/>
      <c r="Y21" s="414"/>
      <c r="Z21" s="398"/>
      <c r="AA21" s="399"/>
    </row>
    <row r="22" spans="1:27" ht="18.75" customHeight="1" x14ac:dyDescent="0.3">
      <c r="A22" s="489"/>
      <c r="B22" s="425" t="s">
        <v>538</v>
      </c>
      <c r="C22" s="465">
        <f t="shared" si="5"/>
        <v>64000</v>
      </c>
      <c r="D22" s="479">
        <v>4000</v>
      </c>
      <c r="E22" s="480">
        <f>D22</f>
        <v>4000</v>
      </c>
      <c r="F22" s="480">
        <f t="shared" si="13"/>
        <v>4000</v>
      </c>
      <c r="G22" s="480">
        <f t="shared" si="13"/>
        <v>4000</v>
      </c>
      <c r="H22" s="480">
        <f t="shared" si="13"/>
        <v>4000</v>
      </c>
      <c r="I22" s="480">
        <f t="shared" si="13"/>
        <v>4000</v>
      </c>
      <c r="J22" s="480">
        <f t="shared" si="13"/>
        <v>4000</v>
      </c>
      <c r="K22" s="480">
        <f t="shared" si="13"/>
        <v>4000</v>
      </c>
      <c r="L22" s="480">
        <f t="shared" si="13"/>
        <v>4000</v>
      </c>
      <c r="M22" s="480">
        <f t="shared" si="13"/>
        <v>4000</v>
      </c>
      <c r="N22" s="480">
        <f t="shared" si="13"/>
        <v>4000</v>
      </c>
      <c r="O22" s="480">
        <f t="shared" si="13"/>
        <v>4000</v>
      </c>
      <c r="P22" s="480">
        <f t="shared" si="13"/>
        <v>4000</v>
      </c>
      <c r="Q22" s="480">
        <f>P22</f>
        <v>4000</v>
      </c>
      <c r="R22" s="480">
        <f t="shared" si="14"/>
        <v>4000</v>
      </c>
      <c r="S22" s="481">
        <f t="shared" si="14"/>
        <v>4000</v>
      </c>
      <c r="U22" s="400" t="s">
        <v>982</v>
      </c>
      <c r="V22" s="405">
        <f>C5</f>
        <v>3081945</v>
      </c>
      <c r="W22" s="348"/>
      <c r="X22" s="348"/>
      <c r="Y22" s="413"/>
      <c r="Z22" s="405"/>
      <c r="AA22" s="348"/>
    </row>
    <row r="23" spans="1:27" ht="18.75" customHeight="1" x14ac:dyDescent="0.3">
      <c r="A23" s="489"/>
      <c r="B23" s="425" t="s">
        <v>933</v>
      </c>
      <c r="C23" s="465">
        <f t="shared" si="5"/>
        <v>0</v>
      </c>
      <c r="D23" s="479">
        <v>0</v>
      </c>
      <c r="E23" s="480">
        <f>D23</f>
        <v>0</v>
      </c>
      <c r="F23" s="480">
        <f t="shared" si="13"/>
        <v>0</v>
      </c>
      <c r="G23" s="480">
        <f t="shared" si="13"/>
        <v>0</v>
      </c>
      <c r="H23" s="480">
        <f t="shared" si="13"/>
        <v>0</v>
      </c>
      <c r="I23" s="480">
        <f t="shared" si="13"/>
        <v>0</v>
      </c>
      <c r="J23" s="480">
        <f t="shared" si="13"/>
        <v>0</v>
      </c>
      <c r="K23" s="480">
        <f t="shared" si="13"/>
        <v>0</v>
      </c>
      <c r="L23" s="480">
        <f t="shared" si="13"/>
        <v>0</v>
      </c>
      <c r="M23" s="480">
        <f t="shared" si="13"/>
        <v>0</v>
      </c>
      <c r="N23" s="480">
        <f t="shared" si="13"/>
        <v>0</v>
      </c>
      <c r="O23" s="480">
        <f t="shared" si="13"/>
        <v>0</v>
      </c>
      <c r="P23" s="480">
        <f t="shared" si="13"/>
        <v>0</v>
      </c>
      <c r="Q23" s="480">
        <v>0</v>
      </c>
      <c r="R23" s="480">
        <f t="shared" si="14"/>
        <v>0</v>
      </c>
      <c r="S23" s="481">
        <f t="shared" si="14"/>
        <v>0</v>
      </c>
      <c r="U23" s="400" t="s">
        <v>989</v>
      </c>
      <c r="V23" s="344"/>
      <c r="W23" s="402">
        <f>V23/$V$2</f>
        <v>0</v>
      </c>
      <c r="X23" s="348"/>
      <c r="Y23" s="413"/>
      <c r="Z23" s="344"/>
      <c r="AA23" s="348"/>
    </row>
    <row r="24" spans="1:27" ht="18.75" customHeight="1" x14ac:dyDescent="0.3">
      <c r="A24" s="451" t="s">
        <v>539</v>
      </c>
      <c r="B24" s="452" t="str">
        <f>A24</f>
        <v>Intereses</v>
      </c>
      <c r="C24" s="466">
        <f t="shared" si="5"/>
        <v>0</v>
      </c>
      <c r="D24" s="482">
        <v>0</v>
      </c>
      <c r="E24" s="483">
        <f>D24</f>
        <v>0</v>
      </c>
      <c r="F24" s="483">
        <f t="shared" si="13"/>
        <v>0</v>
      </c>
      <c r="G24" s="483">
        <f t="shared" si="13"/>
        <v>0</v>
      </c>
      <c r="H24" s="483">
        <f t="shared" si="13"/>
        <v>0</v>
      </c>
      <c r="I24" s="483">
        <f t="shared" si="13"/>
        <v>0</v>
      </c>
      <c r="J24" s="483">
        <f t="shared" si="13"/>
        <v>0</v>
      </c>
      <c r="K24" s="483">
        <f t="shared" si="13"/>
        <v>0</v>
      </c>
      <c r="L24" s="483">
        <f t="shared" si="13"/>
        <v>0</v>
      </c>
      <c r="M24" s="483">
        <f t="shared" si="13"/>
        <v>0</v>
      </c>
      <c r="N24" s="483">
        <f t="shared" si="13"/>
        <v>0</v>
      </c>
      <c r="O24" s="483">
        <f t="shared" si="13"/>
        <v>0</v>
      </c>
      <c r="P24" s="483">
        <f t="shared" si="13"/>
        <v>0</v>
      </c>
      <c r="Q24" s="483">
        <v>0</v>
      </c>
      <c r="R24" s="483">
        <f t="shared" si="14"/>
        <v>0</v>
      </c>
      <c r="S24" s="484">
        <f t="shared" si="14"/>
        <v>0</v>
      </c>
      <c r="U24" s="400" t="s">
        <v>990</v>
      </c>
      <c r="V24" s="344"/>
      <c r="W24" s="402">
        <f>V24/$V$2</f>
        <v>0</v>
      </c>
      <c r="X24" s="348"/>
      <c r="Y24" s="413"/>
      <c r="Z24" s="344"/>
      <c r="AA24" s="348"/>
    </row>
    <row r="25" spans="1:27" s="389" customFormat="1" ht="18.75" customHeight="1" x14ac:dyDescent="0.3">
      <c r="A25" s="449" t="s">
        <v>540</v>
      </c>
      <c r="B25" s="450"/>
      <c r="C25" s="467">
        <f t="shared" si="5"/>
        <v>8433472</v>
      </c>
      <c r="D25" s="440">
        <f t="shared" ref="D25:S25" si="15">SUM(D15:D24)</f>
        <v>527092</v>
      </c>
      <c r="E25" s="441">
        <f t="shared" si="15"/>
        <v>527092</v>
      </c>
      <c r="F25" s="441">
        <f t="shared" si="15"/>
        <v>527092</v>
      </c>
      <c r="G25" s="441">
        <f t="shared" si="15"/>
        <v>527092</v>
      </c>
      <c r="H25" s="441">
        <f t="shared" si="15"/>
        <v>527092</v>
      </c>
      <c r="I25" s="441">
        <f t="shared" si="15"/>
        <v>527092</v>
      </c>
      <c r="J25" s="441">
        <f t="shared" si="15"/>
        <v>527092</v>
      </c>
      <c r="K25" s="441">
        <f t="shared" si="15"/>
        <v>527092</v>
      </c>
      <c r="L25" s="441">
        <f t="shared" si="15"/>
        <v>527092</v>
      </c>
      <c r="M25" s="441">
        <f t="shared" si="15"/>
        <v>527092</v>
      </c>
      <c r="N25" s="441">
        <f t="shared" si="15"/>
        <v>527092</v>
      </c>
      <c r="O25" s="441">
        <f t="shared" si="15"/>
        <v>527092</v>
      </c>
      <c r="P25" s="441">
        <f t="shared" si="15"/>
        <v>527092</v>
      </c>
      <c r="Q25" s="441">
        <f t="shared" si="15"/>
        <v>527092</v>
      </c>
      <c r="R25" s="441">
        <f t="shared" si="15"/>
        <v>527092</v>
      </c>
      <c r="S25" s="442">
        <f t="shared" si="15"/>
        <v>527092</v>
      </c>
      <c r="T25" s="388"/>
      <c r="U25" s="400" t="s">
        <v>987</v>
      </c>
      <c r="V25" s="403">
        <f>C8+C9</f>
        <v>0</v>
      </c>
      <c r="W25" s="402">
        <f>V25/$V$2</f>
        <v>0</v>
      </c>
      <c r="X25" s="348"/>
      <c r="Y25" s="413"/>
      <c r="Z25" s="403"/>
      <c r="AA25" s="348"/>
    </row>
    <row r="26" spans="1:27" s="389" customFormat="1" ht="18.75" customHeight="1" x14ac:dyDescent="0.3">
      <c r="A26" s="447" t="s">
        <v>953</v>
      </c>
      <c r="B26" s="448"/>
      <c r="C26" s="468">
        <f>C4-C13+C23</f>
        <v>0</v>
      </c>
      <c r="D26" s="432">
        <f>D4-D13+D23</f>
        <v>0</v>
      </c>
      <c r="E26" s="432">
        <f t="shared" ref="E26:S26" si="16">E4-E13+E23</f>
        <v>0</v>
      </c>
      <c r="F26" s="432">
        <f t="shared" si="16"/>
        <v>0</v>
      </c>
      <c r="G26" s="432">
        <f t="shared" si="16"/>
        <v>0</v>
      </c>
      <c r="H26" s="432">
        <f t="shared" si="16"/>
        <v>0</v>
      </c>
      <c r="I26" s="432">
        <f t="shared" si="16"/>
        <v>0</v>
      </c>
      <c r="J26" s="432">
        <f t="shared" si="16"/>
        <v>0</v>
      </c>
      <c r="K26" s="432">
        <f t="shared" si="16"/>
        <v>0</v>
      </c>
      <c r="L26" s="432">
        <f t="shared" si="16"/>
        <v>0</v>
      </c>
      <c r="M26" s="432">
        <f t="shared" si="16"/>
        <v>0</v>
      </c>
      <c r="N26" s="432">
        <f t="shared" si="16"/>
        <v>0</v>
      </c>
      <c r="O26" s="432">
        <f t="shared" si="16"/>
        <v>0</v>
      </c>
      <c r="P26" s="432">
        <f t="shared" si="16"/>
        <v>0</v>
      </c>
      <c r="Q26" s="432">
        <f t="shared" si="16"/>
        <v>0</v>
      </c>
      <c r="R26" s="432">
        <f t="shared" si="16"/>
        <v>0</v>
      </c>
      <c r="S26" s="432">
        <f t="shared" si="16"/>
        <v>0</v>
      </c>
      <c r="T26" s="388"/>
      <c r="U26" s="400" t="s">
        <v>988</v>
      </c>
      <c r="V26" s="403">
        <f>C20</f>
        <v>0</v>
      </c>
      <c r="W26" s="402">
        <f>V26/$V$2</f>
        <v>0</v>
      </c>
      <c r="X26" s="348"/>
      <c r="Y26" s="413"/>
      <c r="Z26" s="403"/>
      <c r="AA26" s="348"/>
    </row>
    <row r="27" spans="1:27" s="389" customFormat="1" ht="18.75" customHeight="1" x14ac:dyDescent="0.3">
      <c r="A27" s="445" t="s">
        <v>541</v>
      </c>
      <c r="B27" s="446"/>
      <c r="C27" s="469">
        <f t="shared" ref="C27:S27" si="17">C5+C14-C25</f>
        <v>1978613</v>
      </c>
      <c r="D27" s="434">
        <f t="shared" si="17"/>
        <v>2711383</v>
      </c>
      <c r="E27" s="435">
        <f t="shared" si="17"/>
        <v>2937481</v>
      </c>
      <c r="F27" s="435">
        <f t="shared" si="17"/>
        <v>2601419</v>
      </c>
      <c r="G27" s="435">
        <f t="shared" si="17"/>
        <v>2877357</v>
      </c>
      <c r="H27" s="435">
        <f t="shared" si="17"/>
        <v>2581295</v>
      </c>
      <c r="I27" s="435">
        <f t="shared" si="17"/>
        <v>2862233</v>
      </c>
      <c r="J27" s="435">
        <f t="shared" si="17"/>
        <v>2519171</v>
      </c>
      <c r="K27" s="435">
        <f t="shared" si="17"/>
        <v>2802109</v>
      </c>
      <c r="L27" s="435">
        <f t="shared" si="17"/>
        <v>2461047</v>
      </c>
      <c r="M27" s="435">
        <f t="shared" si="17"/>
        <v>2744985</v>
      </c>
      <c r="N27" s="435">
        <f t="shared" si="17"/>
        <v>2403923</v>
      </c>
      <c r="O27" s="435">
        <f t="shared" si="17"/>
        <v>2687861</v>
      </c>
      <c r="P27" s="435">
        <f t="shared" si="17"/>
        <v>2346799</v>
      </c>
      <c r="Q27" s="435">
        <f t="shared" si="17"/>
        <v>2630737</v>
      </c>
      <c r="R27" s="435">
        <f t="shared" si="17"/>
        <v>2304675</v>
      </c>
      <c r="S27" s="436">
        <f t="shared" si="17"/>
        <v>1978613</v>
      </c>
      <c r="T27" s="388"/>
      <c r="U27" s="409" t="s">
        <v>983</v>
      </c>
      <c r="V27" s="410">
        <f>V22+V24-V23+V25-V26</f>
        <v>3081945</v>
      </c>
      <c r="W27" s="411">
        <f>V27/$V$2</f>
        <v>4.305045069262315E-2</v>
      </c>
      <c r="X27" s="378"/>
      <c r="Y27" s="415"/>
      <c r="Z27" s="410"/>
      <c r="AA27" s="378"/>
    </row>
    <row r="28" spans="1:27" ht="18.75" customHeight="1" x14ac:dyDescent="0.25">
      <c r="A28" s="356"/>
      <c r="B28" s="356"/>
      <c r="C28" s="386"/>
      <c r="D28" s="384">
        <f>D1+7</f>
        <v>44326</v>
      </c>
      <c r="E28" s="384">
        <f t="shared" ref="E28:S28" si="18">D28+7</f>
        <v>44333</v>
      </c>
      <c r="F28" s="384">
        <f t="shared" si="18"/>
        <v>44340</v>
      </c>
      <c r="G28" s="384">
        <f t="shared" si="18"/>
        <v>44347</v>
      </c>
      <c r="H28" s="384">
        <f t="shared" si="18"/>
        <v>44354</v>
      </c>
      <c r="I28" s="384">
        <f t="shared" si="18"/>
        <v>44361</v>
      </c>
      <c r="J28" s="384">
        <f t="shared" si="18"/>
        <v>44368</v>
      </c>
      <c r="K28" s="384">
        <f t="shared" si="18"/>
        <v>44375</v>
      </c>
      <c r="L28" s="384">
        <f t="shared" si="18"/>
        <v>44382</v>
      </c>
      <c r="M28" s="384">
        <f t="shared" si="18"/>
        <v>44389</v>
      </c>
      <c r="N28" s="384">
        <f t="shared" si="18"/>
        <v>44396</v>
      </c>
      <c r="O28" s="384">
        <f t="shared" si="18"/>
        <v>44403</v>
      </c>
      <c r="P28" s="384">
        <f t="shared" si="18"/>
        <v>44410</v>
      </c>
      <c r="Q28" s="384">
        <f t="shared" si="18"/>
        <v>44417</v>
      </c>
      <c r="R28" s="384">
        <f t="shared" si="18"/>
        <v>44424</v>
      </c>
      <c r="S28" s="384">
        <f t="shared" si="18"/>
        <v>44431</v>
      </c>
      <c r="U28" s="389"/>
      <c r="V28" s="389"/>
      <c r="W28" s="389"/>
      <c r="X28" s="389"/>
      <c r="Y28" s="389"/>
      <c r="Z28" s="389"/>
      <c r="AA28" s="389"/>
    </row>
    <row r="29" spans="1:27" ht="15.75" x14ac:dyDescent="0.25">
      <c r="U29" s="395"/>
    </row>
    <row r="30" spans="1:27" x14ac:dyDescent="0.25">
      <c r="C30" s="381" t="s">
        <v>998</v>
      </c>
      <c r="D30" s="423">
        <v>44307</v>
      </c>
    </row>
    <row r="31" spans="1:27" s="394" customFormat="1" ht="15.75" x14ac:dyDescent="0.25">
      <c r="A31" s="392"/>
      <c r="B31" s="393">
        <f>SUM(B33:B51)</f>
        <v>61403112</v>
      </c>
      <c r="C31" s="393">
        <f t="shared" ref="C31:E31" si="19">SUM(C33:C51)</f>
        <v>7502111</v>
      </c>
      <c r="D31" s="393">
        <f t="shared" si="19"/>
        <v>92792656</v>
      </c>
      <c r="E31" s="393">
        <f t="shared" si="19"/>
        <v>53901001</v>
      </c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/>
      <c r="V31"/>
      <c r="W31"/>
      <c r="X31"/>
      <c r="Y31"/>
      <c r="Z31"/>
      <c r="AA31"/>
    </row>
    <row r="32" spans="1:27" s="43" customFormat="1" ht="15.75" x14ac:dyDescent="0.25">
      <c r="A32" s="396" t="s">
        <v>183</v>
      </c>
      <c r="B32" s="396" t="s">
        <v>954</v>
      </c>
      <c r="C32" s="396" t="s">
        <v>999</v>
      </c>
      <c r="D32" s="396" t="s">
        <v>979</v>
      </c>
      <c r="E32" s="396" t="s">
        <v>957</v>
      </c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94"/>
      <c r="V32" s="394"/>
      <c r="W32" s="394"/>
      <c r="X32" s="394"/>
      <c r="Y32" s="394"/>
      <c r="Z32" s="394"/>
      <c r="AA32" s="394"/>
    </row>
    <row r="33" spans="1:27" x14ac:dyDescent="0.25">
      <c r="A33" s="387" t="s">
        <v>956</v>
      </c>
      <c r="B33" s="391">
        <v>7000000</v>
      </c>
      <c r="C33" s="391">
        <v>0</v>
      </c>
      <c r="D33" s="391">
        <v>11336100</v>
      </c>
      <c r="E33" s="390">
        <f>B33-C33</f>
        <v>7000000</v>
      </c>
      <c r="U33" s="43"/>
      <c r="V33" s="43"/>
      <c r="W33" s="43"/>
      <c r="X33" s="43"/>
      <c r="Y33" s="43"/>
      <c r="Z33" s="43"/>
      <c r="AA33" s="43"/>
    </row>
    <row r="34" spans="1:27" x14ac:dyDescent="0.25">
      <c r="A34" s="387" t="s">
        <v>958</v>
      </c>
      <c r="B34" s="391">
        <v>3869000</v>
      </c>
      <c r="C34" s="391">
        <v>0</v>
      </c>
      <c r="D34" s="391">
        <v>6443676</v>
      </c>
      <c r="E34" s="390">
        <f t="shared" ref="E34:E50" si="20">B34-C34</f>
        <v>3869000</v>
      </c>
    </row>
    <row r="35" spans="1:27" x14ac:dyDescent="0.25">
      <c r="A35" s="387" t="s">
        <v>959</v>
      </c>
      <c r="B35" s="391">
        <v>600000</v>
      </c>
      <c r="C35" s="391">
        <v>0</v>
      </c>
      <c r="D35" s="391">
        <v>6500000</v>
      </c>
      <c r="E35" s="390">
        <f t="shared" si="20"/>
        <v>600000</v>
      </c>
    </row>
    <row r="36" spans="1:27" x14ac:dyDescent="0.25">
      <c r="A36" s="387" t="s">
        <v>960</v>
      </c>
      <c r="B36" s="391">
        <v>2500000</v>
      </c>
      <c r="C36" s="391">
        <v>0</v>
      </c>
      <c r="D36" s="391">
        <v>5184758</v>
      </c>
      <c r="E36" s="390">
        <f t="shared" si="20"/>
        <v>2500000</v>
      </c>
    </row>
    <row r="37" spans="1:27" x14ac:dyDescent="0.25">
      <c r="A37" s="387" t="s">
        <v>961</v>
      </c>
      <c r="B37" s="391">
        <v>496109</v>
      </c>
      <c r="C37" s="391">
        <v>0</v>
      </c>
      <c r="D37" s="391">
        <v>5000000</v>
      </c>
      <c r="E37" s="390">
        <f t="shared" si="20"/>
        <v>496109</v>
      </c>
    </row>
    <row r="38" spans="1:27" x14ac:dyDescent="0.25">
      <c r="A38" s="387" t="s">
        <v>962</v>
      </c>
      <c r="B38" s="391">
        <v>4500000</v>
      </c>
      <c r="C38" s="391">
        <f>B38-D38</f>
        <v>929524</v>
      </c>
      <c r="D38" s="391">
        <v>3570476</v>
      </c>
      <c r="E38" s="390">
        <f t="shared" si="20"/>
        <v>3570476</v>
      </c>
    </row>
    <row r="39" spans="1:27" x14ac:dyDescent="0.25">
      <c r="A39" s="387" t="s">
        <v>963</v>
      </c>
      <c r="B39" s="391">
        <v>4162000</v>
      </c>
      <c r="C39" s="391">
        <f>B39-D39</f>
        <v>1236300</v>
      </c>
      <c r="D39" s="391">
        <v>2925700</v>
      </c>
      <c r="E39" s="390">
        <f t="shared" si="20"/>
        <v>2925700</v>
      </c>
    </row>
    <row r="40" spans="1:27" x14ac:dyDescent="0.25">
      <c r="A40" s="387" t="s">
        <v>964</v>
      </c>
      <c r="B40" s="391">
        <v>0</v>
      </c>
      <c r="C40" s="391">
        <v>0</v>
      </c>
      <c r="D40" s="391">
        <v>6341000</v>
      </c>
      <c r="E40" s="390">
        <f t="shared" si="20"/>
        <v>0</v>
      </c>
    </row>
    <row r="41" spans="1:27" x14ac:dyDescent="0.25">
      <c r="A41" s="387" t="s">
        <v>965</v>
      </c>
      <c r="B41" s="391">
        <v>1530000</v>
      </c>
      <c r="C41" s="391">
        <v>0</v>
      </c>
      <c r="D41" s="391">
        <v>5183263</v>
      </c>
      <c r="E41" s="390">
        <f t="shared" si="20"/>
        <v>1530000</v>
      </c>
    </row>
    <row r="42" spans="1:27" x14ac:dyDescent="0.25">
      <c r="A42" s="387" t="s">
        <v>966</v>
      </c>
      <c r="B42" s="391">
        <v>12306000</v>
      </c>
      <c r="C42" s="391">
        <f>B42-D42</f>
        <v>2609150</v>
      </c>
      <c r="D42" s="391">
        <v>9696850</v>
      </c>
      <c r="E42" s="390">
        <f t="shared" si="20"/>
        <v>9696850</v>
      </c>
    </row>
    <row r="43" spans="1:27" x14ac:dyDescent="0.25">
      <c r="A43" s="387" t="s">
        <v>967</v>
      </c>
      <c r="B43" s="391">
        <v>245000</v>
      </c>
      <c r="C43" s="391">
        <v>0</v>
      </c>
      <c r="D43" s="391">
        <v>5300000</v>
      </c>
      <c r="E43" s="390">
        <f t="shared" si="20"/>
        <v>245000</v>
      </c>
    </row>
    <row r="44" spans="1:27" x14ac:dyDescent="0.25">
      <c r="A44" s="387" t="s">
        <v>968</v>
      </c>
      <c r="B44" s="391">
        <v>7500000</v>
      </c>
      <c r="C44" s="391">
        <f>B44-D44</f>
        <v>75739</v>
      </c>
      <c r="D44" s="391">
        <v>7424261</v>
      </c>
      <c r="E44" s="390">
        <f t="shared" si="20"/>
        <v>7424261</v>
      </c>
    </row>
    <row r="45" spans="1:27" x14ac:dyDescent="0.25">
      <c r="A45" s="387" t="s">
        <v>969</v>
      </c>
      <c r="B45" s="391">
        <v>3600000</v>
      </c>
      <c r="C45" s="391">
        <v>0</v>
      </c>
      <c r="D45" s="391">
        <v>4815100</v>
      </c>
      <c r="E45" s="390">
        <f t="shared" si="20"/>
        <v>3600000</v>
      </c>
    </row>
    <row r="46" spans="1:27" x14ac:dyDescent="0.25">
      <c r="A46" s="387" t="s">
        <v>970</v>
      </c>
      <c r="B46" s="391">
        <v>1475000</v>
      </c>
      <c r="C46" s="391">
        <f>B46-D46</f>
        <v>513400</v>
      </c>
      <c r="D46" s="391">
        <v>961600</v>
      </c>
      <c r="E46" s="390">
        <f t="shared" si="20"/>
        <v>961600</v>
      </c>
    </row>
    <row r="47" spans="1:27" x14ac:dyDescent="0.25">
      <c r="A47" s="387" t="s">
        <v>971</v>
      </c>
      <c r="B47" s="391">
        <v>6324000</v>
      </c>
      <c r="C47" s="391">
        <v>0</v>
      </c>
      <c r="D47" s="391">
        <v>8712000</v>
      </c>
      <c r="E47" s="390">
        <f t="shared" si="20"/>
        <v>6324000</v>
      </c>
    </row>
    <row r="48" spans="1:27" x14ac:dyDescent="0.25">
      <c r="A48" s="387" t="s">
        <v>972</v>
      </c>
      <c r="B48" s="391">
        <v>5280000</v>
      </c>
      <c r="C48" s="391">
        <f>B48-D48</f>
        <v>2137998</v>
      </c>
      <c r="D48" s="391">
        <v>3142002</v>
      </c>
      <c r="E48" s="390">
        <f t="shared" si="20"/>
        <v>3142002</v>
      </c>
    </row>
    <row r="49" spans="1:5" x14ac:dyDescent="0.25">
      <c r="A49" s="387" t="s">
        <v>973</v>
      </c>
      <c r="B49" s="391">
        <v>14003</v>
      </c>
      <c r="C49" s="391">
        <v>0</v>
      </c>
      <c r="D49" s="391">
        <v>253870</v>
      </c>
      <c r="E49" s="390">
        <f t="shared" si="20"/>
        <v>14003</v>
      </c>
    </row>
    <row r="50" spans="1:5" x14ac:dyDescent="0.25">
      <c r="A50" s="387" t="s">
        <v>974</v>
      </c>
      <c r="B50" s="391">
        <v>1000</v>
      </c>
      <c r="C50" s="391">
        <v>0</v>
      </c>
      <c r="D50" s="391">
        <v>1000</v>
      </c>
      <c r="E50" s="390">
        <f t="shared" si="20"/>
        <v>1000</v>
      </c>
    </row>
    <row r="51" spans="1:5" x14ac:dyDescent="0.25">
      <c r="A51" s="387" t="s">
        <v>975</v>
      </c>
      <c r="B51" s="391">
        <v>1000</v>
      </c>
      <c r="C51" s="391">
        <v>0</v>
      </c>
      <c r="D51" s="391">
        <v>1000</v>
      </c>
      <c r="E51" s="390">
        <f t="shared" ref="E51:E54" si="21">B51-C51</f>
        <v>1000</v>
      </c>
    </row>
    <row r="52" spans="1:5" x14ac:dyDescent="0.25">
      <c r="A52" s="387" t="s">
        <v>976</v>
      </c>
      <c r="B52" s="391">
        <v>1000</v>
      </c>
      <c r="C52" s="391">
        <v>0</v>
      </c>
      <c r="D52" s="391">
        <v>1000</v>
      </c>
      <c r="E52" s="390">
        <f t="shared" si="21"/>
        <v>1000</v>
      </c>
    </row>
    <row r="53" spans="1:5" x14ac:dyDescent="0.25">
      <c r="A53" s="387" t="s">
        <v>977</v>
      </c>
      <c r="B53" s="391">
        <v>1000</v>
      </c>
      <c r="C53" s="391">
        <v>0</v>
      </c>
      <c r="D53" s="391">
        <v>1000</v>
      </c>
      <c r="E53" s="390">
        <f t="shared" si="21"/>
        <v>1000</v>
      </c>
    </row>
    <row r="54" spans="1:5" x14ac:dyDescent="0.25">
      <c r="A54" s="387" t="s">
        <v>978</v>
      </c>
      <c r="B54" s="391">
        <v>1000</v>
      </c>
      <c r="C54" s="391">
        <v>0</v>
      </c>
      <c r="D54" s="391">
        <v>1000</v>
      </c>
      <c r="E54" s="390">
        <f t="shared" si="21"/>
        <v>1000</v>
      </c>
    </row>
    <row r="55" spans="1:5" x14ac:dyDescent="0.25">
      <c r="A55" s="387"/>
      <c r="B55" s="391"/>
      <c r="C55" s="391"/>
      <c r="D55" s="391"/>
      <c r="E55" s="390"/>
    </row>
    <row r="56" spans="1:5" x14ac:dyDescent="0.25">
      <c r="A56" s="387"/>
      <c r="B56" s="391"/>
      <c r="C56" s="391"/>
      <c r="D56" s="391"/>
      <c r="E56" s="390"/>
    </row>
    <row r="57" spans="1:5" x14ac:dyDescent="0.25">
      <c r="A57" s="387"/>
      <c r="B57" s="391"/>
      <c r="C57" s="391"/>
      <c r="D57" s="391"/>
      <c r="E57" s="390"/>
    </row>
    <row r="58" spans="1:5" x14ac:dyDescent="0.25">
      <c r="A58" s="387"/>
    </row>
  </sheetData>
  <mergeCells count="2">
    <mergeCell ref="A11:A13"/>
    <mergeCell ref="A21:A23"/>
  </mergeCells>
  <conditionalFormatting sqref="V4:V6 V8:V9 V11:V13 V22:V27 V15:V19 Z8:Z9 Z4:Z5 Z15:Z27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J16" sqref="J16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544</v>
      </c>
      <c r="F1" s="79" t="s">
        <v>545</v>
      </c>
      <c r="G1" s="80"/>
      <c r="H1" s="80"/>
      <c r="I1" s="81" t="s">
        <v>544</v>
      </c>
      <c r="J1" s="82" t="s">
        <v>545</v>
      </c>
      <c r="P1" s="78" t="s">
        <v>544</v>
      </c>
      <c r="Q1" s="79" t="s">
        <v>545</v>
      </c>
      <c r="R1" s="78"/>
      <c r="S1" s="79"/>
    </row>
    <row r="2" spans="1:19" x14ac:dyDescent="0.25">
      <c r="A2" s="83" t="s">
        <v>183</v>
      </c>
      <c r="B2" s="83" t="s">
        <v>546</v>
      </c>
      <c r="C2" s="83" t="s">
        <v>547</v>
      </c>
      <c r="D2" s="83" t="s">
        <v>134</v>
      </c>
      <c r="E2" s="78" t="s">
        <v>116</v>
      </c>
      <c r="F2" s="79" t="s">
        <v>116</v>
      </c>
      <c r="G2" s="80" t="s">
        <v>115</v>
      </c>
      <c r="H2" s="80" t="s">
        <v>115</v>
      </c>
      <c r="I2" s="81" t="s">
        <v>548</v>
      </c>
      <c r="J2" s="82" t="s">
        <v>548</v>
      </c>
      <c r="P2" s="78" t="s">
        <v>116</v>
      </c>
      <c r="Q2" s="79" t="s">
        <v>116</v>
      </c>
      <c r="R2" s="78" t="s">
        <v>115</v>
      </c>
      <c r="S2" s="79" t="s">
        <v>115</v>
      </c>
    </row>
    <row r="3" spans="1:19" x14ac:dyDescent="0.25">
      <c r="A3" s="41" t="str">
        <f>PLANTILLA!D4</f>
        <v>Cosme Fonteboa</v>
      </c>
      <c r="B3">
        <f>PLANTILLA!E4</f>
        <v>28</v>
      </c>
      <c r="C3">
        <f>PLANTILLA!H4</f>
        <v>4</v>
      </c>
      <c r="D3" s="24">
        <f>PLANTILLA!I4</f>
        <v>10.6</v>
      </c>
      <c r="E3" s="84">
        <f t="shared" ref="E3" si="0">D3</f>
        <v>10.6</v>
      </c>
      <c r="F3" s="84">
        <f t="shared" ref="F3" si="1">E3+0.1</f>
        <v>10.7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169.6</v>
      </c>
      <c r="J3" s="85">
        <f t="shared" ref="J3" si="5">H3*H3*F3</f>
        <v>266.43106999999998</v>
      </c>
      <c r="K3" s="86"/>
      <c r="N3" s="41" t="s">
        <v>548</v>
      </c>
      <c r="O3" s="25" t="str">
        <f>A12</f>
        <v>Valeri Gomis</v>
      </c>
      <c r="P3" s="87">
        <f>E12</f>
        <v>8.6</v>
      </c>
      <c r="Q3" s="87">
        <f t="shared" ref="Q3:S3" si="6">F12</f>
        <v>8.6999999999999993</v>
      </c>
      <c r="R3" s="87">
        <f t="shared" si="6"/>
        <v>6</v>
      </c>
      <c r="S3" s="87">
        <f t="shared" si="6"/>
        <v>6.99</v>
      </c>
    </row>
    <row r="4" spans="1:19" x14ac:dyDescent="0.25">
      <c r="A4" s="41" t="str">
        <f>PLANTILLA!D5</f>
        <v>Nicolae Hornet</v>
      </c>
      <c r="B4">
        <f>PLANTILLA!E5</f>
        <v>28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Meraj Siddiqui</v>
      </c>
      <c r="P4" s="87">
        <f>E18</f>
        <v>14.7</v>
      </c>
      <c r="Q4" s="87">
        <f t="shared" ref="Q4:S4" si="13">F18</f>
        <v>14.799999999999999</v>
      </c>
      <c r="R4" s="87">
        <f t="shared" si="13"/>
        <v>2</v>
      </c>
      <c r="S4" s="87">
        <f t="shared" si="13"/>
        <v>2.99</v>
      </c>
    </row>
    <row r="5" spans="1:19" x14ac:dyDescent="0.25">
      <c r="A5" s="41" t="str">
        <f>PLANTILLA!D17</f>
        <v>Roxelio Reboredo</v>
      </c>
      <c r="B5">
        <f>PLANTILLA!E17</f>
        <v>33</v>
      </c>
      <c r="C5">
        <f>PLANTILLA!H17</f>
        <v>3</v>
      </c>
      <c r="D5" s="24">
        <f>PLANTILLA!I17</f>
        <v>10</v>
      </c>
      <c r="E5" s="84">
        <f t="shared" si="7"/>
        <v>10</v>
      </c>
      <c r="F5" s="84">
        <f t="shared" si="8"/>
        <v>10.1</v>
      </c>
      <c r="G5" s="84">
        <f t="shared" si="9"/>
        <v>3</v>
      </c>
      <c r="H5" s="84">
        <f t="shared" si="10"/>
        <v>3.99</v>
      </c>
      <c r="I5" s="85">
        <f t="shared" si="11"/>
        <v>90</v>
      </c>
      <c r="J5" s="85">
        <f t="shared" si="12"/>
        <v>160.79301000000001</v>
      </c>
      <c r="K5" s="86"/>
      <c r="O5" t="str">
        <f>A3</f>
        <v>Cosme Fonteboa</v>
      </c>
      <c r="P5" s="87">
        <f>E3</f>
        <v>10.6</v>
      </c>
      <c r="Q5" s="87">
        <f t="shared" ref="Q5:S5" si="14">F3</f>
        <v>10.7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PLANTILLA!D6</f>
        <v>Iván Real Figueroa</v>
      </c>
      <c r="B6">
        <f>PLANTILLA!E6</f>
        <v>28</v>
      </c>
      <c r="C6">
        <f>PLANTILLA!H6</f>
        <v>4</v>
      </c>
      <c r="D6" s="24">
        <f>PLANTILLA!I6</f>
        <v>7.6</v>
      </c>
      <c r="E6" s="84">
        <f t="shared" si="7"/>
        <v>7.6</v>
      </c>
      <c r="F6" s="84">
        <f t="shared" si="8"/>
        <v>7.6999999999999993</v>
      </c>
      <c r="G6" s="84">
        <f t="shared" si="9"/>
        <v>4</v>
      </c>
      <c r="H6" s="84">
        <f t="shared" si="10"/>
        <v>4.99</v>
      </c>
      <c r="I6" s="85">
        <f t="shared" si="11"/>
        <v>121.6</v>
      </c>
      <c r="J6" s="85">
        <f t="shared" si="12"/>
        <v>191.73077000000001</v>
      </c>
      <c r="K6" s="86"/>
      <c r="O6" t="str">
        <f>A16</f>
        <v>Lenadro Faias</v>
      </c>
      <c r="P6" s="87">
        <f>E16</f>
        <v>7.2</v>
      </c>
      <c r="Q6" s="87">
        <f t="shared" ref="Q6:S6" si="15">F16</f>
        <v>7.3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PLANTILLA!D7</f>
        <v>Berto Abandero</v>
      </c>
      <c r="B7">
        <f>PLANTILLA!E7</f>
        <v>28</v>
      </c>
      <c r="C7">
        <f>PLANTILLA!H7</f>
        <v>1</v>
      </c>
      <c r="D7" s="24">
        <f>PLANTILLA!I7</f>
        <v>7.7</v>
      </c>
      <c r="E7" s="84">
        <f t="shared" si="7"/>
        <v>7.7</v>
      </c>
      <c r="F7" s="84">
        <f t="shared" si="8"/>
        <v>7.8</v>
      </c>
      <c r="G7" s="84">
        <f t="shared" si="9"/>
        <v>1</v>
      </c>
      <c r="H7" s="84">
        <f t="shared" si="10"/>
        <v>1.99</v>
      </c>
      <c r="I7" s="85">
        <f t="shared" si="11"/>
        <v>7.7</v>
      </c>
      <c r="J7" s="85">
        <f t="shared" si="12"/>
        <v>30.888780000000001</v>
      </c>
      <c r="K7" s="86"/>
      <c r="O7" t="str">
        <f>A13</f>
        <v>Enrique Cubas</v>
      </c>
      <c r="P7" s="87">
        <f>E13</f>
        <v>9.8000000000000007</v>
      </c>
      <c r="Q7" s="87">
        <f t="shared" ref="Q7:S7" si="16">F13</f>
        <v>9.9</v>
      </c>
      <c r="R7" s="87">
        <f t="shared" si="16"/>
        <v>1</v>
      </c>
      <c r="S7" s="87">
        <f t="shared" si="16"/>
        <v>1.99</v>
      </c>
    </row>
    <row r="8" spans="1:19" x14ac:dyDescent="0.25">
      <c r="A8" s="41" t="str">
        <f>PLANTILLA!D8</f>
        <v>Guillermo Pedrajas</v>
      </c>
      <c r="B8">
        <f>PLANTILLA!E8</f>
        <v>28</v>
      </c>
      <c r="C8">
        <f>PLANTILLA!H8</f>
        <v>4</v>
      </c>
      <c r="D8" s="24">
        <f>PLANTILLA!I8</f>
        <v>8.5</v>
      </c>
      <c r="E8" s="84">
        <f t="shared" si="7"/>
        <v>8.5</v>
      </c>
      <c r="F8" s="84">
        <f t="shared" si="8"/>
        <v>8.6</v>
      </c>
      <c r="G8" s="84">
        <f t="shared" si="9"/>
        <v>4</v>
      </c>
      <c r="H8" s="84">
        <f t="shared" si="10"/>
        <v>4.99</v>
      </c>
      <c r="I8" s="85">
        <f t="shared" si="11"/>
        <v>136</v>
      </c>
      <c r="J8" s="85">
        <f t="shared" si="12"/>
        <v>214.14086</v>
      </c>
      <c r="K8" s="86"/>
      <c r="O8" t="str">
        <f>A10</f>
        <v>Francesc Añigas</v>
      </c>
      <c r="P8" s="87">
        <f>E10</f>
        <v>9.5</v>
      </c>
      <c r="Q8" s="87">
        <f t="shared" ref="Q8:S8" si="17">F10</f>
        <v>9.6</v>
      </c>
      <c r="R8" s="87">
        <f t="shared" si="17"/>
        <v>5</v>
      </c>
      <c r="S8" s="87">
        <f t="shared" si="17"/>
        <v>5.99</v>
      </c>
    </row>
    <row r="9" spans="1:19" x14ac:dyDescent="0.25">
      <c r="A9" s="41" t="str">
        <f>PLANTILLA!D9</f>
        <v>Venanci Oset</v>
      </c>
      <c r="B9">
        <f>PLANTILLA!E9</f>
        <v>28</v>
      </c>
      <c r="C9">
        <f>PLANTILLA!H9</f>
        <v>2</v>
      </c>
      <c r="D9" s="24">
        <f>PLANTILLA!I9</f>
        <v>7.7</v>
      </c>
      <c r="E9" s="84">
        <f t="shared" si="7"/>
        <v>7.7</v>
      </c>
      <c r="F9" s="84">
        <f t="shared" si="8"/>
        <v>7.8</v>
      </c>
      <c r="G9" s="84">
        <f t="shared" si="9"/>
        <v>2</v>
      </c>
      <c r="H9" s="84">
        <f t="shared" si="10"/>
        <v>2.99</v>
      </c>
      <c r="I9" s="85">
        <f t="shared" si="11"/>
        <v>30.8</v>
      </c>
      <c r="J9" s="85">
        <f t="shared" si="12"/>
        <v>69.732780000000005</v>
      </c>
      <c r="K9" s="86"/>
      <c r="O9" t="str">
        <f>A11</f>
        <v>Will Duffill</v>
      </c>
      <c r="P9" s="87">
        <f>E11</f>
        <v>9.5</v>
      </c>
      <c r="Q9" s="87">
        <f t="shared" ref="Q9:S9" si="18">F11</f>
        <v>9.6</v>
      </c>
      <c r="R9" s="87">
        <f t="shared" si="18"/>
        <v>3</v>
      </c>
      <c r="S9" s="87">
        <f t="shared" si="18"/>
        <v>3.99</v>
      </c>
    </row>
    <row r="10" spans="1:19" x14ac:dyDescent="0.25">
      <c r="A10" s="41" t="str">
        <f>PLANTILLA!D10</f>
        <v>Francesc Añigas</v>
      </c>
      <c r="B10">
        <f>PLANTILLA!E10</f>
        <v>28</v>
      </c>
      <c r="C10">
        <f>PLANTILLA!H10</f>
        <v>5</v>
      </c>
      <c r="D10" s="24">
        <f>PLANTILLA!I10</f>
        <v>9.5</v>
      </c>
      <c r="E10" s="84">
        <f t="shared" si="7"/>
        <v>9.5</v>
      </c>
      <c r="F10" s="84">
        <f t="shared" si="8"/>
        <v>9.6</v>
      </c>
      <c r="G10" s="84">
        <f t="shared" si="9"/>
        <v>5</v>
      </c>
      <c r="H10" s="84">
        <f t="shared" si="10"/>
        <v>5.99</v>
      </c>
      <c r="I10" s="85">
        <f t="shared" si="11"/>
        <v>237.5</v>
      </c>
      <c r="J10" s="85">
        <f t="shared" si="12"/>
        <v>344.44896000000006</v>
      </c>
      <c r="K10" s="86"/>
      <c r="O10" t="str">
        <f>A17</f>
        <v>Nicolás Galaz</v>
      </c>
      <c r="P10" s="87">
        <f>E17</f>
        <v>7</v>
      </c>
      <c r="Q10" s="87">
        <f t="shared" ref="Q10:S10" si="19">F17</f>
        <v>7.1</v>
      </c>
      <c r="R10" s="87">
        <f t="shared" si="19"/>
        <v>1</v>
      </c>
      <c r="S10" s="87">
        <f t="shared" si="19"/>
        <v>1.99</v>
      </c>
    </row>
    <row r="11" spans="1:19" x14ac:dyDescent="0.25">
      <c r="A11" s="41" t="str">
        <f>PLANTILLA!D11</f>
        <v>Will Duffill</v>
      </c>
      <c r="B11">
        <f>PLANTILLA!E11</f>
        <v>28</v>
      </c>
      <c r="C11">
        <f>PLANTILLA!H11</f>
        <v>3</v>
      </c>
      <c r="D11" s="24">
        <f>PLANTILLA!I11</f>
        <v>9.5</v>
      </c>
      <c r="E11" s="84">
        <f t="shared" si="7"/>
        <v>9.5</v>
      </c>
      <c r="F11" s="84">
        <f t="shared" si="8"/>
        <v>9.6</v>
      </c>
      <c r="G11" s="84">
        <f t="shared" si="9"/>
        <v>3</v>
      </c>
      <c r="H11" s="84">
        <f t="shared" si="10"/>
        <v>3.99</v>
      </c>
      <c r="I11" s="85">
        <f t="shared" si="11"/>
        <v>85.5</v>
      </c>
      <c r="J11" s="85">
        <f t="shared" si="12"/>
        <v>152.83296000000001</v>
      </c>
      <c r="K11" s="86"/>
      <c r="O11" t="str">
        <f>A8</f>
        <v>Guillermo Pedrajas</v>
      </c>
      <c r="P11" s="87">
        <f>E8</f>
        <v>8.5</v>
      </c>
      <c r="Q11" s="87">
        <f t="shared" ref="Q11:S11" si="20">F8</f>
        <v>8.6</v>
      </c>
      <c r="R11" s="87">
        <f t="shared" si="20"/>
        <v>4</v>
      </c>
      <c r="S11" s="87">
        <f t="shared" si="20"/>
        <v>4.99</v>
      </c>
    </row>
    <row r="12" spans="1:19" x14ac:dyDescent="0.25">
      <c r="A12" s="41" t="str">
        <f>PLANTILLA!D12</f>
        <v>Valeri Gomis</v>
      </c>
      <c r="B12">
        <f>PLANTILLA!E12</f>
        <v>28</v>
      </c>
      <c r="C12">
        <f>PLANTILLA!H12</f>
        <v>6</v>
      </c>
      <c r="D12" s="24">
        <f>PLANTILLA!I12</f>
        <v>8.6</v>
      </c>
      <c r="E12" s="84">
        <f t="shared" si="7"/>
        <v>8.6</v>
      </c>
      <c r="F12" s="84">
        <f t="shared" si="8"/>
        <v>8.6999999999999993</v>
      </c>
      <c r="G12" s="84">
        <f t="shared" si="9"/>
        <v>6</v>
      </c>
      <c r="H12" s="84">
        <f t="shared" si="10"/>
        <v>6.99</v>
      </c>
      <c r="I12" s="85">
        <f t="shared" si="11"/>
        <v>309.59999999999997</v>
      </c>
      <c r="J12" s="85">
        <f t="shared" si="12"/>
        <v>425.08287000000001</v>
      </c>
      <c r="K12" s="86"/>
      <c r="O12" t="str">
        <f>A7</f>
        <v>Berto Abandero</v>
      </c>
      <c r="P12" s="87">
        <f>E7</f>
        <v>7.7</v>
      </c>
      <c r="Q12" s="87">
        <f t="shared" ref="Q12:S12" si="21">F7</f>
        <v>7.8</v>
      </c>
      <c r="R12" s="87">
        <f t="shared" si="21"/>
        <v>1</v>
      </c>
      <c r="S12" s="87">
        <f t="shared" si="21"/>
        <v>1.99</v>
      </c>
    </row>
    <row r="13" spans="1:19" x14ac:dyDescent="0.25">
      <c r="A13" s="41" t="str">
        <f>PLANTILLA!D13</f>
        <v>Enrique Cubas</v>
      </c>
      <c r="B13">
        <f>PLANTILLA!E13</f>
        <v>28</v>
      </c>
      <c r="C13">
        <f>PLANTILLA!H13</f>
        <v>1</v>
      </c>
      <c r="D13" s="24">
        <f>PLANTILLA!I13</f>
        <v>9.8000000000000007</v>
      </c>
      <c r="E13" s="84">
        <f t="shared" si="7"/>
        <v>9.8000000000000007</v>
      </c>
      <c r="F13" s="84">
        <f t="shared" si="8"/>
        <v>9.9</v>
      </c>
      <c r="G13" s="84">
        <f t="shared" si="9"/>
        <v>1</v>
      </c>
      <c r="H13" s="84">
        <f t="shared" si="10"/>
        <v>1.99</v>
      </c>
      <c r="I13" s="85">
        <f t="shared" si="11"/>
        <v>9.8000000000000007</v>
      </c>
      <c r="J13" s="85">
        <f t="shared" si="12"/>
        <v>39.204990000000002</v>
      </c>
      <c r="K13" s="86"/>
      <c r="O13" t="str">
        <f>A9</f>
        <v>Venanci Oset</v>
      </c>
      <c r="P13" s="87">
        <f>E9</f>
        <v>7.7</v>
      </c>
      <c r="Q13" s="87">
        <f t="shared" ref="Q13:S13" si="22">F9</f>
        <v>7.8</v>
      </c>
      <c r="R13" s="87">
        <f t="shared" si="22"/>
        <v>2</v>
      </c>
      <c r="S13" s="87">
        <f t="shared" si="22"/>
        <v>2.99</v>
      </c>
    </row>
    <row r="14" spans="1:19" x14ac:dyDescent="0.25">
      <c r="A14" s="41" t="str">
        <f>PLANTILLA!D14</f>
        <v>J. G. Peñuela</v>
      </c>
      <c r="B14">
        <f>PLANTILLA!E14</f>
        <v>28</v>
      </c>
      <c r="C14">
        <f>PLANTILLA!H14</f>
        <v>6</v>
      </c>
      <c r="D14" s="24">
        <f>PLANTILLA!I14</f>
        <v>8.5</v>
      </c>
      <c r="E14" s="84">
        <f t="shared" si="7"/>
        <v>8.5</v>
      </c>
      <c r="F14" s="84">
        <f t="shared" si="8"/>
        <v>8.6</v>
      </c>
      <c r="G14" s="84">
        <f t="shared" si="9"/>
        <v>6</v>
      </c>
      <c r="H14" s="84">
        <f t="shared" si="10"/>
        <v>6.99</v>
      </c>
      <c r="I14" s="85">
        <f t="shared" si="11"/>
        <v>306</v>
      </c>
      <c r="J14" s="85">
        <f t="shared" si="12"/>
        <v>420.19686000000002</v>
      </c>
      <c r="K14" s="86"/>
      <c r="P14" s="27">
        <f>SUM(P4:P13)/10</f>
        <v>9.2200000000000006</v>
      </c>
      <c r="Q14" s="27">
        <f>SUM(Q4:Q13)/10</f>
        <v>9.3199999999999985</v>
      </c>
      <c r="R14" s="27"/>
      <c r="S14" s="27"/>
    </row>
    <row r="15" spans="1:19" x14ac:dyDescent="0.25">
      <c r="A15" s="41" t="str">
        <f>PLANTILLA!D15</f>
        <v>Julian Gräbitz</v>
      </c>
      <c r="B15">
        <f>PLANTILLA!E15</f>
        <v>28</v>
      </c>
      <c r="C15">
        <f>PLANTILLA!H15</f>
        <v>2</v>
      </c>
      <c r="D15" s="24">
        <f>PLANTILLA!I15</f>
        <v>6.4</v>
      </c>
      <c r="E15" s="84">
        <f t="shared" si="7"/>
        <v>6.4</v>
      </c>
      <c r="F15" s="84">
        <f t="shared" si="8"/>
        <v>6.5</v>
      </c>
      <c r="G15" s="84">
        <f t="shared" si="9"/>
        <v>2</v>
      </c>
      <c r="H15" s="84">
        <f t="shared" si="10"/>
        <v>2.99</v>
      </c>
      <c r="I15" s="85">
        <f t="shared" si="11"/>
        <v>25.6</v>
      </c>
      <c r="J15" s="85">
        <f t="shared" si="12"/>
        <v>58.110650000000007</v>
      </c>
      <c r="K15" s="86"/>
    </row>
    <row r="16" spans="1:19" x14ac:dyDescent="0.25">
      <c r="A16" s="41" t="str">
        <f>PLANTILLA!D16</f>
        <v>Lenadro Faias</v>
      </c>
      <c r="B16">
        <f>PLANTILLA!E16</f>
        <v>31</v>
      </c>
      <c r="C16">
        <f>PLANTILLA!H16</f>
        <v>1</v>
      </c>
      <c r="D16" s="24">
        <f>PLANTILLA!I16</f>
        <v>7.2</v>
      </c>
      <c r="E16" s="84">
        <f t="shared" si="7"/>
        <v>7.2</v>
      </c>
      <c r="F16" s="84">
        <f t="shared" si="8"/>
        <v>7.3</v>
      </c>
      <c r="G16" s="84">
        <f t="shared" si="9"/>
        <v>1</v>
      </c>
      <c r="H16" s="84">
        <f t="shared" si="10"/>
        <v>1.99</v>
      </c>
      <c r="I16" s="85">
        <f t="shared" si="11"/>
        <v>7.2</v>
      </c>
      <c r="J16" s="85">
        <f t="shared" si="12"/>
        <v>28.908730000000002</v>
      </c>
      <c r="K16" s="86"/>
      <c r="L16" s="46" t="s">
        <v>549</v>
      </c>
      <c r="O16" t="s">
        <v>550</v>
      </c>
      <c r="P16" s="24">
        <f>SUM(P3:P13)</f>
        <v>100.80000000000001</v>
      </c>
      <c r="Q16" s="24">
        <f>SUM(Q3:Q13)</f>
        <v>101.89999999999998</v>
      </c>
      <c r="R16" s="24"/>
    </row>
    <row r="17" spans="1:18" x14ac:dyDescent="0.25">
      <c r="A17" s="41" t="str">
        <f>PLANTILLA!D18</f>
        <v>Nicolás Galaz</v>
      </c>
      <c r="B17">
        <f>PLANTILLA!E18</f>
        <v>28</v>
      </c>
      <c r="C17">
        <f>PLANTILLA!H18</f>
        <v>1</v>
      </c>
      <c r="D17" s="24">
        <f>PLANTILLA!I18</f>
        <v>7</v>
      </c>
      <c r="E17" s="84">
        <f t="shared" si="7"/>
        <v>7</v>
      </c>
      <c r="F17" s="84">
        <f t="shared" si="8"/>
        <v>7.1</v>
      </c>
      <c r="G17" s="84">
        <f t="shared" si="9"/>
        <v>1</v>
      </c>
      <c r="H17" s="84">
        <f t="shared" si="10"/>
        <v>1.99</v>
      </c>
      <c r="I17" s="85">
        <f t="shared" si="11"/>
        <v>7</v>
      </c>
      <c r="J17" s="85">
        <f t="shared" si="12"/>
        <v>28.116710000000001</v>
      </c>
      <c r="K17" s="86"/>
      <c r="O17" t="s">
        <v>551</v>
      </c>
      <c r="P17" s="27">
        <f>P16/17</f>
        <v>5.9294117647058826</v>
      </c>
      <c r="Q17" s="27">
        <f>Q16/17</f>
        <v>5.9941176470588218</v>
      </c>
      <c r="R17" s="27"/>
    </row>
    <row r="18" spans="1:18" x14ac:dyDescent="0.25">
      <c r="A18" s="41" t="str">
        <f>PLANTILLA!D19</f>
        <v>Meraj Siddiqui</v>
      </c>
      <c r="B18">
        <f>PLANTILLA!E19</f>
        <v>30</v>
      </c>
      <c r="C18">
        <f>PLANTILLA!H19</f>
        <v>2</v>
      </c>
      <c r="D18" s="24">
        <f>PLANTILLA!I19</f>
        <v>14.7</v>
      </c>
      <c r="E18" s="84">
        <f t="shared" si="7"/>
        <v>14.7</v>
      </c>
      <c r="F18" s="84">
        <f t="shared" si="8"/>
        <v>14.799999999999999</v>
      </c>
      <c r="G18" s="84">
        <f t="shared" si="9"/>
        <v>2</v>
      </c>
      <c r="H18" s="84">
        <f t="shared" si="10"/>
        <v>2.99</v>
      </c>
      <c r="I18" s="85">
        <f t="shared" si="11"/>
        <v>58.8</v>
      </c>
      <c r="J18" s="85">
        <f t="shared" si="12"/>
        <v>132.31348</v>
      </c>
      <c r="K18" s="86"/>
      <c r="L18" s="46" t="s">
        <v>552</v>
      </c>
      <c r="O18" t="s">
        <v>553</v>
      </c>
      <c r="P18" s="24">
        <f>R3^2</f>
        <v>36</v>
      </c>
      <c r="Q18" s="24">
        <f>S3^2</f>
        <v>48.860100000000003</v>
      </c>
      <c r="R18" s="24"/>
    </row>
    <row r="19" spans="1:18" x14ac:dyDescent="0.25">
      <c r="A19" s="41" t="str">
        <f>PLANTILLA!D20</f>
        <v>Rodolfo Rinaldo Paso</v>
      </c>
      <c r="B19">
        <f>PLANTILLA!E20</f>
        <v>28</v>
      </c>
      <c r="C19">
        <f>PLANTILLA!H20</f>
        <v>1</v>
      </c>
      <c r="D19" s="24">
        <f>PLANTILLA!I20</f>
        <v>7</v>
      </c>
      <c r="E19" s="84">
        <f t="shared" si="7"/>
        <v>7</v>
      </c>
      <c r="F19" s="84">
        <f t="shared" si="8"/>
        <v>7.1</v>
      </c>
      <c r="G19" s="84">
        <f t="shared" si="9"/>
        <v>1</v>
      </c>
      <c r="H19" s="84">
        <f t="shared" si="10"/>
        <v>1.99</v>
      </c>
      <c r="I19" s="85">
        <f t="shared" si="11"/>
        <v>7</v>
      </c>
      <c r="J19" s="85">
        <f t="shared" si="12"/>
        <v>28.116710000000001</v>
      </c>
      <c r="K19" s="86"/>
      <c r="L19" s="46" t="s">
        <v>554</v>
      </c>
      <c r="O19" t="s">
        <v>555</v>
      </c>
      <c r="P19" s="24">
        <f>P18*P3</f>
        <v>309.59999999999997</v>
      </c>
      <c r="Q19" s="24">
        <f>Q18*Q3</f>
        <v>425.08287000000001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556</v>
      </c>
      <c r="O20" t="s">
        <v>557</v>
      </c>
      <c r="P20" s="27">
        <f>(P19^(2/3))/30</f>
        <v>1.5255017608963017</v>
      </c>
      <c r="Q20" s="27">
        <f>(Q19^(2/3))/30</f>
        <v>1.8844927950315096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558</v>
      </c>
      <c r="O21" s="54" t="s">
        <v>559</v>
      </c>
      <c r="P21" s="71">
        <f>P17+P20</f>
        <v>7.4549135256021843</v>
      </c>
      <c r="Q21" s="71">
        <f>Q17+Q20</f>
        <v>7.8786104420903316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560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15" priority="2" operator="between">
      <formula>70</formula>
      <formula>100</formula>
    </cfRule>
  </conditionalFormatting>
  <conditionalFormatting sqref="I3:J31">
    <cfRule type="cellIs" dxfId="14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L23" sqref="L23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183</v>
      </c>
      <c r="B1" s="99" t="s">
        <v>191</v>
      </c>
      <c r="C1" s="99" t="s">
        <v>194</v>
      </c>
      <c r="D1" s="100" t="s">
        <v>561</v>
      </c>
      <c r="E1" s="100" t="s">
        <v>544</v>
      </c>
      <c r="F1" s="100" t="s">
        <v>545</v>
      </c>
      <c r="H1" s="99" t="s">
        <v>562</v>
      </c>
      <c r="I1" s="99" t="s">
        <v>191</v>
      </c>
      <c r="J1" s="99" t="s">
        <v>194</v>
      </c>
      <c r="K1" s="99" t="str">
        <f>D1</f>
        <v>N_CA</v>
      </c>
      <c r="L1" s="100" t="s">
        <v>544</v>
      </c>
      <c r="M1" s="100" t="s">
        <v>545</v>
      </c>
      <c r="O1" s="99" t="s">
        <v>562</v>
      </c>
      <c r="P1" s="99" t="s">
        <v>191</v>
      </c>
      <c r="Q1" s="99" t="s">
        <v>194</v>
      </c>
      <c r="R1" s="99" t="str">
        <f>K1</f>
        <v>N_CA</v>
      </c>
      <c r="S1" s="100" t="s">
        <v>544</v>
      </c>
      <c r="T1" s="100" t="s">
        <v>545</v>
      </c>
    </row>
    <row r="2" spans="1:20" x14ac:dyDescent="0.25">
      <c r="A2" t="str">
        <f>PLANTILLA!D4</f>
        <v>Cosme Fonteboa</v>
      </c>
      <c r="B2" s="24">
        <f ca="1">PLANTILLA!Y4+PLANTILLA!N4+PLANTILLA!J4</f>
        <v>15.520920640865846</v>
      </c>
      <c r="C2" s="24">
        <f ca="1">PLANTILLA!AB4+PLANTILLA!N4+PLANTILLA!J4</f>
        <v>3.3670744870196936</v>
      </c>
      <c r="D2" s="71">
        <f t="shared" ref="D2" ca="1" si="0">(C2*2+B2)/8</f>
        <v>2.7818837018631539</v>
      </c>
      <c r="E2" s="24">
        <f ca="1">D2*PLANTILLA!R4</f>
        <v>2.5755238464145798</v>
      </c>
      <c r="F2" s="24">
        <f ca="1">D2*PLANTILLA!S4</f>
        <v>2.7798959319045431</v>
      </c>
      <c r="H2" s="27" t="str">
        <f t="shared" ref="H2:J3" si="1">A6</f>
        <v>Berto Abandero</v>
      </c>
      <c r="I2" s="24">
        <f t="shared" ca="1" si="1"/>
        <v>16.93198763356331</v>
      </c>
      <c r="J2" s="24">
        <f t="shared" ca="1" si="1"/>
        <v>14.18198763356331</v>
      </c>
      <c r="K2" s="71">
        <f ca="1">(J2*2+I2)/8</f>
        <v>5.6619953625862411</v>
      </c>
      <c r="L2" s="27">
        <f ca="1">E6</f>
        <v>4.2800661868011938</v>
      </c>
      <c r="M2" s="27">
        <f ca="1">F6</f>
        <v>4.7804718164465889</v>
      </c>
      <c r="O2" t="str">
        <f>A2</f>
        <v>Cosme Fonteboa</v>
      </c>
      <c r="P2" s="24">
        <f t="shared" ref="P2:Q5" ca="1" si="2">I2</f>
        <v>16.93198763356331</v>
      </c>
      <c r="Q2" s="24">
        <f t="shared" ca="1" si="2"/>
        <v>14.18198763356331</v>
      </c>
      <c r="R2" s="71">
        <f ca="1">(Q2*2+P2)/8</f>
        <v>5.6619953625862411</v>
      </c>
      <c r="S2" s="27">
        <f ca="1">E2</f>
        <v>2.5755238464145798</v>
      </c>
      <c r="T2" s="27">
        <f ca="1">F2</f>
        <v>2.7798959319045431</v>
      </c>
    </row>
    <row r="3" spans="1:20" x14ac:dyDescent="0.25">
      <c r="A3" t="str">
        <f>PLANTILLA!D5</f>
        <v>Nicolae Hornet</v>
      </c>
      <c r="B3" s="24">
        <f ca="1">PLANTILLA!Y5+PLANTILLA!N5+PLANTILLA!J5</f>
        <v>7.4823037813567908</v>
      </c>
      <c r="C3" s="24">
        <f ca="1">PLANTILLA!AB5+PLANTILLA!N5+PLANTILLA!J5</f>
        <v>2.4823037813567903</v>
      </c>
      <c r="D3" s="71">
        <f t="shared" ref="D3:D18" ca="1" si="3">(C3*2+B3)/8</f>
        <v>1.5558639180087965</v>
      </c>
      <c r="E3" s="24">
        <f ca="1">D3*PLANTILLA!R5</f>
        <v>1.5558639180087965</v>
      </c>
      <c r="F3" s="24">
        <f ca="1">D3*PLANTILLA!S5</f>
        <v>1.5558639180087965</v>
      </c>
      <c r="H3" s="27" t="str">
        <f t="shared" si="1"/>
        <v>Guillermo Pedrajas</v>
      </c>
      <c r="I3" s="24">
        <f t="shared" ca="1" si="1"/>
        <v>15.305891900952391</v>
      </c>
      <c r="J3" s="24">
        <f t="shared" ca="1" si="1"/>
        <v>13.382082377142867</v>
      </c>
      <c r="K3" s="71">
        <f ca="1">(J3*2+I3)/8</f>
        <v>5.2587570819047658</v>
      </c>
      <c r="L3" s="27">
        <f ca="1">E7</f>
        <v>4.8686630062486813</v>
      </c>
      <c r="M3" s="27">
        <f ca="1">F7</f>
        <v>5.2549994843675139</v>
      </c>
      <c r="O3" t="str">
        <f>A7</f>
        <v>Guillermo Pedrajas</v>
      </c>
      <c r="P3" s="24">
        <f t="shared" ca="1" si="2"/>
        <v>15.305891900952391</v>
      </c>
      <c r="Q3" s="24">
        <f t="shared" ca="1" si="2"/>
        <v>13.382082377142867</v>
      </c>
      <c r="R3" s="71">
        <f ca="1">(Q3*2+P3)/8</f>
        <v>5.2587570819047658</v>
      </c>
      <c r="S3" s="27">
        <f ca="1">E7</f>
        <v>4.8686630062486813</v>
      </c>
      <c r="T3" s="27">
        <f ca="1">F7</f>
        <v>5.2549994843675139</v>
      </c>
    </row>
    <row r="4" spans="1:20" x14ac:dyDescent="0.25">
      <c r="A4" t="str">
        <f>PLANTILLA!D17</f>
        <v>Roxelio Reboredo</v>
      </c>
      <c r="B4" s="24">
        <f ca="1">PLANTILLA!Y17+PLANTILLA!N17+PLANTILLA!J17</f>
        <v>7.6188807942603693</v>
      </c>
      <c r="C4" s="24">
        <f ca="1">PLANTILLA!AB17+PLANTILLA!N17+PLANTILLA!J17</f>
        <v>13.668880794260369</v>
      </c>
      <c r="D4" s="71">
        <f t="shared" ca="1" si="3"/>
        <v>4.3695802978476381</v>
      </c>
      <c r="E4" s="24">
        <f ca="1">D4*PLANTILLA!R17</f>
        <v>4.0454452673174757</v>
      </c>
      <c r="F4" s="24">
        <f ca="1">D4*PLANTILLA!S17</f>
        <v>4.3664580535776913</v>
      </c>
      <c r="H4" t="str">
        <f>A10</f>
        <v>Will Duffill</v>
      </c>
      <c r="I4" s="24">
        <f ca="1">B10</f>
        <v>15.995939166026155</v>
      </c>
      <c r="J4" s="24">
        <f ca="1">C10</f>
        <v>12.303631473718463</v>
      </c>
      <c r="K4" s="71">
        <f ca="1">(J4*2+I4)/8</f>
        <v>5.0754002641828855</v>
      </c>
      <c r="L4" s="27">
        <f ca="1">E10</f>
        <v>5.0754002641828855</v>
      </c>
      <c r="M4" s="27">
        <f ca="1">F10</f>
        <v>5.0754002641828855</v>
      </c>
      <c r="O4" t="str">
        <f>A4</f>
        <v>Roxelio Reboredo</v>
      </c>
      <c r="P4" s="24">
        <f t="shared" ca="1" si="2"/>
        <v>15.995939166026155</v>
      </c>
      <c r="Q4" s="24">
        <f t="shared" ca="1" si="2"/>
        <v>12.303631473718463</v>
      </c>
      <c r="R4" s="71">
        <f ca="1">(Q4*2+P4)/8</f>
        <v>5.0754002641828855</v>
      </c>
      <c r="S4" s="27">
        <f ca="1">E4</f>
        <v>4.0454452673174757</v>
      </c>
      <c r="T4" s="27">
        <f ca="1">F4</f>
        <v>4.3664580535776913</v>
      </c>
    </row>
    <row r="5" spans="1:20" x14ac:dyDescent="0.25">
      <c r="A5" t="str">
        <f>PLANTILLA!D6</f>
        <v>Iván Real Figueroa</v>
      </c>
      <c r="B5" s="24">
        <f ca="1">PLANTILLA!Y6+PLANTILLA!N6+PLANTILLA!J6</f>
        <v>18.174418123041054</v>
      </c>
      <c r="C5" s="24">
        <f ca="1">PLANTILLA!AB6+PLANTILLA!N6+PLANTILLA!J6</f>
        <v>11.174418123041056</v>
      </c>
      <c r="D5" s="71">
        <f t="shared" ca="1" si="3"/>
        <v>5.0654067961403957</v>
      </c>
      <c r="E5" s="24">
        <f ca="1">D5*PLANTILLA!R6</f>
        <v>5.0654067961403957</v>
      </c>
      <c r="F5" s="24">
        <f ca="1">D5*PLANTILLA!S6</f>
        <v>5.0654067961403957</v>
      </c>
      <c r="H5" s="27" t="str">
        <f>A8</f>
        <v>Venanci Oset</v>
      </c>
      <c r="I5" s="24">
        <f ca="1">B8</f>
        <v>16.93198763356331</v>
      </c>
      <c r="J5" s="24">
        <f ca="1">C8</f>
        <v>14.404209855785531</v>
      </c>
      <c r="K5" s="71">
        <f ca="1">(J5*2+I5)/8</f>
        <v>5.7175509181417965</v>
      </c>
      <c r="L5" s="27">
        <f ca="1">E8</f>
        <v>4.8322124850944759</v>
      </c>
      <c r="M5" s="27">
        <f ca="1">F8</f>
        <v>5.2890105356598891</v>
      </c>
      <c r="O5" s="27" t="str">
        <f>H5</f>
        <v>Venanci Oset</v>
      </c>
      <c r="P5" s="24">
        <f t="shared" ca="1" si="2"/>
        <v>16.93198763356331</v>
      </c>
      <c r="Q5" s="24">
        <f t="shared" ca="1" si="2"/>
        <v>14.404209855785531</v>
      </c>
      <c r="R5" s="71">
        <f ca="1">(Q5*2+P5)/8</f>
        <v>5.7175509181417965</v>
      </c>
      <c r="S5" s="27">
        <f ca="1">L5</f>
        <v>4.8322124850944759</v>
      </c>
      <c r="T5" s="27">
        <f ca="1">M5</f>
        <v>5.2890105356598891</v>
      </c>
    </row>
    <row r="6" spans="1:20" x14ac:dyDescent="0.25">
      <c r="A6" t="str">
        <f>PLANTILLA!D7</f>
        <v>Berto Abandero</v>
      </c>
      <c r="B6" s="24">
        <f ca="1">PLANTILLA!Y7+PLANTILLA!N7+PLANTILLA!J7</f>
        <v>16.93198763356331</v>
      </c>
      <c r="C6" s="24">
        <f ca="1">PLANTILLA!AB7+PLANTILLA!N7+PLANTILLA!J7</f>
        <v>14.18198763356331</v>
      </c>
      <c r="D6" s="71">
        <f t="shared" ca="1" si="3"/>
        <v>5.6619953625862411</v>
      </c>
      <c r="E6" s="24">
        <f ca="1">D6*PLANTILLA!R7</f>
        <v>4.2800661868011938</v>
      </c>
      <c r="F6" s="24">
        <f ca="1">D6*PLANTILLA!S7</f>
        <v>4.7804718164465889</v>
      </c>
      <c r="H6" t="str">
        <f>A4</f>
        <v>Roxelio Reboredo</v>
      </c>
      <c r="I6" s="24">
        <f ca="1">B4</f>
        <v>7.6188807942603693</v>
      </c>
      <c r="J6" s="24">
        <f ca="1">C4</f>
        <v>13.668880794260369</v>
      </c>
      <c r="K6" s="71">
        <f ca="1">(J6*2+I6)/8</f>
        <v>4.3695802978476381</v>
      </c>
      <c r="L6" s="27">
        <f ca="1">E4</f>
        <v>4.0454452673174757</v>
      </c>
      <c r="M6" s="27">
        <f ca="1">F4</f>
        <v>4.3664580535776913</v>
      </c>
      <c r="R6" s="27"/>
      <c r="S6" s="24"/>
      <c r="T6" s="24"/>
    </row>
    <row r="7" spans="1:20" ht="18.75" x14ac:dyDescent="0.3">
      <c r="A7" t="str">
        <f>PLANTILLA!D8</f>
        <v>Guillermo Pedrajas</v>
      </c>
      <c r="B7" s="24">
        <f ca="1">PLANTILLA!Y8+PLANTILLA!N8+PLANTILLA!J8</f>
        <v>15.305891900952391</v>
      </c>
      <c r="C7" s="24">
        <f ca="1">PLANTILLA!AB8+PLANTILLA!N8+PLANTILLA!J8</f>
        <v>13.382082377142867</v>
      </c>
      <c r="D7" s="71">
        <f t="shared" ca="1" si="3"/>
        <v>5.2587570819047658</v>
      </c>
      <c r="E7" s="24">
        <f ca="1">D7*PLANTILLA!R8</f>
        <v>4.8686630062486813</v>
      </c>
      <c r="F7" s="24">
        <f ca="1">D7*PLANTILLA!S8</f>
        <v>5.2549994843675139</v>
      </c>
      <c r="K7" s="101">
        <f ca="1">SUM(K2:K6)</f>
        <v>26.083283924663327</v>
      </c>
      <c r="L7" s="101">
        <f ca="1">SUM(L2:L6)</f>
        <v>23.101787209644712</v>
      </c>
      <c r="M7" s="101">
        <f ca="1">SUM(M2:M6)</f>
        <v>24.766340154234566</v>
      </c>
      <c r="N7" s="101"/>
      <c r="O7" s="101"/>
      <c r="P7" s="101"/>
      <c r="Q7" s="101"/>
      <c r="R7" s="101">
        <f ca="1">SUM(R2:R6)</f>
        <v>21.71370362681569</v>
      </c>
      <c r="S7" s="101">
        <f ca="1">SUM(S2:S6)</f>
        <v>16.321844605075214</v>
      </c>
      <c r="T7" s="101">
        <f ca="1">SUM(T2:T6)</f>
        <v>17.690364005509636</v>
      </c>
    </row>
    <row r="8" spans="1:20" x14ac:dyDescent="0.25">
      <c r="A8" t="str">
        <f>PLANTILLA!D9</f>
        <v>Venanci Oset</v>
      </c>
      <c r="B8" s="24">
        <f ca="1">PLANTILLA!Y9+PLANTILLA!N9+PLANTILLA!J9</f>
        <v>16.93198763356331</v>
      </c>
      <c r="C8" s="24">
        <f ca="1">PLANTILLA!AB9+PLANTILLA!N9+PLANTILLA!J9</f>
        <v>14.404209855785531</v>
      </c>
      <c r="D8" s="71">
        <f t="shared" ca="1" si="3"/>
        <v>5.7175509181417965</v>
      </c>
      <c r="E8" s="24">
        <f ca="1">D8*PLANTILLA!R9</f>
        <v>4.8322124850944759</v>
      </c>
      <c r="F8" s="24">
        <f ca="1">D8*PLANTILLA!S9</f>
        <v>5.2890105356598891</v>
      </c>
      <c r="L8" s="2">
        <f ca="1">(K7-L7)/K7</f>
        <v>0.11430679985043712</v>
      </c>
      <c r="M8" s="2">
        <f ca="1">(K7-M7)/K7</f>
        <v>5.0489952654447424E-2</v>
      </c>
      <c r="R8" s="27"/>
    </row>
    <row r="9" spans="1:20" x14ac:dyDescent="0.25">
      <c r="A9" t="str">
        <f>PLANTILLA!D10</f>
        <v>Francesc Añigas</v>
      </c>
      <c r="B9" s="24">
        <f ca="1">PLANTILLA!Y10+PLANTILLA!N10+PLANTILLA!J10</f>
        <v>16.553631473718465</v>
      </c>
      <c r="C9" s="24">
        <f ca="1">PLANTILLA!AB10+PLANTILLA!N10+PLANTILLA!J10</f>
        <v>10.503631473718462</v>
      </c>
      <c r="D9" s="71">
        <f t="shared" ca="1" si="3"/>
        <v>4.6951118026444236</v>
      </c>
      <c r="E9" s="24">
        <f ca="1">D9*PLANTILLA!R10</f>
        <v>4.3468288775675443</v>
      </c>
      <c r="F9" s="24">
        <f ca="1">D9*PLANTILLA!S10</f>
        <v>4.6917569527679293</v>
      </c>
    </row>
    <row r="10" spans="1:20" x14ac:dyDescent="0.25">
      <c r="A10" t="str">
        <f>PLANTILLA!D11</f>
        <v>Will Duffill</v>
      </c>
      <c r="B10" s="24">
        <f ca="1">PLANTILLA!Y11+PLANTILLA!N11+PLANTILLA!J11</f>
        <v>15.995939166026155</v>
      </c>
      <c r="C10" s="24">
        <f ca="1">PLANTILLA!AB11+PLANTILLA!N11+PLANTILLA!J11</f>
        <v>12.303631473718463</v>
      </c>
      <c r="D10" s="71">
        <f t="shared" ca="1" si="3"/>
        <v>5.0754002641828855</v>
      </c>
      <c r="E10" s="24">
        <f ca="1">D10*PLANTILLA!R11</f>
        <v>5.0754002641828855</v>
      </c>
      <c r="F10" s="24">
        <f ca="1">D10*PLANTILLA!S11</f>
        <v>5.0754002641828855</v>
      </c>
      <c r="H10" s="27"/>
      <c r="I10" s="27"/>
      <c r="J10" s="27"/>
    </row>
    <row r="11" spans="1:20" x14ac:dyDescent="0.25">
      <c r="A11" t="str">
        <f>PLANTILLA!D12</f>
        <v>Valeri Gomis</v>
      </c>
      <c r="B11" s="24">
        <f ca="1">PLANTILLA!Y12+PLANTILLA!N12+PLANTILLA!J12</f>
        <v>15.445997934991423</v>
      </c>
      <c r="C11" s="24">
        <f ca="1">PLANTILLA!AB12+PLANTILLA!N12+PLANTILLA!J12</f>
        <v>11.41266460165809</v>
      </c>
      <c r="D11" s="71">
        <f t="shared" ca="1" si="3"/>
        <v>4.7839158922884506</v>
      </c>
      <c r="E11" s="24">
        <f ca="1">D11*PLANTILLA!R12</f>
        <v>4.4290454887019877</v>
      </c>
      <c r="F11" s="24">
        <f ca="1">D11*PLANTILLA!S12</f>
        <v>4.7804975882490535</v>
      </c>
    </row>
    <row r="12" spans="1:20" x14ac:dyDescent="0.25">
      <c r="A12" t="str">
        <f>PLANTILLA!D13</f>
        <v>Enrique Cubas</v>
      </c>
      <c r="B12" s="24">
        <f>PLANTILLA!Y13+PLANTILLA!N13+PLANTILLA!J13</f>
        <v>15.238301434256659</v>
      </c>
      <c r="C12" s="24">
        <f>PLANTILLA!AB13+PLANTILLA!N13+PLANTILLA!J13</f>
        <v>12.321634767589993</v>
      </c>
      <c r="D12" s="71">
        <f t="shared" si="3"/>
        <v>4.9851963711795806</v>
      </c>
      <c r="E12" s="24">
        <f>D12*PLANTILLA!R13</f>
        <v>4.6153950017512404</v>
      </c>
      <c r="F12" s="24">
        <f>D12*PLANTILLA!S13</f>
        <v>4.981634243985777</v>
      </c>
      <c r="H12" s="102" t="s">
        <v>562</v>
      </c>
      <c r="I12" s="102" t="s">
        <v>191</v>
      </c>
      <c r="J12" s="102" t="s">
        <v>194</v>
      </c>
      <c r="K12" s="103" t="s">
        <v>561</v>
      </c>
      <c r="L12" s="103" t="s">
        <v>544</v>
      </c>
      <c r="M12" s="103" t="s">
        <v>545</v>
      </c>
      <c r="O12" s="102" t="s">
        <v>562</v>
      </c>
      <c r="P12" s="102" t="s">
        <v>191</v>
      </c>
      <c r="Q12" s="102" t="s">
        <v>194</v>
      </c>
      <c r="R12" s="102" t="str">
        <f>K12</f>
        <v>N_CA</v>
      </c>
      <c r="S12" s="103" t="s">
        <v>544</v>
      </c>
      <c r="T12" s="103" t="s">
        <v>545</v>
      </c>
    </row>
    <row r="13" spans="1:20" x14ac:dyDescent="0.25">
      <c r="A13" t="str">
        <f>PLANTILLA!D14</f>
        <v>J. G. Peñuela</v>
      </c>
      <c r="B13" s="24">
        <f ca="1">PLANTILLA!Y14+PLANTILLA!N14+PLANTILLA!J14</f>
        <v>14.989225234285724</v>
      </c>
      <c r="C13" s="24">
        <f ca="1">PLANTILLA!AB14+PLANTILLA!N14+PLANTILLA!J14</f>
        <v>11.096368091428582</v>
      </c>
      <c r="D13" s="71">
        <f t="shared" ca="1" si="3"/>
        <v>4.6477451771428608</v>
      </c>
      <c r="E13" s="24">
        <f ca="1">D13*PLANTILLA!R14</f>
        <v>4.6477451771428608</v>
      </c>
      <c r="F13" s="24">
        <f ca="1">D13*PLANTILLA!S14</f>
        <v>4.6477451771428608</v>
      </c>
      <c r="H13" s="27" t="str">
        <f t="shared" ref="H13:J17" si="4">H2</f>
        <v>Berto Abandero</v>
      </c>
      <c r="I13" s="24">
        <f t="shared" ca="1" si="4"/>
        <v>16.93198763356331</v>
      </c>
      <c r="J13" s="24">
        <f t="shared" ca="1" si="4"/>
        <v>14.18198763356331</v>
      </c>
      <c r="K13" s="71">
        <f ca="1">(J13*2+I13)/8</f>
        <v>5.6619953625862411</v>
      </c>
      <c r="L13" s="27">
        <f ca="1">K13*(1-$L$8)</f>
        <v>5.0147907919209924</v>
      </c>
      <c r="M13" s="27">
        <f ca="1">K13*(1-$M$8)</f>
        <v>5.3761214847995609</v>
      </c>
      <c r="O13" s="27" t="str">
        <f t="shared" ref="O13:Q16" si="5">H13</f>
        <v>Berto Abandero</v>
      </c>
      <c r="P13" s="27">
        <f t="shared" ca="1" si="5"/>
        <v>16.93198763356331</v>
      </c>
      <c r="Q13" s="27">
        <f t="shared" ca="1" si="5"/>
        <v>14.18198763356331</v>
      </c>
      <c r="R13" s="71">
        <f ca="1">(Q13*2+P13)/8</f>
        <v>5.6619953625862411</v>
      </c>
      <c r="S13" s="27">
        <f t="shared" ref="S13:T16" ca="1" si="6">L13</f>
        <v>5.0147907919209924</v>
      </c>
      <c r="T13" s="27">
        <f t="shared" ca="1" si="6"/>
        <v>5.3761214847995609</v>
      </c>
    </row>
    <row r="14" spans="1:20" x14ac:dyDescent="0.25">
      <c r="A14" t="str">
        <f>PLANTILLA!D15</f>
        <v>Julian Gräbitz</v>
      </c>
      <c r="B14" s="24">
        <f ca="1">PLANTILLA!Y15+PLANTILLA!N15+PLANTILLA!J15</f>
        <v>15.646335203407087</v>
      </c>
      <c r="C14" s="24">
        <f ca="1">PLANTILLA!AB15+PLANTILLA!N15+PLANTILLA!J15</f>
        <v>11.074906631978516</v>
      </c>
      <c r="D14" s="71">
        <f t="shared" ca="1" si="3"/>
        <v>4.7245185584205149</v>
      </c>
      <c r="E14" s="24">
        <f ca="1">D14*PLANTILLA!R15</f>
        <v>3.9929469611929358</v>
      </c>
      <c r="F14" s="24">
        <f ca="1">D14*PLANTILLA!S15</f>
        <v>4.370407677895745</v>
      </c>
      <c r="H14" s="27" t="str">
        <f t="shared" si="4"/>
        <v>Guillermo Pedrajas</v>
      </c>
      <c r="I14" s="24">
        <f t="shared" ca="1" si="4"/>
        <v>15.305891900952391</v>
      </c>
      <c r="J14" s="24">
        <f t="shared" ca="1" si="4"/>
        <v>13.382082377142867</v>
      </c>
      <c r="K14" s="71">
        <f ca="1">(J14*2+I14)/8</f>
        <v>5.2587570819047658</v>
      </c>
      <c r="L14" s="27">
        <f ca="1">K14*(1-$L$8)</f>
        <v>4.6576453886814093</v>
      </c>
      <c r="M14" s="27">
        <f ca="1">K14*(1-$M$8)</f>
        <v>4.9932426858181538</v>
      </c>
      <c r="O14" s="27" t="str">
        <f t="shared" si="5"/>
        <v>Guillermo Pedrajas</v>
      </c>
      <c r="P14" s="27">
        <f t="shared" ca="1" si="5"/>
        <v>15.305891900952391</v>
      </c>
      <c r="Q14" s="27">
        <f t="shared" ca="1" si="5"/>
        <v>13.382082377142867</v>
      </c>
      <c r="R14" s="71">
        <f ca="1">(Q14*2+P14)/8</f>
        <v>5.2587570819047658</v>
      </c>
      <c r="S14" s="27">
        <f t="shared" ca="1" si="6"/>
        <v>4.6576453886814093</v>
      </c>
      <c r="T14" s="27">
        <f t="shared" ca="1" si="6"/>
        <v>4.9932426858181538</v>
      </c>
    </row>
    <row r="15" spans="1:20" x14ac:dyDescent="0.25">
      <c r="A15" t="str">
        <f>PLANTILLA!D16</f>
        <v>Lenadro Faias</v>
      </c>
      <c r="B15" s="24">
        <f ca="1">PLANTILLA!Y16+PLANTILLA!N16+PLANTILLA!J16</f>
        <v>11.901259784130119</v>
      </c>
      <c r="C15" s="24">
        <f ca="1">PLANTILLA!AB16+PLANTILLA!N16+PLANTILLA!J16</f>
        <v>11.901259784130119</v>
      </c>
      <c r="D15" s="71">
        <f t="shared" ca="1" si="3"/>
        <v>4.4629724190487945</v>
      </c>
      <c r="E15" s="24">
        <f ca="1">D15*PLANTILLA!R16</f>
        <v>4.1319095702858997</v>
      </c>
      <c r="F15" s="24">
        <f ca="1">D15*PLANTILLA!S16</f>
        <v>4.4597834422792939</v>
      </c>
      <c r="H15" s="27" t="str">
        <f t="shared" si="4"/>
        <v>Will Duffill</v>
      </c>
      <c r="I15" s="24">
        <f t="shared" ca="1" si="4"/>
        <v>15.995939166026155</v>
      </c>
      <c r="J15" s="24">
        <f t="shared" ca="1" si="4"/>
        <v>12.303631473718463</v>
      </c>
      <c r="K15" s="71">
        <f ca="1">(J15*2+I15)/8</f>
        <v>5.0754002641828855</v>
      </c>
      <c r="L15" s="27">
        <f ca="1">K15*(1-$L$8)</f>
        <v>4.4952475020240765</v>
      </c>
      <c r="M15" s="27">
        <f ca="1">K15*(1-$M$8)</f>
        <v>4.8191435451419213</v>
      </c>
      <c r="O15" s="27" t="str">
        <f t="shared" si="5"/>
        <v>Will Duffill</v>
      </c>
      <c r="P15" s="27">
        <f t="shared" ca="1" si="5"/>
        <v>15.995939166026155</v>
      </c>
      <c r="Q15" s="27">
        <f t="shared" ca="1" si="5"/>
        <v>12.303631473718463</v>
      </c>
      <c r="R15" s="71">
        <f ca="1">(Q15*2+P15)/8</f>
        <v>5.0754002641828855</v>
      </c>
      <c r="S15" s="27">
        <f t="shared" ca="1" si="6"/>
        <v>4.4952475020240765</v>
      </c>
      <c r="T15" s="27">
        <f t="shared" ca="1" si="6"/>
        <v>4.8191435451419213</v>
      </c>
    </row>
    <row r="16" spans="1:20" x14ac:dyDescent="0.25">
      <c r="A16" t="str">
        <f>PLANTILLA!D18</f>
        <v>Nicolás Galaz</v>
      </c>
      <c r="B16" s="24">
        <f ca="1">PLANTILLA!Y18+PLANTILLA!N18+PLANTILLA!J18</f>
        <v>5.4222471628197546</v>
      </c>
      <c r="C16" s="24">
        <f ca="1">PLANTILLA!AB18+PLANTILLA!N18+PLANTILLA!J18</f>
        <v>15.422247162819755</v>
      </c>
      <c r="D16" s="71">
        <f t="shared" ca="1" si="3"/>
        <v>4.5333426860574075</v>
      </c>
      <c r="E16" s="24">
        <f ca="1">D16*PLANTILLA!R18</f>
        <v>3.8313738592638198</v>
      </c>
      <c r="F16" s="24">
        <f ca="1">D16*PLANTILLA!S18</f>
        <v>4.1935607695657948</v>
      </c>
      <c r="H16" s="27" t="str">
        <f t="shared" si="4"/>
        <v>Venanci Oset</v>
      </c>
      <c r="I16" s="24">
        <f t="shared" ca="1" si="4"/>
        <v>16.93198763356331</v>
      </c>
      <c r="J16" s="24">
        <f t="shared" ca="1" si="4"/>
        <v>14.404209855785531</v>
      </c>
      <c r="K16" s="71">
        <f ca="1">(J16*2+I16)/8</f>
        <v>5.7175509181417965</v>
      </c>
      <c r="L16" s="27">
        <f ca="1">K16*(1-$L$8)</f>
        <v>5.0639959697070793</v>
      </c>
      <c r="M16" s="27">
        <f ca="1">K16*(1-$M$8)</f>
        <v>5.4288720429854243</v>
      </c>
      <c r="O16" s="27" t="str">
        <f t="shared" si="5"/>
        <v>Venanci Oset</v>
      </c>
      <c r="P16" s="27">
        <f t="shared" ca="1" si="5"/>
        <v>16.93198763356331</v>
      </c>
      <c r="Q16" s="27">
        <f t="shared" ca="1" si="5"/>
        <v>14.404209855785531</v>
      </c>
      <c r="R16" s="71">
        <f ca="1">(Q16*2+P16)/8</f>
        <v>5.7175509181417965</v>
      </c>
      <c r="S16" s="27">
        <f t="shared" ca="1" si="6"/>
        <v>5.0639959697070793</v>
      </c>
      <c r="T16" s="27">
        <f t="shared" ca="1" si="6"/>
        <v>5.4288720429854243</v>
      </c>
    </row>
    <row r="17" spans="1:20" x14ac:dyDescent="0.25">
      <c r="A17" t="str">
        <f>PLANTILLA!D19</f>
        <v>Meraj Siddiqui</v>
      </c>
      <c r="B17" s="24">
        <f ca="1">PLANTILLA!Y19+PLANTILLA!N19+PLANTILLA!J19</f>
        <v>3.3691242691327954</v>
      </c>
      <c r="C17" s="24">
        <f ca="1">PLANTILLA!AB19+PLANTILLA!N19+PLANTILLA!J19</f>
        <v>13.369124269132795</v>
      </c>
      <c r="D17" s="71">
        <f t="shared" ca="1" si="3"/>
        <v>3.763421600924798</v>
      </c>
      <c r="E17" s="24">
        <f ca="1">D17*PLANTILLA!R19</f>
        <v>3.1806717783587986</v>
      </c>
      <c r="F17" s="24">
        <f ca="1">D17*PLANTILLA!S19</f>
        <v>3.4813466084339333</v>
      </c>
      <c r="H17" s="27" t="str">
        <f t="shared" si="4"/>
        <v>Roxelio Reboredo</v>
      </c>
      <c r="I17" s="24">
        <f t="shared" ca="1" si="4"/>
        <v>7.6188807942603693</v>
      </c>
      <c r="J17" s="24">
        <f t="shared" ca="1" si="4"/>
        <v>13.668880794260369</v>
      </c>
      <c r="K17" s="71">
        <f ca="1">(J17*2+I17)/8</f>
        <v>4.3695802978476381</v>
      </c>
      <c r="L17" s="27">
        <f ca="1">K17*(1-$L$8)</f>
        <v>3.8701075573111545</v>
      </c>
      <c r="M17" s="27">
        <f ca="1">K17*(1-$M$8)</f>
        <v>4.1489603954895049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6.1267973866856753</v>
      </c>
      <c r="C18" s="24">
        <f ca="1">PLANTILLA!AB20+PLANTILLA!N20+PLANTILLA!J20</f>
        <v>14.57124183113012</v>
      </c>
      <c r="D18" s="71">
        <f t="shared" ca="1" si="3"/>
        <v>4.4086601311182392</v>
      </c>
      <c r="E18" s="24">
        <f ca="1">D18*PLANTILLA!R20</f>
        <v>3.3326338062697913</v>
      </c>
      <c r="F18" s="24">
        <f ca="1">D18*PLANTILLA!S20</f>
        <v>3.7222700047348285</v>
      </c>
      <c r="K18" s="101">
        <f ca="1">SUM(K13:K17)</f>
        <v>26.083283924663327</v>
      </c>
      <c r="L18" s="101">
        <f ca="1">SUM(L13:L17)</f>
        <v>23.101787209644712</v>
      </c>
      <c r="M18" s="101">
        <f ca="1">SUM(M13:M17)</f>
        <v>24.766340154234562</v>
      </c>
      <c r="N18" s="101"/>
      <c r="O18" s="101"/>
      <c r="P18" s="101"/>
      <c r="Q18" s="101"/>
      <c r="R18" s="101">
        <f ca="1">SUM(R13:R17)</f>
        <v>21.71370362681569</v>
      </c>
      <c r="S18" s="101">
        <f ca="1">SUM(S13:S17)</f>
        <v>19.231679652333558</v>
      </c>
      <c r="T18" s="101">
        <f ca="1">SUM(T13:T17)</f>
        <v>20.617379758745059</v>
      </c>
    </row>
    <row r="19" spans="1:20" x14ac:dyDescent="0.25">
      <c r="B19" s="24"/>
      <c r="C19" s="24"/>
      <c r="D19" s="71"/>
      <c r="E19" s="24"/>
      <c r="F19" s="24"/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215</v>
      </c>
      <c r="B1" s="43" t="s">
        <v>563</v>
      </c>
      <c r="C1" s="43" t="s">
        <v>564</v>
      </c>
      <c r="D1" s="43" t="s">
        <v>565</v>
      </c>
      <c r="E1" s="43" t="s">
        <v>566</v>
      </c>
      <c r="F1" s="43" t="s">
        <v>567</v>
      </c>
      <c r="G1" s="43" t="s">
        <v>568</v>
      </c>
      <c r="H1" s="43" t="s">
        <v>569</v>
      </c>
      <c r="J1" s="329" t="s">
        <v>570</v>
      </c>
      <c r="K1" t="s">
        <v>571</v>
      </c>
      <c r="L1" t="s">
        <v>572</v>
      </c>
      <c r="M1" t="s">
        <v>573</v>
      </c>
      <c r="N1" s="42" t="s">
        <v>574</v>
      </c>
    </row>
    <row r="2" spans="1:14" x14ac:dyDescent="0.25">
      <c r="A2" s="328">
        <v>43670</v>
      </c>
      <c r="B2" s="42" t="s">
        <v>429</v>
      </c>
      <c r="C2" s="42" t="s">
        <v>575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242">
        <v>14</v>
      </c>
      <c r="K2" s="330">
        <v>1</v>
      </c>
      <c r="L2" s="330">
        <v>7</v>
      </c>
      <c r="M2" s="330">
        <v>2</v>
      </c>
      <c r="N2" s="58">
        <f t="shared" ref="N2:N12" si="1">M2/L2</f>
        <v>0.2857142857142857</v>
      </c>
    </row>
    <row r="3" spans="1:14" x14ac:dyDescent="0.25">
      <c r="A3" s="328">
        <v>43617</v>
      </c>
      <c r="B3" s="42" t="s">
        <v>576</v>
      </c>
      <c r="C3" s="42" t="s">
        <v>429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242">
        <v>15</v>
      </c>
      <c r="K3" s="330">
        <v>3</v>
      </c>
      <c r="L3" s="330">
        <v>24</v>
      </c>
      <c r="M3" s="330">
        <v>8</v>
      </c>
      <c r="N3" s="58">
        <f t="shared" si="1"/>
        <v>0.33333333333333331</v>
      </c>
    </row>
    <row r="4" spans="1:14" x14ac:dyDescent="0.25">
      <c r="A4" s="328">
        <v>43684</v>
      </c>
      <c r="B4" s="42" t="s">
        <v>577</v>
      </c>
      <c r="C4" s="42" t="s">
        <v>429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242">
        <v>16</v>
      </c>
      <c r="K4" s="330">
        <v>20</v>
      </c>
      <c r="L4" s="330">
        <v>126</v>
      </c>
      <c r="M4" s="330">
        <v>51</v>
      </c>
      <c r="N4" s="58">
        <f t="shared" si="1"/>
        <v>0.40476190476190477</v>
      </c>
    </row>
    <row r="5" spans="1:14" x14ac:dyDescent="0.25">
      <c r="A5" s="328">
        <v>43691</v>
      </c>
      <c r="B5" s="42" t="s">
        <v>578</v>
      </c>
      <c r="C5" s="42" t="s">
        <v>429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242">
        <v>17</v>
      </c>
      <c r="K5" s="330">
        <v>15</v>
      </c>
      <c r="L5" s="330">
        <v>101</v>
      </c>
      <c r="M5" s="330">
        <v>38</v>
      </c>
      <c r="N5" s="58">
        <f t="shared" si="1"/>
        <v>0.37623762376237624</v>
      </c>
    </row>
    <row r="6" spans="1:14" x14ac:dyDescent="0.25">
      <c r="A6" s="328">
        <v>43680</v>
      </c>
      <c r="B6" s="42" t="s">
        <v>429</v>
      </c>
      <c r="C6" s="42" t="s">
        <v>579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242">
        <v>18</v>
      </c>
      <c r="K6" s="330">
        <v>22</v>
      </c>
      <c r="L6" s="330">
        <v>143</v>
      </c>
      <c r="M6" s="330">
        <v>50</v>
      </c>
      <c r="N6" s="58">
        <f t="shared" si="1"/>
        <v>0.34965034965034963</v>
      </c>
    </row>
    <row r="7" spans="1:14" x14ac:dyDescent="0.25">
      <c r="A7" s="328">
        <v>43677</v>
      </c>
      <c r="B7" s="42" t="s">
        <v>580</v>
      </c>
      <c r="C7" s="42" t="s">
        <v>429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242">
        <v>19</v>
      </c>
      <c r="K7" s="330">
        <v>32</v>
      </c>
      <c r="L7" s="330">
        <v>245</v>
      </c>
      <c r="M7" s="330">
        <v>102</v>
      </c>
      <c r="N7" s="58">
        <f t="shared" si="1"/>
        <v>0.41632653061224489</v>
      </c>
    </row>
    <row r="8" spans="1:14" x14ac:dyDescent="0.25">
      <c r="A8" s="328">
        <v>43642</v>
      </c>
      <c r="B8" s="42" t="s">
        <v>429</v>
      </c>
      <c r="C8" s="42" t="s">
        <v>581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242">
        <v>20</v>
      </c>
      <c r="K8" s="330">
        <v>14</v>
      </c>
      <c r="L8" s="330">
        <v>104</v>
      </c>
      <c r="M8" s="330">
        <v>42</v>
      </c>
      <c r="N8" s="58">
        <f t="shared" si="1"/>
        <v>0.40384615384615385</v>
      </c>
    </row>
    <row r="9" spans="1:14" x14ac:dyDescent="0.25">
      <c r="A9" s="328">
        <v>43641</v>
      </c>
      <c r="B9" s="42" t="s">
        <v>582</v>
      </c>
      <c r="C9" s="42" t="s">
        <v>429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242">
        <v>21</v>
      </c>
      <c r="K9" s="330">
        <v>22</v>
      </c>
      <c r="L9" s="330">
        <v>187</v>
      </c>
      <c r="M9" s="330">
        <v>81</v>
      </c>
      <c r="N9" s="58">
        <f t="shared" si="1"/>
        <v>0.43315508021390375</v>
      </c>
    </row>
    <row r="10" spans="1:14" x14ac:dyDescent="0.25">
      <c r="A10" s="328">
        <v>43641</v>
      </c>
      <c r="B10" s="42" t="s">
        <v>429</v>
      </c>
      <c r="C10" s="42" t="s">
        <v>584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242">
        <v>22</v>
      </c>
      <c r="K10" s="330">
        <v>12</v>
      </c>
      <c r="L10" s="330">
        <v>92</v>
      </c>
      <c r="M10" s="330">
        <v>36</v>
      </c>
      <c r="N10" s="58">
        <f t="shared" si="1"/>
        <v>0.39130434782608697</v>
      </c>
    </row>
    <row r="11" spans="1:14" x14ac:dyDescent="0.25">
      <c r="A11" s="328">
        <v>43640</v>
      </c>
      <c r="B11" s="42" t="s">
        <v>585</v>
      </c>
      <c r="C11" s="42" t="s">
        <v>429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242">
        <v>23</v>
      </c>
      <c r="K11" s="330">
        <v>27</v>
      </c>
      <c r="L11" s="330">
        <v>208</v>
      </c>
      <c r="M11" s="330">
        <v>95</v>
      </c>
      <c r="N11" s="58">
        <f t="shared" si="1"/>
        <v>0.45673076923076922</v>
      </c>
    </row>
    <row r="12" spans="1:14" x14ac:dyDescent="0.25">
      <c r="A12" s="328">
        <v>43636</v>
      </c>
      <c r="B12" s="42" t="s">
        <v>586</v>
      </c>
      <c r="C12" s="42" t="s">
        <v>429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242">
        <v>24</v>
      </c>
      <c r="K12" s="330">
        <v>16</v>
      </c>
      <c r="L12" s="330">
        <v>129</v>
      </c>
      <c r="M12" s="330">
        <v>63</v>
      </c>
      <c r="N12" s="58">
        <f t="shared" si="1"/>
        <v>0.48837209302325579</v>
      </c>
    </row>
    <row r="13" spans="1:14" x14ac:dyDescent="0.25">
      <c r="A13" s="328">
        <v>43635</v>
      </c>
      <c r="B13" s="42" t="s">
        <v>429</v>
      </c>
      <c r="C13" s="42" t="s">
        <v>587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242" t="s">
        <v>583</v>
      </c>
      <c r="K13" s="330">
        <v>184</v>
      </c>
      <c r="L13" s="330">
        <v>1366</v>
      </c>
      <c r="M13" s="330">
        <v>568</v>
      </c>
      <c r="N13" s="58"/>
    </row>
    <row r="14" spans="1:14" x14ac:dyDescent="0.25">
      <c r="A14" s="328">
        <v>43635</v>
      </c>
      <c r="B14" s="42" t="s">
        <v>429</v>
      </c>
      <c r="C14" s="42" t="s">
        <v>588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328">
        <v>43634</v>
      </c>
      <c r="B15" s="42" t="s">
        <v>589</v>
      </c>
      <c r="C15" s="42" t="s">
        <v>429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328">
        <v>43634</v>
      </c>
      <c r="B16" s="42" t="s">
        <v>590</v>
      </c>
      <c r="C16" s="42" t="s">
        <v>429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328">
        <v>43633</v>
      </c>
      <c r="B17" s="42" t="s">
        <v>429</v>
      </c>
      <c r="C17" s="42" t="s">
        <v>591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328">
        <v>43633</v>
      </c>
      <c r="B18" s="42" t="s">
        <v>429</v>
      </c>
      <c r="C18" s="42" t="s">
        <v>592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328">
        <v>43624</v>
      </c>
      <c r="B19" s="42" t="s">
        <v>593</v>
      </c>
      <c r="C19" s="42" t="s">
        <v>429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328">
        <v>43617</v>
      </c>
      <c r="B20" s="42" t="s">
        <v>594</v>
      </c>
      <c r="C20" s="42" t="s">
        <v>429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328">
        <v>43615</v>
      </c>
      <c r="B21" s="42" t="s">
        <v>429</v>
      </c>
      <c r="C21" s="42" t="s">
        <v>595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328">
        <v>43610</v>
      </c>
      <c r="B22" s="42" t="s">
        <v>429</v>
      </c>
      <c r="C22" s="42" t="s">
        <v>596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328">
        <v>43602</v>
      </c>
      <c r="B23" s="42" t="s">
        <v>597</v>
      </c>
      <c r="C23" s="42" t="s">
        <v>429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328">
        <v>43550</v>
      </c>
      <c r="B24" s="42" t="s">
        <v>598</v>
      </c>
      <c r="C24" s="42" t="s">
        <v>429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328">
        <v>43644</v>
      </c>
      <c r="B25" s="42" t="s">
        <v>429</v>
      </c>
      <c r="C25" s="42" t="s">
        <v>599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328">
        <v>43643</v>
      </c>
      <c r="B26" s="42" t="s">
        <v>600</v>
      </c>
      <c r="C26" s="42" t="s">
        <v>429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328">
        <v>43643</v>
      </c>
      <c r="B27" s="42" t="s">
        <v>429</v>
      </c>
      <c r="C27" s="42" t="s">
        <v>601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328">
        <v>43643</v>
      </c>
      <c r="B28" s="42" t="s">
        <v>602</v>
      </c>
      <c r="C28" s="42" t="s">
        <v>429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328">
        <v>43642</v>
      </c>
      <c r="B29" s="42" t="s">
        <v>603</v>
      </c>
      <c r="C29" s="42" t="s">
        <v>429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328">
        <v>43641</v>
      </c>
      <c r="B30" s="42" t="s">
        <v>429</v>
      </c>
      <c r="C30" s="42" t="s">
        <v>604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328">
        <v>43636</v>
      </c>
      <c r="B31" s="42" t="s">
        <v>605</v>
      </c>
      <c r="C31" s="42" t="s">
        <v>429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328">
        <v>43603</v>
      </c>
      <c r="B32" s="42" t="s">
        <v>606</v>
      </c>
      <c r="C32" s="42" t="s">
        <v>429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328">
        <v>43596</v>
      </c>
      <c r="B33" s="42" t="s">
        <v>429</v>
      </c>
      <c r="C33" s="42" t="s">
        <v>579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328">
        <v>43589</v>
      </c>
      <c r="B34" s="42" t="s">
        <v>607</v>
      </c>
      <c r="C34" s="42" t="s">
        <v>429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328">
        <v>43547</v>
      </c>
      <c r="B35" s="42" t="s">
        <v>429</v>
      </c>
      <c r="C35" s="42" t="s">
        <v>593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328">
        <v>43540</v>
      </c>
      <c r="B36" s="42" t="s">
        <v>608</v>
      </c>
      <c r="C36" s="42" t="s">
        <v>429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328">
        <v>43537</v>
      </c>
      <c r="B37" s="42" t="s">
        <v>609</v>
      </c>
      <c r="C37" s="42" t="s">
        <v>429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328">
        <v>43704</v>
      </c>
      <c r="B38" s="42" t="s">
        <v>429</v>
      </c>
      <c r="C38" s="42" t="s">
        <v>610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328">
        <v>43656</v>
      </c>
      <c r="B39" s="42" t="s">
        <v>611</v>
      </c>
      <c r="C39" s="42" t="s">
        <v>429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328">
        <v>43656</v>
      </c>
      <c r="B40" s="42" t="s">
        <v>429</v>
      </c>
      <c r="C40" s="42" t="s">
        <v>612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328">
        <v>43655</v>
      </c>
      <c r="B41" s="42" t="s">
        <v>429</v>
      </c>
      <c r="C41" s="42" t="s">
        <v>613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328">
        <v>43582</v>
      </c>
      <c r="B42" s="42" t="s">
        <v>429</v>
      </c>
      <c r="C42" s="42" t="s">
        <v>607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328">
        <v>43575</v>
      </c>
      <c r="B43" s="42" t="s">
        <v>579</v>
      </c>
      <c r="C43" s="42" t="s">
        <v>429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328">
        <v>43568</v>
      </c>
      <c r="B44" s="42" t="s">
        <v>429</v>
      </c>
      <c r="C44" s="42" t="s">
        <v>606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328">
        <v>43561</v>
      </c>
      <c r="B45" s="42" t="s">
        <v>596</v>
      </c>
      <c r="C45" s="42" t="s">
        <v>429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328">
        <v>43554</v>
      </c>
      <c r="B46" s="42" t="s">
        <v>429</v>
      </c>
      <c r="C46" s="42" t="s">
        <v>594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328">
        <v>43687</v>
      </c>
      <c r="B47" s="42" t="s">
        <v>614</v>
      </c>
      <c r="C47" s="42" t="s">
        <v>429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328">
        <v>43701</v>
      </c>
      <c r="B48" s="42" t="s">
        <v>429</v>
      </c>
      <c r="C48" s="42" t="s">
        <v>615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328">
        <v>43666</v>
      </c>
      <c r="B49" s="42" t="s">
        <v>593</v>
      </c>
      <c r="C49" s="42" t="s">
        <v>429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328">
        <v>43657</v>
      </c>
      <c r="B50" s="42" t="s">
        <v>429</v>
      </c>
      <c r="C50" s="42" t="s">
        <v>616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328">
        <v>43652</v>
      </c>
      <c r="B51" s="42" t="s">
        <v>429</v>
      </c>
      <c r="C51" s="42" t="s">
        <v>617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328">
        <v>43677</v>
      </c>
      <c r="B52" s="42" t="s">
        <v>429</v>
      </c>
      <c r="C52" s="42" t="s">
        <v>618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328">
        <v>43672</v>
      </c>
      <c r="B53" s="42" t="s">
        <v>619</v>
      </c>
      <c r="C53" s="42" t="s">
        <v>429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328">
        <v>43663</v>
      </c>
      <c r="B54" s="42" t="s">
        <v>429</v>
      </c>
      <c r="C54" s="42" t="s">
        <v>620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328">
        <v>43708</v>
      </c>
      <c r="B55" s="42" t="s">
        <v>429</v>
      </c>
      <c r="C55" s="42" t="s">
        <v>621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328">
        <v>43711</v>
      </c>
      <c r="B56" s="42" t="s">
        <v>622</v>
      </c>
      <c r="C56" s="42" t="s">
        <v>429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328">
        <v>43713</v>
      </c>
      <c r="B57" s="42" t="s">
        <v>429</v>
      </c>
      <c r="C57" s="42" t="s">
        <v>623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328">
        <v>43713</v>
      </c>
      <c r="B58" s="42" t="s">
        <v>429</v>
      </c>
      <c r="C58" s="42" t="s">
        <v>624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328">
        <v>43715</v>
      </c>
      <c r="B59" s="42" t="s">
        <v>579</v>
      </c>
      <c r="C59" s="42" t="s">
        <v>429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328">
        <v>43717</v>
      </c>
      <c r="B60" s="42" t="s">
        <v>429</v>
      </c>
      <c r="C60" s="42" t="s">
        <v>625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328">
        <v>43719</v>
      </c>
      <c r="B61" s="42" t="s">
        <v>626</v>
      </c>
      <c r="C61" s="42" t="s">
        <v>429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328">
        <v>43722</v>
      </c>
      <c r="B62" s="42" t="s">
        <v>608</v>
      </c>
      <c r="C62" s="42" t="s">
        <v>429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328">
        <v>43724</v>
      </c>
      <c r="B63" s="42" t="s">
        <v>429</v>
      </c>
      <c r="C63" s="42" t="s">
        <v>627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328">
        <v>43731</v>
      </c>
      <c r="B64" s="42" t="s">
        <v>628</v>
      </c>
      <c r="C64" s="42" t="s">
        <v>429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328">
        <v>43736</v>
      </c>
      <c r="B65" s="42" t="s">
        <v>629</v>
      </c>
      <c r="C65" s="42" t="s">
        <v>429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328">
        <v>43738</v>
      </c>
      <c r="B66" s="42" t="s">
        <v>429</v>
      </c>
      <c r="C66" s="42" t="s">
        <v>630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328">
        <v>43739</v>
      </c>
      <c r="B67" s="42" t="s">
        <v>631</v>
      </c>
      <c r="C67" s="42" t="s">
        <v>429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328">
        <v>43742</v>
      </c>
      <c r="B68" s="42" t="s">
        <v>429</v>
      </c>
      <c r="C68" s="42" t="s">
        <v>632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328">
        <v>43743</v>
      </c>
      <c r="B69" s="42" t="s">
        <v>631</v>
      </c>
      <c r="C69" s="42" t="s">
        <v>429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328">
        <v>43745</v>
      </c>
      <c r="B70" s="42" t="s">
        <v>633</v>
      </c>
      <c r="C70" s="42" t="s">
        <v>429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328">
        <v>43745</v>
      </c>
      <c r="B71" s="42" t="s">
        <v>634</v>
      </c>
      <c r="C71" s="42" t="s">
        <v>429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328">
        <v>43745</v>
      </c>
      <c r="B72" s="42" t="s">
        <v>429</v>
      </c>
      <c r="C72" s="42" t="s">
        <v>635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328">
        <v>43745</v>
      </c>
      <c r="B73" s="42" t="s">
        <v>429</v>
      </c>
      <c r="C73" s="42" t="s">
        <v>636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328">
        <v>43746</v>
      </c>
      <c r="B74" s="42" t="s">
        <v>637</v>
      </c>
      <c r="C74" s="42" t="s">
        <v>429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328">
        <v>43746</v>
      </c>
      <c r="B75" s="42" t="s">
        <v>638</v>
      </c>
      <c r="C75" s="42" t="s">
        <v>429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328">
        <v>43747</v>
      </c>
      <c r="B76" s="42" t="s">
        <v>639</v>
      </c>
      <c r="C76" s="42" t="s">
        <v>429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328">
        <v>43748</v>
      </c>
      <c r="B77" s="42" t="s">
        <v>429</v>
      </c>
      <c r="C77" s="42" t="s">
        <v>640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328">
        <v>43748</v>
      </c>
      <c r="B78" s="42" t="s">
        <v>429</v>
      </c>
      <c r="C78" s="42" t="s">
        <v>641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328">
        <v>43748</v>
      </c>
      <c r="B79" s="42" t="s">
        <v>429</v>
      </c>
      <c r="C79" s="42" t="s">
        <v>642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328">
        <v>43753</v>
      </c>
      <c r="B80" s="42" t="s">
        <v>643</v>
      </c>
      <c r="C80" s="42" t="s">
        <v>429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328">
        <v>43753</v>
      </c>
      <c r="B81" s="42" t="s">
        <v>644</v>
      </c>
      <c r="C81" s="42" t="s">
        <v>429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328">
        <v>43753</v>
      </c>
      <c r="B82" s="42" t="s">
        <v>645</v>
      </c>
      <c r="C82" s="42" t="s">
        <v>429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328">
        <v>43754</v>
      </c>
      <c r="B83" s="42" t="s">
        <v>429</v>
      </c>
      <c r="C83" s="42" t="s">
        <v>646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328">
        <v>43754</v>
      </c>
      <c r="B84" s="42" t="s">
        <v>647</v>
      </c>
      <c r="C84" s="42" t="s">
        <v>429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328">
        <v>43754</v>
      </c>
      <c r="B85" s="42" t="s">
        <v>429</v>
      </c>
      <c r="C85" s="42" t="s">
        <v>648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328">
        <v>43755</v>
      </c>
      <c r="B86" s="42" t="s">
        <v>429</v>
      </c>
      <c r="C86" s="42" t="s">
        <v>649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328">
        <v>43764</v>
      </c>
      <c r="B87" s="42" t="s">
        <v>429</v>
      </c>
      <c r="C87" s="42" t="s">
        <v>435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328">
        <v>43771</v>
      </c>
      <c r="B88" s="42" t="s">
        <v>443</v>
      </c>
      <c r="C88" s="42" t="s">
        <v>429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328">
        <v>43773</v>
      </c>
      <c r="B89" s="42" t="s">
        <v>855</v>
      </c>
      <c r="C89" s="42" t="s">
        <v>429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328">
        <v>43775</v>
      </c>
      <c r="B90" s="42" t="s">
        <v>856</v>
      </c>
      <c r="C90" s="42" t="s">
        <v>429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328">
        <v>43781</v>
      </c>
      <c r="B91" s="42" t="s">
        <v>857</v>
      </c>
      <c r="C91" s="42" t="s">
        <v>429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328">
        <v>43782</v>
      </c>
      <c r="B92" s="42" t="s">
        <v>429</v>
      </c>
      <c r="C92" s="42" t="s">
        <v>858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328">
        <v>43785</v>
      </c>
      <c r="B93" s="42" t="s">
        <v>450</v>
      </c>
      <c r="C93" s="42" t="s">
        <v>429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328">
        <v>43787</v>
      </c>
      <c r="B94" s="42" t="s">
        <v>624</v>
      </c>
      <c r="C94" s="42" t="s">
        <v>429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328">
        <v>43789</v>
      </c>
      <c r="B95" s="42" t="s">
        <v>429</v>
      </c>
      <c r="C95" s="42" t="s">
        <v>859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328">
        <v>43792</v>
      </c>
      <c r="B96" s="42" t="s">
        <v>429</v>
      </c>
      <c r="C96" s="42" t="s">
        <v>455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328">
        <v>43794</v>
      </c>
      <c r="B97" s="42" t="s">
        <v>429</v>
      </c>
      <c r="C97" s="42" t="s">
        <v>860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328">
        <v>43796</v>
      </c>
      <c r="B98" s="42" t="s">
        <v>429</v>
      </c>
      <c r="C98" s="42" t="s">
        <v>861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328">
        <v>43796</v>
      </c>
      <c r="B99" s="42" t="s">
        <v>857</v>
      </c>
      <c r="C99" s="42" t="s">
        <v>429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328">
        <v>43799</v>
      </c>
      <c r="B100" s="42" t="s">
        <v>445</v>
      </c>
      <c r="C100" s="42" t="s">
        <v>429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328">
        <v>43800</v>
      </c>
      <c r="B101" s="42" t="s">
        <v>862</v>
      </c>
      <c r="C101" s="42" t="s">
        <v>429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328">
        <v>43803</v>
      </c>
      <c r="B102" s="42" t="s">
        <v>863</v>
      </c>
      <c r="C102" s="42" t="s">
        <v>429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328">
        <v>43804</v>
      </c>
      <c r="B103" s="42" t="s">
        <v>864</v>
      </c>
      <c r="C103" s="42" t="s">
        <v>429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328">
        <v>43806</v>
      </c>
      <c r="B104" s="42" t="s">
        <v>429</v>
      </c>
      <c r="C104" s="42" t="s">
        <v>439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328">
        <v>43810</v>
      </c>
      <c r="B105" s="42" t="s">
        <v>429</v>
      </c>
      <c r="C105" s="42" t="s">
        <v>865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328">
        <v>43820</v>
      </c>
      <c r="B106" s="42" t="s">
        <v>429</v>
      </c>
      <c r="C106" s="42" t="s">
        <v>445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328">
        <v>43827</v>
      </c>
      <c r="B107" s="42" t="s">
        <v>455</v>
      </c>
      <c r="C107" s="42" t="s">
        <v>429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328">
        <v>43837</v>
      </c>
      <c r="B108" s="42" t="s">
        <v>599</v>
      </c>
      <c r="C108" s="42" t="s">
        <v>429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328">
        <v>43841</v>
      </c>
      <c r="B109" s="42" t="s">
        <v>460</v>
      </c>
      <c r="C109" s="42" t="s">
        <v>429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328">
        <v>43841</v>
      </c>
      <c r="B110" s="42" t="s">
        <v>866</v>
      </c>
      <c r="C110" s="42" t="s">
        <v>429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328">
        <v>43848</v>
      </c>
      <c r="B111" s="42" t="s">
        <v>429</v>
      </c>
      <c r="C111" s="42" t="s">
        <v>443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328">
        <v>43854</v>
      </c>
      <c r="B112" s="42" t="s">
        <v>867</v>
      </c>
      <c r="C112" s="42" t="s">
        <v>429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328">
        <v>43855</v>
      </c>
      <c r="B113" s="42" t="s">
        <v>435</v>
      </c>
      <c r="C113" s="42" t="s">
        <v>429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328">
        <v>43862</v>
      </c>
      <c r="B114" s="42" t="s">
        <v>868</v>
      </c>
      <c r="C114" s="42" t="s">
        <v>429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328">
        <v>43880</v>
      </c>
      <c r="B115" s="42" t="s">
        <v>869</v>
      </c>
      <c r="C115" s="42" t="s">
        <v>429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328">
        <v>43883</v>
      </c>
      <c r="B116" s="42" t="s">
        <v>870</v>
      </c>
      <c r="C116" s="42" t="s">
        <v>429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328">
        <v>43887</v>
      </c>
      <c r="B117" s="42" t="s">
        <v>871</v>
      </c>
      <c r="C117" s="42" t="s">
        <v>429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328">
        <v>43890</v>
      </c>
      <c r="B118" s="42" t="s">
        <v>872</v>
      </c>
      <c r="C118" s="42" t="s">
        <v>429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328">
        <v>43897</v>
      </c>
      <c r="B119" s="42" t="s">
        <v>429</v>
      </c>
      <c r="C119" s="42" t="s">
        <v>873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328">
        <v>43901</v>
      </c>
      <c r="B120" s="42" t="s">
        <v>874</v>
      </c>
      <c r="C120" s="42" t="s">
        <v>429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328">
        <v>43904</v>
      </c>
      <c r="B121" s="42" t="s">
        <v>875</v>
      </c>
      <c r="C121" s="42" t="s">
        <v>429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328">
        <v>43908</v>
      </c>
      <c r="B122" s="42" t="s">
        <v>429</v>
      </c>
      <c r="C122" s="42" t="s">
        <v>876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328">
        <v>43910</v>
      </c>
      <c r="B123" s="42" t="s">
        <v>429</v>
      </c>
      <c r="C123" s="42" t="s">
        <v>877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328">
        <v>43911</v>
      </c>
      <c r="B124" s="42" t="s">
        <v>429</v>
      </c>
      <c r="C124" s="42" t="s">
        <v>878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328">
        <v>43911</v>
      </c>
      <c r="B125" s="42" t="s">
        <v>429</v>
      </c>
      <c r="C125" s="42" t="s">
        <v>879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328">
        <v>43913</v>
      </c>
      <c r="B126" s="42" t="s">
        <v>429</v>
      </c>
      <c r="C126" s="42" t="s">
        <v>880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328">
        <v>43915</v>
      </c>
      <c r="B127" s="42" t="s">
        <v>881</v>
      </c>
      <c r="C127" s="42" t="s">
        <v>429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328">
        <v>43916</v>
      </c>
      <c r="B128" s="42" t="s">
        <v>429</v>
      </c>
      <c r="C128" s="42" t="s">
        <v>882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328">
        <v>43916</v>
      </c>
      <c r="B129" s="42" t="s">
        <v>429</v>
      </c>
      <c r="C129" s="42" t="s">
        <v>883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328">
        <v>43918</v>
      </c>
      <c r="B130" s="42" t="s">
        <v>884</v>
      </c>
      <c r="C130" s="42" t="s">
        <v>429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328">
        <v>43925</v>
      </c>
      <c r="B131" s="42" t="s">
        <v>429</v>
      </c>
      <c r="C131" s="42" t="s">
        <v>884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328">
        <v>43929</v>
      </c>
      <c r="B132" s="42" t="s">
        <v>885</v>
      </c>
      <c r="C132" s="42" t="s">
        <v>429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328">
        <v>43932</v>
      </c>
      <c r="B133" s="42" t="s">
        <v>878</v>
      </c>
      <c r="C133" s="42" t="s">
        <v>429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328">
        <v>43939</v>
      </c>
      <c r="B134" s="42" t="s">
        <v>429</v>
      </c>
      <c r="C134" s="42" t="s">
        <v>886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328">
        <v>43943</v>
      </c>
      <c r="B135" s="42" t="s">
        <v>887</v>
      </c>
      <c r="C135" s="42" t="s">
        <v>429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328">
        <v>43946</v>
      </c>
      <c r="B136" s="42" t="s">
        <v>873</v>
      </c>
      <c r="C136" s="42" t="s">
        <v>429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328">
        <v>43949</v>
      </c>
      <c r="B137" s="42" t="s">
        <v>887</v>
      </c>
      <c r="C137" s="42" t="s">
        <v>429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328">
        <v>43953</v>
      </c>
      <c r="B138" s="42" t="s">
        <v>429</v>
      </c>
      <c r="C138" s="42" t="s">
        <v>872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328">
        <v>43960</v>
      </c>
      <c r="B139" s="42" t="s">
        <v>429</v>
      </c>
      <c r="C139" s="42" t="s">
        <v>870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328">
        <v>43967</v>
      </c>
      <c r="B140" s="42" t="s">
        <v>888</v>
      </c>
      <c r="C140" s="42" t="s">
        <v>429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328">
        <v>43969</v>
      </c>
      <c r="B141" s="42" t="s">
        <v>429</v>
      </c>
      <c r="C141" s="42" t="s">
        <v>889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328">
        <v>43970</v>
      </c>
      <c r="B142" s="42" t="s">
        <v>890</v>
      </c>
      <c r="C142" s="42" t="s">
        <v>429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328">
        <v>43970</v>
      </c>
      <c r="B143" s="42" t="s">
        <v>891</v>
      </c>
      <c r="C143" s="42" t="s">
        <v>429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328">
        <v>43971</v>
      </c>
      <c r="B144" s="42" t="s">
        <v>429</v>
      </c>
      <c r="C144" s="42" t="s">
        <v>892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328">
        <v>43971</v>
      </c>
      <c r="B145" s="42" t="s">
        <v>893</v>
      </c>
      <c r="C145" s="42" t="s">
        <v>429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328">
        <v>43972</v>
      </c>
      <c r="B146" s="42" t="s">
        <v>894</v>
      </c>
      <c r="C146" s="42" t="s">
        <v>429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328">
        <v>43972</v>
      </c>
      <c r="B147" s="42" t="s">
        <v>429</v>
      </c>
      <c r="C147" s="42" t="s">
        <v>895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328">
        <v>43972</v>
      </c>
      <c r="B148" s="42" t="s">
        <v>896</v>
      </c>
      <c r="C148" s="42" t="s">
        <v>429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328">
        <v>43973</v>
      </c>
      <c r="B149" s="42" t="s">
        <v>897</v>
      </c>
      <c r="C149" s="42" t="s">
        <v>429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328">
        <v>43976</v>
      </c>
      <c r="B150" s="42" t="s">
        <v>429</v>
      </c>
      <c r="C150" s="42" t="s">
        <v>898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328">
        <v>43977</v>
      </c>
      <c r="B151" s="42" t="s">
        <v>429</v>
      </c>
      <c r="C151" s="42" t="s">
        <v>899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328">
        <v>43977</v>
      </c>
      <c r="B152" s="42" t="s">
        <v>900</v>
      </c>
      <c r="C152" s="42" t="s">
        <v>429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328">
        <v>43977</v>
      </c>
      <c r="B153" s="42" t="s">
        <v>901</v>
      </c>
      <c r="C153" s="42" t="s">
        <v>429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328">
        <v>43978</v>
      </c>
      <c r="B154" s="42" t="s">
        <v>429</v>
      </c>
      <c r="C154" s="42" t="s">
        <v>902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328">
        <v>43978</v>
      </c>
      <c r="B155" s="42" t="s">
        <v>903</v>
      </c>
      <c r="C155" s="42" t="s">
        <v>429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328">
        <v>43978</v>
      </c>
      <c r="B156" s="42" t="s">
        <v>429</v>
      </c>
      <c r="C156" s="42" t="s">
        <v>904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328">
        <v>43979</v>
      </c>
      <c r="B157" s="42" t="s">
        <v>429</v>
      </c>
      <c r="C157" s="42" t="s">
        <v>905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328">
        <v>43979</v>
      </c>
      <c r="B158" s="42" t="s">
        <v>429</v>
      </c>
      <c r="C158" s="42" t="s">
        <v>906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328">
        <v>43979</v>
      </c>
      <c r="B159" s="42" t="s">
        <v>907</v>
      </c>
      <c r="C159" s="42" t="s">
        <v>429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328">
        <v>43988</v>
      </c>
      <c r="B160" s="42" t="s">
        <v>884</v>
      </c>
      <c r="C160" s="42" t="s">
        <v>429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328">
        <v>43992</v>
      </c>
      <c r="B161" s="42" t="s">
        <v>909</v>
      </c>
      <c r="C161" s="42" t="s">
        <v>429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328">
        <v>43995</v>
      </c>
      <c r="C162" s="42" t="s">
        <v>910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328">
        <v>43999</v>
      </c>
      <c r="B163" s="42" t="s">
        <v>911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328">
        <v>44002</v>
      </c>
      <c r="B164" s="42" t="s">
        <v>875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328">
        <v>44006</v>
      </c>
      <c r="B165" s="42" t="s">
        <v>912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328">
        <v>44007</v>
      </c>
      <c r="B166" s="42" t="s">
        <v>913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328">
        <v>44008</v>
      </c>
      <c r="B167" s="42" t="s">
        <v>914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328">
        <v>44010</v>
      </c>
      <c r="C168" s="42" t="s">
        <v>915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328">
        <v>44012</v>
      </c>
      <c r="B169" s="42" t="s">
        <v>916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328">
        <v>44013</v>
      </c>
      <c r="B170" s="42" t="s">
        <v>917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328">
        <v>44014</v>
      </c>
      <c r="C171" s="42" t="s">
        <v>918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328">
        <v>44015</v>
      </c>
      <c r="B172" s="42" t="s">
        <v>919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328">
        <v>44017</v>
      </c>
      <c r="B173" s="42" t="s">
        <v>920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328">
        <v>44019</v>
      </c>
      <c r="C174" s="42" t="s">
        <v>921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328">
        <v>44020</v>
      </c>
      <c r="B175" s="42" t="s">
        <v>922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328">
        <v>44023</v>
      </c>
      <c r="B176" s="42" t="s">
        <v>923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328">
        <v>44026</v>
      </c>
      <c r="B177" s="42" t="s">
        <v>924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328">
        <v>44027</v>
      </c>
      <c r="B178" s="42" t="s">
        <v>925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328">
        <v>44028</v>
      </c>
      <c r="C179" s="42" t="s">
        <v>926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328">
        <v>44029</v>
      </c>
      <c r="B180" s="42" t="s">
        <v>927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328">
        <v>44030</v>
      </c>
      <c r="C181" s="42" t="s">
        <v>928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328">
        <v>44031</v>
      </c>
      <c r="B182" s="42" t="s">
        <v>929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328">
        <v>44033</v>
      </c>
      <c r="C183" s="42" t="s">
        <v>930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328">
        <v>44034</v>
      </c>
      <c r="C184" s="42" t="s">
        <v>931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328">
        <v>44035</v>
      </c>
      <c r="C185" s="42" t="s">
        <v>932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328"/>
      <c r="H186" s="38"/>
    </row>
    <row r="187" spans="1:8" x14ac:dyDescent="0.25">
      <c r="A187" s="328"/>
      <c r="H187" s="38"/>
    </row>
    <row r="188" spans="1:8" x14ac:dyDescent="0.25">
      <c r="A188" s="328"/>
      <c r="H188" s="38"/>
    </row>
    <row r="189" spans="1:8" x14ac:dyDescent="0.25">
      <c r="A189" s="328"/>
      <c r="H189" s="38"/>
    </row>
    <row r="190" spans="1:8" x14ac:dyDescent="0.25">
      <c r="A190" s="328"/>
      <c r="H190" s="38"/>
    </row>
    <row r="191" spans="1:8" x14ac:dyDescent="0.25">
      <c r="A191" s="328"/>
      <c r="H191" s="38"/>
    </row>
    <row r="192" spans="1:8" x14ac:dyDescent="0.25">
      <c r="A192" s="328"/>
    </row>
    <row r="193" spans="1:1" x14ac:dyDescent="0.25">
      <c r="A193" s="328"/>
    </row>
    <row r="194" spans="1:1" x14ac:dyDescent="0.25">
      <c r="A194" s="328"/>
    </row>
    <row r="195" spans="1:1" x14ac:dyDescent="0.25">
      <c r="A195" s="328"/>
    </row>
    <row r="196" spans="1:1" x14ac:dyDescent="0.25">
      <c r="A196" s="328"/>
    </row>
    <row r="197" spans="1:1" x14ac:dyDescent="0.25">
      <c r="A197" s="328"/>
    </row>
    <row r="198" spans="1:1" x14ac:dyDescent="0.25">
      <c r="A198" s="328"/>
    </row>
    <row r="199" spans="1:1" x14ac:dyDescent="0.25">
      <c r="A199" s="328"/>
    </row>
    <row r="200" spans="1:1" x14ac:dyDescent="0.25">
      <c r="A200" s="328"/>
    </row>
    <row r="201" spans="1:1" x14ac:dyDescent="0.25">
      <c r="A201" s="328"/>
    </row>
    <row r="202" spans="1:1" x14ac:dyDescent="0.25">
      <c r="A202" s="328"/>
    </row>
    <row r="203" spans="1:1" x14ac:dyDescent="0.25">
      <c r="A203" s="328"/>
    </row>
    <row r="204" spans="1:1" x14ac:dyDescent="0.25">
      <c r="A204" s="328"/>
    </row>
    <row r="205" spans="1:1" x14ac:dyDescent="0.25">
      <c r="A205" s="328"/>
    </row>
    <row r="206" spans="1:1" x14ac:dyDescent="0.25">
      <c r="A206" s="328"/>
    </row>
    <row r="207" spans="1:1" x14ac:dyDescent="0.25">
      <c r="A207" s="328"/>
    </row>
    <row r="208" spans="1:1" x14ac:dyDescent="0.25">
      <c r="A208" s="328"/>
    </row>
    <row r="209" spans="1:1" x14ac:dyDescent="0.25">
      <c r="A209" s="328"/>
    </row>
    <row r="210" spans="1:1" x14ac:dyDescent="0.25">
      <c r="A210" s="328"/>
    </row>
    <row r="211" spans="1:1" x14ac:dyDescent="0.25">
      <c r="A211" s="328"/>
    </row>
    <row r="212" spans="1:1" x14ac:dyDescent="0.25">
      <c r="A212" s="328"/>
    </row>
    <row r="213" spans="1:1" x14ac:dyDescent="0.25">
      <c r="A213" s="328"/>
    </row>
    <row r="214" spans="1:1" x14ac:dyDescent="0.25">
      <c r="A214" s="328"/>
    </row>
    <row r="215" spans="1:1" x14ac:dyDescent="0.25">
      <c r="A215" s="328"/>
    </row>
    <row r="216" spans="1:1" x14ac:dyDescent="0.25">
      <c r="A216" s="328"/>
    </row>
    <row r="217" spans="1:1" x14ac:dyDescent="0.25">
      <c r="A217" s="328"/>
    </row>
    <row r="218" spans="1:1" x14ac:dyDescent="0.25">
      <c r="A218" s="328"/>
    </row>
    <row r="219" spans="1:1" x14ac:dyDescent="0.25">
      <c r="A219" s="328"/>
    </row>
    <row r="220" spans="1:1" x14ac:dyDescent="0.25">
      <c r="A220" s="328"/>
    </row>
    <row r="221" spans="1:1" x14ac:dyDescent="0.25">
      <c r="A221" s="328"/>
    </row>
    <row r="222" spans="1:1" x14ac:dyDescent="0.25">
      <c r="A222" s="328"/>
    </row>
    <row r="223" spans="1:1" x14ac:dyDescent="0.25">
      <c r="A223" s="328"/>
    </row>
    <row r="224" spans="1:1" x14ac:dyDescent="0.25">
      <c r="A224" s="328"/>
    </row>
    <row r="225" spans="1:1" x14ac:dyDescent="0.25">
      <c r="A225" s="328"/>
    </row>
    <row r="226" spans="1:1" x14ac:dyDescent="0.25">
      <c r="A226" s="328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Hall_of_Fame</vt:lpstr>
      <vt:lpstr>PLANTILLA</vt:lpstr>
      <vt:lpstr>Juveniles</vt:lpstr>
      <vt:lpstr>Liga</vt:lpstr>
      <vt:lpstr>Planning</vt:lpstr>
      <vt:lpstr>Economia_T66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2021-04-26T15:55:47Z</dcterms:modified>
</cp:coreProperties>
</file>