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filterPrivacy="1"/>
  <xr:revisionPtr revIDLastSave="0" documentId="13_ncr:1_{28DA6A1B-D14D-4DF9-876C-5B3D280F64FB}" xr6:coauthVersionLast="45" xr6:coauthVersionMax="45" xr10:uidLastSave="{00000000-0000-0000-0000-000000000000}"/>
  <bookViews>
    <workbookView xWindow="-120" yWindow="-120" windowWidth="29040" windowHeight="15840" firstSheet="2" activeTab="3" xr2:uid="{00000000-000D-0000-FFFF-FFFF00000000}"/>
  </bookViews>
  <sheets>
    <sheet name="Resistencia" sheetId="1" r:id="rId1"/>
    <sheet name="TablasEntreno" sheetId="2" r:id="rId2"/>
    <sheet name="EVENTOS_BigData" sheetId="18" r:id="rId3"/>
    <sheet name="Sueldos" sheetId="5" r:id="rId4"/>
    <sheet name="EntrenamientoManual" sheetId="3" r:id="rId5"/>
    <sheet name="Entrenador" sheetId="4" r:id="rId6"/>
    <sheet name="Tarjetas" sheetId="15" r:id="rId7"/>
    <sheet name="BajarEntrenamiento" sheetId="16" r:id="rId8"/>
    <sheet name="Aficionados" sheetId="17" r:id="rId9"/>
    <sheet name="Calificaciones_POS&lt;T60" sheetId="6" r:id="rId10"/>
    <sheet name="Calificaciones_POS&gt;T60" sheetId="7" r:id="rId11"/>
    <sheet name="Posesion" sheetId="8" r:id="rId12"/>
    <sheet name="Logros" sheetId="9" r:id="rId13"/>
    <sheet name="Estadio_Destruccion" sheetId="10" r:id="rId14"/>
    <sheet name="Bepero_penalty" sheetId="11" r:id="rId15"/>
    <sheet name="Forma" sheetId="12" r:id="rId16"/>
    <sheet name="Confianza_Esperitu" sheetId="13" r:id="rId17"/>
    <sheet name="Sustituciones" sheetId="14" r:id="rId1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9" i="18" l="1"/>
  <c r="T10" i="18"/>
  <c r="V10" i="18" s="1"/>
  <c r="U10" i="18"/>
  <c r="AA11" i="18"/>
  <c r="Z11" i="18"/>
  <c r="AA9" i="18"/>
  <c r="Z9" i="18"/>
  <c r="AA6" i="18"/>
  <c r="Z6" i="18"/>
  <c r="AA5" i="18"/>
  <c r="Z5" i="18"/>
  <c r="AA14" i="18"/>
  <c r="Z14" i="18"/>
  <c r="AA12" i="18"/>
  <c r="Z12" i="18"/>
  <c r="AA13" i="18"/>
  <c r="Z13" i="18"/>
  <c r="AA8" i="18"/>
  <c r="Z8" i="18"/>
  <c r="AA7" i="18"/>
  <c r="Z7" i="18"/>
  <c r="AA4" i="18"/>
  <c r="Z4" i="18"/>
  <c r="AA3" i="18"/>
  <c r="Z3" i="18"/>
  <c r="L13" i="18"/>
  <c r="U8" i="18"/>
  <c r="U7" i="18"/>
  <c r="T8" i="18"/>
  <c r="V8" i="18" s="1"/>
  <c r="T7" i="18"/>
  <c r="V7" i="18" s="1"/>
  <c r="U14" i="18"/>
  <c r="T14" i="18"/>
  <c r="V14" i="18" s="1"/>
  <c r="U12" i="18"/>
  <c r="T12" i="18"/>
  <c r="V12" i="18" s="1"/>
  <c r="U13" i="18"/>
  <c r="T13" i="18"/>
  <c r="V13" i="18" s="1"/>
  <c r="U11" i="18"/>
  <c r="T6" i="18"/>
  <c r="V6" i="18" s="1"/>
  <c r="U6" i="18"/>
  <c r="T11" i="18"/>
  <c r="V11" i="18" s="1"/>
  <c r="U5" i="18"/>
  <c r="T5" i="18"/>
  <c r="V5" i="18" s="1"/>
  <c r="U4" i="18"/>
  <c r="T4" i="18"/>
  <c r="V4" i="18" s="1"/>
  <c r="U3" i="18"/>
  <c r="T3" i="18"/>
  <c r="V3" i="18" s="1"/>
  <c r="AA10" i="18" l="1"/>
  <c r="X10" i="18"/>
  <c r="Z10" i="18"/>
  <c r="V1" i="18" l="1"/>
  <c r="AB10" i="18" l="1"/>
  <c r="H1" i="18" l="1"/>
  <c r="G1" i="18"/>
  <c r="W14" i="18" l="1"/>
  <c r="W4" i="18"/>
  <c r="W3" i="18"/>
  <c r="W12" i="18"/>
  <c r="W5" i="18"/>
  <c r="W6" i="18"/>
  <c r="W11" i="18"/>
  <c r="W8" i="18"/>
  <c r="W7" i="18"/>
  <c r="W13" i="18"/>
  <c r="W10" i="18"/>
  <c r="W9" i="18"/>
  <c r="H21" i="18"/>
  <c r="H22" i="18"/>
  <c r="Y10" i="18" l="1"/>
  <c r="AC10" i="18" s="1"/>
  <c r="X8" i="18"/>
  <c r="AB8" i="18" s="1"/>
  <c r="Y8" i="18"/>
  <c r="AC8" i="18" s="1"/>
  <c r="Y11" i="18"/>
  <c r="AC11" i="18" s="1"/>
  <c r="X11" i="18"/>
  <c r="AB11" i="18" s="1"/>
  <c r="X5" i="18"/>
  <c r="AB5" i="18" s="1"/>
  <c r="Y5" i="18"/>
  <c r="AC5" i="18" s="1"/>
  <c r="Y12" i="18"/>
  <c r="AC12" i="18" s="1"/>
  <c r="X12" i="18"/>
  <c r="AB12" i="18" s="1"/>
  <c r="Y6" i="18"/>
  <c r="AC6" i="18" s="1"/>
  <c r="X6" i="18"/>
  <c r="AB6" i="18" s="1"/>
  <c r="Y9" i="18"/>
  <c r="AC9" i="18" s="1"/>
  <c r="X9" i="18"/>
  <c r="AB9" i="18" s="1"/>
  <c r="Y13" i="18"/>
  <c r="AC13" i="18" s="1"/>
  <c r="X13" i="18"/>
  <c r="AB13" i="18" s="1"/>
  <c r="X4" i="18"/>
  <c r="AB4" i="18" s="1"/>
  <c r="Y4" i="18"/>
  <c r="AC4" i="18" s="1"/>
  <c r="Y3" i="18"/>
  <c r="W1" i="18"/>
  <c r="X3" i="18"/>
  <c r="Y7" i="18"/>
  <c r="AC7" i="18" s="1"/>
  <c r="X7" i="18"/>
  <c r="AB7" i="18" s="1"/>
  <c r="X14" i="18"/>
  <c r="AB14" i="18" s="1"/>
  <c r="Y14" i="18"/>
  <c r="AC14" i="18" s="1"/>
  <c r="C14" i="5"/>
  <c r="C4" i="5"/>
  <c r="AB3" i="18" l="1"/>
  <c r="AB1" i="18" s="1"/>
  <c r="X1" i="18"/>
  <c r="AC3" i="18"/>
  <c r="AC1" i="18" s="1"/>
  <c r="Y1" i="18"/>
  <c r="R21" i="15"/>
  <c r="Q21" i="15"/>
  <c r="H21" i="15"/>
  <c r="G21" i="15"/>
  <c r="R20" i="15"/>
  <c r="Q20" i="15"/>
  <c r="H20" i="15"/>
  <c r="G20" i="15"/>
  <c r="R19" i="15"/>
  <c r="Q19" i="15"/>
  <c r="H19" i="15"/>
  <c r="G19" i="15"/>
  <c r="R18" i="15"/>
  <c r="Q18" i="15"/>
  <c r="H18" i="15"/>
  <c r="G18" i="15"/>
  <c r="R17" i="15"/>
  <c r="Q17" i="15"/>
  <c r="H17" i="15"/>
  <c r="G17" i="15"/>
  <c r="F26" i="12"/>
  <c r="F25" i="12"/>
  <c r="F24" i="12"/>
  <c r="F23" i="12"/>
  <c r="F22" i="12"/>
  <c r="F21" i="12"/>
  <c r="F20" i="12"/>
  <c r="F19" i="12"/>
  <c r="F18" i="12"/>
  <c r="F17" i="12"/>
  <c r="F16" i="12"/>
  <c r="F15" i="12"/>
  <c r="F14" i="12"/>
  <c r="F13" i="12"/>
  <c r="F12" i="12"/>
  <c r="E38" i="10"/>
  <c r="C38" i="10"/>
  <c r="B38" i="10"/>
  <c r="D38" i="10" s="1"/>
  <c r="E37" i="10"/>
  <c r="D37" i="10"/>
  <c r="C37" i="10"/>
  <c r="E36" i="10"/>
  <c r="C36" i="10"/>
  <c r="B36" i="10"/>
  <c r="D36" i="10" s="1"/>
  <c r="F36" i="10" s="1"/>
  <c r="E35" i="10"/>
  <c r="D35" i="10"/>
  <c r="C35" i="10"/>
  <c r="D28" i="10"/>
  <c r="B28" i="10"/>
  <c r="C28" i="10" s="1"/>
  <c r="E28" i="10" s="1"/>
  <c r="B27" i="10"/>
  <c r="L16" i="10" s="1"/>
  <c r="M16" i="10" s="1"/>
  <c r="B26" i="10"/>
  <c r="L15" i="10" s="1"/>
  <c r="CI25" i="10"/>
  <c r="CH25" i="10"/>
  <c r="CG25" i="10"/>
  <c r="CE25" i="10"/>
  <c r="CC25" i="10"/>
  <c r="CA25" i="10"/>
  <c r="BY25" i="10"/>
  <c r="BW25" i="10"/>
  <c r="BU25" i="10"/>
  <c r="BS25" i="10"/>
  <c r="BR25" i="10"/>
  <c r="BQ25" i="10"/>
  <c r="BO25" i="10"/>
  <c r="BM25" i="10"/>
  <c r="BK25" i="10"/>
  <c r="BI25" i="10"/>
  <c r="BG25" i="10"/>
  <c r="BE25" i="10"/>
  <c r="BC25" i="10"/>
  <c r="BB25" i="10"/>
  <c r="BA25" i="10"/>
  <c r="AY25" i="10"/>
  <c r="AW25" i="10"/>
  <c r="AU25" i="10"/>
  <c r="AS25" i="10"/>
  <c r="AQ25" i="10"/>
  <c r="AO25" i="10"/>
  <c r="AM25" i="10"/>
  <c r="AL25" i="10"/>
  <c r="AJ25" i="10"/>
  <c r="AH25" i="10"/>
  <c r="AF25" i="10"/>
  <c r="AD25" i="10"/>
  <c r="AB25" i="10"/>
  <c r="Z25" i="10"/>
  <c r="X25" i="10"/>
  <c r="W25" i="10"/>
  <c r="V25" i="10"/>
  <c r="T25" i="10"/>
  <c r="R25" i="10"/>
  <c r="P25" i="10"/>
  <c r="N25" i="10"/>
  <c r="L25" i="10"/>
  <c r="B25" i="10"/>
  <c r="CI24" i="10"/>
  <c r="CH24" i="10"/>
  <c r="CG24" i="10"/>
  <c r="CE24" i="10"/>
  <c r="CC24" i="10"/>
  <c r="CA24" i="10"/>
  <c r="BY24" i="10"/>
  <c r="BW24" i="10"/>
  <c r="BU24" i="10"/>
  <c r="BS24" i="10"/>
  <c r="BR24" i="10"/>
  <c r="BQ24" i="10"/>
  <c r="BO24" i="10"/>
  <c r="BM24" i="10"/>
  <c r="BK24" i="10"/>
  <c r="BI24" i="10"/>
  <c r="BG24" i="10"/>
  <c r="BE24" i="10"/>
  <c r="BC24" i="10"/>
  <c r="BB24" i="10"/>
  <c r="BA24" i="10"/>
  <c r="AY24" i="10"/>
  <c r="AW24" i="10"/>
  <c r="AU24" i="10"/>
  <c r="AS24" i="10"/>
  <c r="AQ24" i="10"/>
  <c r="AO24" i="10"/>
  <c r="AM24" i="10"/>
  <c r="AL24" i="10"/>
  <c r="AJ24" i="10"/>
  <c r="AH24" i="10"/>
  <c r="AF24" i="10"/>
  <c r="AD24" i="10"/>
  <c r="AB24" i="10"/>
  <c r="Z24" i="10"/>
  <c r="X24" i="10"/>
  <c r="W24" i="10"/>
  <c r="V24" i="10"/>
  <c r="T24" i="10"/>
  <c r="R24" i="10"/>
  <c r="P24" i="10"/>
  <c r="N24" i="10"/>
  <c r="L24" i="10"/>
  <c r="CI23" i="10"/>
  <c r="CH23" i="10"/>
  <c r="CG23" i="10"/>
  <c r="CE23" i="10"/>
  <c r="CC23" i="10"/>
  <c r="CA23" i="10"/>
  <c r="BY23" i="10"/>
  <c r="BW23" i="10"/>
  <c r="BU23" i="10"/>
  <c r="BS23" i="10"/>
  <c r="BR23" i="10"/>
  <c r="BQ23" i="10"/>
  <c r="BO23" i="10"/>
  <c r="BM23" i="10"/>
  <c r="BK23" i="10"/>
  <c r="BI23" i="10"/>
  <c r="BG23" i="10"/>
  <c r="BE23" i="10"/>
  <c r="BC23" i="10"/>
  <c r="BB23" i="10"/>
  <c r="BA23" i="10"/>
  <c r="AY23" i="10"/>
  <c r="AW23" i="10"/>
  <c r="AU23" i="10"/>
  <c r="AS23" i="10"/>
  <c r="AQ23" i="10"/>
  <c r="AO23" i="10"/>
  <c r="AM23" i="10"/>
  <c r="AL23" i="10"/>
  <c r="AJ23" i="10"/>
  <c r="AH23" i="10"/>
  <c r="AF23" i="10"/>
  <c r="AD23" i="10"/>
  <c r="AB23" i="10"/>
  <c r="Z23" i="10"/>
  <c r="X23" i="10"/>
  <c r="W23" i="10"/>
  <c r="V23" i="10"/>
  <c r="T23" i="10"/>
  <c r="R23" i="10"/>
  <c r="P23" i="10"/>
  <c r="N23" i="10"/>
  <c r="L23" i="10"/>
  <c r="CI22" i="10"/>
  <c r="CH22" i="10"/>
  <c r="CG22" i="10"/>
  <c r="CE22" i="10"/>
  <c r="CC22" i="10"/>
  <c r="CA22" i="10"/>
  <c r="BY22" i="10"/>
  <c r="BW22" i="10"/>
  <c r="BU22" i="10"/>
  <c r="BS22" i="10"/>
  <c r="BR22" i="10"/>
  <c r="BQ22" i="10"/>
  <c r="BO22" i="10"/>
  <c r="BM22" i="10"/>
  <c r="BK22" i="10"/>
  <c r="BI22" i="10"/>
  <c r="BG22" i="10"/>
  <c r="BE22" i="10"/>
  <c r="BC22" i="10"/>
  <c r="BB22" i="10"/>
  <c r="BA22" i="10"/>
  <c r="AY22" i="10"/>
  <c r="AW22" i="10"/>
  <c r="AU22" i="10"/>
  <c r="AS22" i="10"/>
  <c r="AQ22" i="10"/>
  <c r="AO22" i="10"/>
  <c r="AM22" i="10"/>
  <c r="AL22" i="10"/>
  <c r="AJ22" i="10"/>
  <c r="AH22" i="10"/>
  <c r="AF22" i="10"/>
  <c r="AD22" i="10"/>
  <c r="AB22" i="10"/>
  <c r="Z22" i="10"/>
  <c r="X22" i="10"/>
  <c r="W22" i="10"/>
  <c r="V22" i="10"/>
  <c r="T22" i="10"/>
  <c r="R22" i="10"/>
  <c r="P22" i="10"/>
  <c r="N22" i="10"/>
  <c r="L22" i="10"/>
  <c r="CI21" i="10"/>
  <c r="CH21" i="10"/>
  <c r="CG21" i="10"/>
  <c r="CE21" i="10"/>
  <c r="CC21" i="10"/>
  <c r="CA21" i="10"/>
  <c r="BY21" i="10"/>
  <c r="BW21" i="10"/>
  <c r="BU21" i="10"/>
  <c r="BS21" i="10"/>
  <c r="BR21" i="10"/>
  <c r="BQ21" i="10"/>
  <c r="BO21" i="10"/>
  <c r="BM21" i="10"/>
  <c r="BK21" i="10"/>
  <c r="BI21" i="10"/>
  <c r="BG21" i="10"/>
  <c r="BE21" i="10"/>
  <c r="BC21" i="10"/>
  <c r="BB21" i="10"/>
  <c r="BA21" i="10"/>
  <c r="AY21" i="10"/>
  <c r="AW21" i="10"/>
  <c r="AU21" i="10"/>
  <c r="AS21" i="10"/>
  <c r="AQ21" i="10"/>
  <c r="AO21" i="10"/>
  <c r="AM21" i="10"/>
  <c r="AL21" i="10"/>
  <c r="AJ21" i="10"/>
  <c r="AH21" i="10"/>
  <c r="AF21" i="10"/>
  <c r="AD21" i="10"/>
  <c r="AB21" i="10"/>
  <c r="Z21" i="10"/>
  <c r="X21" i="10"/>
  <c r="W21" i="10"/>
  <c r="V21" i="10"/>
  <c r="T21" i="10"/>
  <c r="R21" i="10"/>
  <c r="P21" i="10"/>
  <c r="N21" i="10"/>
  <c r="L21" i="10"/>
  <c r="F21" i="10"/>
  <c r="CI20" i="10"/>
  <c r="CH20" i="10"/>
  <c r="CG20" i="10"/>
  <c r="CE20" i="10"/>
  <c r="CC20" i="10"/>
  <c r="CA20" i="10"/>
  <c r="BY20" i="10"/>
  <c r="BW20" i="10"/>
  <c r="BU20" i="10"/>
  <c r="BS20" i="10"/>
  <c r="BR20" i="10"/>
  <c r="BQ20" i="10"/>
  <c r="BO20" i="10"/>
  <c r="BM20" i="10"/>
  <c r="BK20" i="10"/>
  <c r="BI20" i="10"/>
  <c r="BG20" i="10"/>
  <c r="BE20" i="10"/>
  <c r="BC20" i="10"/>
  <c r="BB20" i="10"/>
  <c r="BA20" i="10"/>
  <c r="AY20" i="10"/>
  <c r="AW20" i="10"/>
  <c r="AU20" i="10"/>
  <c r="AS20" i="10"/>
  <c r="AQ20" i="10"/>
  <c r="AO20" i="10"/>
  <c r="AM20" i="10"/>
  <c r="AL20" i="10"/>
  <c r="AJ20" i="10"/>
  <c r="AH20" i="10"/>
  <c r="AF20" i="10"/>
  <c r="AD20" i="10"/>
  <c r="AB20" i="10"/>
  <c r="Z20" i="10"/>
  <c r="X20" i="10"/>
  <c r="W20" i="10"/>
  <c r="V20" i="10"/>
  <c r="T20" i="10"/>
  <c r="R20" i="10"/>
  <c r="P20" i="10"/>
  <c r="N20" i="10"/>
  <c r="L20" i="10"/>
  <c r="F20" i="10"/>
  <c r="CI19" i="10"/>
  <c r="CH19" i="10"/>
  <c r="CG19" i="10"/>
  <c r="CE19" i="10"/>
  <c r="CC19" i="10"/>
  <c r="CA19" i="10"/>
  <c r="BY19" i="10"/>
  <c r="BW19" i="10"/>
  <c r="BU19" i="10"/>
  <c r="BS19" i="10"/>
  <c r="BR19" i="10"/>
  <c r="BQ19" i="10"/>
  <c r="BO19" i="10"/>
  <c r="BM19" i="10"/>
  <c r="BK19" i="10"/>
  <c r="BI19" i="10"/>
  <c r="BG19" i="10"/>
  <c r="BE19" i="10"/>
  <c r="BC19" i="10"/>
  <c r="BB19" i="10"/>
  <c r="BA19" i="10"/>
  <c r="AY19" i="10"/>
  <c r="AW19" i="10"/>
  <c r="AU19" i="10"/>
  <c r="AS19" i="10"/>
  <c r="AQ19" i="10"/>
  <c r="AO19" i="10"/>
  <c r="AM19" i="10"/>
  <c r="AL19" i="10"/>
  <c r="AJ19" i="10"/>
  <c r="AH19" i="10"/>
  <c r="AF19" i="10"/>
  <c r="AD19" i="10"/>
  <c r="AB19" i="10"/>
  <c r="Z19" i="10"/>
  <c r="X19" i="10"/>
  <c r="W19" i="10"/>
  <c r="V19" i="10"/>
  <c r="T19" i="10"/>
  <c r="R19" i="10"/>
  <c r="P19" i="10"/>
  <c r="N19" i="10"/>
  <c r="L19" i="10"/>
  <c r="F19" i="10"/>
  <c r="CI18" i="10"/>
  <c r="CH18" i="10"/>
  <c r="CG18" i="10"/>
  <c r="CE18" i="10"/>
  <c r="CC18" i="10"/>
  <c r="CA18" i="10"/>
  <c r="BY18" i="10"/>
  <c r="BW18" i="10"/>
  <c r="BU18" i="10"/>
  <c r="BS18" i="10"/>
  <c r="BR18" i="10"/>
  <c r="BQ18" i="10"/>
  <c r="BO18" i="10"/>
  <c r="BM18" i="10"/>
  <c r="BK18" i="10"/>
  <c r="BI18" i="10"/>
  <c r="BG18" i="10"/>
  <c r="BE18" i="10"/>
  <c r="BC18" i="10"/>
  <c r="BB18" i="10"/>
  <c r="BA18" i="10"/>
  <c r="AY18" i="10"/>
  <c r="AW18" i="10"/>
  <c r="AU18" i="10"/>
  <c r="AS18" i="10"/>
  <c r="AQ18" i="10"/>
  <c r="AO18" i="10"/>
  <c r="AM18" i="10"/>
  <c r="AL18" i="10"/>
  <c r="AJ18" i="10"/>
  <c r="AH18" i="10"/>
  <c r="AF18" i="10"/>
  <c r="AD18" i="10"/>
  <c r="AB18" i="10"/>
  <c r="Z18" i="10"/>
  <c r="X18" i="10"/>
  <c r="W18" i="10"/>
  <c r="V18" i="10"/>
  <c r="T18" i="10"/>
  <c r="R18" i="10"/>
  <c r="P18" i="10"/>
  <c r="N18" i="10"/>
  <c r="L18" i="10"/>
  <c r="F18" i="10"/>
  <c r="L17" i="10"/>
  <c r="K17" i="10"/>
  <c r="F17" i="10"/>
  <c r="K16" i="10"/>
  <c r="F16" i="10"/>
  <c r="K15" i="10"/>
  <c r="F15" i="10"/>
  <c r="K14" i="10"/>
  <c r="F14" i="10"/>
  <c r="K13" i="10"/>
  <c r="L13" i="10" s="1"/>
  <c r="M13" i="10" s="1"/>
  <c r="F13" i="10"/>
  <c r="K12" i="10"/>
  <c r="F12" i="10"/>
  <c r="K11" i="10"/>
  <c r="F11" i="10"/>
  <c r="K10" i="10"/>
  <c r="L10" i="10" s="1"/>
  <c r="M10" i="10" s="1"/>
  <c r="N10" i="10" s="1"/>
  <c r="O10" i="10" s="1"/>
  <c r="K9" i="10"/>
  <c r="K8" i="10"/>
  <c r="H8" i="10"/>
  <c r="G8" i="10"/>
  <c r="K7" i="10"/>
  <c r="H7" i="10"/>
  <c r="G7" i="10"/>
  <c r="K6" i="10"/>
  <c r="H6" i="10"/>
  <c r="G6" i="10"/>
  <c r="L5" i="10"/>
  <c r="M5" i="10" s="1"/>
  <c r="M7" i="10" s="1"/>
  <c r="H5" i="10"/>
  <c r="G5" i="10"/>
  <c r="B4" i="10"/>
  <c r="M23" i="8"/>
  <c r="O23" i="8" s="1"/>
  <c r="M22" i="8"/>
  <c r="O22" i="8" s="1"/>
  <c r="M21" i="8"/>
  <c r="O21" i="8" s="1"/>
  <c r="M20" i="8"/>
  <c r="M26" i="8" s="1"/>
  <c r="O26" i="8" s="1"/>
  <c r="M19" i="8"/>
  <c r="M27" i="8" s="1"/>
  <c r="O27" i="8" s="1"/>
  <c r="M18" i="8"/>
  <c r="M28" i="8" s="1"/>
  <c r="O28" i="8" s="1"/>
  <c r="M17" i="8"/>
  <c r="O17" i="8" s="1"/>
  <c r="M16" i="8"/>
  <c r="O16" i="8" s="1"/>
  <c r="M15" i="8"/>
  <c r="O15" i="8" s="1"/>
  <c r="M14" i="8"/>
  <c r="O14" i="8" s="1"/>
  <c r="M13" i="8"/>
  <c r="O13" i="8" s="1"/>
  <c r="M12" i="8"/>
  <c r="M34" i="8" s="1"/>
  <c r="O34" i="8" s="1"/>
  <c r="M11" i="8"/>
  <c r="M35" i="8" s="1"/>
  <c r="O35" i="8" s="1"/>
  <c r="O10" i="8"/>
  <c r="M10" i="8"/>
  <c r="M36" i="8" s="1"/>
  <c r="O36" i="8" s="1"/>
  <c r="M9" i="8"/>
  <c r="O9" i="8" s="1"/>
  <c r="M8" i="8"/>
  <c r="O8" i="8" s="1"/>
  <c r="M7" i="8"/>
  <c r="M39" i="8" s="1"/>
  <c r="O39" i="8" s="1"/>
  <c r="M6" i="8"/>
  <c r="M40" i="8" s="1"/>
  <c r="O40" i="8" s="1"/>
  <c r="D6" i="8"/>
  <c r="M5" i="8"/>
  <c r="M41" i="8" s="1"/>
  <c r="O41" i="8" s="1"/>
  <c r="I5" i="8"/>
  <c r="I6" i="8" s="1"/>
  <c r="D5" i="8"/>
  <c r="M4" i="8"/>
  <c r="M42" i="8" s="1"/>
  <c r="O42" i="8" s="1"/>
  <c r="M3" i="8"/>
  <c r="O3" i="8" s="1"/>
  <c r="AM20" i="7"/>
  <c r="AL20" i="7"/>
  <c r="AM19" i="7"/>
  <c r="AL19" i="7"/>
  <c r="AQ16" i="7"/>
  <c r="AP16" i="7"/>
  <c r="AM16" i="7"/>
  <c r="AL16" i="7"/>
  <c r="AQ15" i="7"/>
  <c r="AP15" i="7"/>
  <c r="AM15" i="7"/>
  <c r="AL15" i="7"/>
  <c r="AM14" i="7"/>
  <c r="AN14" i="7" s="1"/>
  <c r="AL14" i="7"/>
  <c r="T60" i="7"/>
  <c r="P58" i="7"/>
  <c r="P56" i="7"/>
  <c r="N53" i="7"/>
  <c r="T48" i="7"/>
  <c r="T44" i="7"/>
  <c r="T36" i="7"/>
  <c r="N34" i="7"/>
  <c r="M34" i="7"/>
  <c r="L34" i="7"/>
  <c r="T33" i="7"/>
  <c r="T30" i="7"/>
  <c r="N18" i="7"/>
  <c r="N10" i="7"/>
  <c r="L10" i="7"/>
  <c r="P9" i="7"/>
  <c r="R1" i="7"/>
  <c r="P68" i="6"/>
  <c r="P65" i="6"/>
  <c r="P61" i="6"/>
  <c r="P60" i="6"/>
  <c r="P56" i="6"/>
  <c r="P52" i="6"/>
  <c r="P48" i="6"/>
  <c r="P45" i="6"/>
  <c r="P41" i="6"/>
  <c r="P37" i="6"/>
  <c r="P34" i="6"/>
  <c r="P31" i="6"/>
  <c r="P29" i="6"/>
  <c r="P26" i="6"/>
  <c r="P23" i="6"/>
  <c r="P20" i="6"/>
  <c r="P17" i="6"/>
  <c r="P14" i="6"/>
  <c r="P12" i="6"/>
  <c r="P9" i="6"/>
  <c r="P7" i="6"/>
  <c r="P5" i="6"/>
  <c r="P3" i="6"/>
  <c r="M24" i="8" l="1"/>
  <c r="O24" i="8" s="1"/>
  <c r="M8" i="10"/>
  <c r="K29" i="10"/>
  <c r="M32" i="8"/>
  <c r="O32" i="8" s="1"/>
  <c r="L6" i="10"/>
  <c r="F38" i="10"/>
  <c r="O18" i="8"/>
  <c r="L7" i="10"/>
  <c r="L32" i="10" s="1"/>
  <c r="C26" i="10"/>
  <c r="O6" i="8"/>
  <c r="N5" i="10"/>
  <c r="N9" i="10" s="1"/>
  <c r="L9" i="10"/>
  <c r="L30" i="10" s="1"/>
  <c r="AN16" i="7"/>
  <c r="AN15" i="7"/>
  <c r="C27" i="10"/>
  <c r="K38" i="10" s="1"/>
  <c r="M43" i="8"/>
  <c r="O43" i="8" s="1"/>
  <c r="F37" i="10"/>
  <c r="H9" i="10"/>
  <c r="F35" i="10"/>
  <c r="P10" i="10"/>
  <c r="Q10" i="10" s="1"/>
  <c r="G9" i="10"/>
  <c r="K20" i="10"/>
  <c r="L12" i="10"/>
  <c r="M12" i="10" s="1"/>
  <c r="M33" i="10"/>
  <c r="M24" i="10"/>
  <c r="M29" i="10"/>
  <c r="N16" i="10"/>
  <c r="K34" i="10"/>
  <c r="K30" i="10"/>
  <c r="K25" i="10"/>
  <c r="N13" i="10"/>
  <c r="O13" i="10" s="1"/>
  <c r="K32" i="10"/>
  <c r="K23" i="10"/>
  <c r="K28" i="10"/>
  <c r="B24" i="10"/>
  <c r="L14" i="10"/>
  <c r="C25" i="10"/>
  <c r="M6" i="10"/>
  <c r="M18" i="10" s="1"/>
  <c r="M9" i="10"/>
  <c r="M21" i="10" s="1"/>
  <c r="K19" i="10"/>
  <c r="L11" i="10"/>
  <c r="M11" i="10" s="1"/>
  <c r="L8" i="10"/>
  <c r="L33" i="10" s="1"/>
  <c r="M15" i="10"/>
  <c r="K33" i="10"/>
  <c r="K24" i="10"/>
  <c r="K18" i="10"/>
  <c r="F26" i="10"/>
  <c r="K37" i="10"/>
  <c r="D26" i="10"/>
  <c r="E26" i="10"/>
  <c r="F28" i="10"/>
  <c r="M17" i="10"/>
  <c r="K39" i="10"/>
  <c r="K21" i="10"/>
  <c r="K31" i="10"/>
  <c r="K27" i="10"/>
  <c r="K22" i="10"/>
  <c r="D27" i="10"/>
  <c r="F27" i="10"/>
  <c r="O7" i="8"/>
  <c r="O19" i="8"/>
  <c r="O11" i="8"/>
  <c r="O5" i="8"/>
  <c r="O12" i="8"/>
  <c r="O20" i="8"/>
  <c r="M29" i="8"/>
  <c r="O29" i="8" s="1"/>
  <c r="M37" i="8"/>
  <c r="O37" i="8" s="1"/>
  <c r="O4" i="8"/>
  <c r="M30" i="8"/>
  <c r="O30" i="8" s="1"/>
  <c r="M38" i="8"/>
  <c r="O38" i="8" s="1"/>
  <c r="M31" i="8"/>
  <c r="O31" i="8" s="1"/>
  <c r="J5" i="8"/>
  <c r="M25" i="8"/>
  <c r="O25" i="8" s="1"/>
  <c r="M33" i="8"/>
  <c r="O33" i="8" s="1"/>
  <c r="B9" i="5"/>
  <c r="B10" i="5" s="1"/>
  <c r="E27" i="10" l="1"/>
  <c r="L34" i="10"/>
  <c r="L28" i="10"/>
  <c r="N8" i="10"/>
  <c r="O5" i="10"/>
  <c r="N6" i="10"/>
  <c r="N7" i="10"/>
  <c r="M34" i="10"/>
  <c r="M30" i="10"/>
  <c r="M25" i="10"/>
  <c r="N17" i="10"/>
  <c r="L31" i="10"/>
  <c r="L27" i="10"/>
  <c r="M14" i="10"/>
  <c r="CE26" i="10"/>
  <c r="CE41" i="10" s="1"/>
  <c r="BW26" i="10"/>
  <c r="BW41" i="10" s="1"/>
  <c r="BO26" i="10"/>
  <c r="BO41" i="10" s="1"/>
  <c r="BG26" i="10"/>
  <c r="BG41" i="10" s="1"/>
  <c r="AY26" i="10"/>
  <c r="AY41" i="10" s="1"/>
  <c r="AQ26" i="10"/>
  <c r="AQ41" i="10" s="1"/>
  <c r="AI26" i="10"/>
  <c r="AA26" i="10"/>
  <c r="S26" i="10"/>
  <c r="K26" i="10"/>
  <c r="K41" i="10" s="1"/>
  <c r="CD26" i="10"/>
  <c r="BV26" i="10"/>
  <c r="BN26" i="10"/>
  <c r="BF26" i="10"/>
  <c r="AX26" i="10"/>
  <c r="AP26" i="10"/>
  <c r="AH26" i="10"/>
  <c r="AH41" i="10" s="1"/>
  <c r="Z26" i="10"/>
  <c r="Z41" i="10" s="1"/>
  <c r="R26" i="10"/>
  <c r="R41" i="10" s="1"/>
  <c r="CB26" i="10"/>
  <c r="BT26" i="10"/>
  <c r="BL26" i="10"/>
  <c r="BD26" i="10"/>
  <c r="AV26" i="10"/>
  <c r="AN26" i="10"/>
  <c r="AF26" i="10"/>
  <c r="AF41" i="10" s="1"/>
  <c r="X26" i="10"/>
  <c r="X41" i="10" s="1"/>
  <c r="P26" i="10"/>
  <c r="P41" i="10" s="1"/>
  <c r="CH26" i="10"/>
  <c r="CH41" i="10" s="1"/>
  <c r="BU26" i="10"/>
  <c r="BU41" i="10" s="1"/>
  <c r="BI26" i="10"/>
  <c r="BI41" i="10" s="1"/>
  <c r="AU26" i="10"/>
  <c r="AU41" i="10" s="1"/>
  <c r="AJ26" i="10"/>
  <c r="AJ41" i="10" s="1"/>
  <c r="V26" i="10"/>
  <c r="V41" i="10" s="1"/>
  <c r="CC26" i="10"/>
  <c r="CC41" i="10" s="1"/>
  <c r="BQ26" i="10"/>
  <c r="BQ41" i="10" s="1"/>
  <c r="BC26" i="10"/>
  <c r="BC41" i="10" s="1"/>
  <c r="AR26" i="10"/>
  <c r="AD26" i="10"/>
  <c r="AD41" i="10" s="1"/>
  <c r="Q26" i="10"/>
  <c r="CA26" i="10"/>
  <c r="CA41" i="10" s="1"/>
  <c r="BP26" i="10"/>
  <c r="BB26" i="10"/>
  <c r="BB41" i="10" s="1"/>
  <c r="AO26" i="10"/>
  <c r="AO41" i="10" s="1"/>
  <c r="AC26" i="10"/>
  <c r="O26" i="10"/>
  <c r="BZ26" i="10"/>
  <c r="BM26" i="10"/>
  <c r="BM41" i="10" s="1"/>
  <c r="BA26" i="10"/>
  <c r="BA41" i="10" s="1"/>
  <c r="AM26" i="10"/>
  <c r="AM41" i="10" s="1"/>
  <c r="AB26" i="10"/>
  <c r="AB41" i="10" s="1"/>
  <c r="N26" i="10"/>
  <c r="N41" i="10" s="1"/>
  <c r="BY26" i="10"/>
  <c r="BY41" i="10" s="1"/>
  <c r="BK26" i="10"/>
  <c r="BK41" i="10" s="1"/>
  <c r="AZ26" i="10"/>
  <c r="AL26" i="10"/>
  <c r="AL41" i="10" s="1"/>
  <c r="Y26" i="10"/>
  <c r="M26" i="10"/>
  <c r="BS26" i="10"/>
  <c r="BS41" i="10" s="1"/>
  <c r="AK26" i="10"/>
  <c r="BR26" i="10"/>
  <c r="BR41" i="10" s="1"/>
  <c r="AG26" i="10"/>
  <c r="CI26" i="10"/>
  <c r="CI41" i="10" s="1"/>
  <c r="BE26" i="10"/>
  <c r="BE41" i="10" s="1"/>
  <c r="U26" i="10"/>
  <c r="AS26" i="10"/>
  <c r="AS41" i="10" s="1"/>
  <c r="CG26" i="10"/>
  <c r="CG41" i="10" s="1"/>
  <c r="AE26" i="10"/>
  <c r="CF26" i="10"/>
  <c r="W26" i="10"/>
  <c r="W41" i="10" s="1"/>
  <c r="BX26" i="10"/>
  <c r="T26" i="10"/>
  <c r="T41" i="10" s="1"/>
  <c r="BJ26" i="10"/>
  <c r="L26" i="10"/>
  <c r="L41" i="10" s="1"/>
  <c r="BH26" i="10"/>
  <c r="AW26" i="10"/>
  <c r="AW41" i="10" s="1"/>
  <c r="AT26" i="10"/>
  <c r="N12" i="10"/>
  <c r="O12" i="10" s="1"/>
  <c r="M20" i="10"/>
  <c r="K36" i="10"/>
  <c r="K42" i="10" s="1"/>
  <c r="E25" i="10"/>
  <c r="F25" i="10"/>
  <c r="D25" i="10"/>
  <c r="N11" i="10"/>
  <c r="O11" i="10" s="1"/>
  <c r="M19" i="10"/>
  <c r="N29" i="10"/>
  <c r="N33" i="10"/>
  <c r="O16" i="10"/>
  <c r="M32" i="10"/>
  <c r="M28" i="10"/>
  <c r="N15" i="10"/>
  <c r="M23" i="10"/>
  <c r="R10" i="10"/>
  <c r="S10" i="10" s="1"/>
  <c r="L29" i="10"/>
  <c r="P13" i="10"/>
  <c r="Q13" i="10" s="1"/>
  <c r="I43" i="4"/>
  <c r="I42" i="4"/>
  <c r="I41" i="4"/>
  <c r="I40" i="4"/>
  <c r="G38" i="4" s="1"/>
  <c r="I38" i="4" s="1"/>
  <c r="G39" i="4"/>
  <c r="I39" i="4" s="1"/>
  <c r="H7" i="4"/>
  <c r="J7" i="4" s="1"/>
  <c r="H6" i="4"/>
  <c r="G6" i="4"/>
  <c r="F6" i="4"/>
  <c r="H5" i="4"/>
  <c r="J5" i="4" s="1"/>
  <c r="H4" i="4"/>
  <c r="G4" i="4"/>
  <c r="F4" i="4"/>
  <c r="H3" i="4"/>
  <c r="G3" i="4"/>
  <c r="F3" i="4"/>
  <c r="H2" i="4"/>
  <c r="I2" i="4" s="1"/>
  <c r="I2" i="3"/>
  <c r="I3" i="3"/>
  <c r="I4" i="3"/>
  <c r="I5" i="3"/>
  <c r="H6" i="3"/>
  <c r="I6" i="3" s="1"/>
  <c r="H7" i="3"/>
  <c r="I7" i="3" s="1"/>
  <c r="I8" i="3"/>
  <c r="I9" i="3"/>
  <c r="I10" i="3"/>
  <c r="I11" i="3"/>
  <c r="I12" i="3"/>
  <c r="I13" i="3"/>
  <c r="Q21" i="2"/>
  <c r="Q22" i="2" s="1"/>
  <c r="Q23" i="2" s="1"/>
  <c r="Q24" i="2" s="1"/>
  <c r="Q25" i="2" s="1"/>
  <c r="Q26" i="2" s="1"/>
  <c r="Q27" i="2" s="1"/>
  <c r="Q28" i="2" s="1"/>
  <c r="Q29" i="2" s="1"/>
  <c r="Q30" i="2" s="1"/>
  <c r="Q31" i="2" s="1"/>
  <c r="Q32" i="2" s="1"/>
  <c r="Q33" i="2" s="1"/>
  <c r="Q34" i="2" s="1"/>
  <c r="Q35" i="2" s="1"/>
  <c r="Q36" i="2" s="1"/>
  <c r="Q37" i="2" s="1"/>
  <c r="K21" i="2"/>
  <c r="K22" i="2" s="1"/>
  <c r="K23" i="2" s="1"/>
  <c r="K24" i="2" s="1"/>
  <c r="K25" i="2" s="1"/>
  <c r="K26" i="2" s="1"/>
  <c r="K27" i="2" s="1"/>
  <c r="K28" i="2" s="1"/>
  <c r="K29" i="2" s="1"/>
  <c r="K30" i="2" s="1"/>
  <c r="K31" i="2" s="1"/>
  <c r="K32" i="2" s="1"/>
  <c r="K33" i="2" s="1"/>
  <c r="K34" i="2" s="1"/>
  <c r="K35" i="2" s="1"/>
  <c r="K36" i="2" s="1"/>
  <c r="E21" i="2"/>
  <c r="E22" i="2" s="1"/>
  <c r="E23" i="2" s="1"/>
  <c r="E24" i="2" s="1"/>
  <c r="E25" i="2" s="1"/>
  <c r="E26" i="2" s="1"/>
  <c r="E27" i="2" s="1"/>
  <c r="E28" i="2" s="1"/>
  <c r="E29" i="2" s="1"/>
  <c r="E30" i="2" s="1"/>
  <c r="E31" i="2" s="1"/>
  <c r="E32" i="2" s="1"/>
  <c r="E33" i="2" s="1"/>
  <c r="E34" i="2" s="1"/>
  <c r="E35" i="2" s="1"/>
  <c r="E36" i="2" s="1"/>
  <c r="E37" i="2" s="1"/>
  <c r="W2" i="2"/>
  <c r="W3" i="2" s="1"/>
  <c r="W4" i="2" s="1"/>
  <c r="W5" i="2" s="1"/>
  <c r="W6" i="2" s="1"/>
  <c r="W7" i="2" s="1"/>
  <c r="W8" i="2" s="1"/>
  <c r="W9" i="2" s="1"/>
  <c r="W10" i="2" s="1"/>
  <c r="W11" i="2" s="1"/>
  <c r="W12" i="2" s="1"/>
  <c r="W13" i="2" s="1"/>
  <c r="W14" i="2" s="1"/>
  <c r="W15" i="2" s="1"/>
  <c r="W16" i="2" s="1"/>
  <c r="W17" i="2" s="1"/>
  <c r="W18" i="2" s="1"/>
  <c r="Q2" i="2"/>
  <c r="Q3" i="2" s="1"/>
  <c r="Q4" i="2" s="1"/>
  <c r="Q5" i="2" s="1"/>
  <c r="Q6" i="2" s="1"/>
  <c r="Q7" i="2" s="1"/>
  <c r="Q8" i="2" s="1"/>
  <c r="Q9" i="2" s="1"/>
  <c r="Q10" i="2" s="1"/>
  <c r="Q11" i="2" s="1"/>
  <c r="Q12" i="2" s="1"/>
  <c r="Q13" i="2" s="1"/>
  <c r="Q14" i="2" s="1"/>
  <c r="Q15" i="2" s="1"/>
  <c r="Q16" i="2" s="1"/>
  <c r="Q17" i="2" s="1"/>
  <c r="Q18" i="2" s="1"/>
  <c r="K2" i="2"/>
  <c r="K3" i="2" s="1"/>
  <c r="E2" i="2"/>
  <c r="E3" i="2" s="1"/>
  <c r="E4" i="2" s="1"/>
  <c r="E5" i="2" s="1"/>
  <c r="E6" i="2" s="1"/>
  <c r="E7" i="2" s="1"/>
  <c r="E8" i="2" s="1"/>
  <c r="E9" i="2" s="1"/>
  <c r="E10" i="2" s="1"/>
  <c r="E11" i="2" s="1"/>
  <c r="E12" i="2" s="1"/>
  <c r="E13" i="2" s="1"/>
  <c r="E14" i="2" s="1"/>
  <c r="E15" i="2" s="1"/>
  <c r="E16" i="2" s="1"/>
  <c r="E17" i="2" s="1"/>
  <c r="E18" i="2" s="1"/>
  <c r="J6" i="4" l="1"/>
  <c r="M41" i="10"/>
  <c r="J4" i="4"/>
  <c r="K4" i="2"/>
  <c r="K5" i="2" s="1"/>
  <c r="K6" i="2" s="1"/>
  <c r="K7" i="2" s="1"/>
  <c r="K8" i="2" s="1"/>
  <c r="K9" i="2" s="1"/>
  <c r="K10" i="2" s="1"/>
  <c r="K11" i="2" s="1"/>
  <c r="K12" i="2" s="1"/>
  <c r="K13" i="2" s="1"/>
  <c r="K14" i="2" s="1"/>
  <c r="K15" i="2" s="1"/>
  <c r="K16" i="2" s="1"/>
  <c r="K17" i="2" s="1"/>
  <c r="K43" i="10"/>
  <c r="K44" i="10" s="1"/>
  <c r="L42" i="10"/>
  <c r="P5" i="10"/>
  <c r="O9" i="10"/>
  <c r="O21" i="10" s="1"/>
  <c r="O6" i="10"/>
  <c r="O18" i="10" s="1"/>
  <c r="O7" i="10"/>
  <c r="O19" i="10" s="1"/>
  <c r="O8" i="10"/>
  <c r="O29" i="10" s="1"/>
  <c r="J3" i="4"/>
  <c r="P16" i="10"/>
  <c r="O24" i="10"/>
  <c r="R13" i="10"/>
  <c r="S13" i="10" s="1"/>
  <c r="K40" i="10"/>
  <c r="E30" i="10" s="1"/>
  <c r="M27" i="10"/>
  <c r="M31" i="10"/>
  <c r="N14" i="10"/>
  <c r="M22" i="10"/>
  <c r="P12" i="10"/>
  <c r="Q12" i="10" s="1"/>
  <c r="O20" i="10"/>
  <c r="L43" i="10"/>
  <c r="T10" i="10"/>
  <c r="U10" i="10" s="1"/>
  <c r="P11" i="10"/>
  <c r="Q11" i="10" s="1"/>
  <c r="N30" i="10"/>
  <c r="N34" i="10"/>
  <c r="O17" i="10"/>
  <c r="N32" i="10"/>
  <c r="N28" i="10"/>
  <c r="O15" i="10"/>
  <c r="I4" i="4"/>
  <c r="I6" i="4"/>
  <c r="J2" i="4"/>
  <c r="I3" i="4"/>
  <c r="I5" i="4"/>
  <c r="I7" i="4"/>
  <c r="L44" i="10" l="1"/>
  <c r="O33" i="10"/>
  <c r="P9" i="10"/>
  <c r="P8" i="10"/>
  <c r="P33" i="10" s="1"/>
  <c r="Q5" i="10"/>
  <c r="P6" i="10"/>
  <c r="P7" i="10"/>
  <c r="O41" i="10"/>
  <c r="Q16" i="10"/>
  <c r="N31" i="10"/>
  <c r="N27" i="10"/>
  <c r="O14" i="10"/>
  <c r="R11" i="10"/>
  <c r="S11" i="10" s="1"/>
  <c r="T13" i="10"/>
  <c r="U13" i="10" s="1"/>
  <c r="M42" i="10"/>
  <c r="M43" i="10" s="1"/>
  <c r="M44" i="10" s="1"/>
  <c r="V10" i="10"/>
  <c r="W10" i="10" s="1"/>
  <c r="X10" i="10" s="1"/>
  <c r="Y10" i="10" s="1"/>
  <c r="O28" i="10"/>
  <c r="O32" i="10"/>
  <c r="O23" i="10"/>
  <c r="P15" i="10"/>
  <c r="R12" i="10"/>
  <c r="S12" i="10" s="1"/>
  <c r="O34" i="10"/>
  <c r="O30" i="10"/>
  <c r="O25" i="10"/>
  <c r="P17" i="10"/>
  <c r="P29" i="10" l="1"/>
  <c r="N42" i="10"/>
  <c r="N43" i="10" s="1"/>
  <c r="N44" i="10" s="1"/>
  <c r="Q6" i="10"/>
  <c r="Q18" i="10" s="1"/>
  <c r="Q8" i="10"/>
  <c r="Q20" i="10" s="1"/>
  <c r="R5" i="10"/>
  <c r="Q9" i="10"/>
  <c r="Q21" i="10" s="1"/>
  <c r="Q7" i="10"/>
  <c r="Q19" i="10" s="1"/>
  <c r="P28" i="10"/>
  <c r="P32" i="10"/>
  <c r="Q15" i="10"/>
  <c r="O31" i="10"/>
  <c r="O27" i="10"/>
  <c r="P14" i="10"/>
  <c r="O22" i="10"/>
  <c r="Z10" i="10"/>
  <c r="AA10" i="10" s="1"/>
  <c r="P34" i="10"/>
  <c r="P30" i="10"/>
  <c r="Q17" i="10"/>
  <c r="Q29" i="10"/>
  <c r="R16" i="10"/>
  <c r="V13" i="10"/>
  <c r="W13" i="10" s="1"/>
  <c r="X13" i="10" s="1"/>
  <c r="Y13" i="10" s="1"/>
  <c r="T12" i="10"/>
  <c r="U12" i="10" s="1"/>
  <c r="T11" i="10"/>
  <c r="U11" i="10" s="1"/>
  <c r="Q24" i="10" l="1"/>
  <c r="Q41" i="10"/>
  <c r="Q33" i="10"/>
  <c r="O42" i="10"/>
  <c r="O43" i="10" s="1"/>
  <c r="O44" i="10" s="1"/>
  <c r="R9" i="10"/>
  <c r="R6" i="10"/>
  <c r="R8" i="10"/>
  <c r="R29" i="10" s="1"/>
  <c r="S5" i="10"/>
  <c r="R7" i="10"/>
  <c r="P27" i="10"/>
  <c r="P31" i="10"/>
  <c r="Q14" i="10"/>
  <c r="V11" i="10"/>
  <c r="W11" i="10" s="1"/>
  <c r="X11" i="10" s="1"/>
  <c r="Y11" i="10" s="1"/>
  <c r="Q32" i="10"/>
  <c r="Q28" i="10"/>
  <c r="Q23" i="10"/>
  <c r="R15" i="10"/>
  <c r="AB10" i="10"/>
  <c r="AC10" i="10" s="1"/>
  <c r="S16" i="10"/>
  <c r="Q30" i="10"/>
  <c r="Q34" i="10"/>
  <c r="Q25" i="10"/>
  <c r="R17" i="10"/>
  <c r="Z13" i="10"/>
  <c r="AA13" i="10" s="1"/>
  <c r="V12" i="10"/>
  <c r="W12" i="10" s="1"/>
  <c r="X12" i="10" s="1"/>
  <c r="Y12" i="10" s="1"/>
  <c r="P42" i="10" l="1"/>
  <c r="P43" i="10" s="1"/>
  <c r="P44" i="10" s="1"/>
  <c r="R33" i="10"/>
  <c r="S7" i="10"/>
  <c r="S19" i="10" s="1"/>
  <c r="S8" i="10"/>
  <c r="S20" i="10" s="1"/>
  <c r="T5" i="10"/>
  <c r="S6" i="10"/>
  <c r="S18" i="10" s="1"/>
  <c r="S9" i="10"/>
  <c r="S21" i="10" s="1"/>
  <c r="S33" i="10"/>
  <c r="T16" i="10"/>
  <c r="Z11" i="10"/>
  <c r="AA11" i="10" s="1"/>
  <c r="Z12" i="10"/>
  <c r="AA12" i="10" s="1"/>
  <c r="Q27" i="10"/>
  <c r="Q31" i="10"/>
  <c r="Q22" i="10"/>
  <c r="R14" i="10"/>
  <c r="AD10" i="10"/>
  <c r="AE10" i="10" s="1"/>
  <c r="R32" i="10"/>
  <c r="R28" i="10"/>
  <c r="S15" i="10"/>
  <c r="AB13" i="10"/>
  <c r="AC13" i="10" s="1"/>
  <c r="R34" i="10"/>
  <c r="R30" i="10"/>
  <c r="S17" i="10"/>
  <c r="S24" i="10" l="1"/>
  <c r="S41" i="10"/>
  <c r="T6" i="10"/>
  <c r="U5" i="10"/>
  <c r="T9" i="10"/>
  <c r="T7" i="10"/>
  <c r="T8" i="10"/>
  <c r="T29" i="10" s="1"/>
  <c r="S29" i="10"/>
  <c r="S30" i="10"/>
  <c r="S34" i="10"/>
  <c r="S25" i="10"/>
  <c r="T17" i="10"/>
  <c r="AD13" i="10"/>
  <c r="AE13" i="10" s="1"/>
  <c r="U16" i="10"/>
  <c r="S14" i="10"/>
  <c r="R31" i="10"/>
  <c r="R27" i="10"/>
  <c r="AB11" i="10"/>
  <c r="AC11" i="10" s="1"/>
  <c r="S23" i="10"/>
  <c r="T15" i="10"/>
  <c r="S28" i="10"/>
  <c r="S32" i="10"/>
  <c r="Q42" i="10"/>
  <c r="Q43" i="10" s="1"/>
  <c r="Q44" i="10" s="1"/>
  <c r="AF10" i="10"/>
  <c r="AG10" i="10" s="1"/>
  <c r="AB12" i="10"/>
  <c r="AC12" i="10" s="1"/>
  <c r="T33" i="10" l="1"/>
  <c r="U6" i="10"/>
  <c r="U18" i="10" s="1"/>
  <c r="U7" i="10"/>
  <c r="U19" i="10" s="1"/>
  <c r="U9" i="10"/>
  <c r="U21" i="10" s="1"/>
  <c r="V5" i="10"/>
  <c r="U8" i="10"/>
  <c r="U20" i="10" s="1"/>
  <c r="R42" i="10"/>
  <c r="R43" i="10" s="1"/>
  <c r="R44" i="10" s="1"/>
  <c r="AD11" i="10"/>
  <c r="AE11" i="10" s="1"/>
  <c r="AF13" i="10"/>
  <c r="AG13" i="10" s="1"/>
  <c r="T34" i="10"/>
  <c r="T30" i="10"/>
  <c r="U17" i="10"/>
  <c r="T32" i="10"/>
  <c r="T28" i="10"/>
  <c r="U15" i="10"/>
  <c r="AD12" i="10"/>
  <c r="AE12" i="10" s="1"/>
  <c r="AH10" i="10"/>
  <c r="AI10" i="10" s="1"/>
  <c r="S31" i="10"/>
  <c r="S27" i="10"/>
  <c r="T14" i="10"/>
  <c r="S22" i="10"/>
  <c r="U24" i="10"/>
  <c r="V16" i="10"/>
  <c r="U29" i="10" l="1"/>
  <c r="V8" i="10"/>
  <c r="W5" i="10"/>
  <c r="V6" i="10"/>
  <c r="V7" i="10"/>
  <c r="V9" i="10"/>
  <c r="U33" i="10"/>
  <c r="U41" i="10"/>
  <c r="S42" i="10"/>
  <c r="S43" i="10" s="1"/>
  <c r="S44" i="10" s="1"/>
  <c r="U30" i="10"/>
  <c r="U34" i="10"/>
  <c r="V17" i="10"/>
  <c r="U25" i="10"/>
  <c r="AJ10" i="10"/>
  <c r="AK10" i="10" s="1"/>
  <c r="AF12" i="10"/>
  <c r="AG12" i="10" s="1"/>
  <c r="AH13" i="10"/>
  <c r="AI13" i="10" s="1"/>
  <c r="T31" i="10"/>
  <c r="T27" i="10"/>
  <c r="U14" i="10"/>
  <c r="AF11" i="10"/>
  <c r="AG11" i="10" s="1"/>
  <c r="V29" i="10"/>
  <c r="W16" i="10"/>
  <c r="V33" i="10"/>
  <c r="U32" i="10"/>
  <c r="U28" i="10"/>
  <c r="V15" i="10"/>
  <c r="U23" i="10"/>
  <c r="X5" i="10" l="1"/>
  <c r="W9" i="10"/>
  <c r="W7" i="10"/>
  <c r="W8" i="10"/>
  <c r="W29" i="10" s="1"/>
  <c r="W6" i="10"/>
  <c r="AJ13" i="10"/>
  <c r="AK13" i="10" s="1"/>
  <c r="V34" i="10"/>
  <c r="V30" i="10"/>
  <c r="W17" i="10"/>
  <c r="X16" i="10"/>
  <c r="AH12" i="10"/>
  <c r="AI12" i="10" s="1"/>
  <c r="AH11" i="10"/>
  <c r="AI11" i="10" s="1"/>
  <c r="AL10" i="10"/>
  <c r="AM10" i="10" s="1"/>
  <c r="AN10" i="10" s="1"/>
  <c r="V32" i="10"/>
  <c r="V28" i="10"/>
  <c r="W15" i="10"/>
  <c r="U27" i="10"/>
  <c r="U31" i="10"/>
  <c r="U22" i="10"/>
  <c r="V14" i="10"/>
  <c r="T42" i="10"/>
  <c r="T43" i="10" s="1"/>
  <c r="T44" i="10" s="1"/>
  <c r="W33" i="10" l="1"/>
  <c r="X6" i="10"/>
  <c r="X9" i="10"/>
  <c r="X7" i="10"/>
  <c r="X8" i="10"/>
  <c r="X29" i="10" s="1"/>
  <c r="Y5" i="10"/>
  <c r="AJ12" i="10"/>
  <c r="AK12" i="10" s="1"/>
  <c r="X33" i="10"/>
  <c r="Y16" i="10"/>
  <c r="U42" i="10"/>
  <c r="U43" i="10" s="1"/>
  <c r="U44" i="10" s="1"/>
  <c r="W28" i="10"/>
  <c r="W32" i="10"/>
  <c r="X15" i="10"/>
  <c r="AJ11" i="10"/>
  <c r="AK11" i="10" s="1"/>
  <c r="AO10" i="10"/>
  <c r="AP10" i="10" s="1"/>
  <c r="V31" i="10"/>
  <c r="V27" i="10"/>
  <c r="V42" i="10" s="1"/>
  <c r="V43" i="10" s="1"/>
  <c r="W14" i="10"/>
  <c r="W34" i="10"/>
  <c r="W30" i="10"/>
  <c r="X17" i="10"/>
  <c r="AL13" i="10"/>
  <c r="AM13" i="10" s="1"/>
  <c r="AN13" i="10" s="1"/>
  <c r="V44" i="10" l="1"/>
  <c r="Y8" i="10"/>
  <c r="Y20" i="10" s="1"/>
  <c r="Y9" i="10"/>
  <c r="Y21" i="10" s="1"/>
  <c r="Y7" i="10"/>
  <c r="Y19" i="10" s="1"/>
  <c r="Y6" i="10"/>
  <c r="Y18" i="10" s="1"/>
  <c r="Z5" i="10"/>
  <c r="W31" i="10"/>
  <c r="W27" i="10"/>
  <c r="W42" i="10" s="1"/>
  <c r="W43" i="10" s="1"/>
  <c r="W44" i="10" s="1"/>
  <c r="X14" i="10"/>
  <c r="Y33" i="10"/>
  <c r="Y29" i="10"/>
  <c r="Z16" i="10"/>
  <c r="X32" i="10"/>
  <c r="X28" i="10"/>
  <c r="Y15" i="10"/>
  <c r="AL11" i="10"/>
  <c r="AM11" i="10" s="1"/>
  <c r="AN11" i="10" s="1"/>
  <c r="AO13" i="10"/>
  <c r="AP13" i="10" s="1"/>
  <c r="AQ10" i="10"/>
  <c r="AR10" i="10" s="1"/>
  <c r="AL12" i="10"/>
  <c r="AM12" i="10" s="1"/>
  <c r="AN12" i="10" s="1"/>
  <c r="X34" i="10"/>
  <c r="X30" i="10"/>
  <c r="Y17" i="10"/>
  <c r="Y41" i="10" l="1"/>
  <c r="Z8" i="10"/>
  <c r="Z9" i="10"/>
  <c r="Z6" i="10"/>
  <c r="AA5" i="10"/>
  <c r="Z7" i="10"/>
  <c r="Y24" i="10"/>
  <c r="X31" i="10"/>
  <c r="X27" i="10"/>
  <c r="Y14" i="10"/>
  <c r="AO11" i="10"/>
  <c r="AP11" i="10" s="1"/>
  <c r="Y32" i="10"/>
  <c r="Y28" i="10"/>
  <c r="Y23" i="10"/>
  <c r="Z15" i="10"/>
  <c r="Z29" i="10"/>
  <c r="AA16" i="10"/>
  <c r="Z33" i="10"/>
  <c r="Y34" i="10"/>
  <c r="Y30" i="10"/>
  <c r="Y25" i="10"/>
  <c r="Z17" i="10"/>
  <c r="AO12" i="10"/>
  <c r="AP12" i="10" s="1"/>
  <c r="AS10" i="10"/>
  <c r="AT10" i="10" s="1"/>
  <c r="AQ13" i="10"/>
  <c r="AR13" i="10" s="1"/>
  <c r="X42" i="10" l="1"/>
  <c r="X43" i="10" s="1"/>
  <c r="X44" i="10" s="1"/>
  <c r="AA9" i="10"/>
  <c r="AA21" i="10" s="1"/>
  <c r="AA8" i="10"/>
  <c r="AA20" i="10" s="1"/>
  <c r="AA6" i="10"/>
  <c r="AA18" i="10" s="1"/>
  <c r="AB5" i="10"/>
  <c r="AA7" i="10"/>
  <c r="AA19" i="10" s="1"/>
  <c r="Y31" i="10"/>
  <c r="Y27" i="10"/>
  <c r="Y22" i="10"/>
  <c r="Z14" i="10"/>
  <c r="AU10" i="10"/>
  <c r="AV10" i="10" s="1"/>
  <c r="AS13" i="10"/>
  <c r="AT13" i="10" s="1"/>
  <c r="AQ11" i="10"/>
  <c r="AR11" i="10" s="1"/>
  <c r="AA33" i="10"/>
  <c r="AA29" i="10"/>
  <c r="AA24" i="10"/>
  <c r="AB16" i="10"/>
  <c r="AQ12" i="10"/>
  <c r="AR12" i="10" s="1"/>
  <c r="Z32" i="10"/>
  <c r="Z28" i="10"/>
  <c r="AA15" i="10"/>
  <c r="Z34" i="10"/>
  <c r="Z30" i="10"/>
  <c r="AA17" i="10"/>
  <c r="AC5" i="10" l="1"/>
  <c r="AB8" i="10"/>
  <c r="AB33" i="10" s="1"/>
  <c r="AB9" i="10"/>
  <c r="AB6" i="10"/>
  <c r="AB7" i="10"/>
  <c r="AA41" i="10"/>
  <c r="Y42" i="10"/>
  <c r="Y43" i="10" s="1"/>
  <c r="Y44" i="10" s="1"/>
  <c r="AW10" i="10"/>
  <c r="AX10" i="10" s="1"/>
  <c r="AU13" i="10"/>
  <c r="AV13" i="10" s="1"/>
  <c r="Z31" i="10"/>
  <c r="AA14" i="10"/>
  <c r="Z27" i="10"/>
  <c r="Z42" i="10" s="1"/>
  <c r="Z43" i="10" s="1"/>
  <c r="AA30" i="10"/>
  <c r="AA25" i="10"/>
  <c r="AA34" i="10"/>
  <c r="AB17" i="10"/>
  <c r="AB29" i="10"/>
  <c r="AC16" i="10"/>
  <c r="AS11" i="10"/>
  <c r="AT11" i="10" s="1"/>
  <c r="AS12" i="10"/>
  <c r="AT12" i="10" s="1"/>
  <c r="AA28" i="10"/>
  <c r="AA23" i="10"/>
  <c r="AA32" i="10"/>
  <c r="AB15" i="10"/>
  <c r="Z44" i="10" l="1"/>
  <c r="AC8" i="10"/>
  <c r="AC20" i="10" s="1"/>
  <c r="AC6" i="10"/>
  <c r="AC18" i="10" s="1"/>
  <c r="AC9" i="10"/>
  <c r="AC21" i="10" s="1"/>
  <c r="AC7" i="10"/>
  <c r="AC19" i="10" s="1"/>
  <c r="AD5" i="10"/>
  <c r="AA31" i="10"/>
  <c r="AB14" i="10"/>
  <c r="AA27" i="10"/>
  <c r="AA22" i="10"/>
  <c r="AU12" i="10"/>
  <c r="AV12" i="10" s="1"/>
  <c r="AC33" i="10"/>
  <c r="AC29" i="10"/>
  <c r="AC24" i="10"/>
  <c r="AD16" i="10"/>
  <c r="AW13" i="10"/>
  <c r="AX13" i="10" s="1"/>
  <c r="AB28" i="10"/>
  <c r="AB32" i="10"/>
  <c r="AC15" i="10"/>
  <c r="AB34" i="10"/>
  <c r="AB30" i="10"/>
  <c r="AC17" i="10"/>
  <c r="AY10" i="10"/>
  <c r="AZ10" i="10" s="1"/>
  <c r="AU11" i="10"/>
  <c r="AV11" i="10" s="1"/>
  <c r="AC41" i="10" l="1"/>
  <c r="AD7" i="10"/>
  <c r="AE5" i="10"/>
  <c r="AD6" i="10"/>
  <c r="AD8" i="10"/>
  <c r="AD29" i="10" s="1"/>
  <c r="AD9" i="10"/>
  <c r="AA42" i="10"/>
  <c r="AA43" i="10" s="1"/>
  <c r="AA44" i="10" s="1"/>
  <c r="AC28" i="10"/>
  <c r="AC32" i="10"/>
  <c r="AD15" i="10"/>
  <c r="AC23" i="10"/>
  <c r="AW12" i="10"/>
  <c r="AX12" i="10" s="1"/>
  <c r="AY13" i="10"/>
  <c r="AZ13" i="10" s="1"/>
  <c r="AC30" i="10"/>
  <c r="AC25" i="10"/>
  <c r="AD17" i="10"/>
  <c r="AC34" i="10"/>
  <c r="AE16" i="10"/>
  <c r="AB27" i="10"/>
  <c r="AB31" i="10"/>
  <c r="AC14" i="10"/>
  <c r="AW11" i="10"/>
  <c r="AX11" i="10" s="1"/>
  <c r="BA10" i="10"/>
  <c r="BB10" i="10" s="1"/>
  <c r="BC10" i="10" s="1"/>
  <c r="BD10" i="10" s="1"/>
  <c r="AD33" i="10" l="1"/>
  <c r="AF5" i="10"/>
  <c r="AE6" i="10"/>
  <c r="AE18" i="10" s="1"/>
  <c r="AE9" i="10"/>
  <c r="AE21" i="10" s="1"/>
  <c r="AE7" i="10"/>
  <c r="AE19" i="10" s="1"/>
  <c r="AE8" i="10"/>
  <c r="AE20" i="10" s="1"/>
  <c r="AY12" i="10"/>
  <c r="AZ12" i="10" s="1"/>
  <c r="AB42" i="10"/>
  <c r="AB43" i="10" s="1"/>
  <c r="AB44" i="10" s="1"/>
  <c r="AD32" i="10"/>
  <c r="AD28" i="10"/>
  <c r="AE15" i="10"/>
  <c r="AC31" i="10"/>
  <c r="AC22" i="10"/>
  <c r="AC27" i="10"/>
  <c r="AD14" i="10"/>
  <c r="BA13" i="10"/>
  <c r="BB13" i="10" s="1"/>
  <c r="BC13" i="10" s="1"/>
  <c r="BD13" i="10" s="1"/>
  <c r="BE10" i="10"/>
  <c r="BF10" i="10" s="1"/>
  <c r="AF16" i="10"/>
  <c r="AY11" i="10"/>
  <c r="AZ11" i="10" s="1"/>
  <c r="AD34" i="10"/>
  <c r="AD30" i="10"/>
  <c r="AE17" i="10"/>
  <c r="AE33" i="10" l="1"/>
  <c r="AE29" i="10"/>
  <c r="AE41" i="10"/>
  <c r="AE24" i="10"/>
  <c r="AF9" i="10"/>
  <c r="AF8" i="10"/>
  <c r="AF29" i="10" s="1"/>
  <c r="AG5" i="10"/>
  <c r="AF7" i="10"/>
  <c r="AF6" i="10"/>
  <c r="AG16" i="10"/>
  <c r="AE28" i="10"/>
  <c r="AE32" i="10"/>
  <c r="AE23" i="10"/>
  <c r="AF15" i="10"/>
  <c r="BE13" i="10"/>
  <c r="BF13" i="10" s="1"/>
  <c r="BG10" i="10"/>
  <c r="BH10" i="10" s="1"/>
  <c r="AD31" i="10"/>
  <c r="AD27" i="10"/>
  <c r="AD42" i="10" s="1"/>
  <c r="AD43" i="10" s="1"/>
  <c r="AE14" i="10"/>
  <c r="BA12" i="10"/>
  <c r="BB12" i="10" s="1"/>
  <c r="BC12" i="10" s="1"/>
  <c r="BD12" i="10" s="1"/>
  <c r="AE34" i="10"/>
  <c r="AE30" i="10"/>
  <c r="AF17" i="10"/>
  <c r="AE25" i="10"/>
  <c r="BA11" i="10"/>
  <c r="BB11" i="10" s="1"/>
  <c r="BC11" i="10" s="1"/>
  <c r="BD11" i="10" s="1"/>
  <c r="AC42" i="10"/>
  <c r="AC43" i="10" s="1"/>
  <c r="AC44" i="10" s="1"/>
  <c r="AF33" i="10" l="1"/>
  <c r="AD44" i="10"/>
  <c r="AH5" i="10"/>
  <c r="AG7" i="10"/>
  <c r="AG19" i="10" s="1"/>
  <c r="AG8" i="10"/>
  <c r="AG20" i="10" s="1"/>
  <c r="AG9" i="10"/>
  <c r="AG21" i="10" s="1"/>
  <c r="AG6" i="10"/>
  <c r="AG18" i="10" s="1"/>
  <c r="AG41" i="10" s="1"/>
  <c r="BE12" i="10"/>
  <c r="BF12" i="10" s="1"/>
  <c r="AF32" i="10"/>
  <c r="AF28" i="10"/>
  <c r="AG15" i="10"/>
  <c r="BG13" i="10"/>
  <c r="BH13" i="10" s="1"/>
  <c r="AG29" i="10"/>
  <c r="AG24" i="10"/>
  <c r="AH16" i="10"/>
  <c r="AF34" i="10"/>
  <c r="AF30" i="10"/>
  <c r="AG17" i="10"/>
  <c r="AE31" i="10"/>
  <c r="AE27" i="10"/>
  <c r="AF14" i="10"/>
  <c r="AE22" i="10"/>
  <c r="BE11" i="10"/>
  <c r="BF11" i="10" s="1"/>
  <c r="BI10" i="10"/>
  <c r="BJ10" i="10" s="1"/>
  <c r="AG33" i="10" l="1"/>
  <c r="AI5" i="10"/>
  <c r="AH9" i="10"/>
  <c r="AH8" i="10"/>
  <c r="AH29" i="10" s="1"/>
  <c r="AH7" i="10"/>
  <c r="AH6" i="10"/>
  <c r="BI13" i="10"/>
  <c r="BJ13" i="10" s="1"/>
  <c r="BG12" i="10"/>
  <c r="BH12" i="10" s="1"/>
  <c r="AE42" i="10"/>
  <c r="AE43" i="10" s="1"/>
  <c r="AE44" i="10" s="1"/>
  <c r="AG32" i="10"/>
  <c r="AG23" i="10"/>
  <c r="AG28" i="10"/>
  <c r="AH15" i="10"/>
  <c r="AH33" i="10"/>
  <c r="AI16" i="10"/>
  <c r="BG11" i="10"/>
  <c r="BH11" i="10" s="1"/>
  <c r="AF27" i="10"/>
  <c r="AF31" i="10"/>
  <c r="AG14" i="10"/>
  <c r="AG30" i="10"/>
  <c r="AG34" i="10"/>
  <c r="AG25" i="10"/>
  <c r="AH17" i="10"/>
  <c r="BK10" i="10"/>
  <c r="BL10" i="10" s="1"/>
  <c r="AJ5" i="10" l="1"/>
  <c r="AI7" i="10"/>
  <c r="AI19" i="10" s="1"/>
  <c r="AI6" i="10"/>
  <c r="AI18" i="10" s="1"/>
  <c r="AI8" i="10"/>
  <c r="AI20" i="10" s="1"/>
  <c r="AI9" i="10"/>
  <c r="AI21" i="10" s="1"/>
  <c r="AH32" i="10"/>
  <c r="AH28" i="10"/>
  <c r="AI15" i="10"/>
  <c r="AF42" i="10"/>
  <c r="AF43" i="10" s="1"/>
  <c r="AH30" i="10"/>
  <c r="AH34" i="10"/>
  <c r="AI17" i="10"/>
  <c r="BM10" i="10"/>
  <c r="BN10" i="10" s="1"/>
  <c r="AF44" i="10"/>
  <c r="AG27" i="10"/>
  <c r="AG31" i="10"/>
  <c r="AG22" i="10"/>
  <c r="AH14" i="10"/>
  <c r="BI11" i="10"/>
  <c r="BJ11" i="10" s="1"/>
  <c r="AJ16" i="10"/>
  <c r="BI12" i="10"/>
  <c r="BJ12" i="10" s="1"/>
  <c r="BK13" i="10"/>
  <c r="BL13" i="10" s="1"/>
  <c r="AI41" i="10" l="1"/>
  <c r="AI29" i="10"/>
  <c r="AG42" i="10"/>
  <c r="AG43" i="10" s="1"/>
  <c r="AI24" i="10"/>
  <c r="AI33" i="10"/>
  <c r="AJ9" i="10"/>
  <c r="AJ7" i="10"/>
  <c r="AJ6" i="10"/>
  <c r="AJ8" i="10"/>
  <c r="AJ33" i="10" s="1"/>
  <c r="AK5" i="10"/>
  <c r="BM13" i="10"/>
  <c r="BN13" i="10" s="1"/>
  <c r="AI34" i="10"/>
  <c r="AI25" i="10"/>
  <c r="AI30" i="10"/>
  <c r="AJ17" i="10"/>
  <c r="AI32" i="10"/>
  <c r="AI23" i="10"/>
  <c r="AJ15" i="10"/>
  <c r="AI28" i="10"/>
  <c r="AH27" i="10"/>
  <c r="AH31" i="10"/>
  <c r="AI14" i="10"/>
  <c r="AG44" i="10"/>
  <c r="BO10" i="10"/>
  <c r="BP10" i="10" s="1"/>
  <c r="BK11" i="10"/>
  <c r="BL11" i="10" s="1"/>
  <c r="BK12" i="10"/>
  <c r="BL12" i="10" s="1"/>
  <c r="AJ29" i="10"/>
  <c r="AK16" i="10"/>
  <c r="AK7" i="10" l="1"/>
  <c r="AK19" i="10" s="1"/>
  <c r="AK8" i="10"/>
  <c r="AK20" i="10" s="1"/>
  <c r="AL5" i="10"/>
  <c r="AK6" i="10"/>
  <c r="AK18" i="10" s="1"/>
  <c r="AK9" i="10"/>
  <c r="AK21" i="10" s="1"/>
  <c r="AK33" i="10"/>
  <c r="AK24" i="10"/>
  <c r="AK29" i="10"/>
  <c r="AL16" i="10"/>
  <c r="BM12" i="10"/>
  <c r="BN12" i="10" s="1"/>
  <c r="BM11" i="10"/>
  <c r="BN11" i="10" s="1"/>
  <c r="AI31" i="10"/>
  <c r="AI27" i="10"/>
  <c r="AJ14" i="10"/>
  <c r="AI22" i="10"/>
  <c r="AH42" i="10"/>
  <c r="AH43" i="10" s="1"/>
  <c r="AH44" i="10" s="1"/>
  <c r="BO13" i="10"/>
  <c r="BP13" i="10" s="1"/>
  <c r="AJ30" i="10"/>
  <c r="AJ34" i="10"/>
  <c r="AK17" i="10"/>
  <c r="BQ10" i="10"/>
  <c r="BR10" i="10" s="1"/>
  <c r="BS10" i="10" s="1"/>
  <c r="BT10" i="10" s="1"/>
  <c r="AJ32" i="10"/>
  <c r="AJ28" i="10"/>
  <c r="AK15" i="10"/>
  <c r="AK41" i="10" l="1"/>
  <c r="AM5" i="10"/>
  <c r="AL8" i="10"/>
  <c r="AL33" i="10" s="1"/>
  <c r="AL9" i="10"/>
  <c r="AL6" i="10"/>
  <c r="AL7" i="10"/>
  <c r="AK32" i="10"/>
  <c r="AK28" i="10"/>
  <c r="AL15" i="10"/>
  <c r="AK23" i="10"/>
  <c r="BU10" i="10"/>
  <c r="BV10" i="10" s="1"/>
  <c r="AM16" i="10"/>
  <c r="AJ31" i="10"/>
  <c r="AJ27" i="10"/>
  <c r="AK14" i="10"/>
  <c r="BQ13" i="10"/>
  <c r="BR13" i="10" s="1"/>
  <c r="BS13" i="10" s="1"/>
  <c r="BT13" i="10" s="1"/>
  <c r="AK30" i="10"/>
  <c r="AK34" i="10"/>
  <c r="AL17" i="10"/>
  <c r="AK25" i="10"/>
  <c r="AI42" i="10"/>
  <c r="AI43" i="10" s="1"/>
  <c r="AI44" i="10" s="1"/>
  <c r="BO11" i="10"/>
  <c r="BP11" i="10" s="1"/>
  <c r="BO12" i="10"/>
  <c r="BP12" i="10" s="1"/>
  <c r="AM9" i="10" l="1"/>
  <c r="AM6" i="10"/>
  <c r="AM7" i="10"/>
  <c r="AM8" i="10"/>
  <c r="AM29" i="10" s="1"/>
  <c r="AN5" i="10"/>
  <c r="AL29" i="10"/>
  <c r="AL30" i="10"/>
  <c r="AL34" i="10"/>
  <c r="AM17" i="10"/>
  <c r="AN16" i="10"/>
  <c r="BQ12" i="10"/>
  <c r="BR12" i="10" s="1"/>
  <c r="BS12" i="10" s="1"/>
  <c r="BT12" i="10" s="1"/>
  <c r="BU13" i="10"/>
  <c r="BV13" i="10" s="1"/>
  <c r="BW10" i="10"/>
  <c r="BX10" i="10" s="1"/>
  <c r="BQ11" i="10"/>
  <c r="BR11" i="10" s="1"/>
  <c r="BS11" i="10" s="1"/>
  <c r="BT11" i="10" s="1"/>
  <c r="AK31" i="10"/>
  <c r="AK27" i="10"/>
  <c r="AK22" i="10"/>
  <c r="AL14" i="10"/>
  <c r="AJ42" i="10"/>
  <c r="AJ43" i="10" s="1"/>
  <c r="AJ44" i="10" s="1"/>
  <c r="AL32" i="10"/>
  <c r="AL28" i="10"/>
  <c r="AM15" i="10"/>
  <c r="AM33" i="10" l="1"/>
  <c r="AO5" i="10"/>
  <c r="AN7" i="10"/>
  <c r="AN19" i="10" s="1"/>
  <c r="AN6" i="10"/>
  <c r="AN18" i="10" s="1"/>
  <c r="AN8" i="10"/>
  <c r="AN20" i="10" s="1"/>
  <c r="AN9" i="10"/>
  <c r="AN21" i="10" s="1"/>
  <c r="BY10" i="10"/>
  <c r="BZ10" i="10" s="1"/>
  <c r="AM28" i="10"/>
  <c r="AM32" i="10"/>
  <c r="AN15" i="10"/>
  <c r="BU11" i="10"/>
  <c r="BV11" i="10" s="1"/>
  <c r="BU12" i="10"/>
  <c r="BV12" i="10" s="1"/>
  <c r="AK42" i="10"/>
  <c r="AK43" i="10" s="1"/>
  <c r="AK44" i="10" s="1"/>
  <c r="AN33" i="10"/>
  <c r="AN29" i="10"/>
  <c r="AO16" i="10"/>
  <c r="BW13" i="10"/>
  <c r="BX13" i="10" s="1"/>
  <c r="AM34" i="10"/>
  <c r="AM30" i="10"/>
  <c r="AN17" i="10"/>
  <c r="AL31" i="10"/>
  <c r="AL27" i="10"/>
  <c r="AL42" i="10" s="1"/>
  <c r="AL43" i="10" s="1"/>
  <c r="AM14" i="10"/>
  <c r="AN41" i="10" l="1"/>
  <c r="AN24" i="10"/>
  <c r="AL44" i="10"/>
  <c r="AO9" i="10"/>
  <c r="AO8" i="10"/>
  <c r="AO33" i="10" s="1"/>
  <c r="AO7" i="10"/>
  <c r="AO6" i="10"/>
  <c r="AP5" i="10"/>
  <c r="BW11" i="10"/>
  <c r="BX11" i="10" s="1"/>
  <c r="CA10" i="10"/>
  <c r="CB10" i="10" s="1"/>
  <c r="AN28" i="10"/>
  <c r="AN32" i="10"/>
  <c r="AN23" i="10"/>
  <c r="AO15" i="10"/>
  <c r="AM31" i="10"/>
  <c r="AN14" i="10"/>
  <c r="AM27" i="10"/>
  <c r="AN34" i="10"/>
  <c r="AN30" i="10"/>
  <c r="AO17" i="10"/>
  <c r="AN25" i="10"/>
  <c r="BY13" i="10"/>
  <c r="BZ13" i="10" s="1"/>
  <c r="AO29" i="10"/>
  <c r="AP16" i="10"/>
  <c r="BW12" i="10"/>
  <c r="BX12" i="10" s="1"/>
  <c r="AM42" i="10" l="1"/>
  <c r="AM43" i="10" s="1"/>
  <c r="AM44" i="10" s="1"/>
  <c r="AQ5" i="10"/>
  <c r="AP7" i="10"/>
  <c r="AP19" i="10" s="1"/>
  <c r="AP9" i="10"/>
  <c r="AP21" i="10" s="1"/>
  <c r="AP6" i="10"/>
  <c r="AP18" i="10" s="1"/>
  <c r="AP8" i="10"/>
  <c r="AP20" i="10" s="1"/>
  <c r="AP29" i="10"/>
  <c r="AP24" i="10"/>
  <c r="AP33" i="10"/>
  <c r="AQ16" i="10"/>
  <c r="BY11" i="10"/>
  <c r="BZ11" i="10" s="1"/>
  <c r="AO30" i="10"/>
  <c r="AO34" i="10"/>
  <c r="AP17" i="10"/>
  <c r="BY12" i="10"/>
  <c r="BZ12" i="10" s="1"/>
  <c r="CC10" i="10"/>
  <c r="CD10" i="10" s="1"/>
  <c r="AN27" i="10"/>
  <c r="AN31" i="10"/>
  <c r="AN22" i="10"/>
  <c r="AO14" i="10"/>
  <c r="CA13" i="10"/>
  <c r="CB13" i="10" s="1"/>
  <c r="AO32" i="10"/>
  <c r="AO28" i="10"/>
  <c r="AP15" i="10"/>
  <c r="AP41" i="10" l="1"/>
  <c r="AR5" i="10"/>
  <c r="AQ7" i="10"/>
  <c r="AQ9" i="10"/>
  <c r="AQ6" i="10"/>
  <c r="AQ8" i="10"/>
  <c r="AQ33" i="10" s="1"/>
  <c r="CA11" i="10"/>
  <c r="CB11" i="10" s="1"/>
  <c r="AQ29" i="10"/>
  <c r="AR16" i="10"/>
  <c r="AO27" i="10"/>
  <c r="AO31" i="10"/>
  <c r="AP14" i="10"/>
  <c r="AP32" i="10"/>
  <c r="AP28" i="10"/>
  <c r="AP23" i="10"/>
  <c r="AQ15" i="10"/>
  <c r="CE10" i="10"/>
  <c r="CF10" i="10" s="1"/>
  <c r="AN42" i="10"/>
  <c r="AN43" i="10" s="1"/>
  <c r="AN44" i="10" s="1"/>
  <c r="AP34" i="10"/>
  <c r="AP30" i="10"/>
  <c r="AP25" i="10"/>
  <c r="AQ17" i="10"/>
  <c r="CC13" i="10"/>
  <c r="CD13" i="10" s="1"/>
  <c r="CA12" i="10"/>
  <c r="CB12" i="10" s="1"/>
  <c r="AR6" i="10" l="1"/>
  <c r="AR18" i="10" s="1"/>
  <c r="AR7" i="10"/>
  <c r="AR19" i="10" s="1"/>
  <c r="AR9" i="10"/>
  <c r="AR21" i="10" s="1"/>
  <c r="AR8" i="10"/>
  <c r="AR20" i="10" s="1"/>
  <c r="AS5" i="10"/>
  <c r="AP27" i="10"/>
  <c r="AP31" i="10"/>
  <c r="AQ14" i="10"/>
  <c r="AP22" i="10"/>
  <c r="AO42" i="10"/>
  <c r="AO43" i="10" s="1"/>
  <c r="AO44" i="10" s="1"/>
  <c r="AR29" i="10"/>
  <c r="AS16" i="10"/>
  <c r="CE13" i="10"/>
  <c r="CF13" i="10" s="1"/>
  <c r="CG10" i="10"/>
  <c r="CH10" i="10" s="1"/>
  <c r="CI10" i="10" s="1"/>
  <c r="CC12" i="10"/>
  <c r="CD12" i="10" s="1"/>
  <c r="AQ32" i="10"/>
  <c r="AR15" i="10"/>
  <c r="AQ28" i="10"/>
  <c r="AQ34" i="10"/>
  <c r="AQ30" i="10"/>
  <c r="AR17" i="10"/>
  <c r="CC11" i="10"/>
  <c r="CD11" i="10" s="1"/>
  <c r="AR24" i="10" l="1"/>
  <c r="AR33" i="10"/>
  <c r="AS8" i="10"/>
  <c r="AS7" i="10"/>
  <c r="AS6" i="10"/>
  <c r="AS9" i="10"/>
  <c r="AT5" i="10"/>
  <c r="AR41" i="10"/>
  <c r="CE12" i="10"/>
  <c r="CF12" i="10" s="1"/>
  <c r="AR30" i="10"/>
  <c r="AR34" i="10"/>
  <c r="AR25" i="10"/>
  <c r="AS17" i="10"/>
  <c r="CG13" i="10"/>
  <c r="CH13" i="10" s="1"/>
  <c r="CI13" i="10" s="1"/>
  <c r="AQ31" i="10"/>
  <c r="AR14" i="10"/>
  <c r="AQ27" i="10"/>
  <c r="AR28" i="10"/>
  <c r="AR23" i="10"/>
  <c r="AS15" i="10"/>
  <c r="AR32" i="10"/>
  <c r="CE11" i="10"/>
  <c r="CF11" i="10" s="1"/>
  <c r="AS33" i="10"/>
  <c r="AS29" i="10"/>
  <c r="AT16" i="10"/>
  <c r="AP42" i="10"/>
  <c r="AP43" i="10" s="1"/>
  <c r="AP44" i="10" s="1"/>
  <c r="AQ42" i="10" l="1"/>
  <c r="AQ43" i="10" s="1"/>
  <c r="AT7" i="10"/>
  <c r="AT19" i="10" s="1"/>
  <c r="AT9" i="10"/>
  <c r="AT21" i="10" s="1"/>
  <c r="AU5" i="10"/>
  <c r="AT6" i="10"/>
  <c r="AT18" i="10" s="1"/>
  <c r="AT8" i="10"/>
  <c r="AT20" i="10" s="1"/>
  <c r="AQ44" i="10"/>
  <c r="CG11" i="10"/>
  <c r="CH11" i="10" s="1"/>
  <c r="CI11" i="10" s="1"/>
  <c r="AS32" i="10"/>
  <c r="AT15" i="10"/>
  <c r="AS28" i="10"/>
  <c r="AR31" i="10"/>
  <c r="AR27" i="10"/>
  <c r="AR22" i="10"/>
  <c r="AS14" i="10"/>
  <c r="AT33" i="10"/>
  <c r="AU16" i="10"/>
  <c r="AS30" i="10"/>
  <c r="AS34" i="10"/>
  <c r="AT17" i="10"/>
  <c r="CG12" i="10"/>
  <c r="CH12" i="10" s="1"/>
  <c r="CI12" i="10" s="1"/>
  <c r="AT29" i="10" l="1"/>
  <c r="AR42" i="10"/>
  <c r="AR43" i="10" s="1"/>
  <c r="AR44" i="10" s="1"/>
  <c r="AU7" i="10"/>
  <c r="AU8" i="10"/>
  <c r="AU29" i="10" s="1"/>
  <c r="AU9" i="10"/>
  <c r="AV5" i="10"/>
  <c r="AU6" i="10"/>
  <c r="AT41" i="10"/>
  <c r="AT24" i="10"/>
  <c r="AV16" i="10"/>
  <c r="AT30" i="10"/>
  <c r="AT34" i="10"/>
  <c r="AT25" i="10"/>
  <c r="AU17" i="10"/>
  <c r="AS31" i="10"/>
  <c r="AS27" i="10"/>
  <c r="AT14" i="10"/>
  <c r="AT32" i="10"/>
  <c r="AT28" i="10"/>
  <c r="AU15" i="10"/>
  <c r="AT23" i="10"/>
  <c r="AV8" i="10" l="1"/>
  <c r="AV20" i="10" s="1"/>
  <c r="AV9" i="10"/>
  <c r="AV21" i="10" s="1"/>
  <c r="AW5" i="10"/>
  <c r="AV6" i="10"/>
  <c r="AV18" i="10" s="1"/>
  <c r="AV7" i="10"/>
  <c r="AV19" i="10" s="1"/>
  <c r="AU33" i="10"/>
  <c r="AS42" i="10"/>
  <c r="AS43" i="10" s="1"/>
  <c r="AS44" i="10" s="1"/>
  <c r="AU34" i="10"/>
  <c r="AU30" i="10"/>
  <c r="AV17" i="10"/>
  <c r="AU28" i="10"/>
  <c r="AU32" i="10"/>
  <c r="AV15" i="10"/>
  <c r="AV33" i="10"/>
  <c r="AV29" i="10"/>
  <c r="AW16" i="10"/>
  <c r="AV24" i="10"/>
  <c r="AT31" i="10"/>
  <c r="AT27" i="10"/>
  <c r="AT22" i="10"/>
  <c r="AU14" i="10"/>
  <c r="AT42" i="10" l="1"/>
  <c r="AT43" i="10" s="1"/>
  <c r="AT44" i="10" s="1"/>
  <c r="AV41" i="10"/>
  <c r="AX5" i="10"/>
  <c r="AW8" i="10"/>
  <c r="AW33" i="10" s="1"/>
  <c r="AW7" i="10"/>
  <c r="AW6" i="10"/>
  <c r="AW9" i="10"/>
  <c r="AV34" i="10"/>
  <c r="AW17" i="10"/>
  <c r="AV25" i="10"/>
  <c r="AV30" i="10"/>
  <c r="AW29" i="10"/>
  <c r="AX16" i="10"/>
  <c r="AU31" i="10"/>
  <c r="AU27" i="10"/>
  <c r="AV14" i="10"/>
  <c r="AV32" i="10"/>
  <c r="AV28" i="10"/>
  <c r="AV23" i="10"/>
  <c r="AW15" i="10"/>
  <c r="AX7" i="10" l="1"/>
  <c r="AX19" i="10" s="1"/>
  <c r="AX8" i="10"/>
  <c r="AX20" i="10" s="1"/>
  <c r="AX9" i="10"/>
  <c r="AX21" i="10" s="1"/>
  <c r="AX6" i="10"/>
  <c r="AX18" i="10" s="1"/>
  <c r="AY5" i="10"/>
  <c r="AV27" i="10"/>
  <c r="AV31" i="10"/>
  <c r="AV22" i="10"/>
  <c r="AW14" i="10"/>
  <c r="AW30" i="10"/>
  <c r="AW34" i="10"/>
  <c r="AX17" i="10"/>
  <c r="AU42" i="10"/>
  <c r="AU43" i="10" s="1"/>
  <c r="AU44" i="10" s="1"/>
  <c r="AW32" i="10"/>
  <c r="AW28" i="10"/>
  <c r="AX15" i="10"/>
  <c r="AX33" i="10"/>
  <c r="AX29" i="10"/>
  <c r="AX24" i="10"/>
  <c r="AY16" i="10"/>
  <c r="AY9" i="10" l="1"/>
  <c r="AY8" i="10"/>
  <c r="AY33" i="10" s="1"/>
  <c r="AZ5" i="10"/>
  <c r="AY6" i="10"/>
  <c r="AY7" i="10"/>
  <c r="AX41" i="10"/>
  <c r="AY29" i="10"/>
  <c r="AZ16" i="10"/>
  <c r="AX32" i="10"/>
  <c r="AX28" i="10"/>
  <c r="AX23" i="10"/>
  <c r="AY15" i="10"/>
  <c r="AX34" i="10"/>
  <c r="AX30" i="10"/>
  <c r="AX25" i="10"/>
  <c r="AY17" i="10"/>
  <c r="AW27" i="10"/>
  <c r="AW31" i="10"/>
  <c r="AX14" i="10"/>
  <c r="AV42" i="10"/>
  <c r="AV43" i="10" s="1"/>
  <c r="AV44" i="10" s="1"/>
  <c r="BA5" i="10" l="1"/>
  <c r="AZ8" i="10"/>
  <c r="AZ20" i="10" s="1"/>
  <c r="AZ7" i="10"/>
  <c r="AZ19" i="10" s="1"/>
  <c r="AZ9" i="10"/>
  <c r="AZ21" i="10" s="1"/>
  <c r="AZ6" i="10"/>
  <c r="AZ18" i="10" s="1"/>
  <c r="AW42" i="10"/>
  <c r="AW43" i="10" s="1"/>
  <c r="AW44" i="10" s="1"/>
  <c r="AX31" i="10"/>
  <c r="AX27" i="10"/>
  <c r="AX22" i="10"/>
  <c r="AY14" i="10"/>
  <c r="AY30" i="10"/>
  <c r="AY34" i="10"/>
  <c r="AZ17" i="10"/>
  <c r="AY32" i="10"/>
  <c r="AY28" i="10"/>
  <c r="AZ15" i="10"/>
  <c r="AZ33" i="10"/>
  <c r="AZ29" i="10"/>
  <c r="BA16" i="10"/>
  <c r="AZ41" i="10" l="1"/>
  <c r="AZ24" i="10"/>
  <c r="BB5" i="10"/>
  <c r="BA9" i="10"/>
  <c r="BA8" i="10"/>
  <c r="BA29" i="10" s="1"/>
  <c r="BA6" i="10"/>
  <c r="BA7" i="10"/>
  <c r="BA33" i="10"/>
  <c r="BB16" i="10"/>
  <c r="AY31" i="10"/>
  <c r="AY27" i="10"/>
  <c r="AZ14" i="10"/>
  <c r="AZ28" i="10"/>
  <c r="AZ23" i="10"/>
  <c r="AZ32" i="10"/>
  <c r="BA15" i="10"/>
  <c r="AX42" i="10"/>
  <c r="AX43" i="10" s="1"/>
  <c r="AX44" i="10" s="1"/>
  <c r="AZ30" i="10"/>
  <c r="AZ34" i="10"/>
  <c r="AZ25" i="10"/>
  <c r="BA17" i="10"/>
  <c r="AY42" i="10" l="1"/>
  <c r="AY43" i="10" s="1"/>
  <c r="AY44" i="10" s="1"/>
  <c r="BB6" i="10"/>
  <c r="BB7" i="10"/>
  <c r="BB9" i="10"/>
  <c r="BB8" i="10"/>
  <c r="BB29" i="10" s="1"/>
  <c r="BC5" i="10"/>
  <c r="AZ31" i="10"/>
  <c r="AZ27" i="10"/>
  <c r="AZ22" i="10"/>
  <c r="BA14" i="10"/>
  <c r="BA30" i="10"/>
  <c r="BA34" i="10"/>
  <c r="BB17" i="10"/>
  <c r="BC16" i="10"/>
  <c r="BA32" i="10"/>
  <c r="BA28" i="10"/>
  <c r="BB15" i="10"/>
  <c r="AZ42" i="10" l="1"/>
  <c r="AZ43" i="10" s="1"/>
  <c r="AZ44" i="10" s="1"/>
  <c r="BC7" i="10"/>
  <c r="BC8" i="10"/>
  <c r="BC6" i="10"/>
  <c r="BD5" i="10"/>
  <c r="BC9" i="10"/>
  <c r="BB33" i="10"/>
  <c r="BB30" i="10"/>
  <c r="BB34" i="10"/>
  <c r="BC17" i="10"/>
  <c r="BB32" i="10"/>
  <c r="BB28" i="10"/>
  <c r="BC15" i="10"/>
  <c r="BA27" i="10"/>
  <c r="BA31" i="10"/>
  <c r="BB14" i="10"/>
  <c r="BC29" i="10"/>
  <c r="BC33" i="10"/>
  <c r="BD16" i="10"/>
  <c r="BD9" i="10" l="1"/>
  <c r="BD21" i="10" s="1"/>
  <c r="BD8" i="10"/>
  <c r="BD20" i="10" s="1"/>
  <c r="BE5" i="10"/>
  <c r="BD7" i="10"/>
  <c r="BD19" i="10" s="1"/>
  <c r="BD6" i="10"/>
  <c r="BD18" i="10" s="1"/>
  <c r="BD41" i="10" s="1"/>
  <c r="BA42" i="10"/>
  <c r="BA43" i="10" s="1"/>
  <c r="BA44" i="10" s="1"/>
  <c r="BC28" i="10"/>
  <c r="BC32" i="10"/>
  <c r="BD15" i="10"/>
  <c r="BD29" i="10"/>
  <c r="BE16" i="10"/>
  <c r="BD24" i="10"/>
  <c r="BC34" i="10"/>
  <c r="BC30" i="10"/>
  <c r="BD17" i="10"/>
  <c r="BB31" i="10"/>
  <c r="BB27" i="10"/>
  <c r="BB42" i="10" s="1"/>
  <c r="BB43" i="10" s="1"/>
  <c r="BC14" i="10"/>
  <c r="BD33" i="10" l="1"/>
  <c r="BE9" i="10"/>
  <c r="BF5" i="10"/>
  <c r="BE8" i="10"/>
  <c r="BE33" i="10" s="1"/>
  <c r="BE7" i="10"/>
  <c r="BE6" i="10"/>
  <c r="BB44" i="10"/>
  <c r="BC31" i="10"/>
  <c r="BD14" i="10"/>
  <c r="BC27" i="10"/>
  <c r="BF16" i="10"/>
  <c r="BD28" i="10"/>
  <c r="BD23" i="10"/>
  <c r="BD32" i="10"/>
  <c r="BE15" i="10"/>
  <c r="BD34" i="10"/>
  <c r="BD30" i="10"/>
  <c r="BE17" i="10"/>
  <c r="BD25" i="10"/>
  <c r="BE29" i="10" l="1"/>
  <c r="BF9" i="10"/>
  <c r="BF21" i="10" s="1"/>
  <c r="BF7" i="10"/>
  <c r="BF19" i="10" s="1"/>
  <c r="BF8" i="10"/>
  <c r="BF20" i="10" s="1"/>
  <c r="BF6" i="10"/>
  <c r="BF18" i="10" s="1"/>
  <c r="BG5" i="10"/>
  <c r="BC42" i="10"/>
  <c r="BC43" i="10" s="1"/>
  <c r="BC44" i="10" s="1"/>
  <c r="BE32" i="10"/>
  <c r="BF15" i="10"/>
  <c r="BE28" i="10"/>
  <c r="BD27" i="10"/>
  <c r="BD22" i="10"/>
  <c r="BE14" i="10"/>
  <c r="BD31" i="10"/>
  <c r="BE30" i="10"/>
  <c r="BE34" i="10"/>
  <c r="BF17" i="10"/>
  <c r="BF24" i="10"/>
  <c r="BG16" i="10"/>
  <c r="BF33" i="10" l="1"/>
  <c r="BF29" i="10"/>
  <c r="BG8" i="10"/>
  <c r="BH5" i="10"/>
  <c r="BG9" i="10"/>
  <c r="BG7" i="10"/>
  <c r="BG6" i="10"/>
  <c r="BF41" i="10"/>
  <c r="BF32" i="10"/>
  <c r="BF23" i="10"/>
  <c r="BG15" i="10"/>
  <c r="BF28" i="10"/>
  <c r="BG33" i="10"/>
  <c r="BG29" i="10"/>
  <c r="BH16" i="10"/>
  <c r="BE27" i="10"/>
  <c r="BE31" i="10"/>
  <c r="BF14" i="10"/>
  <c r="BF34" i="10"/>
  <c r="BF25" i="10"/>
  <c r="BF30" i="10"/>
  <c r="BG17" i="10"/>
  <c r="BD42" i="10"/>
  <c r="BD43" i="10" s="1"/>
  <c r="BD44" i="10" s="1"/>
  <c r="BE42" i="10" l="1"/>
  <c r="BE43" i="10" s="1"/>
  <c r="BE44" i="10" s="1"/>
  <c r="BH6" i="10"/>
  <c r="BH18" i="10" s="1"/>
  <c r="BH7" i="10"/>
  <c r="BH19" i="10" s="1"/>
  <c r="BH8" i="10"/>
  <c r="BH20" i="10" s="1"/>
  <c r="BH9" i="10"/>
  <c r="BH21" i="10" s="1"/>
  <c r="BI5" i="10"/>
  <c r="BG30" i="10"/>
  <c r="BG34" i="10"/>
  <c r="BH17" i="10"/>
  <c r="BI16" i="10"/>
  <c r="BG32" i="10"/>
  <c r="BG28" i="10"/>
  <c r="BH15" i="10"/>
  <c r="BF31" i="10"/>
  <c r="BF27" i="10"/>
  <c r="BF22" i="10"/>
  <c r="BG14" i="10"/>
  <c r="BH24" i="10" l="1"/>
  <c r="BH29" i="10"/>
  <c r="BH33" i="10"/>
  <c r="BJ5" i="10"/>
  <c r="BI9" i="10"/>
  <c r="BI8" i="10"/>
  <c r="BI29" i="10" s="1"/>
  <c r="BI7" i="10"/>
  <c r="BI6" i="10"/>
  <c r="BH41" i="10"/>
  <c r="BJ16" i="10"/>
  <c r="BH30" i="10"/>
  <c r="BH34" i="10"/>
  <c r="BH25" i="10"/>
  <c r="BI17" i="10"/>
  <c r="BH28" i="10"/>
  <c r="BH23" i="10"/>
  <c r="BH32" i="10"/>
  <c r="BI15" i="10"/>
  <c r="BF42" i="10"/>
  <c r="BF43" i="10" s="1"/>
  <c r="BF44" i="10" s="1"/>
  <c r="BG31" i="10"/>
  <c r="BG27" i="10"/>
  <c r="BG42" i="10" s="1"/>
  <c r="BG43" i="10" s="1"/>
  <c r="BH14" i="10"/>
  <c r="BI33" i="10" l="1"/>
  <c r="BJ9" i="10"/>
  <c r="BJ21" i="10" s="1"/>
  <c r="BK5" i="10"/>
  <c r="BJ7" i="10"/>
  <c r="BJ19" i="10" s="1"/>
  <c r="BJ8" i="10"/>
  <c r="BJ20" i="10" s="1"/>
  <c r="BJ6" i="10"/>
  <c r="BJ18" i="10" s="1"/>
  <c r="BI32" i="10"/>
  <c r="BJ15" i="10"/>
  <c r="BI28" i="10"/>
  <c r="BI30" i="10"/>
  <c r="BI34" i="10"/>
  <c r="BJ17" i="10"/>
  <c r="BJ33" i="10"/>
  <c r="BJ24" i="10"/>
  <c r="BJ29" i="10"/>
  <c r="BK16" i="10"/>
  <c r="BH27" i="10"/>
  <c r="BH31" i="10"/>
  <c r="BI14" i="10"/>
  <c r="BH22" i="10"/>
  <c r="BG44" i="10"/>
  <c r="BJ41" i="10" l="1"/>
  <c r="BH42" i="10"/>
  <c r="BH43" i="10" s="1"/>
  <c r="BH44" i="10" s="1"/>
  <c r="BK6" i="10"/>
  <c r="BK9" i="10"/>
  <c r="BK7" i="10"/>
  <c r="BK8" i="10"/>
  <c r="BK33" i="10" s="1"/>
  <c r="BL5" i="10"/>
  <c r="BK29" i="10"/>
  <c r="BL16" i="10"/>
  <c r="BJ34" i="10"/>
  <c r="BJ30" i="10"/>
  <c r="BJ25" i="10"/>
  <c r="BK17" i="10"/>
  <c r="BI31" i="10"/>
  <c r="BI27" i="10"/>
  <c r="BI42" i="10" s="1"/>
  <c r="BI43" i="10" s="1"/>
  <c r="BJ14" i="10"/>
  <c r="BJ32" i="10"/>
  <c r="BJ28" i="10"/>
  <c r="BJ23" i="10"/>
  <c r="BK15" i="10"/>
  <c r="BL8" i="10" l="1"/>
  <c r="BL20" i="10" s="1"/>
  <c r="BL9" i="10"/>
  <c r="BL21" i="10" s="1"/>
  <c r="BM5" i="10"/>
  <c r="BL7" i="10"/>
  <c r="BL19" i="10" s="1"/>
  <c r="BL6" i="10"/>
  <c r="BL18" i="10" s="1"/>
  <c r="BL41" i="10" s="1"/>
  <c r="BL29" i="10"/>
  <c r="BL24" i="10"/>
  <c r="BL33" i="10"/>
  <c r="BM16" i="10"/>
  <c r="BK34" i="10"/>
  <c r="BK30" i="10"/>
  <c r="BL17" i="10"/>
  <c r="BJ31" i="10"/>
  <c r="BJ27" i="10"/>
  <c r="BJ22" i="10"/>
  <c r="BK14" i="10"/>
  <c r="BK32" i="10"/>
  <c r="BK28" i="10"/>
  <c r="BL15" i="10"/>
  <c r="BI44" i="10"/>
  <c r="BM7" i="10" l="1"/>
  <c r="BM9" i="10"/>
  <c r="BM8" i="10"/>
  <c r="BN5" i="10"/>
  <c r="BM6" i="10"/>
  <c r="BL34" i="10"/>
  <c r="BL30" i="10"/>
  <c r="BL25" i="10"/>
  <c r="BM17" i="10"/>
  <c r="BL32" i="10"/>
  <c r="BL28" i="10"/>
  <c r="BL23" i="10"/>
  <c r="BM15" i="10"/>
  <c r="BM33" i="10"/>
  <c r="BM29" i="10"/>
  <c r="BN16" i="10"/>
  <c r="BK31" i="10"/>
  <c r="BL14" i="10"/>
  <c r="BK27" i="10"/>
  <c r="BK42" i="10" s="1"/>
  <c r="BK43" i="10" s="1"/>
  <c r="BJ42" i="10"/>
  <c r="BJ43" i="10" s="1"/>
  <c r="BJ44" i="10" s="1"/>
  <c r="BO5" i="10" l="1"/>
  <c r="BN9" i="10"/>
  <c r="BN21" i="10" s="1"/>
  <c r="BN6" i="10"/>
  <c r="BN18" i="10" s="1"/>
  <c r="BN8" i="10"/>
  <c r="BN20" i="10" s="1"/>
  <c r="BN7" i="10"/>
  <c r="BN19" i="10" s="1"/>
  <c r="BK44" i="10"/>
  <c r="BM32" i="10"/>
  <c r="BM28" i="10"/>
  <c r="BN15" i="10"/>
  <c r="BO16" i="10"/>
  <c r="BM30" i="10"/>
  <c r="BM34" i="10"/>
  <c r="BN17" i="10"/>
  <c r="BL31" i="10"/>
  <c r="BL27" i="10"/>
  <c r="BL22" i="10"/>
  <c r="BM14" i="10"/>
  <c r="BN33" i="10" l="1"/>
  <c r="BN29" i="10"/>
  <c r="BN41" i="10"/>
  <c r="BN24" i="10"/>
  <c r="BP5" i="10"/>
  <c r="BO7" i="10"/>
  <c r="BO6" i="10"/>
  <c r="BO8" i="10"/>
  <c r="BO33" i="10" s="1"/>
  <c r="BO9" i="10"/>
  <c r="BN32" i="10"/>
  <c r="BN28" i="10"/>
  <c r="BN23" i="10"/>
  <c r="BO15" i="10"/>
  <c r="BN34" i="10"/>
  <c r="BN30" i="10"/>
  <c r="BN25" i="10"/>
  <c r="BO17" i="10"/>
  <c r="BM27" i="10"/>
  <c r="BM31" i="10"/>
  <c r="BN14" i="10"/>
  <c r="BL42" i="10"/>
  <c r="BL43" i="10" s="1"/>
  <c r="BL44" i="10" s="1"/>
  <c r="BP16" i="10"/>
  <c r="BO29" i="10" l="1"/>
  <c r="BP8" i="10"/>
  <c r="BP20" i="10" s="1"/>
  <c r="BQ5" i="10"/>
  <c r="BP7" i="10"/>
  <c r="BP19" i="10" s="1"/>
  <c r="BP9" i="10"/>
  <c r="BP21" i="10" s="1"/>
  <c r="BP6" i="10"/>
  <c r="BP18" i="10" s="1"/>
  <c r="BN31" i="10"/>
  <c r="BO14" i="10"/>
  <c r="BN27" i="10"/>
  <c r="BN22" i="10"/>
  <c r="BM42" i="10"/>
  <c r="BM43" i="10" s="1"/>
  <c r="BM44" i="10" s="1"/>
  <c r="BO30" i="10"/>
  <c r="BP17" i="10"/>
  <c r="BO34" i="10"/>
  <c r="BP33" i="10"/>
  <c r="BP29" i="10"/>
  <c r="BP24" i="10"/>
  <c r="BQ16" i="10"/>
  <c r="BO28" i="10"/>
  <c r="BO32" i="10"/>
  <c r="BP15" i="10"/>
  <c r="BN42" i="10" l="1"/>
  <c r="BN43" i="10" s="1"/>
  <c r="BP41" i="10"/>
  <c r="BQ7" i="10"/>
  <c r="BQ8" i="10"/>
  <c r="BQ33" i="10" s="1"/>
  <c r="BQ6" i="10"/>
  <c r="BR5" i="10"/>
  <c r="BQ9" i="10"/>
  <c r="BN44" i="10"/>
  <c r="BP30" i="10"/>
  <c r="BP34" i="10"/>
  <c r="BP25" i="10"/>
  <c r="BQ17" i="10"/>
  <c r="BO31" i="10"/>
  <c r="BO27" i="10"/>
  <c r="BO42" i="10" s="1"/>
  <c r="BO43" i="10" s="1"/>
  <c r="BO44" i="10" s="1"/>
  <c r="BP14" i="10"/>
  <c r="BP28" i="10"/>
  <c r="BP23" i="10"/>
  <c r="BP32" i="10"/>
  <c r="BQ15" i="10"/>
  <c r="BR16" i="10"/>
  <c r="BQ29" i="10" l="1"/>
  <c r="BS5" i="10"/>
  <c r="BR9" i="10"/>
  <c r="BR8" i="10"/>
  <c r="BR29" i="10" s="1"/>
  <c r="BR6" i="10"/>
  <c r="BR7" i="10"/>
  <c r="BP31" i="10"/>
  <c r="BP22" i="10"/>
  <c r="BQ14" i="10"/>
  <c r="BP27" i="10"/>
  <c r="BS16" i="10"/>
  <c r="BR33" i="10"/>
  <c r="BQ30" i="10"/>
  <c r="BQ34" i="10"/>
  <c r="BR17" i="10"/>
  <c r="BQ32" i="10"/>
  <c r="BQ28" i="10"/>
  <c r="BR15" i="10"/>
  <c r="BS7" i="10" l="1"/>
  <c r="BT5" i="10"/>
  <c r="BS8" i="10"/>
  <c r="BS9" i="10"/>
  <c r="BS6" i="10"/>
  <c r="BP42" i="10"/>
  <c r="BP43" i="10" s="1"/>
  <c r="BP44" i="10" s="1"/>
  <c r="BR34" i="10"/>
  <c r="BR30" i="10"/>
  <c r="BS17" i="10"/>
  <c r="BR32" i="10"/>
  <c r="BR28" i="10"/>
  <c r="BS15" i="10"/>
  <c r="BS33" i="10"/>
  <c r="BS29" i="10"/>
  <c r="BT16" i="10"/>
  <c r="BQ31" i="10"/>
  <c r="BQ27" i="10"/>
  <c r="BR14" i="10"/>
  <c r="BU5" i="10" l="1"/>
  <c r="BT6" i="10"/>
  <c r="BT18" i="10" s="1"/>
  <c r="BT7" i="10"/>
  <c r="BT19" i="10" s="1"/>
  <c r="BT8" i="10"/>
  <c r="BT20" i="10" s="1"/>
  <c r="BT9" i="10"/>
  <c r="BT21" i="10" s="1"/>
  <c r="BQ42" i="10"/>
  <c r="BQ43" i="10" s="1"/>
  <c r="BQ44" i="10" s="1"/>
  <c r="BS28" i="10"/>
  <c r="BS32" i="10"/>
  <c r="BT15" i="10"/>
  <c r="BS34" i="10"/>
  <c r="BT17" i="10"/>
  <c r="BS30" i="10"/>
  <c r="BU16" i="10"/>
  <c r="BR31" i="10"/>
  <c r="BR27" i="10"/>
  <c r="BS14" i="10"/>
  <c r="BT24" i="10" l="1"/>
  <c r="BT33" i="10"/>
  <c r="BT29" i="10"/>
  <c r="BT41" i="10"/>
  <c r="BU6" i="10"/>
  <c r="BU7" i="10"/>
  <c r="BU9" i="10"/>
  <c r="BU8" i="10"/>
  <c r="BU29" i="10" s="1"/>
  <c r="BV5" i="10"/>
  <c r="BS31" i="10"/>
  <c r="BS27" i="10"/>
  <c r="BS42" i="10" s="1"/>
  <c r="BS43" i="10" s="1"/>
  <c r="BT14" i="10"/>
  <c r="BT34" i="10"/>
  <c r="BT30" i="10"/>
  <c r="BT25" i="10"/>
  <c r="BU17" i="10"/>
  <c r="BT32" i="10"/>
  <c r="BT28" i="10"/>
  <c r="BT23" i="10"/>
  <c r="BU15" i="10"/>
  <c r="BV16" i="10"/>
  <c r="BR42" i="10"/>
  <c r="BR43" i="10" s="1"/>
  <c r="BR44" i="10" s="1"/>
  <c r="BS44" i="10" s="1"/>
  <c r="BU33" i="10" l="1"/>
  <c r="BV8" i="10"/>
  <c r="BV20" i="10" s="1"/>
  <c r="BW5" i="10"/>
  <c r="BV9" i="10"/>
  <c r="BV21" i="10" s="1"/>
  <c r="BV7" i="10"/>
  <c r="BV19" i="10" s="1"/>
  <c r="BV6" i="10"/>
  <c r="BV18" i="10" s="1"/>
  <c r="BV24" i="10"/>
  <c r="BW16" i="10"/>
  <c r="BU30" i="10"/>
  <c r="BU34" i="10"/>
  <c r="BV17" i="10"/>
  <c r="BU32" i="10"/>
  <c r="BU28" i="10"/>
  <c r="BV15" i="10"/>
  <c r="BT27" i="10"/>
  <c r="BT31" i="10"/>
  <c r="BT22" i="10"/>
  <c r="BU14" i="10"/>
  <c r="BV41" i="10" l="1"/>
  <c r="BT42" i="10"/>
  <c r="BT43" i="10" s="1"/>
  <c r="BT44" i="10" s="1"/>
  <c r="BV33" i="10"/>
  <c r="BV29" i="10"/>
  <c r="BW8" i="10"/>
  <c r="BW33" i="10" s="1"/>
  <c r="BW6" i="10"/>
  <c r="BW9" i="10"/>
  <c r="BX5" i="10"/>
  <c r="BW7" i="10"/>
  <c r="BU27" i="10"/>
  <c r="BV14" i="10"/>
  <c r="BU31" i="10"/>
  <c r="BV34" i="10"/>
  <c r="BV30" i="10"/>
  <c r="BV25" i="10"/>
  <c r="BW17" i="10"/>
  <c r="BX16" i="10"/>
  <c r="BV32" i="10"/>
  <c r="BV23" i="10"/>
  <c r="BV28" i="10"/>
  <c r="BW15" i="10"/>
  <c r="BU42" i="10" l="1"/>
  <c r="BU43" i="10" s="1"/>
  <c r="BU44" i="10" s="1"/>
  <c r="BW29" i="10"/>
  <c r="BY5" i="10"/>
  <c r="BX8" i="10"/>
  <c r="BX20" i="10" s="1"/>
  <c r="BX7" i="10"/>
  <c r="BX19" i="10" s="1"/>
  <c r="BX9" i="10"/>
  <c r="BX21" i="10" s="1"/>
  <c r="BX6" i="10"/>
  <c r="BX18" i="10" s="1"/>
  <c r="BX41" i="10" s="1"/>
  <c r="BV31" i="10"/>
  <c r="BV27" i="10"/>
  <c r="BW14" i="10"/>
  <c r="BV22" i="10"/>
  <c r="BW34" i="10"/>
  <c r="BW30" i="10"/>
  <c r="BX17" i="10"/>
  <c r="BX33" i="10"/>
  <c r="BX29" i="10"/>
  <c r="BX24" i="10"/>
  <c r="BY16" i="10"/>
  <c r="BW32" i="10"/>
  <c r="BW28" i="10"/>
  <c r="BX15" i="10"/>
  <c r="BV42" i="10" l="1"/>
  <c r="BV43" i="10" s="1"/>
  <c r="BV44" i="10" s="1"/>
  <c r="E31" i="10" s="1"/>
  <c r="BY6" i="10"/>
  <c r="BY9" i="10"/>
  <c r="BY7" i="10"/>
  <c r="BY8" i="10"/>
  <c r="BY33" i="10" s="1"/>
  <c r="BZ5" i="10"/>
  <c r="BX30" i="10"/>
  <c r="BX34" i="10"/>
  <c r="BX25" i="10"/>
  <c r="BY17" i="10"/>
  <c r="BW31" i="10"/>
  <c r="BW27" i="10"/>
  <c r="BX14" i="10"/>
  <c r="BX32" i="10"/>
  <c r="BX28" i="10"/>
  <c r="BX23" i="10"/>
  <c r="BY15" i="10"/>
  <c r="BZ16" i="10"/>
  <c r="BY29" i="10" l="1"/>
  <c r="CA5" i="10"/>
  <c r="BZ6" i="10"/>
  <c r="BZ18" i="10" s="1"/>
  <c r="BZ9" i="10"/>
  <c r="BZ21" i="10" s="1"/>
  <c r="BZ8" i="10"/>
  <c r="BZ20" i="10" s="1"/>
  <c r="BZ7" i="10"/>
  <c r="BZ19" i="10" s="1"/>
  <c r="BY30" i="10"/>
  <c r="BY34" i="10"/>
  <c r="BZ17" i="10"/>
  <c r="BY32" i="10"/>
  <c r="BY28" i="10"/>
  <c r="BZ15" i="10"/>
  <c r="BW42" i="10"/>
  <c r="BW43" i="10" s="1"/>
  <c r="BW44" i="10" s="1"/>
  <c r="BZ24" i="10"/>
  <c r="BZ33" i="10"/>
  <c r="CA16" i="10"/>
  <c r="BX31" i="10"/>
  <c r="BX22" i="10"/>
  <c r="BX27" i="10"/>
  <c r="BX42" i="10" s="1"/>
  <c r="BX43" i="10" s="1"/>
  <c r="BY14" i="10"/>
  <c r="BZ41" i="10" l="1"/>
  <c r="CA6" i="10"/>
  <c r="CB5" i="10"/>
  <c r="CA7" i="10"/>
  <c r="CA9" i="10"/>
  <c r="CA8" i="10"/>
  <c r="CA33" i="10" s="1"/>
  <c r="BX44" i="10"/>
  <c r="BZ29" i="10"/>
  <c r="BZ32" i="10"/>
  <c r="BZ28" i="10"/>
  <c r="BZ23" i="10"/>
  <c r="CA15" i="10"/>
  <c r="BY27" i="10"/>
  <c r="BY31" i="10"/>
  <c r="BZ14" i="10"/>
  <c r="CA29" i="10"/>
  <c r="CB16" i="10"/>
  <c r="BZ30" i="10"/>
  <c r="BZ34" i="10"/>
  <c r="BZ25" i="10"/>
  <c r="CA17" i="10"/>
  <c r="CB8" i="10" l="1"/>
  <c r="CB20" i="10" s="1"/>
  <c r="CC5" i="10"/>
  <c r="CB6" i="10"/>
  <c r="CB18" i="10" s="1"/>
  <c r="CB7" i="10"/>
  <c r="CB19" i="10" s="1"/>
  <c r="CB9" i="10"/>
  <c r="CB21" i="10" s="1"/>
  <c r="BY42" i="10"/>
  <c r="BY43" i="10" s="1"/>
  <c r="BY44" i="10" s="1"/>
  <c r="CA34" i="10"/>
  <c r="CB17" i="10"/>
  <c r="CA30" i="10"/>
  <c r="CA28" i="10"/>
  <c r="CA32" i="10"/>
  <c r="CB15" i="10"/>
  <c r="BZ31" i="10"/>
  <c r="BZ27" i="10"/>
  <c r="BZ22" i="10"/>
  <c r="CA14" i="10"/>
  <c r="CB33" i="10"/>
  <c r="CB29" i="10"/>
  <c r="CC16" i="10"/>
  <c r="CB24" i="10" l="1"/>
  <c r="CB41" i="10"/>
  <c r="CC7" i="10"/>
  <c r="CC8" i="10"/>
  <c r="CC6" i="10"/>
  <c r="CC9" i="10"/>
  <c r="CD5" i="10"/>
  <c r="CC33" i="10"/>
  <c r="CC29" i="10"/>
  <c r="CD16" i="10"/>
  <c r="CA31" i="10"/>
  <c r="CA27" i="10"/>
  <c r="CB14" i="10"/>
  <c r="CB34" i="10"/>
  <c r="CB25" i="10"/>
  <c r="CB30" i="10"/>
  <c r="CC17" i="10"/>
  <c r="CB28" i="10"/>
  <c r="CC15" i="10"/>
  <c r="CB32" i="10"/>
  <c r="CB23" i="10"/>
  <c r="BZ42" i="10"/>
  <c r="BZ43" i="10" s="1"/>
  <c r="BZ44" i="10" s="1"/>
  <c r="CD9" i="10" l="1"/>
  <c r="CD21" i="10" s="1"/>
  <c r="CD6" i="10"/>
  <c r="CD18" i="10" s="1"/>
  <c r="CD7" i="10"/>
  <c r="CD19" i="10" s="1"/>
  <c r="CE5" i="10"/>
  <c r="CD8" i="10"/>
  <c r="CD20" i="10" s="1"/>
  <c r="CA42" i="10"/>
  <c r="CA43" i="10" s="1"/>
  <c r="CA44" i="10" s="1"/>
  <c r="CB27" i="10"/>
  <c r="CB31" i="10"/>
  <c r="CB22" i="10"/>
  <c r="CC14" i="10"/>
  <c r="CC30" i="10"/>
  <c r="CC34" i="10"/>
  <c r="CD17" i="10"/>
  <c r="CC32" i="10"/>
  <c r="CC28" i="10"/>
  <c r="CD15" i="10"/>
  <c r="CD29" i="10"/>
  <c r="CD24" i="10"/>
  <c r="CE16" i="10"/>
  <c r="CE7" i="10" l="1"/>
  <c r="CE9" i="10"/>
  <c r="CE6" i="10"/>
  <c r="CE8" i="10"/>
  <c r="CF5" i="10"/>
  <c r="CD41" i="10"/>
  <c r="CD33" i="10"/>
  <c r="CD25" i="10"/>
  <c r="CD34" i="10"/>
  <c r="CD30" i="10"/>
  <c r="CE17" i="10"/>
  <c r="CC27" i="10"/>
  <c r="CC31" i="10"/>
  <c r="CD14" i="10"/>
  <c r="CD32" i="10"/>
  <c r="CD28" i="10"/>
  <c r="CE15" i="10"/>
  <c r="CD23" i="10"/>
  <c r="CB42" i="10"/>
  <c r="CB43" i="10" s="1"/>
  <c r="CB44" i="10" s="1"/>
  <c r="CE33" i="10"/>
  <c r="CF16" i="10"/>
  <c r="CE29" i="10"/>
  <c r="CG5" i="10" l="1"/>
  <c r="CF8" i="10"/>
  <c r="CF20" i="10" s="1"/>
  <c r="CF9" i="10"/>
  <c r="CF21" i="10" s="1"/>
  <c r="CF6" i="10"/>
  <c r="CF18" i="10" s="1"/>
  <c r="CF41" i="10" s="1"/>
  <c r="CF7" i="10"/>
  <c r="CF19" i="10" s="1"/>
  <c r="CD31" i="10"/>
  <c r="CD27" i="10"/>
  <c r="CD42" i="10" s="1"/>
  <c r="CD43" i="10" s="1"/>
  <c r="CE14" i="10"/>
  <c r="CD22" i="10"/>
  <c r="CC42" i="10"/>
  <c r="CC43" i="10" s="1"/>
  <c r="CC44" i="10" s="1"/>
  <c r="CF33" i="10"/>
  <c r="CF24" i="10"/>
  <c r="CF29" i="10"/>
  <c r="CG16" i="10"/>
  <c r="CE34" i="10"/>
  <c r="CE30" i="10"/>
  <c r="CF17" i="10"/>
  <c r="CE32" i="10"/>
  <c r="CE28" i="10"/>
  <c r="CF15" i="10"/>
  <c r="CD44" i="10" l="1"/>
  <c r="CG7" i="10"/>
  <c r="CG6" i="10"/>
  <c r="CH5" i="10"/>
  <c r="CG9" i="10"/>
  <c r="CG8" i="10"/>
  <c r="CG33" i="10" s="1"/>
  <c r="CF32" i="10"/>
  <c r="CF28" i="10"/>
  <c r="CF23" i="10"/>
  <c r="CG15" i="10"/>
  <c r="CF30" i="10"/>
  <c r="CF34" i="10"/>
  <c r="CF25" i="10"/>
  <c r="CG17" i="10"/>
  <c r="CE31" i="10"/>
  <c r="CE27" i="10"/>
  <c r="CE42" i="10" s="1"/>
  <c r="CE43" i="10" s="1"/>
  <c r="CE44" i="10" s="1"/>
  <c r="CF14" i="10"/>
  <c r="CH16" i="10"/>
  <c r="CG29" i="10" l="1"/>
  <c r="CH8" i="10"/>
  <c r="CH6" i="10"/>
  <c r="CH7" i="10"/>
  <c r="CH9" i="10"/>
  <c r="CI5" i="10"/>
  <c r="CG28" i="10"/>
  <c r="CH15" i="10"/>
  <c r="CG32" i="10"/>
  <c r="CF31" i="10"/>
  <c r="CF27" i="10"/>
  <c r="CF22" i="10"/>
  <c r="CG14" i="10"/>
  <c r="CH29" i="10"/>
  <c r="CI16" i="10"/>
  <c r="CH33" i="10"/>
  <c r="CG30" i="10"/>
  <c r="CG34" i="10"/>
  <c r="CH17" i="10"/>
  <c r="CI7" i="10" l="1"/>
  <c r="CI8" i="10"/>
  <c r="CI6" i="10"/>
  <c r="CI9" i="10"/>
  <c r="CF42" i="10"/>
  <c r="CF43" i="10" s="1"/>
  <c r="CF44" i="10" s="1"/>
  <c r="CG27" i="10"/>
  <c r="CG31" i="10"/>
  <c r="CH14" i="10"/>
  <c r="CH34" i="10"/>
  <c r="CH30" i="10"/>
  <c r="CI17" i="10"/>
  <c r="CI33" i="10"/>
  <c r="CI29" i="10"/>
  <c r="CH32" i="10"/>
  <c r="CH28" i="10"/>
  <c r="CI15" i="10"/>
  <c r="CI34" i="10" l="1"/>
  <c r="CI30" i="10"/>
  <c r="CI28" i="10"/>
  <c r="CI32" i="10"/>
  <c r="CH31" i="10"/>
  <c r="CH27" i="10"/>
  <c r="CH42" i="10" s="1"/>
  <c r="CH43" i="10" s="1"/>
  <c r="CI14" i="10"/>
  <c r="CG42" i="10"/>
  <c r="CG43" i="10" s="1"/>
  <c r="CG44" i="10" s="1"/>
  <c r="CH44" i="10" l="1"/>
  <c r="CI31" i="10"/>
  <c r="CI27" i="10"/>
  <c r="CI42" i="10" s="1"/>
  <c r="CI43" i="10" s="1"/>
  <c r="CI44" i="10" s="1"/>
  <c r="C9" i="5" l="1"/>
  <c r="C10"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F2" authorId="0" shapeId="0" xr:uid="{B66B2B81-B698-40AF-B1AF-925AAE865D1D}">
      <text>
        <r>
          <rPr>
            <b/>
            <sz val="8"/>
            <color indexed="81"/>
            <rFont val="Tahoma"/>
            <family val="2"/>
          </rPr>
          <t>Autor:</t>
        </r>
        <r>
          <rPr>
            <sz val="8"/>
            <color indexed="81"/>
            <rFont val="Tahoma"/>
            <family val="2"/>
          </rPr>
          <t xml:space="preserve">
9=notable
6,5=aceptable
4=insuf</t>
        </r>
      </text>
    </comment>
    <comment ref="G2" authorId="0" shapeId="0" xr:uid="{E4008AA7-18C2-4021-8519-6AAABD17CB24}">
      <text>
        <r>
          <rPr>
            <b/>
            <sz val="8"/>
            <color indexed="81"/>
            <rFont val="Tahoma"/>
            <family val="2"/>
          </rPr>
          <t>Autor:</t>
        </r>
        <r>
          <rPr>
            <sz val="8"/>
            <color indexed="81"/>
            <rFont val="Tahoma"/>
            <family val="2"/>
          </rPr>
          <t xml:space="preserve">
14=notable
11,5=aceptable
9=insuf</t>
        </r>
      </text>
    </comment>
  </commentList>
</comments>
</file>

<file path=xl/sharedStrings.xml><?xml version="1.0" encoding="utf-8"?>
<sst xmlns="http://schemas.openxmlformats.org/spreadsheetml/2006/main" count="1797" uniqueCount="1232">
  <si>
    <t>El entrenamiento de condición esta basado por minutos (pero comienza con un 75% para los jugadores en el terreno de juego).</t>
  </si>
  <si>
    <t>tabla I: rendimiento por minuto en función de la resistencia del jugador. </t>
  </si>
  <si>
    <t>x</t>
  </si>
  <si>
    <t>(min/resistencia)--&gt; rendimiento. </t>
  </si>
  <si>
    <t>SN</t>
  </si>
  <si>
    <t>med</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</si>
  <si>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</si>
  <si>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</si>
  <si>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</si>
  <si>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</si>
  <si>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Edad</t>
  </si>
  <si>
    <t>5-9%</t>
  </si>
  <si>
    <t>10-15%</t>
  </si>
  <si>
    <t>16-20%</t>
  </si>
  <si>
    <t>21-39%</t>
  </si>
  <si>
    <t>40-100%</t>
  </si>
  <si>
    <t>Resultado</t>
  </si>
  <si>
    <t>Insuficiente</t>
  </si>
  <si>
    <t>Aceptable</t>
  </si>
  <si>
    <t>Bueno</t>
  </si>
  <si>
    <t>Excelente</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</si>
  <si>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</si>
  <si>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</si>
  <si>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</si>
  <si>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</si>
  <si>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</si>
  <si>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</si>
  <si>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</si>
  <si>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</si>
  <si>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</si>
  <si>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</si>
  <si>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</si>
  <si>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</si>
  <si>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</si>
  <si>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</si>
  <si>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</si>
  <si>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</si>
  <si>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</si>
  <si>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</si>
  <si>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</si>
  <si>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condición afecta a la experiencia de la misma manera que a las habilidades.</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</si>
  <si>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</si>
  <si>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</si>
  <si>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</si>
  <si>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 xml:space="preserve">Porteria </t>
  </si>
  <si>
    <t>Inicio</t>
  </si>
  <si>
    <t>Final</t>
  </si>
  <si>
    <t>SEM</t>
  </si>
  <si>
    <t>TOT</t>
  </si>
  <si>
    <t xml:space="preserve">Defensa </t>
  </si>
  <si>
    <t>Jugadas</t>
  </si>
  <si>
    <t>Lateral</t>
  </si>
  <si>
    <t xml:space="preserve">dèbil (4) (4) </t>
  </si>
  <si>
    <t xml:space="preserve">insuficient (5) (5) </t>
  </si>
  <si>
    <t xml:space="preserve">acceptable (6) (6) </t>
  </si>
  <si>
    <t xml:space="preserve">notable (7) (7) </t>
  </si>
  <si>
    <t xml:space="preserve">excel·lent (8) (8) </t>
  </si>
  <si>
    <t xml:space="preserve">formidable (9) (9) </t>
  </si>
  <si>
    <t xml:space="preserve">destacat (10) (10) </t>
  </si>
  <si>
    <t xml:space="preserve">brillant (11) (11) </t>
  </si>
  <si>
    <t xml:space="preserve">magnífic (12) (12) </t>
  </si>
  <si>
    <t xml:space="preserve">classe mundial (13) (13) </t>
  </si>
  <si>
    <t xml:space="preserve">sobrenatural (14) (14) </t>
  </si>
  <si>
    <t xml:space="preserve">titànic (15) (15) </t>
  </si>
  <si>
    <t xml:space="preserve">extraterrestre (16) (16) </t>
  </si>
  <si>
    <t xml:space="preserve">mític (17) (17) </t>
  </si>
  <si>
    <t xml:space="preserve">màgic (18) (18) </t>
  </si>
  <si>
    <t xml:space="preserve">utòpic (19) (19) </t>
  </si>
  <si>
    <t xml:space="preserve">diví (20) (20) </t>
  </si>
  <si>
    <t>Pases</t>
  </si>
  <si>
    <t>Anotación</t>
  </si>
  <si>
    <t>BP</t>
  </si>
  <si>
    <t>%_Res</t>
  </si>
  <si>
    <t>Auxiliares</t>
  </si>
  <si>
    <t>10 (+35%)</t>
  </si>
  <si>
    <t>%_Entr</t>
  </si>
  <si>
    <t>Pases Largos</t>
  </si>
  <si>
    <t>Defensa</t>
  </si>
  <si>
    <t>Porteria</t>
  </si>
  <si>
    <t>Entrenador</t>
  </si>
  <si>
    <t>CA Extremo</t>
  </si>
  <si>
    <t>*6-7 bueno 100% 12%res 19-0</t>
  </si>
  <si>
    <t>Davanters i extrems ((Tots els jugadors del partit))</t>
  </si>
  <si>
    <t>Extrem</t>
  </si>
  <si>
    <t>Atacs per les bandes</t>
  </si>
  <si>
    <t>(Porters, defenses, migcampistes i extrems) ((Tots els jugadors del partit))</t>
  </si>
  <si>
    <t>Posicions defensives</t>
  </si>
  <si>
    <t>Defenses, migcampistes i extrems ((Tots els jugadors del partit))</t>
  </si>
  <si>
    <t>Passades</t>
  </si>
  <si>
    <t>Passades llargues</t>
  </si>
  <si>
    <t>Porters</t>
  </si>
  <si>
    <t>Migcampistes (Extrems) ((Tots els jugadors del partit))</t>
  </si>
  <si>
    <t>Creativitat</t>
  </si>
  <si>
    <t>Migcampistes, extrems i davanters ((Tots els jugadors del partit))</t>
  </si>
  <si>
    <t>Passades curtes</t>
  </si>
  <si>
    <t>((Tots els jugadors del partit))</t>
  </si>
  <si>
    <t>(Pilota aturada)</t>
  </si>
  <si>
    <t>(Tots els jugadors del partit)</t>
  </si>
  <si>
    <t>(Anotació)</t>
  </si>
  <si>
    <t>Xuts</t>
  </si>
  <si>
    <t>Extrems (Laterals) ((Tots els jugadors del partit))</t>
  </si>
  <si>
    <t>Centrades (Extrem)</t>
  </si>
  <si>
    <t>Davanters ((Tots els jugadors del partit))</t>
  </si>
  <si>
    <t>Anotació</t>
  </si>
  <si>
    <t>Defenses ((Tots els jugadors del partit))</t>
  </si>
  <si>
    <t>Tots els jugadors que juguin el partit, 25% de bonus pel llançador de les jugades a pilota aturada i el porter</t>
  </si>
  <si>
    <t>Pilota aturada</t>
  </si>
  <si>
    <t>4Niveles</t>
  </si>
  <si>
    <t>Sem*</t>
  </si>
  <si>
    <t>Jug Residual</t>
  </si>
  <si>
    <t>Jug 50%</t>
  </si>
  <si>
    <t>Jug 100%</t>
  </si>
  <si>
    <t>Jug 125%</t>
  </si>
  <si>
    <t>...per...</t>
  </si>
  <si>
    <t>Millores</t>
  </si>
  <si>
    <t>Tipus d'entrenament</t>
  </si>
  <si>
    <t>Experiencia</t>
  </si>
  <si>
    <t>Liderazgo</t>
  </si>
  <si>
    <t>Precio Compra</t>
  </si>
  <si>
    <t>Precio Conversión</t>
  </si>
  <si>
    <t>Sueldo</t>
  </si>
  <si>
    <t>Tiempo en Club (cambio debil-pobre)</t>
  </si>
  <si>
    <t>Tiempo en Club (desastroso)</t>
  </si>
  <si>
    <t>CosteTOTAL</t>
  </si>
  <si>
    <t>CosteAÑO</t>
  </si>
  <si>
    <t>CosteAÑOdesatroso</t>
  </si>
  <si>
    <t>CM</t>
  </si>
  <si>
    <t>aceptable</t>
  </si>
  <si>
    <t>MG</t>
  </si>
  <si>
    <t>notable</t>
  </si>
  <si>
    <t>EX</t>
  </si>
  <si>
    <t>DV</t>
  </si>
  <si>
    <t>insuf</t>
  </si>
  <si>
    <t>FFYDO:</t>
  </si>
  <si>
    <t>No no el mio era de coña xD ya se que sabes que divino sale más barato :P y se que te referias a compra + conversión, pero ahora en serio.</t>
  </si>
  <si>
    <t>Si quieres niveles exactos yo separaria de magnifico para arriba y para abajo, hablo de liderazgo bueno.</t>
  </si>
  <si>
    <t>Hasta magnífico puedes encontrar chollos, pero en CM hay cierto escalon, al menos es el escalon que más eurelios me ha dado.</t>
  </si>
  <si>
    <t>Hasta magnífico estan los precios muy apretados y con paciencia te llevas una ganga seguro, pero los bueno,excel,formi... ni los miraría porque la conversión sube mucho y buscar con más exp no cuesta tanto, al menos hasta CM.</t>
  </si>
  <si>
    <t>Sin embargo si estas pensando en niveles muy altos a partir de CM y SN se igualan bastante los precios y como no hay comprador que valga y no siempre hay mucha gente buscando algo asi puede pasar cualquier cosa aunque nunca por menos de 2 o 2,5 kilos.</t>
  </si>
  <si>
    <t>Otra opción es ir a lo grande a por un divino pero que tenga un capazo de niveles extras despues de divino, se venden muchos que todavia son muy buenos jugadores, entre ambas cosas algunos pueden salir baratos si no piensas volver a venderlos.</t>
  </si>
  <si>
    <t>Y si no pues un magnífico exp pelado por 1 kilo o menos es un buen fichaje, si tiene muy alto subnivel vale la pena pagar 100k más o 200k maximo.</t>
  </si>
  <si>
    <t>Sobre los aceptable liderazgo no estoy familiarizado.</t>
  </si>
  <si>
    <t>(suben bajan de precios en pretemporada?)</t>
  </si>
  <si>
    <t>Antiguamente cuando comerciaba solo con acep y bueno exp si veía un claro aumento de precios o al menos vendia con más velocidad en pretemporada, al reves que el resto de jugadores, probablemente porque la gente calcula una temporada en el club para poder convertirlo y tenerlo nuevecito desde el comienzo de la siguiente temporada.</t>
  </si>
  <si>
    <t>O eso o porque solo se acuerdan del entrenador en pretemporada no se xD </t>
  </si>
  <si>
    <t>Yo por ejemplo lo hago al reves, preparo el cambio de entrenador para mitad temporada ya que al principio no suele ser prioritario apurar espiritu contra rivales inferiores en copa, y así lo tengo preparado por si me conviene un cambio d ementalidad para algun partido complicado, ficharlo con tiempo de más es pagar sueldo para nada, por muy poco que cobre.</t>
  </si>
  <si>
    <t>Resumiendo, que me enrollo, no lo se xD al menos no con niveles tan altos.</t>
  </si>
  <si>
    <t>PrecioCompra</t>
  </si>
  <si>
    <t>Conversion</t>
  </si>
  <si>
    <t xml:space="preserve">Bueno </t>
  </si>
  <si>
    <t xml:space="preserve">Excelente </t>
  </si>
  <si>
    <t xml:space="preserve">Nivel de Entrenador </t>
  </si>
  <si>
    <t xml:space="preserve">Formidable </t>
  </si>
  <si>
    <t xml:space="preserve">Aceptable </t>
  </si>
  <si>
    <t xml:space="preserve">Destacado </t>
  </si>
  <si>
    <t xml:space="preserve">Brillante </t>
  </si>
  <si>
    <t xml:space="preserve">235.200 - 277.700 € </t>
  </si>
  <si>
    <t xml:space="preserve">- </t>
  </si>
  <si>
    <t xml:space="preserve">Magnífico </t>
  </si>
  <si>
    <t xml:space="preserve">202.000 - 235.200 € </t>
  </si>
  <si>
    <t xml:space="preserve">681.800 - 794 100 € </t>
  </si>
  <si>
    <t xml:space="preserve">Clase Mundial </t>
  </si>
  <si>
    <t xml:space="preserve">176.900 - 200.000 € </t>
  </si>
  <si>
    <t xml:space="preserve">597.300 - 675.000 € </t>
  </si>
  <si>
    <t xml:space="preserve">4.247.700- 4.800.000 € </t>
  </si>
  <si>
    <t xml:space="preserve">Sobrenatural </t>
  </si>
  <si>
    <t xml:space="preserve">157.400 - 175.400 € </t>
  </si>
  <si>
    <t xml:space="preserve">531.400 - 592.100 € </t>
  </si>
  <si>
    <t xml:space="preserve">3.779.500 - 4.210.500 € </t>
  </si>
  <si>
    <t xml:space="preserve">Titánico </t>
  </si>
  <si>
    <t xml:space="preserve">140.800 - 156.200 € </t>
  </si>
  <si>
    <t xml:space="preserve">475.300 - 527.300 € </t>
  </si>
  <si>
    <t xml:space="preserve">3.380.200 - 3.750.000 € </t>
  </si>
  <si>
    <t xml:space="preserve">Extra Terrestre </t>
  </si>
  <si>
    <t xml:space="preserve">128.200 - 139.800 € </t>
  </si>
  <si>
    <t xml:space="preserve">432.600 -472.000 € </t>
  </si>
  <si>
    <t xml:space="preserve">3.076.900 - 3.356.600 € </t>
  </si>
  <si>
    <t xml:space="preserve">Mítico </t>
  </si>
  <si>
    <t xml:space="preserve">117.600 - 127.300 € </t>
  </si>
  <si>
    <t xml:space="preserve">397.000 - 429.900 € </t>
  </si>
  <si>
    <t xml:space="preserve">2.823.500 - 3.057.300 € </t>
  </si>
  <si>
    <t xml:space="preserve">108.600 - 116.900 € </t>
  </si>
  <si>
    <t xml:space="preserve">366.800 - 394.700 € </t>
  </si>
  <si>
    <t xml:space="preserve">2.608.600 - 2.807.000 € </t>
  </si>
  <si>
    <t xml:space="preserve">100.500 - 108.100 € </t>
  </si>
  <si>
    <t xml:space="preserve">339.100 - 364.800 € </t>
  </si>
  <si>
    <t xml:space="preserve">2.412.000 - 2.594.500 € </t>
  </si>
  <si>
    <t xml:space="preserve">93.800 - 100.000 € </t>
  </si>
  <si>
    <t xml:space="preserve">316.900 - 337.500 € </t>
  </si>
  <si>
    <t xml:space="preserve">2.253.500 - 2.400.000 € </t>
  </si>
  <si>
    <t xml:space="preserve">88.100 - 93.400 € </t>
  </si>
  <si>
    <t xml:space="preserve">297.300 - 315.400 € </t>
  </si>
  <si>
    <t xml:space="preserve">2.114.500 - 2.242.290 €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</si>
  <si>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</si>
  <si>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</si>
  <si>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</si>
  <si>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</si>
  <si>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</si>
  <si>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</si>
  <si>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</si>
  <si>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</si>
  <si>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</si>
  <si>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</si>
  <si>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</si>
  <si>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</si>
  <si>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</si>
  <si>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</si>
  <si>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</si>
  <si>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Po</t>
  </si>
  <si>
    <t>(11776649) BP divino, salario 6,0% extra</t>
  </si>
  <si>
    <t>De</t>
  </si>
  <si>
    <t>(20650980) &amp; (95299617) BP mágico, salario 4,7% extra</t>
  </si>
  <si>
    <t>Cr</t>
  </si>
  <si>
    <t>(36438355) BP mítico, salario 4,7% extra</t>
  </si>
  <si>
    <t>Ex</t>
  </si>
  <si>
    <t>(48997559) BP E-T, salario, 4,3% extra</t>
  </si>
  <si>
    <t>Ps</t>
  </si>
  <si>
    <t>(154655044) &amp; (50355509) BP sobrenatural, salario 3,7% extra</t>
  </si>
  <si>
    <t>An</t>
  </si>
  <si>
    <t>(46543607) BP clase mundial, salario 3,3% extra</t>
  </si>
  <si>
    <t>(80271350) BP magnífico, salario 3,2% extra</t>
  </si>
  <si>
    <t>(38306586) BP brillante, salario 3,0% extra</t>
  </si>
  <si>
    <t>(115228650) BP destacado, salario 2,7% extra</t>
  </si>
  <si>
    <t>Sueldo +20%</t>
  </si>
  <si>
    <t>(67144794) BP formidable, salario 2,3% extra</t>
  </si>
  <si>
    <t>(36579219) BP excelente, salario 2,0% extra</t>
  </si>
  <si>
    <t>(197154194) BP bueno, salario 2,0% extra</t>
  </si>
  <si>
    <t>(38228598) BP aceptable, salario 1,6% extra</t>
  </si>
  <si>
    <t>(108135607) BP insuficiente, salario 1,2% extra</t>
  </si>
  <si>
    <t>(196625346) BP débil, salario 1,2% extra</t>
  </si>
  <si>
    <t>(196987469) BP pobre, salario 0,8% extra</t>
  </si>
  <si>
    <t>(196354241) BP horrible, salario 0,4% extra</t>
  </si>
  <si>
    <t>Side defence</t>
  </si>
  <si>
    <t>Side Attack</t>
  </si>
  <si>
    <t>Def Lateral</t>
  </si>
  <si>
    <t>Def Central</t>
  </si>
  <si>
    <t>Midfield</t>
  </si>
  <si>
    <t>At lateral</t>
  </si>
  <si>
    <t>At Central</t>
  </si>
  <si>
    <t>Cerca</t>
  </si>
  <si>
    <t>Lejos</t>
  </si>
  <si>
    <t>Offensive coach 92.957%</t>
  </si>
  <si>
    <t>Offensive coach 113.38%</t>
  </si>
  <si>
    <t>GK (GK skill)</t>
  </si>
  <si>
    <t>Defensive coach 120.01%</t>
  </si>
  <si>
    <t>Defensive coach 92.43%</t>
  </si>
  <si>
    <t>GK (defence skill)</t>
  </si>
  <si>
    <t>Neutral coach 105%</t>
  </si>
  <si>
    <t>CD normal (defence skill)</t>
  </si>
  <si>
    <t>CD normal (jugadas skill)</t>
  </si>
  <si>
    <t>AIM tactic 84.1039%</t>
  </si>
  <si>
    <t>Central attack</t>
  </si>
  <si>
    <t>CD offensive (defence skill)</t>
  </si>
  <si>
    <t>Creative tactic 92.2333%</t>
  </si>
  <si>
    <t>CD offensive (jugadas skill)</t>
  </si>
  <si>
    <t>CD TW (defence skill)</t>
  </si>
  <si>
    <t>AOW tactic 84.6727%</t>
  </si>
  <si>
    <t>CD TW (jugadas skill)</t>
  </si>
  <si>
    <t>Creative tactic 91.2607%</t>
  </si>
  <si>
    <t>CD TW (wing skill)</t>
  </si>
  <si>
    <t>Extra CD (defence skill)</t>
  </si>
  <si>
    <t>Central defence</t>
  </si>
  <si>
    <r>
      <t>_19,00__19,99__divino_____</t>
    </r>
    <r>
      <rPr>
        <b/>
        <u/>
        <sz val="11"/>
        <color theme="1"/>
        <rFont val="Calibri"/>
        <family val="2"/>
        <scheme val="minor"/>
      </rPr>
      <t>__</t>
    </r>
    <r>
      <rPr>
        <u/>
        <sz val="11"/>
        <color theme="1"/>
        <rFont val="Calibri"/>
        <family val="2"/>
        <scheme val="minor"/>
      </rPr>
      <t>_</t>
    </r>
  </si>
  <si>
    <t>Extra CD (jugadas skill)</t>
  </si>
  <si>
    <r>
      <t>_18,00__18,99__utópico_____</t>
    </r>
    <r>
      <rPr>
        <b/>
        <u/>
        <sz val="11"/>
        <color theme="1"/>
        <rFont val="Calibri"/>
        <family val="2"/>
        <scheme val="minor"/>
      </rPr>
      <t>_</t>
    </r>
    <r>
      <rPr>
        <u/>
        <sz val="11"/>
        <color theme="1"/>
        <rFont val="Calibri"/>
        <family val="2"/>
        <scheme val="minor"/>
      </rPr>
      <t>_</t>
    </r>
  </si>
  <si>
    <t>WB defensive (defence skill)</t>
  </si>
  <si>
    <r>
      <t>_17,00__17,99__mágico_____</t>
    </r>
    <r>
      <rPr>
        <b/>
        <u/>
        <sz val="11"/>
        <color theme="1"/>
        <rFont val="Calibri"/>
        <family val="2"/>
        <scheme val="minor"/>
      </rPr>
      <t>_</t>
    </r>
    <r>
      <rPr>
        <u/>
        <sz val="11"/>
        <color theme="1"/>
        <rFont val="Calibri"/>
        <family val="2"/>
        <scheme val="minor"/>
      </rPr>
      <t>_</t>
    </r>
  </si>
  <si>
    <t>WB defensive (jugadas skill)</t>
  </si>
  <si>
    <r>
      <t>_16,00__16,99__mítico_____</t>
    </r>
    <r>
      <rPr>
        <b/>
        <u/>
        <sz val="11"/>
        <color theme="1"/>
        <rFont val="Calibri"/>
        <family val="2"/>
        <scheme val="minor"/>
      </rPr>
      <t>__</t>
    </r>
    <r>
      <rPr>
        <u/>
        <sz val="11"/>
        <color theme="1"/>
        <rFont val="Calibri"/>
        <family val="2"/>
        <scheme val="minor"/>
      </rPr>
      <t>_</t>
    </r>
  </si>
  <si>
    <t>WB defensive (wing skill)</t>
  </si>
  <si>
    <r>
      <t>_15,00__15,99__extraterrestre</t>
    </r>
    <r>
      <rPr>
        <b/>
        <u/>
        <sz val="11"/>
        <color theme="1"/>
        <rFont val="Calibri"/>
        <family val="2"/>
        <scheme val="minor"/>
      </rPr>
      <t>_</t>
    </r>
  </si>
  <si>
    <t>WB normal (defence skill)</t>
  </si>
  <si>
    <r>
      <t>_14,00__14,99__titánico_____</t>
    </r>
    <r>
      <rPr>
        <b/>
        <u/>
        <sz val="11"/>
        <color theme="1"/>
        <rFont val="Calibri"/>
        <family val="2"/>
        <scheme val="minor"/>
      </rPr>
      <t>_</t>
    </r>
    <r>
      <rPr>
        <u/>
        <sz val="11"/>
        <color theme="1"/>
        <rFont val="Calibri"/>
        <family val="2"/>
        <scheme val="minor"/>
      </rPr>
      <t>_</t>
    </r>
  </si>
  <si>
    <t>WB normal (jugadas skill)</t>
  </si>
  <si>
    <r>
      <t>_13,00__13,99__sobrenatural_</t>
    </r>
    <r>
      <rPr>
        <b/>
        <u/>
        <sz val="11"/>
        <color theme="1"/>
        <rFont val="Calibri"/>
        <family val="2"/>
        <scheme val="minor"/>
      </rPr>
      <t>_</t>
    </r>
  </si>
  <si>
    <t>WB normal (wing skill)</t>
  </si>
  <si>
    <t>_12,00__12,99__clase mundial_</t>
  </si>
  <si>
    <t>WB offensive (defence skill)</t>
  </si>
  <si>
    <r>
      <t>_11,00__11,99__magnífico__</t>
    </r>
    <r>
      <rPr>
        <b/>
        <u/>
        <sz val="11"/>
        <color theme="1"/>
        <rFont val="Calibri"/>
        <family val="2"/>
        <scheme val="minor"/>
      </rPr>
      <t>_ _</t>
    </r>
  </si>
  <si>
    <t>WB offensive (jugadas skill)</t>
  </si>
  <si>
    <r>
      <t>_10,00__10,99__brillante___</t>
    </r>
    <r>
      <rPr>
        <b/>
        <u/>
        <sz val="11"/>
        <color theme="1"/>
        <rFont val="Calibri"/>
        <family val="2"/>
        <scheme val="minor"/>
      </rPr>
      <t>__</t>
    </r>
    <r>
      <rPr>
        <u/>
        <sz val="11"/>
        <color theme="1"/>
        <rFont val="Calibri"/>
        <family val="2"/>
        <scheme val="minor"/>
      </rPr>
      <t>_</t>
    </r>
  </si>
  <si>
    <t>WB offensive (wing skill)</t>
  </si>
  <si>
    <t>Playing counter attack 93%</t>
  </si>
  <si>
    <r>
      <t>_9,00_</t>
    </r>
    <r>
      <rPr>
        <b/>
        <u/>
        <sz val="11"/>
        <color theme="1"/>
        <rFont val="Calibri"/>
        <family val="2"/>
        <scheme val="minor"/>
      </rPr>
      <t>_</t>
    </r>
    <r>
      <rPr>
        <u/>
        <sz val="11"/>
        <color theme="1"/>
        <rFont val="Calibri"/>
        <family val="2"/>
        <scheme val="minor"/>
      </rPr>
      <t>_9,99_</t>
    </r>
    <r>
      <rPr>
        <b/>
        <u/>
        <sz val="11"/>
        <color theme="1"/>
        <rFont val="Calibri"/>
        <family val="2"/>
        <scheme val="minor"/>
      </rPr>
      <t>_</t>
    </r>
    <r>
      <rPr>
        <u/>
        <sz val="11"/>
        <color theme="1"/>
        <rFont val="Calibri"/>
        <family val="2"/>
        <scheme val="minor"/>
      </rPr>
      <t>_destacado_</t>
    </r>
    <r>
      <rPr>
        <b/>
        <u/>
        <sz val="11"/>
        <color theme="1"/>
        <rFont val="Calibri"/>
        <family val="2"/>
        <scheme val="minor"/>
      </rPr>
      <t>__</t>
    </r>
    <r>
      <rPr>
        <u/>
        <sz val="11"/>
        <color theme="1"/>
        <rFont val="Calibri"/>
        <family val="2"/>
        <scheme val="minor"/>
      </rPr>
      <t>_</t>
    </r>
  </si>
  <si>
    <t>WB TM (defence skill)</t>
  </si>
  <si>
    <t>Playing at home 119.892%</t>
  </si>
  <si>
    <r>
      <t>_8,00_</t>
    </r>
    <r>
      <rPr>
        <b/>
        <u/>
        <sz val="11"/>
        <color theme="1"/>
        <rFont val="Calibri"/>
        <family val="2"/>
        <scheme val="minor"/>
      </rPr>
      <t>_</t>
    </r>
    <r>
      <rPr>
        <u/>
        <sz val="11"/>
        <color theme="1"/>
        <rFont val="Calibri"/>
        <family val="2"/>
        <scheme val="minor"/>
      </rPr>
      <t>_8,99_</t>
    </r>
    <r>
      <rPr>
        <b/>
        <u/>
        <sz val="11"/>
        <color theme="1"/>
        <rFont val="Calibri"/>
        <family val="2"/>
        <scheme val="minor"/>
      </rPr>
      <t>_</t>
    </r>
    <r>
      <rPr>
        <u/>
        <sz val="11"/>
        <color theme="1"/>
        <rFont val="Calibri"/>
        <family val="2"/>
        <scheme val="minor"/>
      </rPr>
      <t>_formidable_</t>
    </r>
    <r>
      <rPr>
        <b/>
        <u/>
        <sz val="11"/>
        <color theme="1"/>
        <rFont val="Calibri"/>
        <family val="2"/>
        <scheme val="minor"/>
      </rPr>
      <t>_ _</t>
    </r>
  </si>
  <si>
    <t>WB TM (jugadas skill)</t>
  </si>
  <si>
    <t>Playing derby 111.493%</t>
  </si>
  <si>
    <r>
      <t>_7,00_</t>
    </r>
    <r>
      <rPr>
        <b/>
        <u/>
        <sz val="11"/>
        <color theme="1"/>
        <rFont val="Calibri"/>
        <family val="2"/>
        <scheme val="minor"/>
      </rPr>
      <t>_</t>
    </r>
    <r>
      <rPr>
        <u/>
        <sz val="11"/>
        <color theme="1"/>
        <rFont val="Calibri"/>
        <family val="2"/>
        <scheme val="minor"/>
      </rPr>
      <t>_7,99_</t>
    </r>
    <r>
      <rPr>
        <b/>
        <u/>
        <sz val="11"/>
        <color theme="1"/>
        <rFont val="Calibri"/>
        <family val="2"/>
        <scheme val="minor"/>
      </rPr>
      <t>_</t>
    </r>
    <r>
      <rPr>
        <u/>
        <sz val="11"/>
        <color theme="1"/>
        <rFont val="Calibri"/>
        <family val="2"/>
        <scheme val="minor"/>
      </rPr>
      <t>_excelente__</t>
    </r>
    <r>
      <rPr>
        <b/>
        <u/>
        <sz val="11"/>
        <color theme="1"/>
        <rFont val="Calibri"/>
        <family val="2"/>
        <scheme val="minor"/>
      </rPr>
      <t>_ _</t>
    </r>
  </si>
  <si>
    <t>WB TM (wing skill)</t>
  </si>
  <si>
    <r>
      <t>_6,00_</t>
    </r>
    <r>
      <rPr>
        <b/>
        <u/>
        <sz val="11"/>
        <color theme="1"/>
        <rFont val="Calibri"/>
        <family val="2"/>
        <scheme val="minor"/>
      </rPr>
      <t>_</t>
    </r>
    <r>
      <rPr>
        <u/>
        <sz val="11"/>
        <color theme="1"/>
        <rFont val="Calibri"/>
        <family val="2"/>
        <scheme val="minor"/>
      </rPr>
      <t>_6,99_</t>
    </r>
    <r>
      <rPr>
        <b/>
        <u/>
        <sz val="11"/>
        <color theme="1"/>
        <rFont val="Calibri"/>
        <family val="2"/>
        <scheme val="minor"/>
      </rPr>
      <t>_</t>
    </r>
    <r>
      <rPr>
        <u/>
        <sz val="11"/>
        <color theme="1"/>
        <rFont val="Calibri"/>
        <family val="2"/>
        <scheme val="minor"/>
      </rPr>
      <t>_bueno________</t>
    </r>
  </si>
  <si>
    <t>IM normal (defence skill)</t>
  </si>
  <si>
    <t>Playing PIC 83.945%</t>
  </si>
  <si>
    <r>
      <t>_5,00_</t>
    </r>
    <r>
      <rPr>
        <b/>
        <u/>
        <sz val="11"/>
        <color theme="1"/>
        <rFont val="Calibri"/>
        <family val="2"/>
        <scheme val="minor"/>
      </rPr>
      <t>_</t>
    </r>
    <r>
      <rPr>
        <u/>
        <sz val="11"/>
        <color theme="1"/>
        <rFont val="Calibri"/>
        <family val="2"/>
        <scheme val="minor"/>
      </rPr>
      <t>_5,99_</t>
    </r>
    <r>
      <rPr>
        <b/>
        <u/>
        <sz val="11"/>
        <color theme="1"/>
        <rFont val="Calibri"/>
        <family val="2"/>
        <scheme val="minor"/>
      </rPr>
      <t>_</t>
    </r>
    <r>
      <rPr>
        <u/>
        <sz val="11"/>
        <color theme="1"/>
        <rFont val="Calibri"/>
        <family val="2"/>
        <scheme val="minor"/>
      </rPr>
      <t>_aceptable__</t>
    </r>
    <r>
      <rPr>
        <b/>
        <u/>
        <sz val="11"/>
        <color theme="1"/>
        <rFont val="Calibri"/>
        <family val="2"/>
        <scheme val="minor"/>
      </rPr>
      <t>_ _</t>
    </r>
  </si>
  <si>
    <t>IM normal (jugadas skill)</t>
  </si>
  <si>
    <t>Playing MoTs 111.4926%</t>
  </si>
  <si>
    <r>
      <t>_4,00_</t>
    </r>
    <r>
      <rPr>
        <b/>
        <u/>
        <sz val="11"/>
        <color theme="1"/>
        <rFont val="Calibri"/>
        <family val="2"/>
        <scheme val="minor"/>
      </rPr>
      <t>_</t>
    </r>
    <r>
      <rPr>
        <u/>
        <sz val="11"/>
        <color theme="1"/>
        <rFont val="Calibri"/>
        <family val="2"/>
        <scheme val="minor"/>
      </rPr>
      <t>_4,99_</t>
    </r>
    <r>
      <rPr>
        <b/>
        <u/>
        <sz val="11"/>
        <color theme="1"/>
        <rFont val="Calibri"/>
        <family val="2"/>
        <scheme val="minor"/>
      </rPr>
      <t>_</t>
    </r>
    <r>
      <rPr>
        <u/>
        <sz val="11"/>
        <color theme="1"/>
        <rFont val="Calibri"/>
        <family val="2"/>
        <scheme val="minor"/>
      </rPr>
      <t>_insuficiente</t>
    </r>
    <r>
      <rPr>
        <b/>
        <u/>
        <sz val="11"/>
        <color theme="1"/>
        <rFont val="Calibri"/>
        <family val="2"/>
        <scheme val="minor"/>
      </rPr>
      <t>__</t>
    </r>
    <r>
      <rPr>
        <u/>
        <sz val="11"/>
        <color theme="1"/>
        <rFont val="Calibri"/>
        <family val="2"/>
        <scheme val="minor"/>
      </rPr>
      <t>_</t>
    </r>
  </si>
  <si>
    <t>IM normal (passing skill)</t>
  </si>
  <si>
    <r>
      <t>_3,00_</t>
    </r>
    <r>
      <rPr>
        <b/>
        <u/>
        <sz val="11"/>
        <color theme="1"/>
        <rFont val="Calibri"/>
        <family val="2"/>
        <scheme val="minor"/>
      </rPr>
      <t>_</t>
    </r>
    <r>
      <rPr>
        <u/>
        <sz val="11"/>
        <color theme="1"/>
        <rFont val="Calibri"/>
        <family val="2"/>
        <scheme val="minor"/>
      </rPr>
      <t>_3,99_</t>
    </r>
    <r>
      <rPr>
        <b/>
        <u/>
        <sz val="11"/>
        <color theme="1"/>
        <rFont val="Calibri"/>
        <family val="2"/>
        <scheme val="minor"/>
      </rPr>
      <t>_</t>
    </r>
    <r>
      <rPr>
        <u/>
        <sz val="11"/>
        <color theme="1"/>
        <rFont val="Calibri"/>
        <family val="2"/>
        <scheme val="minor"/>
      </rPr>
      <t>_débil______</t>
    </r>
    <r>
      <rPr>
        <b/>
        <u/>
        <sz val="11"/>
        <color theme="1"/>
        <rFont val="Calibri"/>
        <family val="2"/>
        <scheme val="minor"/>
      </rPr>
      <t>__</t>
    </r>
    <r>
      <rPr>
        <u/>
        <sz val="11"/>
        <color theme="1"/>
        <rFont val="Calibri"/>
        <family val="2"/>
        <scheme val="minor"/>
      </rPr>
      <t>_</t>
    </r>
  </si>
  <si>
    <t>IM defensive (defence skill)</t>
  </si>
  <si>
    <t>Long shots: -4% mediocampo (el manual dice "a little bit worse", ahora me he fijado que también el atque - se me había olvidado investigar ese efecto lo haré cuando pueda)</t>
  </si>
  <si>
    <r>
      <t>_2,00_</t>
    </r>
    <r>
      <rPr>
        <b/>
        <u/>
        <sz val="11"/>
        <color theme="1"/>
        <rFont val="Calibri"/>
        <family val="2"/>
        <scheme val="minor"/>
      </rPr>
      <t>_</t>
    </r>
    <r>
      <rPr>
        <u/>
        <sz val="11"/>
        <color theme="1"/>
        <rFont val="Calibri"/>
        <family val="2"/>
        <scheme val="minor"/>
      </rPr>
      <t>_2,99_</t>
    </r>
    <r>
      <rPr>
        <b/>
        <u/>
        <sz val="11"/>
        <color theme="1"/>
        <rFont val="Calibri"/>
        <family val="2"/>
        <scheme val="minor"/>
      </rPr>
      <t>_</t>
    </r>
    <r>
      <rPr>
        <u/>
        <sz val="11"/>
        <color theme="1"/>
        <rFont val="Calibri"/>
        <family val="2"/>
        <scheme val="minor"/>
      </rPr>
      <t>_pobre_____</t>
    </r>
    <r>
      <rPr>
        <b/>
        <u/>
        <sz val="11"/>
        <color theme="1"/>
        <rFont val="Calibri"/>
        <family val="2"/>
        <scheme val="minor"/>
      </rPr>
      <t>___</t>
    </r>
  </si>
  <si>
    <t>IM defensive (passing skill)</t>
  </si>
  <si>
    <r>
      <t>_1,00_</t>
    </r>
    <r>
      <rPr>
        <b/>
        <u/>
        <sz val="11"/>
        <color theme="1"/>
        <rFont val="Calibri"/>
        <family val="2"/>
        <scheme val="minor"/>
      </rPr>
      <t>_</t>
    </r>
    <r>
      <rPr>
        <u/>
        <sz val="11"/>
        <color theme="1"/>
        <rFont val="Calibri"/>
        <family val="2"/>
        <scheme val="minor"/>
      </rPr>
      <t>_1,99_</t>
    </r>
    <r>
      <rPr>
        <b/>
        <u/>
        <sz val="11"/>
        <color theme="1"/>
        <rFont val="Calibri"/>
        <family val="2"/>
        <scheme val="minor"/>
      </rPr>
      <t>_</t>
    </r>
    <r>
      <rPr>
        <u/>
        <sz val="11"/>
        <color theme="1"/>
        <rFont val="Calibri"/>
        <family val="2"/>
        <scheme val="minor"/>
      </rPr>
      <t>_horrible____</t>
    </r>
    <r>
      <rPr>
        <b/>
        <u/>
        <sz val="11"/>
        <color theme="1"/>
        <rFont val="Calibri"/>
        <family val="2"/>
        <scheme val="minor"/>
      </rPr>
      <t>_ _</t>
    </r>
  </si>
  <si>
    <t>IM offensive (defence skill)</t>
  </si>
  <si>
    <r>
      <t>_0,01_</t>
    </r>
    <r>
      <rPr>
        <b/>
        <u/>
        <sz val="11"/>
        <color theme="1"/>
        <rFont val="Calibri"/>
        <family val="2"/>
        <scheme val="minor"/>
      </rPr>
      <t>_</t>
    </r>
    <r>
      <rPr>
        <u/>
        <sz val="11"/>
        <color theme="1"/>
        <rFont val="Calibri"/>
        <family val="2"/>
        <scheme val="minor"/>
      </rPr>
      <t>_0,99_</t>
    </r>
    <r>
      <rPr>
        <b/>
        <u/>
        <sz val="11"/>
        <color theme="1"/>
        <rFont val="Calibri"/>
        <family val="2"/>
        <scheme val="minor"/>
      </rPr>
      <t>_</t>
    </r>
    <r>
      <rPr>
        <u/>
        <sz val="11"/>
        <color theme="1"/>
        <rFont val="Calibri"/>
        <family val="2"/>
        <scheme val="minor"/>
      </rPr>
      <t>_desastroso__ _</t>
    </r>
  </si>
  <si>
    <t xml:space="preserve">IM offensive (passing skill) </t>
  </si>
  <si>
    <r>
      <t>_0,00_</t>
    </r>
    <r>
      <rPr>
        <b/>
        <u/>
        <sz val="11"/>
        <color theme="1"/>
        <rFont val="Calibri"/>
        <family val="2"/>
        <scheme val="minor"/>
      </rPr>
      <t>_</t>
    </r>
    <r>
      <rPr>
        <u/>
        <sz val="11"/>
        <color theme="1"/>
        <rFont val="Calibri"/>
        <family val="2"/>
        <scheme val="minor"/>
      </rPr>
      <t>_0,00_</t>
    </r>
    <r>
      <rPr>
        <b/>
        <u/>
        <sz val="11"/>
        <color theme="1"/>
        <rFont val="Calibri"/>
        <family val="2"/>
        <scheme val="minor"/>
      </rPr>
      <t>_</t>
    </r>
    <r>
      <rPr>
        <u/>
        <sz val="11"/>
        <color theme="1"/>
        <rFont val="Calibri"/>
        <family val="2"/>
        <scheme val="minor"/>
      </rPr>
      <t>_no sabe___</t>
    </r>
    <r>
      <rPr>
        <b/>
        <u/>
        <sz val="11"/>
        <color theme="1"/>
        <rFont val="Calibri"/>
        <family val="2"/>
        <scheme val="minor"/>
      </rPr>
      <t>__</t>
    </r>
    <r>
      <rPr>
        <u/>
        <sz val="11"/>
        <color theme="1"/>
        <rFont val="Calibri"/>
        <family val="2"/>
        <scheme val="minor"/>
      </rPr>
      <t>_</t>
    </r>
  </si>
  <si>
    <t>IM off/def (jugadas skill)</t>
  </si>
  <si>
    <t>Extra IM (defence skill)</t>
  </si>
  <si>
    <t>Extra IM (jugadas skill)</t>
  </si>
  <si>
    <t>Efectos de actitud sobre el mediocampo</t>
  </si>
  <si>
    <t>Extra IM (passing skill)</t>
  </si>
  <si>
    <t>PIC en murderous/muy agresivos: -14,8%</t>
  </si>
  <si>
    <t>IM TW (defence skill)</t>
  </si>
  <si>
    <t>PIC en composed/serenos: -(15,8-16,2%)</t>
  </si>
  <si>
    <t>IM TW (jugadas skill)</t>
  </si>
  <si>
    <t>MOTS en murderous/muy agresivos: +(11,1-11,6%)</t>
  </si>
  <si>
    <t>IM TW (wing skill)</t>
  </si>
  <si>
    <t>MOTS en composed/serenos: +(10,3-11,4%)</t>
  </si>
  <si>
    <t xml:space="preserve">IM TW (passing skill) </t>
  </si>
  <si>
    <t>Wing normal (defence skill)</t>
  </si>
  <si>
    <t>Wing normal (jugadas skill)</t>
  </si>
  <si>
    <t>Wing normal (wing skill)</t>
  </si>
  <si>
    <t>Sobrepoblación</t>
  </si>
  <si>
    <t>Wing normal (passing skill)</t>
  </si>
  <si>
    <t>La siguiente tabla muestra el penalti de cada delantero/medio/defensa central respecto a tener uno menos.</t>
  </si>
  <si>
    <t>Wing defensive (defence skill)</t>
  </si>
  <si>
    <t>Wing defensive (wing skill)</t>
  </si>
  <si>
    <t>3, respecto a 2:</t>
  </si>
  <si>
    <t>Wing defensive (passing skill)</t>
  </si>
  <si>
    <t>11,8-13,3% Delanteros</t>
  </si>
  <si>
    <t>Wing offensive (defence skill)</t>
  </si>
  <si>
    <t>13,0-13,3% Medios</t>
  </si>
  <si>
    <t>Wing offensive (wing skill)</t>
  </si>
  <si>
    <t>8,1- 8,8% Defensas</t>
  </si>
  <si>
    <t>Wing offensive (passing skill)</t>
  </si>
  <si>
    <t>Wing off/def (jugadas skill)</t>
  </si>
  <si>
    <t>2, respecto a 1:</t>
  </si>
  <si>
    <t>Wing TM (defence skill)</t>
  </si>
  <si>
    <t>4,2- 9,7% Delanteros</t>
  </si>
  <si>
    <t>Wing TM (jugadas skill)</t>
  </si>
  <si>
    <t>8,3-15,5% Medios *</t>
  </si>
  <si>
    <t>Wing TM (wing skill)</t>
  </si>
  <si>
    <t>2,1- 2,8% Defensas</t>
  </si>
  <si>
    <t>Wing TM (passing skill)</t>
  </si>
  <si>
    <t>* con mi espíritu tan bajo no consigo apretar el rango con 1 inner</t>
  </si>
  <si>
    <t>Fwd TW (opposite side) (scoring skill)</t>
  </si>
  <si>
    <t>Fwd TW (wing skill)</t>
  </si>
  <si>
    <t>Fwd TW (scoring skill)</t>
  </si>
  <si>
    <t>Fwd TW (passing skill)</t>
  </si>
  <si>
    <t>Fwd defensive (jugadas skill)</t>
  </si>
  <si>
    <t>Fwd defensive [Tech] (passing skill)</t>
  </si>
  <si>
    <t>tecn</t>
  </si>
  <si>
    <t>Fwd defensive {non-tech} (passing skill)</t>
  </si>
  <si>
    <t>Fwd defensive (wing skill)</t>
  </si>
  <si>
    <t>Fwd defensive (scoring skill)</t>
  </si>
  <si>
    <t>Fwd normal (scoring skill)</t>
  </si>
  <si>
    <t>Fwd normal (wing skill)</t>
  </si>
  <si>
    <t>Fwd normal (passing skill)</t>
  </si>
  <si>
    <t>Extra Fwd (scoring skill)</t>
  </si>
  <si>
    <t>Extra Fwd (wing skill)</t>
  </si>
  <si>
    <t>Extra Fwd (passing skill)</t>
  </si>
  <si>
    <t>IM normal (scoring skill)</t>
  </si>
  <si>
    <t>IM defensive (scoring skill)</t>
  </si>
  <si>
    <t xml:space="preserve">IM offensive (scoring skill) </t>
  </si>
  <si>
    <t>Wing Def (jugadas skill)</t>
  </si>
  <si>
    <t>Wing Off (jugadas skill)</t>
  </si>
  <si>
    <t>Fwd TW (jugadas skill)</t>
  </si>
  <si>
    <t>Fwd normal (jugadas skill)</t>
  </si>
  <si>
    <t>Team confidence (TC) also provides a small boost/deficit estimated at @ 1.3% per level above and below ‘decent’.</t>
  </si>
  <si>
    <t>Relative player skill contributions:</t>
  </si>
  <si>
    <t>Relative player contributions:</t>
  </si>
  <si>
    <t>Wing offensive (wing skill) 100%</t>
  </si>
  <si>
    <t>WB defensive 100%</t>
  </si>
  <si>
    <t>Wing normal (wing skill) 84.328%</t>
  </si>
  <si>
    <t>WB normal 91.233%</t>
  </si>
  <si>
    <t>Wing defensive (wing skill) 71.95%</t>
  </si>
  <si>
    <t>Def</t>
  </si>
  <si>
    <t>Att</t>
  </si>
  <si>
    <t>WB offensive 69.06%</t>
  </si>
  <si>
    <t>WB offensive (wing skill) 62.806%</t>
  </si>
  <si>
    <t>Neutro</t>
  </si>
  <si>
    <t>WB TM 68.315%</t>
  </si>
  <si>
    <t>IM TW (wing skill) 57.364%</t>
  </si>
  <si>
    <t>CD TW 65.616%</t>
  </si>
  <si>
    <t>Wing TM (wing skill) 56.411%</t>
  </si>
  <si>
    <t>Off</t>
  </si>
  <si>
    <t>GK (GK skill) 64.709%</t>
  </si>
  <si>
    <t>WB normal (wing skill) 51.546%</t>
  </si>
  <si>
    <t>CD normal 50.018%</t>
  </si>
  <si>
    <t>Fwd TW (wing skill) 49.523%</t>
  </si>
  <si>
    <t>Wing defensive 47.362%</t>
  </si>
  <si>
    <t>Fwd TW (scoring skill) 47.444%</t>
  </si>
  <si>
    <t>Extra CD 42.515%</t>
  </si>
  <si>
    <t>WB defensive (wing skill) 32.728%</t>
  </si>
  <si>
    <t>CD offensive 35.505%</t>
  </si>
  <si>
    <t>WB TM (wing skill) 32.396%</t>
  </si>
  <si>
    <t>TORN</t>
  </si>
  <si>
    <t>Wing normal 34.708%</t>
  </si>
  <si>
    <t>CD TW (wing skill) 28.65%</t>
  </si>
  <si>
    <t>Tomando entrenador neutro como base, la contribución es:</t>
  </si>
  <si>
    <t>Wing TM 28.996%</t>
  </si>
  <si>
    <t>Fwd defensive [Tech] (passing skill) 28.65%</t>
  </si>
  <si>
    <t>Ofensivo, al ataque: entre +7,76% y +8,20%</t>
  </si>
  <si>
    <t>IM defensive 27.438%</t>
  </si>
  <si>
    <t>Wing offensive (passing skill) 26.967%</t>
  </si>
  <si>
    <t>Ofensivo, a defensa: entre -11,38% y -12,10%</t>
  </si>
  <si>
    <t>GK (defence skill) 26.545%</t>
  </si>
  <si>
    <t>IM TW (passing skill) 26.422%</t>
  </si>
  <si>
    <t>Defensivo, al ataque: entre -11,48% y -11,56%</t>
  </si>
  <si>
    <t>CD normal (2nd CD furthest away from this side) 25.009%</t>
  </si>
  <si>
    <t>IM normal (passing skill) 24.452%</t>
  </si>
  <si>
    <t>Defensivo, a defensa: entre +11,97% y 12,85%</t>
  </si>
  <si>
    <t>IM TW 20.368%</t>
  </si>
  <si>
    <t>IM offensive (passing skill) 23.788%</t>
  </si>
  <si>
    <t>Estos datos son 100% fiables y el intervalo es absoluto - siempre suponiendo que el predictor interno de calis es correcto.</t>
  </si>
  <si>
    <t>IM normal 18.545%</t>
  </si>
  <si>
    <t>Fwd normal (scoring skill) 23.763%</t>
  </si>
  <si>
    <t>CD offensive (2nd CD furthest away from this side) 17.752%</t>
  </si>
  <si>
    <t>Wing normal (passing skill) 23.543%</t>
  </si>
  <si>
    <t>Wing offensive 17.321%</t>
  </si>
  <si>
    <t>Fwd defensive {non-tech} (passing skill) 20.932%</t>
  </si>
  <si>
    <t>Wing</t>
  </si>
  <si>
    <t>Extremo</t>
  </si>
  <si>
    <t>Extra IM 15.763%</t>
  </si>
  <si>
    <t>Extra IM (passing skill) 20.784%</t>
  </si>
  <si>
    <t>WB</t>
  </si>
  <si>
    <t>Def lateral</t>
  </si>
  <si>
    <t>IM defensive (2nd IM furthest away from this side) 13.719%</t>
  </si>
  <si>
    <t>Wing defensive (passing skill) 20.451%</t>
  </si>
  <si>
    <t>CD</t>
  </si>
  <si>
    <t>Def central</t>
  </si>
  <si>
    <t>IM offensive 11.212%</t>
  </si>
  <si>
    <t>Extra Fwd normal (scoring skill) 20.199%</t>
  </si>
  <si>
    <t>Fwd</t>
  </si>
  <si>
    <t>Delantero</t>
  </si>
  <si>
    <t>IM normal (2nd IM furthest away from this side) 9.272%</t>
  </si>
  <si>
    <t>Fwd TW (opposite side) (scoring skill) 19.152%</t>
  </si>
  <si>
    <t>IM</t>
  </si>
  <si>
    <t>Medio</t>
  </si>
  <si>
    <t>IM offensive (2nd IM furthest away from this side) 5.606%</t>
  </si>
  <si>
    <t>Fwd normal (wing skill) 17.316%</t>
  </si>
  <si>
    <t>Fwd TW (passing skill) 16.774%</t>
  </si>
  <si>
    <t>IM defensive (passing skill) 14.95%</t>
  </si>
  <si>
    <t>Extra Fwd (wing skill) 17.719%</t>
  </si>
  <si>
    <t>Fwd defensive (wing skill) 14.599%</t>
  </si>
  <si>
    <t>Wing TM (passing skill) 14.326%</t>
  </si>
  <si>
    <t>Fwd defensive (scoring skill) 12.414%</t>
  </si>
  <si>
    <t>Fwd normal (passing skill) 12.317%</t>
  </si>
  <si>
    <t>IM normal (2nd IM furthest away from this side) (passing skill) 12.226%</t>
  </si>
  <si>
    <t>IM offensive (2nd IM furthest away from this side) (passing skill) 11.894%</t>
  </si>
  <si>
    <t>Extra Fwd (passing skill) 10.47%</t>
  </si>
  <si>
    <t>IM defensive (2nd IM furthest away from this side) (passing skill) 7.475%</t>
  </si>
  <si>
    <t>CD normal 100%</t>
  </si>
  <si>
    <t>It is worth noting that forwards positioned (normal or defensive) furthest away from the side appear to contribute as though they were positioned on this side.</t>
  </si>
  <si>
    <t>GK (GK skill) 97.193%</t>
  </si>
  <si>
    <t>Extra CD 85%</t>
  </si>
  <si>
    <t>CD TW 78.437%</t>
  </si>
  <si>
    <t>CD offensive 72.292%</t>
  </si>
  <si>
    <t>WB TM 70.006%</t>
  </si>
  <si>
    <t>IM defensive 62.793%</t>
  </si>
  <si>
    <t>WB defensive 51.382%</t>
  </si>
  <si>
    <t>WB normal 46.147%</t>
  </si>
  <si>
    <t>Team confidence (TC) also provides a small boost/deficit estimated at @ 1.3% per level above or below ‘decent’.</t>
  </si>
  <si>
    <t>IM normal 42.435%</t>
  </si>
  <si>
    <t>GK (defence skill) 39.896%</t>
  </si>
  <si>
    <t>WB offensive 38.878%</t>
  </si>
  <si>
    <t>Extra IM 36.07%</t>
  </si>
  <si>
    <t>Fwd normal (scoring skill) 100%</t>
  </si>
  <si>
    <t>IM TW 33.767%</t>
  </si>
  <si>
    <t>Extra Fwd (scoring skill) 85%</t>
  </si>
  <si>
    <t>Wing defensive 28.102%</t>
  </si>
  <si>
    <t>Fwd defensive [Tech] (passing skill) 80.177%</t>
  </si>
  <si>
    <t>Wing TM 25.344%</t>
  </si>
  <si>
    <t>Fwd defensive (scoring skill) 61.785%</t>
  </si>
  <si>
    <t>IM offensive 23.462%</t>
  </si>
  <si>
    <t>Fwd TW (scoring skill) 60.697%</t>
  </si>
  <si>
    <t>Wing normal 20.83%</t>
  </si>
  <si>
    <t>Fwd defensive {non tech] (passing skill) 50.776%</t>
  </si>
  <si>
    <t>Wing offensive 9.293%</t>
  </si>
  <si>
    <t>IM offensive (passing skill) 50.244%</t>
  </si>
  <si>
    <t>IM normal (passing skill) 34.044%</t>
  </si>
  <si>
    <t>Fwd normal (passing skill) 33.636%</t>
  </si>
  <si>
    <t>Extra IM (passing skill) 28.937%</t>
  </si>
  <si>
    <t>Extra Fwd (passing skill) 28.591%</t>
  </si>
  <si>
    <t>Fwd TW (passing skill) 24.78%</t>
  </si>
  <si>
    <t>IM TW (passing skill) 23.99%</t>
  </si>
  <si>
    <t>IM defensive (passing skill) 23.748%</t>
  </si>
  <si>
    <t>Wing TM (passing skill) 17.192%</t>
  </si>
  <si>
    <t>Wing offensive (passing skill) 15.351%</t>
  </si>
  <si>
    <t>Wing normal (passing skill) 13.222%</t>
  </si>
  <si>
    <t>Wing defensive (passing skill) 9.163%</t>
  </si>
  <si>
    <t>IM normal 100%</t>
  </si>
  <si>
    <r>
      <t xml:space="preserve">Data Collection By </t>
    </r>
    <r>
      <rPr>
        <b/>
        <sz val="11"/>
        <color theme="1"/>
        <rFont val="Calibri"/>
        <family val="2"/>
        <scheme val="minor"/>
      </rPr>
      <t>Bink286</t>
    </r>
  </si>
  <si>
    <t>IM off/def 94.697%</t>
  </si>
  <si>
    <t>IM TW 89.816%</t>
  </si>
  <si>
    <t>Extra IM 85%</t>
  </si>
  <si>
    <t>Wing TM 65.949%</t>
  </si>
  <si>
    <t>Wing normal 52.56%</t>
  </si>
  <si>
    <t>Fwd defensive 45.618%</t>
  </si>
  <si>
    <t>Wing off/def 43.773%</t>
  </si>
  <si>
    <t>CD off 36.337%</t>
  </si>
  <si>
    <t>CD normal 27.488%</t>
  </si>
  <si>
    <t>Extra CD 23.365%</t>
  </si>
  <si>
    <t>WB off 20.99%</t>
  </si>
  <si>
    <t>WB TM 15.2%</t>
  </si>
  <si>
    <t>WB normal 15.036%</t>
  </si>
  <si>
    <t>CD TW 14.64%</t>
  </si>
  <si>
    <t>WB defensive 4.387%</t>
  </si>
  <si>
    <t>Posesion Equipo A = Mediocampo Equipo A / (Mediocampo Equipo A + Mediocampo Equipo B)</t>
  </si>
  <si>
    <t>Siendo A la posesión del primer equipo y B la del segundo... (A^2.7) / (A^2.7 + B^2.7) para saber ocasiones</t>
  </si>
  <si>
    <t>Posesion</t>
  </si>
  <si>
    <t>Ocasiones</t>
  </si>
  <si>
    <t>Maxima</t>
  </si>
  <si>
    <t>%</t>
  </si>
  <si>
    <t>Minima</t>
  </si>
  <si>
    <t>Pos A</t>
  </si>
  <si>
    <t>Pos B</t>
  </si>
  <si>
    <r>
      <t>_4,75__5,00_</t>
    </r>
    <r>
      <rPr>
        <b/>
        <u/>
        <sz val="11"/>
        <color theme="1"/>
        <rFont val="Calibri"/>
        <family val="2"/>
        <scheme val="minor"/>
      </rPr>
      <t>_</t>
    </r>
    <r>
      <rPr>
        <u/>
        <sz val="11"/>
        <color theme="1"/>
        <rFont val="Calibri"/>
        <family val="2"/>
        <scheme val="minor"/>
      </rPr>
      <t>_insuficiente (ma)_</t>
    </r>
  </si>
  <si>
    <r>
      <t>_4,50__4,75_</t>
    </r>
    <r>
      <rPr>
        <b/>
        <u/>
        <sz val="11"/>
        <color theme="1"/>
        <rFont val="Calibri"/>
        <family val="2"/>
        <scheme val="minor"/>
      </rPr>
      <t>_</t>
    </r>
    <r>
      <rPr>
        <u/>
        <sz val="11"/>
        <color theme="1"/>
        <rFont val="Calibri"/>
        <family val="2"/>
        <scheme val="minor"/>
      </rPr>
      <t>_insuficiente (a)</t>
    </r>
    <r>
      <rPr>
        <b/>
        <u/>
        <sz val="11"/>
        <color theme="1"/>
        <rFont val="Calibri"/>
        <family val="2"/>
        <scheme val="minor"/>
      </rPr>
      <t>_ _</t>
    </r>
  </si>
  <si>
    <r>
      <t>_4,25__4,50_</t>
    </r>
    <r>
      <rPr>
        <b/>
        <u/>
        <sz val="11"/>
        <color theme="1"/>
        <rFont val="Calibri"/>
        <family val="2"/>
        <scheme val="minor"/>
      </rPr>
      <t>_</t>
    </r>
    <r>
      <rPr>
        <u/>
        <sz val="11"/>
        <color theme="1"/>
        <rFont val="Calibri"/>
        <family val="2"/>
        <scheme val="minor"/>
      </rPr>
      <t>_insuficiente (b)</t>
    </r>
    <r>
      <rPr>
        <b/>
        <u/>
        <sz val="11"/>
        <color theme="1"/>
        <rFont val="Calibri"/>
        <family val="2"/>
        <scheme val="minor"/>
      </rPr>
      <t>_ _</t>
    </r>
  </si>
  <si>
    <r>
      <t>_4,00__4,25_</t>
    </r>
    <r>
      <rPr>
        <b/>
        <u/>
        <sz val="11"/>
        <color theme="1"/>
        <rFont val="Calibri"/>
        <family val="2"/>
        <scheme val="minor"/>
      </rPr>
      <t>_</t>
    </r>
    <r>
      <rPr>
        <u/>
        <sz val="11"/>
        <color theme="1"/>
        <rFont val="Calibri"/>
        <family val="2"/>
        <scheme val="minor"/>
      </rPr>
      <t>_insuficiente (mb)_</t>
    </r>
  </si>
  <si>
    <r>
      <t>_3,75__4,00_</t>
    </r>
    <r>
      <rPr>
        <b/>
        <u/>
        <sz val="11"/>
        <color theme="1"/>
        <rFont val="Calibri"/>
        <family val="2"/>
        <scheme val="minor"/>
      </rPr>
      <t>_</t>
    </r>
    <r>
      <rPr>
        <u/>
        <sz val="11"/>
        <color theme="1"/>
        <rFont val="Calibri"/>
        <family val="2"/>
        <scheme val="minor"/>
      </rPr>
      <t>_débil (ma)_______</t>
    </r>
  </si>
  <si>
    <r>
      <t>_3,50__3,75_</t>
    </r>
    <r>
      <rPr>
        <b/>
        <u/>
        <sz val="11"/>
        <color theme="1"/>
        <rFont val="Calibri"/>
        <family val="2"/>
        <scheme val="minor"/>
      </rPr>
      <t>_</t>
    </r>
    <r>
      <rPr>
        <u/>
        <sz val="11"/>
        <color theme="1"/>
        <rFont val="Calibri"/>
        <family val="2"/>
        <scheme val="minor"/>
      </rPr>
      <t>_débil (a)______</t>
    </r>
    <r>
      <rPr>
        <b/>
        <u/>
        <sz val="11"/>
        <color theme="1"/>
        <rFont val="Calibri"/>
        <family val="2"/>
        <scheme val="minor"/>
      </rPr>
      <t>_ _</t>
    </r>
  </si>
  <si>
    <r>
      <t>_3,25__3,50_</t>
    </r>
    <r>
      <rPr>
        <b/>
        <u/>
        <sz val="11"/>
        <color theme="1"/>
        <rFont val="Calibri"/>
        <family val="2"/>
        <scheme val="minor"/>
      </rPr>
      <t>_</t>
    </r>
    <r>
      <rPr>
        <u/>
        <sz val="11"/>
        <color theme="1"/>
        <rFont val="Calibri"/>
        <family val="2"/>
        <scheme val="minor"/>
      </rPr>
      <t>_débil (b)______</t>
    </r>
    <r>
      <rPr>
        <b/>
        <u/>
        <sz val="11"/>
        <color theme="1"/>
        <rFont val="Calibri"/>
        <family val="2"/>
        <scheme val="minor"/>
      </rPr>
      <t>_ _</t>
    </r>
  </si>
  <si>
    <r>
      <t>_3,00__3,25_</t>
    </r>
    <r>
      <rPr>
        <b/>
        <u/>
        <sz val="11"/>
        <color theme="1"/>
        <rFont val="Calibri"/>
        <family val="2"/>
        <scheme val="minor"/>
      </rPr>
      <t>_</t>
    </r>
    <r>
      <rPr>
        <u/>
        <sz val="11"/>
        <color theme="1"/>
        <rFont val="Calibri"/>
        <family val="2"/>
        <scheme val="minor"/>
      </rPr>
      <t>_débil (mb)_______</t>
    </r>
  </si>
  <si>
    <r>
      <t>_2,75__3,00_</t>
    </r>
    <r>
      <rPr>
        <b/>
        <u/>
        <sz val="11"/>
        <color theme="1"/>
        <rFont val="Calibri"/>
        <family val="2"/>
        <scheme val="minor"/>
      </rPr>
      <t>_</t>
    </r>
    <r>
      <rPr>
        <u/>
        <sz val="11"/>
        <color theme="1"/>
        <rFont val="Calibri"/>
        <family val="2"/>
        <scheme val="minor"/>
      </rPr>
      <t>_pobre (ma)____</t>
    </r>
    <r>
      <rPr>
        <b/>
        <u/>
        <sz val="11"/>
        <color theme="1"/>
        <rFont val="Calibri"/>
        <family val="2"/>
        <scheme val="minor"/>
      </rPr>
      <t>_</t>
    </r>
    <r>
      <rPr>
        <u/>
        <sz val="11"/>
        <color theme="1"/>
        <rFont val="Calibri"/>
        <family val="2"/>
        <scheme val="minor"/>
      </rPr>
      <t>_</t>
    </r>
  </si>
  <si>
    <r>
      <t>_2,50__2,75_</t>
    </r>
    <r>
      <rPr>
        <b/>
        <u/>
        <sz val="11"/>
        <color theme="1"/>
        <rFont val="Calibri"/>
        <family val="2"/>
        <scheme val="minor"/>
      </rPr>
      <t>_</t>
    </r>
    <r>
      <rPr>
        <u/>
        <sz val="11"/>
        <color theme="1"/>
        <rFont val="Calibri"/>
        <family val="2"/>
        <scheme val="minor"/>
      </rPr>
      <t>_pobre (a)________</t>
    </r>
  </si>
  <si>
    <r>
      <t>_2,25__2,50_</t>
    </r>
    <r>
      <rPr>
        <b/>
        <u/>
        <sz val="11"/>
        <color theme="1"/>
        <rFont val="Calibri"/>
        <family val="2"/>
        <scheme val="minor"/>
      </rPr>
      <t>_</t>
    </r>
    <r>
      <rPr>
        <u/>
        <sz val="11"/>
        <color theme="1"/>
        <rFont val="Calibri"/>
        <family val="2"/>
        <scheme val="minor"/>
      </rPr>
      <t>_pobre (b)________</t>
    </r>
  </si>
  <si>
    <r>
      <t>_2,00__2,25_</t>
    </r>
    <r>
      <rPr>
        <b/>
        <u/>
        <sz val="11"/>
        <color theme="1"/>
        <rFont val="Calibri"/>
        <family val="2"/>
        <scheme val="minor"/>
      </rPr>
      <t>_</t>
    </r>
    <r>
      <rPr>
        <u/>
        <sz val="11"/>
        <color theme="1"/>
        <rFont val="Calibri"/>
        <family val="2"/>
        <scheme val="minor"/>
      </rPr>
      <t>_pobre (mb)____</t>
    </r>
    <r>
      <rPr>
        <b/>
        <u/>
        <sz val="11"/>
        <color theme="1"/>
        <rFont val="Calibri"/>
        <family val="2"/>
        <scheme val="minor"/>
      </rPr>
      <t>_</t>
    </r>
    <r>
      <rPr>
        <u/>
        <sz val="11"/>
        <color theme="1"/>
        <rFont val="Calibri"/>
        <family val="2"/>
        <scheme val="minor"/>
      </rPr>
      <t>_</t>
    </r>
  </si>
  <si>
    <r>
      <t>_1,75__2,00_</t>
    </r>
    <r>
      <rPr>
        <b/>
        <u/>
        <sz val="11"/>
        <color theme="1"/>
        <rFont val="Calibri"/>
        <family val="2"/>
        <scheme val="minor"/>
      </rPr>
      <t>_</t>
    </r>
    <r>
      <rPr>
        <u/>
        <sz val="11"/>
        <color theme="1"/>
        <rFont val="Calibri"/>
        <family val="2"/>
        <scheme val="minor"/>
      </rPr>
      <t>_horrible (ma)_</t>
    </r>
    <r>
      <rPr>
        <b/>
        <u/>
        <sz val="11"/>
        <color theme="1"/>
        <rFont val="Calibri"/>
        <family val="2"/>
        <scheme val="minor"/>
      </rPr>
      <t>___</t>
    </r>
  </si>
  <si>
    <r>
      <t>_1,50__1,75_</t>
    </r>
    <r>
      <rPr>
        <b/>
        <u/>
        <sz val="11"/>
        <color theme="1"/>
        <rFont val="Calibri"/>
        <family val="2"/>
        <scheme val="minor"/>
      </rPr>
      <t>_</t>
    </r>
    <r>
      <rPr>
        <u/>
        <sz val="11"/>
        <color theme="1"/>
        <rFont val="Calibri"/>
        <family val="2"/>
        <scheme val="minor"/>
      </rPr>
      <t>_horrible (a)___</t>
    </r>
    <r>
      <rPr>
        <b/>
        <u/>
        <sz val="11"/>
        <color theme="1"/>
        <rFont val="Calibri"/>
        <family val="2"/>
        <scheme val="minor"/>
      </rPr>
      <t>__</t>
    </r>
    <r>
      <rPr>
        <u/>
        <sz val="11"/>
        <color theme="1"/>
        <rFont val="Calibri"/>
        <family val="2"/>
        <scheme val="minor"/>
      </rPr>
      <t>_</t>
    </r>
  </si>
  <si>
    <r>
      <t>_1,25__1,50_</t>
    </r>
    <r>
      <rPr>
        <b/>
        <u/>
        <sz val="11"/>
        <color theme="1"/>
        <rFont val="Calibri"/>
        <family val="2"/>
        <scheme val="minor"/>
      </rPr>
      <t>_</t>
    </r>
    <r>
      <rPr>
        <u/>
        <sz val="11"/>
        <color theme="1"/>
        <rFont val="Calibri"/>
        <family val="2"/>
        <scheme val="minor"/>
      </rPr>
      <t>_horrible (b)___</t>
    </r>
    <r>
      <rPr>
        <b/>
        <u/>
        <sz val="11"/>
        <color theme="1"/>
        <rFont val="Calibri"/>
        <family val="2"/>
        <scheme val="minor"/>
      </rPr>
      <t>__</t>
    </r>
    <r>
      <rPr>
        <u/>
        <sz val="11"/>
        <color theme="1"/>
        <rFont val="Calibri"/>
        <family val="2"/>
        <scheme val="minor"/>
      </rPr>
      <t>_</t>
    </r>
  </si>
  <si>
    <r>
      <t>_1,00__1,25_</t>
    </r>
    <r>
      <rPr>
        <b/>
        <u/>
        <sz val="11"/>
        <color theme="1"/>
        <rFont val="Calibri"/>
        <family val="2"/>
        <scheme val="minor"/>
      </rPr>
      <t>_</t>
    </r>
    <r>
      <rPr>
        <u/>
        <sz val="11"/>
        <color theme="1"/>
        <rFont val="Calibri"/>
        <family val="2"/>
        <scheme val="minor"/>
      </rPr>
      <t>_horrible (mb)_</t>
    </r>
    <r>
      <rPr>
        <b/>
        <u/>
        <sz val="11"/>
        <color theme="1"/>
        <rFont val="Calibri"/>
        <family val="2"/>
        <scheme val="minor"/>
      </rPr>
      <t>___</t>
    </r>
  </si>
  <si>
    <r>
      <t>_0,75__1,00_</t>
    </r>
    <r>
      <rPr>
        <b/>
        <u/>
        <sz val="11"/>
        <color theme="1"/>
        <rFont val="Calibri"/>
        <family val="2"/>
        <scheme val="minor"/>
      </rPr>
      <t>_</t>
    </r>
    <r>
      <rPr>
        <u/>
        <sz val="11"/>
        <color theme="1"/>
        <rFont val="Calibri"/>
        <family val="2"/>
        <scheme val="minor"/>
      </rPr>
      <t>_desastroso (ma)&amp;#160</t>
    </r>
  </si>
  <si>
    <r>
      <t>_0,50__0,75_</t>
    </r>
    <r>
      <rPr>
        <b/>
        <u/>
        <sz val="11"/>
        <color theme="1"/>
        <rFont val="Calibri"/>
        <family val="2"/>
        <scheme val="minor"/>
      </rPr>
      <t>_</t>
    </r>
    <r>
      <rPr>
        <u/>
        <sz val="11"/>
        <color theme="1"/>
        <rFont val="Calibri"/>
        <family val="2"/>
        <scheme val="minor"/>
      </rPr>
      <t>_desastroso (a)_</t>
    </r>
    <r>
      <rPr>
        <b/>
        <u/>
        <sz val="11"/>
        <color theme="1"/>
        <rFont val="Calibri"/>
        <family val="2"/>
        <scheme val="minor"/>
      </rPr>
      <t>_</t>
    </r>
    <r>
      <rPr>
        <u/>
        <sz val="11"/>
        <color theme="1"/>
        <rFont val="Calibri"/>
        <family val="2"/>
        <scheme val="minor"/>
      </rPr>
      <t>_</t>
    </r>
  </si>
  <si>
    <r>
      <t>_0,25__0,50_</t>
    </r>
    <r>
      <rPr>
        <b/>
        <u/>
        <sz val="11"/>
        <color theme="1"/>
        <rFont val="Calibri"/>
        <family val="2"/>
        <scheme val="minor"/>
      </rPr>
      <t>_</t>
    </r>
    <r>
      <rPr>
        <u/>
        <sz val="11"/>
        <color theme="1"/>
        <rFont val="Calibri"/>
        <family val="2"/>
        <scheme val="minor"/>
      </rPr>
      <t>_desastroso (b)_</t>
    </r>
    <r>
      <rPr>
        <b/>
        <u/>
        <sz val="11"/>
        <color theme="1"/>
        <rFont val="Calibri"/>
        <family val="2"/>
        <scheme val="minor"/>
      </rPr>
      <t>_</t>
    </r>
    <r>
      <rPr>
        <u/>
        <sz val="11"/>
        <color theme="1"/>
        <rFont val="Calibri"/>
        <family val="2"/>
        <scheme val="minor"/>
      </rPr>
      <t>_</t>
    </r>
  </si>
  <si>
    <r>
      <t>_0,00__0,25_</t>
    </r>
    <r>
      <rPr>
        <b/>
        <u/>
        <sz val="11"/>
        <color theme="1"/>
        <rFont val="Calibri"/>
        <family val="2"/>
        <scheme val="minor"/>
      </rPr>
      <t>_</t>
    </r>
    <r>
      <rPr>
        <u/>
        <sz val="11"/>
        <color theme="1"/>
        <rFont val="Calibri"/>
        <family val="2"/>
        <scheme val="minor"/>
      </rPr>
      <t>_desastroso (mb)&amp;#160</t>
    </r>
  </si>
  <si>
    <r>
      <t>_0,00__0,00_</t>
    </r>
    <r>
      <rPr>
        <b/>
        <u/>
        <sz val="11"/>
        <color theme="1"/>
        <rFont val="Calibri"/>
        <family val="2"/>
        <scheme val="minor"/>
      </rPr>
      <t>_</t>
    </r>
    <r>
      <rPr>
        <u/>
        <sz val="11"/>
        <color theme="1"/>
        <rFont val="Calibri"/>
        <family val="2"/>
        <scheme val="minor"/>
      </rPr>
      <t>_no sabe____</t>
    </r>
  </si>
  <si>
    <t>Team Spirit</t>
  </si>
  <si>
    <t>Team spirit has a non linear effect upon m/f ratings, with higher levels of T/S exhibiting an exaggerating percentile improvement over the mid-composed point. Lower levels of T/S have a similar negative percentile effect. (this means I don't understand the numbers yet!)</t>
  </si>
  <si>
    <t>Nota: Esto sirve para hacer una estimacion ya que los valores tienen subniveles imposibles de saber.</t>
  </si>
  <si>
    <t>- 15 Honorables (4) + 6 Justos (3), Media -&amp;gt; 15*4 + 6*3 = 78/21 = 3,71 -&amp;gt; NO OBTIENES logro (buena honestidad)</t>
  </si>
  <si>
    <t>- 17 Antipáticos (0) + 3 Polémicos (1) + 1 Agradable (2), Media -&amp;gt; 17*0 + 3*1 + 1*2 = 5/21 = 0,23 -&amp;gt; OBTIENES logro (mal carácter)</t>
  </si>
  <si>
    <t>Ejemplos:</t>
  </si>
  <si>
    <t>Si las escalas de personalidad se empiezan a medir desde 0 los valores medios límites son 0,25 y 3,75 (ambos no inclusive)</t>
  </si>
  <si>
    <t>Sólo hay logros de carácter y honestidad no de agresividad.</t>
  </si>
  <si>
    <t>Para estos logros cuenta TODA LA PLANTILLA (el entrenador también) y hay que tener mas de un jugador (solo con el entrenador no vale, pero no se sabe cual es el mínimo de jugadores).</t>
  </si>
  <si>
    <t>• Grupo de jugadores deshonestos (mala HONESTIDAD)...15 pts</t>
  </si>
  <si>
    <t>• Grupo de jugadores honestos (buena HONESTIDAD)......15 pts</t>
  </si>
  <si>
    <t>• Grupo de jugadores antipáticos (mal CARÁCTER)..........15 pts</t>
  </si>
  <si>
    <t>• Grupo de jugadores agradables (buen CARÁCTER)........15 pts</t>
  </si>
  <si>
    <t>Logros de Menciones especiales:</t>
  </si>
  <si>
    <t>• Ganó las elecciones a entrenador del equipo nacional...50 pts</t>
  </si>
  <si>
    <t>• Fue elegido entrenador del equipo nacional U20..........35 pts</t>
  </si>
  <si>
    <t>- [2000-????] miembros...............................................60 pts</t>
  </si>
  <si>
    <t>- [1000-1999] miembros...............................................40 pts</t>
  </si>
  <si>
    <t>- [500-999] miembros................................................30 pts</t>
  </si>
  <si>
    <t>- [100-499 ] miembros...............................................20 pts</t>
  </si>
  <si>
    <t>- [50-99] miembros...................................................15 pts</t>
  </si>
  <si>
    <t>- [10-49] miembros...................................................10 pts</t>
  </si>
  <si>
    <t>- [5-9] miembros........................................................5 pts</t>
  </si>
  <si>
    <t>• La federación fundada, recibió:</t>
  </si>
  <si>
    <t>• Escribió un mensaje en la conferencia........................10 pts</t>
  </si>
  <si>
    <t>• Escribió un anuncio de prensa...................................10 pts</t>
  </si>
  <si>
    <t>Editat el 06-10-2012 23:09 per en xkronox</t>
  </si>
  <si>
    <t>- 10 bonos.......................................................15 pts</t>
  </si>
  <si>
    <t>Logros de Manager:</t>
  </si>
  <si>
    <t>- 5 bonos.........................................................10 pts</t>
  </si>
  <si>
    <t>Espanya VII.700</t>
  </si>
  <si>
    <t>- 1 bonos...........................................................5 pts</t>
  </si>
  <si>
    <t>Real Club Serrano</t>
  </si>
  <si>
    <t>• Compró al menos X bonos en el Banque Sunesson:</t>
  </si>
  <si>
    <t>xkronox</t>
  </si>
  <si>
    <t>Torna a l'inici! 06-10-2012 22:32Afegeix aquest missatge als preferits [Copia el missatge amb estil últim]</t>
  </si>
  <si>
    <t>(hay que superar la ronda)</t>
  </si>
  <si>
    <t>#4: xkronox » #1: Tothom</t>
  </si>
  <si>
    <t>- Ronda 14.......................................................65 pts</t>
  </si>
  <si>
    <t>- Ronda 13.......................................................45 pts</t>
  </si>
  <si>
    <t>User name colorAfegir usuari a preferits Ignorar Marca com pendents de llegit a partit d'aquí</t>
  </si>
  <si>
    <t>- Ronda 10.......................................................35 pts</t>
  </si>
  <si>
    <t xml:space="preserve">CopiaVeure les respostes </t>
  </si>
  <si>
    <t>- Ronda 7.........................................................20 pts</t>
  </si>
  <si>
    <t>Editat el 06-10-2012 23:10 per en xkronox</t>
  </si>
  <si>
    <t>- Ronda 3.........................................................10 pts</t>
  </si>
  <si>
    <t>(Ahora existe el promedio de calis de HT asi que no es necesario calcular manualmente.)</t>
  </si>
  <si>
    <t>• Pasó la ronda X en Copa:</t>
  </si>
  <si>
    <t>- Dividide entre 7</t>
  </si>
  <si>
    <t>- [1]............................................................... 100 pts</t>
  </si>
  <si>
    <t>- [2-50].............................................................50 pts</t>
  </si>
  <si>
    <t>Estos subniveles corresponden al valor númerico medio entre dos subniveles consecutivos. Si es muy justo, es posible que no obtengas el logro por culpa del valor elegido para calcular la media. Para asegurarte, cálculalo con: muy bajo x'0, bajo x'25, alto x'5, muy alto x'75. Si con estos valores obtienes la calificación necesaria seguro que obtines el logro correspondiente.</t>
  </si>
  <si>
    <t>- [51-100].........................................................45 pts</t>
  </si>
  <si>
    <t>- Subniveles: muy bajo x'12, bajo x'37,alto x'62, muy alto x'87</t>
  </si>
  <si>
    <t>- [101-500].......................................................40 pts</t>
  </si>
  <si>
    <t>- [501-1.000]....................................................35 pts</t>
  </si>
  <si>
    <t>- Los valores numéricos: 1 desastroso, 2 horrible, 3 pobre,...</t>
  </si>
  <si>
    <t>- [1.001-2.000].................................................30 pts</t>
  </si>
  <si>
    <t>- [2.001-3.000].................................................25 pts</t>
  </si>
  <si>
    <t>- [3.001-5.000].................................................20 pts</t>
  </si>
  <si>
    <t>- [5.001-10.000]...............................................15 pts</t>
  </si>
  <si>
    <t>Para calcular tu calificación media:</t>
  </si>
  <si>
    <t>- [10.001-15.000].............................................10 pts</t>
  </si>
  <si>
    <t>- [15.001-25.000]...............................................5 pts</t>
  </si>
  <si>
    <t>mágico................................................63 pts</t>
  </si>
  <si>
    <t>• El equipo estaba en el puesto:</t>
  </si>
  <si>
    <t>mítico..................................................56 pts</t>
  </si>
  <si>
    <t>extraterrestre.......................................50 pts</t>
  </si>
  <si>
    <t>- [3.500-???].....................................................50 pts</t>
  </si>
  <si>
    <t>titánico................................................44 pts</t>
  </si>
  <si>
    <t>- [3.000-3.499 socis]........................................30 pts</t>
  </si>
  <si>
    <t>sobrenatural........................................39 pts</t>
  </si>
  <si>
    <t>- [2000-2999 socios]........................................15 pts</t>
  </si>
  <si>
    <t>clase mundial......................................34 pts</t>
  </si>
  <si>
    <t>- [1000-1999 socios]..........................................5 pts</t>
  </si>
  <si>
    <t>magnífico............................................29 pts</t>
  </si>
  <si>
    <t>• El club de socios llegó a X miembros:</t>
  </si>
  <si>
    <t>brillante..............................................25 pts</t>
  </si>
  <si>
    <t>destacado...........................................21 pts</t>
  </si>
  <si>
    <t>- [a partir de 2.000.000]..................................80 pts</t>
  </si>
  <si>
    <t>formidable..........................................17 pts</t>
  </si>
  <si>
    <t>- [1.500.000-1.999.999]..................................65 pts</t>
  </si>
  <si>
    <t>excelente...........................................14 pts</t>
  </si>
  <si>
    <t>- [1.200.000-1.499.999]..................................50 pts</t>
  </si>
  <si>
    <t>bueno................................................11 pts</t>
  </si>
  <si>
    <t>- [600.000-1.199.999].....................................30 pts</t>
  </si>
  <si>
    <t>aceptable.............................................8 pts</t>
  </si>
  <si>
    <t>- [300.000-599.999]........................................20 pts</t>
  </si>
  <si>
    <t>insuficiente...........................................6 pts</t>
  </si>
  <si>
    <t>- [160.000-299.999]........................................15 pts</t>
  </si>
  <si>
    <t>débil....................................................4 pts</t>
  </si>
  <si>
    <t>- [80.000-159.999]..........................................10 pts</t>
  </si>
  <si>
    <t>• El equipo alcanzó una calificación media de:</t>
  </si>
  <si>
    <t>- [30.000-79.999]..............................................5 pts</t>
  </si>
  <si>
    <t>• El grupo alcanzó un TSI de:</t>
  </si>
  <si>
    <t>- [¿120 o más?] estrellas......................100 pts (No comprobado)</t>
  </si>
  <si>
    <t>- [115-119.5?] estrellas..........................85 pts</t>
  </si>
  <si>
    <t>si antes de la actualización tienes el dinero requerido entre paréntesis, se obtiene el logro</t>
  </si>
  <si>
    <t>- [110-114.5] estrellas...........................70 pts</t>
  </si>
  <si>
    <t>- [10.000.000€-???].........................................35 pts</t>
  </si>
  <si>
    <t>- [100-109.5] estrellas...........................60 pts</t>
  </si>
  <si>
    <t>- [5.000.000€-9.999.999€]..............................25 pts</t>
  </si>
  <si>
    <t>- [90-99.5] estrellas...............................50 pts</t>
  </si>
  <si>
    <t>- [2.000.000€-4.999.999€]..............................15 pts</t>
  </si>
  <si>
    <t>- [80-89.5] estrellas...............................35 pts</t>
  </si>
  <si>
    <t>- [500.000€-1.999.999€]...................................5 pts</t>
  </si>
  <si>
    <t>- [70-79.5] estrellas...............................30 pts</t>
  </si>
  <si>
    <t>• Rey de las finanzas:</t>
  </si>
  <si>
    <t>- [60-69.5] estrellas...............................25 pts</t>
  </si>
  <si>
    <t>- [50-59.5] estrellas...............................20 pts</t>
  </si>
  <si>
    <t>• Jugador enviado al Salón de la Fama...........15 pts</t>
  </si>
  <si>
    <t>- [40-49.5] estrellas...............................15 pts</t>
  </si>
  <si>
    <t>- [30-39.5] estrellas...............................10 pts</t>
  </si>
  <si>
    <t>• Subió la habilidad del jugador......................10 pts</t>
  </si>
  <si>
    <t>- [20-29.5] estrellas.................................5 pts</t>
  </si>
  <si>
    <t>• El equipo obtuvo X estrellas en este partido:</t>
  </si>
  <si>
    <t>Si vendes canterano y te lo compras tu mismo: no da logro. Pero si una vez comprado ese canterano, lo vendes a otro equipo: sí te dan el logro de vendió un juvenil.</t>
  </si>
  <si>
    <t>NOTA:</t>
  </si>
  <si>
    <t>Nota: Para los logros de alineación los DIAS no cuentan.</t>
  </si>
  <si>
    <t>• Vendió un juvenil........................................10 pts</t>
  </si>
  <si>
    <t>(los 11 jugadores que empiezan el partido son canteranos u originales del club con EDAD MEDIA IGUAL o SUPERIOR a 18 años)</t>
  </si>
  <si>
    <t>• Alineación de Viejas Glorias...............................................25 pts</t>
  </si>
  <si>
    <t>vender un jugador, juvenil u original del club y volverlo a comprar</t>
  </si>
  <si>
    <t>• Volvió a comprar un juvenil.........................10 pts</t>
  </si>
  <si>
    <t>(los 11 jugadores que empiezan el partido tienen EDAD MEDIA SUPERIOR a 35 años, y al menos uno no es canterano)</t>
  </si>
  <si>
    <t>• Alineación de veteranos....................................................35 pts</t>
  </si>
  <si>
    <t>vender un jugador, juvenil u original del club, volverlo a comprar y venderlo de nuevo</t>
  </si>
  <si>
    <t>• Vendió un juvenil recomprado....................10 pts</t>
  </si>
  <si>
    <t>(los 11 jugadores que empiezan el partido son canteranos u originales del club con EDAD MEDIA INFERIOR a 18 años)</t>
  </si>
  <si>
    <t>• Alineación de yogurines....................................................35 pts</t>
  </si>
  <si>
    <t>Sólo cuenta con la vieja cantera</t>
  </si>
  <si>
    <t>• Sacó un juvenil..........................................10 pts</t>
  </si>
  <si>
    <t>(los 11 jugadores que empiezan el partido tienen EDAD MEDIA INFERIOR a 18 años, y al menos uno no es canterano)</t>
  </si>
  <si>
    <t>• Alineación de jovenzuelos.................................................35 pts</t>
  </si>
  <si>
    <t>• Compró un jugador...................................10 pts</t>
  </si>
  <si>
    <t>• Jugó su primer partidillo de entrenamiento internacional......10 pts</t>
  </si>
  <si>
    <t>• Vendió un jugador....................................10 pts</t>
  </si>
  <si>
    <t xml:space="preserve"> Logros de Partido:</t>
  </si>
  <si>
    <t>Logros de Equipo:</t>
  </si>
  <si>
    <t>Suma cada calificación del partido en formato numérico.</t>
  </si>
  <si>
    <t>S1</t>
  </si>
  <si>
    <t>S2</t>
  </si>
  <si>
    <t>S3</t>
  </si>
  <si>
    <t>S4</t>
  </si>
  <si>
    <t>S5</t>
  </si>
  <si>
    <t>S6</t>
  </si>
  <si>
    <t>S7</t>
  </si>
  <si>
    <t>S8</t>
  </si>
  <si>
    <t>S9</t>
  </si>
  <si>
    <t>S10</t>
  </si>
  <si>
    <t>S11</t>
  </si>
  <si>
    <t>S12</t>
  </si>
  <si>
    <t>S13</t>
  </si>
  <si>
    <t>S14</t>
  </si>
  <si>
    <t>S15</t>
  </si>
  <si>
    <t>S16</t>
  </si>
  <si>
    <t>S65</t>
  </si>
  <si>
    <t>S66</t>
  </si>
  <si>
    <t>S67</t>
  </si>
  <si>
    <t>S68</t>
  </si>
  <si>
    <t>S69</t>
  </si>
  <si>
    <t>S70</t>
  </si>
  <si>
    <t>S71</t>
  </si>
  <si>
    <t>S72</t>
  </si>
  <si>
    <t>S73</t>
  </si>
  <si>
    <t>S74</t>
  </si>
  <si>
    <t>S75</t>
  </si>
  <si>
    <t>S76</t>
  </si>
  <si>
    <t>S77</t>
  </si>
  <si>
    <t>Partidos Liga</t>
  </si>
  <si>
    <t>Capacidad total:</t>
  </si>
  <si>
    <t>Coste/Sem</t>
  </si>
  <si>
    <t>Construcción</t>
  </si>
  <si>
    <t>Ingresos</t>
  </si>
  <si>
    <t>Destrucción</t>
  </si>
  <si>
    <t>Mant/Sem</t>
  </si>
  <si>
    <t>IngLleno</t>
  </si>
  <si>
    <t>Partidos Copa</t>
  </si>
  <si>
    <t>Grada general:</t>
  </si>
  <si>
    <t>Aficionados</t>
  </si>
  <si>
    <t>Preferentes:</t>
  </si>
  <si>
    <t>Estimación GG Llena (8)</t>
  </si>
  <si>
    <t>Tribunas:</t>
  </si>
  <si>
    <t>Estimación Preferente Llena (8)</t>
  </si>
  <si>
    <t>Palcos:</t>
  </si>
  <si>
    <t>Estimación Tribuna llena (8)</t>
  </si>
  <si>
    <t>Estimación Paclo Lleno (8)</t>
  </si>
  <si>
    <t xml:space="preserve">Estado de ánimo </t>
  </si>
  <si>
    <t>GG</t>
  </si>
  <si>
    <t>Preferente</t>
  </si>
  <si>
    <t>Tribuna</t>
  </si>
  <si>
    <t>Palco</t>
  </si>
  <si>
    <t>Total</t>
  </si>
  <si>
    <t>Actual Grada</t>
  </si>
  <si>
    <t>Actual Preferente</t>
  </si>
  <si>
    <t>Actual Tribuna</t>
  </si>
  <si>
    <t>Actual Palco</t>
  </si>
  <si>
    <t>Propuesta Grada</t>
  </si>
  <si>
    <t>Propuesta Preferente</t>
  </si>
  <si>
    <t>Propuesta Tribuna</t>
  </si>
  <si>
    <t>Propuesta Palco</t>
  </si>
  <si>
    <t>Ingresos ActualGG:</t>
  </si>
  <si>
    <t>Ingresos AcPreferentes:</t>
  </si>
  <si>
    <t>Ingresos AcTribunas:</t>
  </si>
  <si>
    <t>Ingresos Actual Palcos:</t>
  </si>
  <si>
    <t>Ingresos PropuestaGG:</t>
  </si>
  <si>
    <t>Propuesta</t>
  </si>
  <si>
    <t>Ingresos ProPreferentes:</t>
  </si>
  <si>
    <t>Dif</t>
  </si>
  <si>
    <t>Ingresos ProTribunas:</t>
  </si>
  <si>
    <t>Ingresos ProPalcos:</t>
  </si>
  <si>
    <t>Mantenimiento Actual</t>
  </si>
  <si>
    <t>Mantenimiento GG Lleno</t>
  </si>
  <si>
    <t>Mantenimiento Pref Llena</t>
  </si>
  <si>
    <t>Mantenimiento Tribuna Llena</t>
  </si>
  <si>
    <t>TotalObras</t>
  </si>
  <si>
    <t>Mantenimiento Palco Lleno</t>
  </si>
  <si>
    <t>T+5</t>
  </si>
  <si>
    <t>Mantenimiento GG Vacia</t>
  </si>
  <si>
    <t>Mantenimiento Pref Vacia</t>
  </si>
  <si>
    <t>Mantenimiento Tribuna Vacia</t>
  </si>
  <si>
    <t>SemVACIO</t>
  </si>
  <si>
    <t>Destrucion</t>
  </si>
  <si>
    <t>AhorroMan</t>
  </si>
  <si>
    <t>Contru</t>
  </si>
  <si>
    <t>Mantenimiento Palco Vacia</t>
  </si>
  <si>
    <t>Coste Fijo Obras</t>
  </si>
  <si>
    <t>Coste Con/Des GG</t>
  </si>
  <si>
    <t>Coste Con/Des Preferente</t>
  </si>
  <si>
    <t>Coste Con/Des Tribuna</t>
  </si>
  <si>
    <t>Coste Con/Des Palcos</t>
  </si>
  <si>
    <t>Total Obras</t>
  </si>
  <si>
    <t>BEN/PER Actual</t>
  </si>
  <si>
    <t>BEN/PER Obras/Sem</t>
  </si>
  <si>
    <t>Beneficio Acumulado</t>
  </si>
  <si>
    <t>Llançaments directes</t>
  </si>
  <si>
    <t xml:space="preserve">Els llançaments de pilota aturada directes són els penals i les faltes directes. Per marcar, el teu llançador utilitzarà la seva habilitat en pilota aturada per superar l'oposició del porter rival. </t>
  </si>
  <si>
    <t>El teu porter, a part de l'habilitat de porteria, utilitzarà el seu nivell de pilota aturada quan estigui defensant una falta directa del rival, però no podrà ser el teu llançador de faltes.</t>
  </si>
  <si>
    <t>Tirs lliures indirectes</t>
  </si>
  <si>
    <t xml:space="preserve">Un terç de les teves ocasions a pilota aturada són llançaments indirectes. Es tracta de faltes indirectes, i que arribin a bon port dependrà de l'esforç de l'equip. </t>
  </si>
  <si>
    <t>At</t>
  </si>
  <si>
    <t>Per defensar utilitzaràs (en ordre d'importància) la mitjana de defensa dels teus jugadors de camp, la de pilota aturada d'aquests, l'habilitat de porteria del teu porter, i el seu nivell de pilota aturada.</t>
  </si>
  <si>
    <t xml:space="preserve">Per atacar s'utilitza (per ordre d'importància) la mitjana d'anotació dels jugadors de camp, la mitjana de la pilota aturada d'aquests i la pilota aturada del teu llançador de pilota aturada. </t>
  </si>
  <si>
    <t>For IFKs, the ME takes into account the SP skill, XP, form and stamina. - (13923177.850)</t>
  </si>
  <si>
    <t>IndirectFreeKick:</t>
  </si>
  <si>
    <t>off IFK = 0.5*mAtt + 0.3*mSP + 0.09*SPshooter</t>
  </si>
  <si>
    <t>def IFK = 0.4*mDef + .3*mSP + 0.1*SPgk + 0.08*GKgk</t>
  </si>
  <si>
    <t>mAtt: outfield players attack skill average</t>
  </si>
  <si>
    <t>mDEf: outfield players defence skill average</t>
  </si>
  <si>
    <t>? Penalty taker effectiveness (from HO!):</t>
  </si>
  <si>
    <t>XP * 1.5 + SP * 0.7 + SCO * 0.3</t>
  </si>
  <si>
    <t>+10% if player have technical speciality.</t>
  </si>
  <si>
    <t>Torn_</t>
  </si>
  <si>
    <t>En cuanto a los penales, lo debo haber comentado muchas veces en esto foro también, ya, pero simplemente no se puede hacer una fórmula como quieres tú. Cualquier fórmula de ese tipo dará resultados malos.</t>
  </si>
  <si>
    <r>
      <t>Es que </t>
    </r>
    <r>
      <rPr>
        <b/>
        <sz val="12"/>
        <color rgb="FF000000"/>
        <rFont val="Calibri"/>
        <family val="2"/>
        <scheme val="minor"/>
      </rPr>
      <t>primero</t>
    </r>
    <r>
      <rPr>
        <sz val="12"/>
        <color rgb="FF000000"/>
        <rFont val="Calibri"/>
        <family val="2"/>
        <scheme val="minor"/>
      </rPr>
      <t> el jugador debe pasar un test de nervios. </t>
    </r>
    <r>
      <rPr>
        <b/>
        <sz val="12"/>
        <color rgb="FF000000"/>
        <rFont val="Calibri"/>
        <family val="2"/>
        <scheme val="minor"/>
      </rPr>
      <t>Después</t>
    </r>
    <r>
      <rPr>
        <sz val="12"/>
        <color rgb="FF000000"/>
        <rFont val="Calibri"/>
        <family val="2"/>
        <scheme val="minor"/>
      </rPr>
      <t>, y solo si pasa el primer test, debe batir el portero.</t>
    </r>
  </si>
  <si>
    <t xml:space="preserve">Eso significa que un jugador con divino+20 en balón parado y débil experiencia no lanzaría penales en mi equipo. </t>
  </si>
  <si>
    <t xml:space="preserve">Normalmente preferiría por ejemplo un bueno/bueno con algo de anotación, porque no tendrá problemas con los nervios y tendrá buenas posibilidades de batir el portero. </t>
  </si>
  <si>
    <t>Sin embargo, si el portero del rival es divino, preferiría el divino+20, porque seguramente tendría pocos jugadores con suficiente BP/anotación, y aunque éste puede fallar por estar nervioso, con divino+20 al menos puede marcar con algo de suerte.</t>
  </si>
  <si>
    <t>Categoría Niveles posibles (mayor a menor)</t>
  </si>
  <si>
    <t>FORMA!!!!</t>
  </si>
  <si>
    <t>Habilidades del jugador, etc</t>
  </si>
  <si>
    <t>si lees por aquí → (/Help/Rules/PlayerAttributes.aspx) encontrarás esto:</t>
  </si>
  <si>
    <r>
      <t>__________________________</t>
    </r>
    <r>
      <rPr>
        <b/>
        <u/>
        <sz val="11"/>
        <color theme="1"/>
        <rFont val="Calibri"/>
        <family val="2"/>
        <scheme val="minor"/>
      </rPr>
      <t>___</t>
    </r>
  </si>
  <si>
    <t>Tras cambiarse la forma actual durante el entrenamiento, puede que la forma oculta cambie para cada jugador. Todos tienen la misma probabilidad de que su forma oculta cambie, y no hay nada que puedas hacer para influir en este cambio. Sin embargo, cuando se decide que la forma oculta de un jugador cambiará, hay ciertos factores que influyen en la nueva forma oculta:</t>
  </si>
  <si>
    <t>* Si el jugador ha participado en algún partido durante la semana. ¡Esto es muy importante!</t>
  </si>
  <si>
    <t>* Intensidad de entrenamiento: cuanto mayor sea, mejor forma, en general.</t>
  </si>
  <si>
    <t>* Tu entrenador: cuanto mayor sea su nivel de entrenador, mejor forma en general.</t>
  </si>
  <si>
    <t>(f/7)^0,5</t>
  </si>
  <si>
    <t>* Entrenadores auxiliares: los auxiliares ayudan también a mejorar la forma.</t>
  </si>
  <si>
    <t>%Rendimiento según forma</t>
  </si>
  <si>
    <t>Forma</t>
  </si>
  <si>
    <t>Habilidades del técnico /</t>
  </si>
  <si>
    <t>______________ _</t>
  </si>
  <si>
    <r>
      <t>_8__excelente_</t>
    </r>
    <r>
      <rPr>
        <b/>
        <u/>
        <sz val="11"/>
        <color theme="1"/>
        <rFont val="Calibri"/>
        <family val="2"/>
        <scheme val="minor"/>
      </rPr>
      <t xml:space="preserve"> </t>
    </r>
    <r>
      <rPr>
        <u/>
        <sz val="11"/>
        <color theme="1"/>
        <rFont val="Calibri"/>
        <family val="2"/>
        <scheme val="minor"/>
      </rPr>
      <t>_</t>
    </r>
  </si>
  <si>
    <t>_7__bueno____ _</t>
  </si>
  <si>
    <r>
      <t>_6__aceptable_</t>
    </r>
    <r>
      <rPr>
        <b/>
        <u/>
        <sz val="11"/>
        <color theme="1"/>
        <rFont val="Calibri"/>
        <family val="2"/>
        <scheme val="minor"/>
      </rPr>
      <t xml:space="preserve"> </t>
    </r>
    <r>
      <rPr>
        <u/>
        <sz val="11"/>
        <color theme="1"/>
        <rFont val="Calibri"/>
        <family val="2"/>
        <scheme val="minor"/>
      </rPr>
      <t>_</t>
    </r>
  </si>
  <si>
    <t>_5__insuficiente_</t>
  </si>
  <si>
    <t>_4__débil_______</t>
  </si>
  <si>
    <r>
      <t>_3__pobre____</t>
    </r>
    <r>
      <rPr>
        <b/>
        <u/>
        <sz val="11"/>
        <color theme="1"/>
        <rFont val="Calibri"/>
        <family val="2"/>
        <scheme val="minor"/>
      </rPr>
      <t>_</t>
    </r>
    <r>
      <rPr>
        <u/>
        <sz val="11"/>
        <color theme="1"/>
        <rFont val="Calibri"/>
        <family val="2"/>
        <scheme val="minor"/>
      </rPr>
      <t>_</t>
    </r>
  </si>
  <si>
    <r>
      <t>_2__horrible_</t>
    </r>
    <r>
      <rPr>
        <b/>
        <u/>
        <sz val="11"/>
        <color theme="1"/>
        <rFont val="Calibri"/>
        <family val="2"/>
        <scheme val="minor"/>
      </rPr>
      <t>___</t>
    </r>
  </si>
  <si>
    <t>_1__desastroso </t>
  </si>
  <si>
    <t>_0__no sabe____</t>
  </si>
  <si>
    <t>Experiencia con formaciones/</t>
  </si>
  <si>
    <t>Nivel de Inferiores</t>
  </si>
  <si>
    <t>Auspiciantes</t>
  </si>
  <si>
    <r>
      <t>_________________________________</t>
    </r>
    <r>
      <rPr>
        <b/>
        <u/>
        <sz val="11"/>
        <color theme="1"/>
        <rFont val="Calibri"/>
        <family val="2"/>
        <scheme val="minor"/>
      </rPr>
      <t>_</t>
    </r>
    <r>
      <rPr>
        <u/>
        <sz val="11"/>
        <color theme="1"/>
        <rFont val="Calibri"/>
        <family val="2"/>
        <scheme val="minor"/>
      </rPr>
      <t>_</t>
    </r>
  </si>
  <si>
    <t>_10__Escribiéndote poemas de amor_</t>
  </si>
  <si>
    <r>
      <t>_9_</t>
    </r>
    <r>
      <rPr>
        <b/>
        <u/>
        <sz val="11"/>
        <color theme="1"/>
        <rFont val="Calibri"/>
        <family val="2"/>
        <scheme val="minor"/>
      </rPr>
      <t>_</t>
    </r>
    <r>
      <rPr>
        <u/>
        <sz val="11"/>
        <color theme="1"/>
        <rFont val="Calibri"/>
        <family val="2"/>
        <scheme val="minor"/>
      </rPr>
      <t>_Bailando en las calles________ _</t>
    </r>
  </si>
  <si>
    <r>
      <t>_8_</t>
    </r>
    <r>
      <rPr>
        <b/>
        <u/>
        <sz val="11"/>
        <color theme="1"/>
        <rFont val="Calibri"/>
        <family val="2"/>
        <scheme val="minor"/>
      </rPr>
      <t>_</t>
    </r>
    <r>
      <rPr>
        <u/>
        <sz val="11"/>
        <color theme="1"/>
        <rFont val="Calibri"/>
        <family val="2"/>
        <scheme val="minor"/>
      </rPr>
      <t>_Felices______________________ _</t>
    </r>
  </si>
  <si>
    <r>
      <t>_7_</t>
    </r>
    <r>
      <rPr>
        <b/>
        <u/>
        <sz val="11"/>
        <color theme="1"/>
        <rFont val="Calibri"/>
        <family val="2"/>
        <scheme val="minor"/>
      </rPr>
      <t>_</t>
    </r>
    <r>
      <rPr>
        <u/>
        <sz val="11"/>
        <color theme="1"/>
        <rFont val="Calibri"/>
        <family val="2"/>
        <scheme val="minor"/>
      </rPr>
      <t>_Encantados________________</t>
    </r>
    <r>
      <rPr>
        <b/>
        <u/>
        <sz val="11"/>
        <color theme="1"/>
        <rFont val="Calibri"/>
        <family val="2"/>
        <scheme val="minor"/>
      </rPr>
      <t>__</t>
    </r>
    <r>
      <rPr>
        <u/>
        <sz val="11"/>
        <color theme="1"/>
        <rFont val="Calibri"/>
        <family val="2"/>
        <scheme val="minor"/>
      </rPr>
      <t>_</t>
    </r>
  </si>
  <si>
    <r>
      <t>_6_</t>
    </r>
    <r>
      <rPr>
        <b/>
        <u/>
        <sz val="11"/>
        <color theme="1"/>
        <rFont val="Calibri"/>
        <family val="2"/>
        <scheme val="minor"/>
      </rPr>
      <t>_</t>
    </r>
    <r>
      <rPr>
        <u/>
        <sz val="11"/>
        <color theme="1"/>
        <rFont val="Calibri"/>
        <family val="2"/>
        <scheme val="minor"/>
      </rPr>
      <t>_Alegres_______________________</t>
    </r>
  </si>
  <si>
    <r>
      <t>_5_</t>
    </r>
    <r>
      <rPr>
        <b/>
        <u/>
        <sz val="11"/>
        <color theme="1"/>
        <rFont val="Calibri"/>
        <family val="2"/>
        <scheme val="minor"/>
      </rPr>
      <t>_</t>
    </r>
    <r>
      <rPr>
        <u/>
        <sz val="11"/>
        <color theme="1"/>
        <rFont val="Calibri"/>
        <family val="2"/>
        <scheme val="minor"/>
      </rPr>
      <t>_Satisfechos________________</t>
    </r>
    <r>
      <rPr>
        <b/>
        <u/>
        <sz val="11"/>
        <color theme="1"/>
        <rFont val="Calibri"/>
        <family val="2"/>
        <scheme val="minor"/>
      </rPr>
      <t>__</t>
    </r>
    <r>
      <rPr>
        <u/>
        <sz val="11"/>
        <color theme="1"/>
        <rFont val="Calibri"/>
        <family val="2"/>
        <scheme val="minor"/>
      </rPr>
      <t>_</t>
    </r>
  </si>
  <si>
    <r>
      <t>_4_</t>
    </r>
    <r>
      <rPr>
        <b/>
        <u/>
        <sz val="11"/>
        <color theme="1"/>
        <rFont val="Calibri"/>
        <family val="2"/>
        <scheme val="minor"/>
      </rPr>
      <t>_</t>
    </r>
    <r>
      <rPr>
        <u/>
        <sz val="11"/>
        <color theme="1"/>
        <rFont val="Calibri"/>
        <family val="2"/>
        <scheme val="minor"/>
      </rPr>
      <t>_Calmados_________________</t>
    </r>
    <r>
      <rPr>
        <b/>
        <u/>
        <sz val="11"/>
        <color theme="1"/>
        <rFont val="Calibri"/>
        <family val="2"/>
        <scheme val="minor"/>
      </rPr>
      <t>___</t>
    </r>
  </si>
  <si>
    <r>
      <t>_3_</t>
    </r>
    <r>
      <rPr>
        <b/>
        <u/>
        <sz val="11"/>
        <color theme="1"/>
        <rFont val="Calibri"/>
        <family val="2"/>
        <scheme val="minor"/>
      </rPr>
      <t>_</t>
    </r>
    <r>
      <rPr>
        <u/>
        <sz val="11"/>
        <color theme="1"/>
        <rFont val="Calibri"/>
        <family val="2"/>
        <scheme val="minor"/>
      </rPr>
      <t>_Irritados______________________</t>
    </r>
  </si>
  <si>
    <r>
      <t>_2_</t>
    </r>
    <r>
      <rPr>
        <b/>
        <u/>
        <sz val="11"/>
        <color theme="1"/>
        <rFont val="Calibri"/>
        <family val="2"/>
        <scheme val="minor"/>
      </rPr>
      <t>_</t>
    </r>
    <r>
      <rPr>
        <u/>
        <sz val="11"/>
        <color theme="1"/>
        <rFont val="Calibri"/>
        <family val="2"/>
        <scheme val="minor"/>
      </rPr>
      <t>_Furiosos____________________</t>
    </r>
    <r>
      <rPr>
        <b/>
        <u/>
        <sz val="11"/>
        <color theme="1"/>
        <rFont val="Calibri"/>
        <family val="2"/>
        <scheme val="minor"/>
      </rPr>
      <t>_</t>
    </r>
    <r>
      <rPr>
        <u/>
        <sz val="11"/>
        <color theme="1"/>
        <rFont val="Calibri"/>
        <family val="2"/>
        <scheme val="minor"/>
      </rPr>
      <t>_</t>
    </r>
  </si>
  <si>
    <r>
      <t>_1_</t>
    </r>
    <r>
      <rPr>
        <b/>
        <u/>
        <sz val="11"/>
        <color theme="1"/>
        <rFont val="Calibri"/>
        <family val="2"/>
        <scheme val="minor"/>
      </rPr>
      <t>_</t>
    </r>
    <r>
      <rPr>
        <u/>
        <sz val="11"/>
        <color theme="1"/>
        <rFont val="Calibri"/>
        <family val="2"/>
        <scheme val="minor"/>
      </rPr>
      <t>_En sus días________________</t>
    </r>
    <r>
      <rPr>
        <b/>
        <u/>
        <sz val="11"/>
        <color theme="1"/>
        <rFont val="Calibri"/>
        <family val="2"/>
        <scheme val="minor"/>
      </rPr>
      <t>__</t>
    </r>
    <r>
      <rPr>
        <u/>
        <sz val="11"/>
        <color theme="1"/>
        <rFont val="Calibri"/>
        <family val="2"/>
        <scheme val="minor"/>
      </rPr>
      <t>_</t>
    </r>
  </si>
  <si>
    <t>Ánimo de los fans</t>
  </si>
  <si>
    <t>_12__Escribiéndote poemas de amor_</t>
  </si>
  <si>
    <t>_11__Bailando en las calles________ _</t>
  </si>
  <si>
    <t>_10__Felices______________________ _</t>
  </si>
  <si>
    <r>
      <t>_9_</t>
    </r>
    <r>
      <rPr>
        <b/>
        <u/>
        <sz val="11"/>
        <color theme="1"/>
        <rFont val="Calibri"/>
        <family val="2"/>
        <scheme val="minor"/>
      </rPr>
      <t>_</t>
    </r>
    <r>
      <rPr>
        <u/>
        <sz val="11"/>
        <color theme="1"/>
        <rFont val="Calibri"/>
        <family val="2"/>
        <scheme val="minor"/>
      </rPr>
      <t>_Encantados________________</t>
    </r>
    <r>
      <rPr>
        <b/>
        <u/>
        <sz val="11"/>
        <color theme="1"/>
        <rFont val="Calibri"/>
        <family val="2"/>
        <scheme val="minor"/>
      </rPr>
      <t>__</t>
    </r>
    <r>
      <rPr>
        <u/>
        <sz val="11"/>
        <color theme="1"/>
        <rFont val="Calibri"/>
        <family val="2"/>
        <scheme val="minor"/>
      </rPr>
      <t>_</t>
    </r>
  </si>
  <si>
    <r>
      <t>_8_</t>
    </r>
    <r>
      <rPr>
        <b/>
        <u/>
        <sz val="11"/>
        <color theme="1"/>
        <rFont val="Calibri"/>
        <family val="2"/>
        <scheme val="minor"/>
      </rPr>
      <t>_</t>
    </r>
    <r>
      <rPr>
        <u/>
        <sz val="11"/>
        <color theme="1"/>
        <rFont val="Calibri"/>
        <family val="2"/>
        <scheme val="minor"/>
      </rPr>
      <t>_Alegres_______________________</t>
    </r>
  </si>
  <si>
    <r>
      <t>_7_</t>
    </r>
    <r>
      <rPr>
        <b/>
        <u/>
        <sz val="11"/>
        <color theme="1"/>
        <rFont val="Calibri"/>
        <family val="2"/>
        <scheme val="minor"/>
      </rPr>
      <t>_</t>
    </r>
    <r>
      <rPr>
        <u/>
        <sz val="11"/>
        <color theme="1"/>
        <rFont val="Calibri"/>
        <family val="2"/>
        <scheme val="minor"/>
      </rPr>
      <t>_Satisfechos________________</t>
    </r>
    <r>
      <rPr>
        <b/>
        <u/>
        <sz val="11"/>
        <color theme="1"/>
        <rFont val="Calibri"/>
        <family val="2"/>
        <scheme val="minor"/>
      </rPr>
      <t>__</t>
    </r>
    <r>
      <rPr>
        <u/>
        <sz val="11"/>
        <color theme="1"/>
        <rFont val="Calibri"/>
        <family val="2"/>
        <scheme val="minor"/>
      </rPr>
      <t>_</t>
    </r>
  </si>
  <si>
    <r>
      <t>_6_</t>
    </r>
    <r>
      <rPr>
        <b/>
        <u/>
        <sz val="11"/>
        <color theme="1"/>
        <rFont val="Calibri"/>
        <family val="2"/>
        <scheme val="minor"/>
      </rPr>
      <t>_</t>
    </r>
    <r>
      <rPr>
        <u/>
        <sz val="11"/>
        <color theme="1"/>
        <rFont val="Calibri"/>
        <family val="2"/>
        <scheme val="minor"/>
      </rPr>
      <t>_Calmados_________________</t>
    </r>
    <r>
      <rPr>
        <b/>
        <u/>
        <sz val="11"/>
        <color theme="1"/>
        <rFont val="Calibri"/>
        <family val="2"/>
        <scheme val="minor"/>
      </rPr>
      <t>___</t>
    </r>
  </si>
  <si>
    <r>
      <t>_5_</t>
    </r>
    <r>
      <rPr>
        <b/>
        <u/>
        <sz val="11"/>
        <color theme="1"/>
        <rFont val="Calibri"/>
        <family val="2"/>
        <scheme val="minor"/>
      </rPr>
      <t>_</t>
    </r>
    <r>
      <rPr>
        <u/>
        <sz val="11"/>
        <color theme="1"/>
        <rFont val="Calibri"/>
        <family val="2"/>
        <scheme val="minor"/>
      </rPr>
      <t>_Decepcionados________________</t>
    </r>
  </si>
  <si>
    <r>
      <t>_4_</t>
    </r>
    <r>
      <rPr>
        <b/>
        <u/>
        <sz val="11"/>
        <color theme="1"/>
        <rFont val="Calibri"/>
        <family val="2"/>
        <scheme val="minor"/>
      </rPr>
      <t>_</t>
    </r>
    <r>
      <rPr>
        <u/>
        <sz val="11"/>
        <color theme="1"/>
        <rFont val="Calibri"/>
        <family val="2"/>
        <scheme val="minor"/>
      </rPr>
      <t>_Irritados______________________</t>
    </r>
  </si>
  <si>
    <r>
      <t>_3_</t>
    </r>
    <r>
      <rPr>
        <b/>
        <u/>
        <sz val="11"/>
        <color theme="1"/>
        <rFont val="Calibri"/>
        <family val="2"/>
        <scheme val="minor"/>
      </rPr>
      <t>_</t>
    </r>
    <r>
      <rPr>
        <u/>
        <sz val="11"/>
        <color theme="1"/>
        <rFont val="Calibri"/>
        <family val="2"/>
        <scheme val="minor"/>
      </rPr>
      <t>_Molestos____________________ _</t>
    </r>
  </si>
  <si>
    <t>Expectativas de los fans para el partido</t>
  </si>
  <si>
    <r>
      <t>_11__¡Vamos a humillarlos!______</t>
    </r>
    <r>
      <rPr>
        <b/>
        <u/>
        <sz val="11"/>
        <color theme="1"/>
        <rFont val="Calibri"/>
        <family val="2"/>
        <scheme val="minor"/>
      </rPr>
      <t>___</t>
    </r>
  </si>
  <si>
    <t>_10__¡Nuestro rival es pan comido!_ _</t>
  </si>
  <si>
    <r>
      <t>_9_</t>
    </r>
    <r>
      <rPr>
        <b/>
        <u/>
        <sz val="11"/>
        <color theme="1"/>
        <rFont val="Calibri"/>
        <family val="2"/>
        <scheme val="minor"/>
      </rPr>
      <t>_</t>
    </r>
    <r>
      <rPr>
        <u/>
        <sz val="11"/>
        <color theme="1"/>
        <rFont val="Calibri"/>
        <family val="2"/>
        <scheme val="minor"/>
      </rPr>
      <t>_Ganaremos_________________</t>
    </r>
    <r>
      <rPr>
        <b/>
        <u/>
        <sz val="11"/>
        <color theme="1"/>
        <rFont val="Calibri"/>
        <family val="2"/>
        <scheme val="minor"/>
      </rPr>
      <t>_</t>
    </r>
    <r>
      <rPr>
        <u/>
        <sz val="11"/>
        <color theme="1"/>
        <rFont val="Calibri"/>
        <family val="2"/>
        <scheme val="minor"/>
      </rPr>
      <t>_</t>
    </r>
  </si>
  <si>
    <r>
      <t>_8_</t>
    </r>
    <r>
      <rPr>
        <b/>
        <u/>
        <sz val="11"/>
        <color theme="1"/>
        <rFont val="Calibri"/>
        <family val="2"/>
        <scheme val="minor"/>
      </rPr>
      <t>_</t>
    </r>
    <r>
      <rPr>
        <u/>
        <sz val="11"/>
        <color theme="1"/>
        <rFont val="Calibri"/>
        <family val="2"/>
        <scheme val="minor"/>
      </rPr>
      <t>_Somos favoritos____________</t>
    </r>
    <r>
      <rPr>
        <b/>
        <u/>
        <sz val="11"/>
        <color theme="1"/>
        <rFont val="Calibri"/>
        <family val="2"/>
        <scheme val="minor"/>
      </rPr>
      <t>_ _</t>
    </r>
  </si>
  <si>
    <r>
      <t>_7_</t>
    </r>
    <r>
      <rPr>
        <b/>
        <u/>
        <sz val="11"/>
        <color theme="1"/>
        <rFont val="Calibri"/>
        <family val="2"/>
        <scheme val="minor"/>
      </rPr>
      <t>_</t>
    </r>
    <r>
      <rPr>
        <u/>
        <sz val="11"/>
        <color theme="1"/>
        <rFont val="Calibri"/>
        <family val="2"/>
        <scheme val="minor"/>
      </rPr>
      <t>_Tenemos la ventaja________</t>
    </r>
    <r>
      <rPr>
        <b/>
        <u/>
        <sz val="11"/>
        <color theme="1"/>
        <rFont val="Calibri"/>
        <family val="2"/>
        <scheme val="minor"/>
      </rPr>
      <t>__</t>
    </r>
    <r>
      <rPr>
        <u/>
        <sz val="11"/>
        <color theme="1"/>
        <rFont val="Calibri"/>
        <family val="2"/>
        <scheme val="minor"/>
      </rPr>
      <t>_</t>
    </r>
  </si>
  <si>
    <r>
      <t>_6_</t>
    </r>
    <r>
      <rPr>
        <b/>
        <u/>
        <sz val="11"/>
        <color theme="1"/>
        <rFont val="Calibri"/>
        <family val="2"/>
        <scheme val="minor"/>
      </rPr>
      <t>_</t>
    </r>
    <r>
      <rPr>
        <u/>
        <sz val="11"/>
        <color theme="1"/>
        <rFont val="Calibri"/>
        <family val="2"/>
        <scheme val="minor"/>
      </rPr>
      <t>_Será un encuentro muy parejo._</t>
    </r>
  </si>
  <si>
    <r>
      <t>_5_</t>
    </r>
    <r>
      <rPr>
        <b/>
        <u/>
        <sz val="11"/>
        <color theme="1"/>
        <rFont val="Calibri"/>
        <family val="2"/>
        <scheme val="minor"/>
      </rPr>
      <t>_</t>
    </r>
    <r>
      <rPr>
        <u/>
        <sz val="11"/>
        <color theme="1"/>
        <rFont val="Calibri"/>
        <family val="2"/>
        <scheme val="minor"/>
      </rPr>
      <t>_Ellos tienen la ventaja______</t>
    </r>
    <r>
      <rPr>
        <b/>
        <u/>
        <sz val="11"/>
        <color theme="1"/>
        <rFont val="Calibri"/>
        <family val="2"/>
        <scheme val="minor"/>
      </rPr>
      <t>__</t>
    </r>
    <r>
      <rPr>
        <u/>
        <sz val="11"/>
        <color theme="1"/>
        <rFont val="Calibri"/>
        <family val="2"/>
        <scheme val="minor"/>
      </rPr>
      <t>_</t>
    </r>
  </si>
  <si>
    <r>
      <t>_4_</t>
    </r>
    <r>
      <rPr>
        <b/>
        <u/>
        <sz val="11"/>
        <color theme="1"/>
        <rFont val="Calibri"/>
        <family val="2"/>
        <scheme val="minor"/>
      </rPr>
      <t>_</t>
    </r>
    <r>
      <rPr>
        <u/>
        <sz val="11"/>
        <color theme="1"/>
        <rFont val="Calibri"/>
        <family val="2"/>
        <scheme val="minor"/>
      </rPr>
      <t>_Ellos son favoritos_____________</t>
    </r>
  </si>
  <si>
    <r>
      <t>_3_</t>
    </r>
    <r>
      <rPr>
        <b/>
        <u/>
        <sz val="11"/>
        <color theme="1"/>
        <rFont val="Calibri"/>
        <family val="2"/>
        <scheme val="minor"/>
      </rPr>
      <t>_</t>
    </r>
    <r>
      <rPr>
        <u/>
        <sz val="11"/>
        <color theme="1"/>
        <rFont val="Calibri"/>
        <family val="2"/>
        <scheme val="minor"/>
      </rPr>
      <t>_Perderemos_________________ _</t>
    </r>
  </si>
  <si>
    <r>
      <t>_2_</t>
    </r>
    <r>
      <rPr>
        <b/>
        <u/>
        <sz val="11"/>
        <color theme="1"/>
        <rFont val="Calibri"/>
        <family val="2"/>
        <scheme val="minor"/>
      </rPr>
      <t>_</t>
    </r>
    <r>
      <rPr>
        <u/>
        <sz val="11"/>
        <color theme="1"/>
        <rFont val="Calibri"/>
        <family val="2"/>
        <scheme val="minor"/>
      </rPr>
      <t>_Nos superan en todo_______</t>
    </r>
    <r>
      <rPr>
        <b/>
        <u/>
        <sz val="11"/>
        <color theme="1"/>
        <rFont val="Calibri"/>
        <family val="2"/>
        <scheme val="minor"/>
      </rPr>
      <t>___</t>
    </r>
  </si>
  <si>
    <r>
      <t>_1_</t>
    </r>
    <r>
      <rPr>
        <b/>
        <u/>
        <sz val="11"/>
        <color theme="1"/>
        <rFont val="Calibri"/>
        <family val="2"/>
        <scheme val="minor"/>
      </rPr>
      <t>_</t>
    </r>
    <r>
      <rPr>
        <u/>
        <sz val="11"/>
        <color theme="1"/>
        <rFont val="Calibri"/>
        <family val="2"/>
        <scheme val="minor"/>
      </rPr>
      <t>_¡Mejor no presentarse!______</t>
    </r>
    <r>
      <rPr>
        <b/>
        <u/>
        <sz val="11"/>
        <color theme="1"/>
        <rFont val="Calibri"/>
        <family val="2"/>
        <scheme val="minor"/>
      </rPr>
      <t>_ _</t>
    </r>
  </si>
  <si>
    <r>
      <t>__</t>
    </r>
    <r>
      <rPr>
        <b/>
        <u/>
        <sz val="11"/>
        <color theme="1"/>
        <rFont val="Calibri"/>
        <family val="2"/>
        <scheme val="minor"/>
      </rPr>
      <t>__</t>
    </r>
    <r>
      <rPr>
        <u/>
        <sz val="11"/>
        <color theme="1"/>
        <rFont val="Calibri"/>
        <family val="2"/>
        <scheme val="minor"/>
      </rPr>
      <t>____________________________</t>
    </r>
    <r>
      <rPr>
        <b/>
        <u/>
        <sz val="11"/>
        <color theme="1"/>
        <rFont val="Calibri"/>
        <family val="2"/>
        <scheme val="minor"/>
      </rPr>
      <t>_ _</t>
    </r>
  </si>
  <si>
    <t>Expectativas de los fans para la temporada</t>
  </si>
  <si>
    <r>
      <t>__________________________________________</t>
    </r>
    <r>
      <rPr>
        <b/>
        <u/>
        <sz val="11"/>
        <color theme="1"/>
        <rFont val="Calibri"/>
        <family val="2"/>
        <scheme val="minor"/>
      </rPr>
      <t>_ _</t>
    </r>
  </si>
  <si>
    <r>
      <t>_7__¡Somos mucho mejores que esta división!_</t>
    </r>
    <r>
      <rPr>
        <b/>
        <u/>
        <sz val="11"/>
        <color theme="1"/>
        <rFont val="Calibri"/>
        <family val="2"/>
        <scheme val="minor"/>
      </rPr>
      <t xml:space="preserve"> </t>
    </r>
  </si>
  <si>
    <r>
      <t>_6__Debemos ganar esta temporada_______</t>
    </r>
    <r>
      <rPr>
        <b/>
        <u/>
        <sz val="11"/>
        <color theme="1"/>
        <rFont val="Calibri"/>
        <family val="2"/>
        <scheme val="minor"/>
      </rPr>
      <t>__</t>
    </r>
    <r>
      <rPr>
        <u/>
        <sz val="11"/>
        <color theme="1"/>
        <rFont val="Calibri"/>
        <family val="2"/>
        <scheme val="minor"/>
      </rPr>
      <t>_</t>
    </r>
  </si>
  <si>
    <t>_5__¡Luchar por el título!______________________</t>
  </si>
  <si>
    <r>
      <t>_4__Estar entre los mejores 4______________</t>
    </r>
    <r>
      <rPr>
        <b/>
        <u/>
        <sz val="11"/>
        <color theme="1"/>
        <rFont val="Calibri"/>
        <family val="2"/>
        <scheme val="minor"/>
      </rPr>
      <t>__</t>
    </r>
    <r>
      <rPr>
        <u/>
        <sz val="11"/>
        <color theme="1"/>
        <rFont val="Calibri"/>
        <family val="2"/>
        <scheme val="minor"/>
      </rPr>
      <t>_</t>
    </r>
  </si>
  <si>
    <t>_3__Tendremos que luchar para mantenernos__</t>
  </si>
  <si>
    <r>
      <t>_2__Cada punto en esta división es un premio_</t>
    </r>
    <r>
      <rPr>
        <b/>
        <u/>
        <sz val="11"/>
        <color theme="1"/>
        <rFont val="Calibri"/>
        <family val="2"/>
        <scheme val="minor"/>
      </rPr>
      <t xml:space="preserve"> </t>
    </r>
  </si>
  <si>
    <t>_1__No somos dignos de estar en esta división_</t>
  </si>
  <si>
    <t>Personalidad</t>
  </si>
  <si>
    <r>
      <t>______________________________</t>
    </r>
    <r>
      <rPr>
        <b/>
        <u/>
        <sz val="11"/>
        <color theme="1"/>
        <rFont val="Calibri"/>
        <family val="2"/>
        <scheme val="minor"/>
      </rPr>
      <t>___</t>
    </r>
  </si>
  <si>
    <t>_6__Querido compañero de equipo_</t>
  </si>
  <si>
    <r>
      <t>_5__popular___________________</t>
    </r>
    <r>
      <rPr>
        <b/>
        <u/>
        <sz val="11"/>
        <color theme="1"/>
        <rFont val="Calibri"/>
        <family val="2"/>
        <scheme val="minor"/>
      </rPr>
      <t>__</t>
    </r>
    <r>
      <rPr>
        <u/>
        <sz val="11"/>
        <color theme="1"/>
        <rFont val="Calibri"/>
        <family val="2"/>
        <scheme val="minor"/>
      </rPr>
      <t>_</t>
    </r>
  </si>
  <si>
    <t>_4__carismático___________________</t>
  </si>
  <si>
    <t>_3__agradable____________________</t>
  </si>
  <si>
    <t>_2__polémico_____________________</t>
  </si>
  <si>
    <t>_1__malintencionado______________</t>
  </si>
  <si>
    <t>Honestidad</t>
  </si>
  <si>
    <t>________________</t>
  </si>
  <si>
    <t>_6__santo_____ _</t>
  </si>
  <si>
    <r>
      <t>_5__honorable_</t>
    </r>
    <r>
      <rPr>
        <b/>
        <u/>
        <sz val="11"/>
        <color theme="1"/>
        <rFont val="Calibri"/>
        <family val="2"/>
        <scheme val="minor"/>
      </rPr>
      <t xml:space="preserve"> </t>
    </r>
    <r>
      <rPr>
        <u/>
        <sz val="11"/>
        <color theme="1"/>
        <rFont val="Calibri"/>
        <family val="2"/>
        <scheme val="minor"/>
      </rPr>
      <t>_</t>
    </r>
  </si>
  <si>
    <r>
      <t>_4__justo____</t>
    </r>
    <r>
      <rPr>
        <b/>
        <u/>
        <sz val="11"/>
        <color theme="1"/>
        <rFont val="Calibri"/>
        <family val="2"/>
        <scheme val="minor"/>
      </rPr>
      <t>__</t>
    </r>
    <r>
      <rPr>
        <u/>
        <sz val="11"/>
        <color theme="1"/>
        <rFont val="Calibri"/>
        <family val="2"/>
        <scheme val="minor"/>
      </rPr>
      <t>_</t>
    </r>
  </si>
  <si>
    <r>
      <t>_3__honesto_</t>
    </r>
    <r>
      <rPr>
        <b/>
        <u/>
        <sz val="11"/>
        <color theme="1"/>
        <rFont val="Calibri"/>
        <family val="2"/>
        <scheme val="minor"/>
      </rPr>
      <t>__</t>
    </r>
    <r>
      <rPr>
        <u/>
        <sz val="11"/>
        <color theme="1"/>
        <rFont val="Calibri"/>
        <family val="2"/>
        <scheme val="minor"/>
      </rPr>
      <t>_</t>
    </r>
  </si>
  <si>
    <t>_2__deshonesto_</t>
  </si>
  <si>
    <r>
      <t>_1__infame__</t>
    </r>
    <r>
      <rPr>
        <b/>
        <u/>
        <sz val="11"/>
        <color theme="1"/>
        <rFont val="Calibri"/>
        <family val="2"/>
        <scheme val="minor"/>
      </rPr>
      <t>__</t>
    </r>
    <r>
      <rPr>
        <u/>
        <sz val="11"/>
        <color theme="1"/>
        <rFont val="Calibri"/>
        <family val="2"/>
        <scheme val="minor"/>
      </rPr>
      <t>_</t>
    </r>
  </si>
  <si>
    <t>Agresividad</t>
  </si>
  <si>
    <r>
      <t>________________</t>
    </r>
    <r>
      <rPr>
        <b/>
        <u/>
        <sz val="11"/>
        <color theme="1"/>
        <rFont val="Calibri"/>
        <family val="2"/>
        <scheme val="minor"/>
      </rPr>
      <t>___</t>
    </r>
  </si>
  <si>
    <r>
      <t>_6__inestable____</t>
    </r>
    <r>
      <rPr>
        <b/>
        <u/>
        <sz val="11"/>
        <color theme="1"/>
        <rFont val="Calibri"/>
        <family val="2"/>
        <scheme val="minor"/>
      </rPr>
      <t>_ _</t>
    </r>
  </si>
  <si>
    <r>
      <t>_5__iracundo____</t>
    </r>
    <r>
      <rPr>
        <b/>
        <u/>
        <sz val="11"/>
        <color theme="1"/>
        <rFont val="Calibri"/>
        <family val="2"/>
        <scheme val="minor"/>
      </rPr>
      <t>___</t>
    </r>
  </si>
  <si>
    <t>_4__temperamental_</t>
  </si>
  <si>
    <r>
      <t>_3__estable_____</t>
    </r>
    <r>
      <rPr>
        <b/>
        <u/>
        <sz val="11"/>
        <color theme="1"/>
        <rFont val="Calibri"/>
        <family val="2"/>
        <scheme val="minor"/>
      </rPr>
      <t>___</t>
    </r>
  </si>
  <si>
    <r>
      <t>_2__calmado____</t>
    </r>
    <r>
      <rPr>
        <b/>
        <u/>
        <sz val="11"/>
        <color theme="1"/>
        <rFont val="Calibri"/>
        <family val="2"/>
        <scheme val="minor"/>
      </rPr>
      <t>___</t>
    </r>
  </si>
  <si>
    <r>
      <t>_1__tranquilo_____</t>
    </r>
    <r>
      <rPr>
        <b/>
        <u/>
        <sz val="11"/>
        <color theme="1"/>
        <rFont val="Calibri"/>
        <family val="2"/>
        <scheme val="minor"/>
      </rPr>
      <t>_</t>
    </r>
    <r>
      <rPr>
        <u/>
        <sz val="11"/>
        <color theme="1"/>
        <rFont val="Calibri"/>
        <family val="2"/>
        <scheme val="minor"/>
      </rPr>
      <t>_</t>
    </r>
  </si>
  <si>
    <t>Espíritu de equipo</t>
  </si>
  <si>
    <t>____________________________ _</t>
  </si>
  <si>
    <r>
      <t>_11__¡Paraíso en la Tierra!__</t>
    </r>
    <r>
      <rPr>
        <b/>
        <u/>
        <sz val="11"/>
        <color theme="1"/>
        <rFont val="Calibri"/>
        <family val="2"/>
        <scheme val="minor"/>
      </rPr>
      <t>_ _</t>
    </r>
  </si>
  <si>
    <t>_10__Caminando en las nubes_</t>
  </si>
  <si>
    <r>
      <t>_9_</t>
    </r>
    <r>
      <rPr>
        <b/>
        <u/>
        <sz val="11"/>
        <color theme="1"/>
        <rFont val="Calibri"/>
        <family val="2"/>
        <scheme val="minor"/>
      </rPr>
      <t>_</t>
    </r>
    <r>
      <rPr>
        <u/>
        <sz val="11"/>
        <color theme="1"/>
        <rFont val="Calibri"/>
        <family val="2"/>
        <scheme val="minor"/>
      </rPr>
      <t>_Eufóricos______________</t>
    </r>
    <r>
      <rPr>
        <b/>
        <u/>
        <sz val="11"/>
        <color theme="1"/>
        <rFont val="Calibri"/>
        <family val="2"/>
        <scheme val="minor"/>
      </rPr>
      <t>_</t>
    </r>
    <r>
      <rPr>
        <u/>
        <sz val="11"/>
        <color theme="1"/>
        <rFont val="Calibri"/>
        <family val="2"/>
        <scheme val="minor"/>
      </rPr>
      <t>_</t>
    </r>
  </si>
  <si>
    <r>
      <t>_8_</t>
    </r>
    <r>
      <rPr>
        <b/>
        <u/>
        <sz val="11"/>
        <color theme="1"/>
        <rFont val="Calibri"/>
        <family val="2"/>
        <scheme val="minor"/>
      </rPr>
      <t>_</t>
    </r>
    <r>
      <rPr>
        <u/>
        <sz val="11"/>
        <color theme="1"/>
        <rFont val="Calibri"/>
        <family val="2"/>
        <scheme val="minor"/>
      </rPr>
      <t>_Felices________________</t>
    </r>
    <r>
      <rPr>
        <b/>
        <u/>
        <sz val="11"/>
        <color theme="1"/>
        <rFont val="Calibri"/>
        <family val="2"/>
        <scheme val="minor"/>
      </rPr>
      <t>_</t>
    </r>
    <r>
      <rPr>
        <u/>
        <sz val="11"/>
        <color theme="1"/>
        <rFont val="Calibri"/>
        <family val="2"/>
        <scheme val="minor"/>
      </rPr>
      <t>_</t>
    </r>
  </si>
  <si>
    <r>
      <t>_7_</t>
    </r>
    <r>
      <rPr>
        <b/>
        <u/>
        <sz val="11"/>
        <color theme="1"/>
        <rFont val="Calibri"/>
        <family val="2"/>
        <scheme val="minor"/>
      </rPr>
      <t>_</t>
    </r>
    <r>
      <rPr>
        <u/>
        <sz val="11"/>
        <color theme="1"/>
        <rFont val="Calibri"/>
        <family val="2"/>
        <scheme val="minor"/>
      </rPr>
      <t>_Satisfechos___________</t>
    </r>
    <r>
      <rPr>
        <b/>
        <u/>
        <sz val="11"/>
        <color theme="1"/>
        <rFont val="Calibri"/>
        <family val="2"/>
        <scheme val="minor"/>
      </rPr>
      <t>_ _</t>
    </r>
  </si>
  <si>
    <r>
      <t>_6_</t>
    </r>
    <r>
      <rPr>
        <b/>
        <u/>
        <sz val="11"/>
        <color theme="1"/>
        <rFont val="Calibri"/>
        <family val="2"/>
        <scheme val="minor"/>
      </rPr>
      <t>_</t>
    </r>
    <r>
      <rPr>
        <u/>
        <sz val="11"/>
        <color theme="1"/>
        <rFont val="Calibri"/>
        <family val="2"/>
        <scheme val="minor"/>
      </rPr>
      <t>_Calmados_______________</t>
    </r>
  </si>
  <si>
    <r>
      <t>_5_</t>
    </r>
    <r>
      <rPr>
        <b/>
        <u/>
        <sz val="11"/>
        <color theme="1"/>
        <rFont val="Calibri"/>
        <family val="2"/>
        <scheme val="minor"/>
      </rPr>
      <t>_</t>
    </r>
    <r>
      <rPr>
        <u/>
        <sz val="11"/>
        <color theme="1"/>
        <rFont val="Calibri"/>
        <family val="2"/>
        <scheme val="minor"/>
      </rPr>
      <t>_Indiferentes_____________</t>
    </r>
  </si>
  <si>
    <r>
      <t>_4_</t>
    </r>
    <r>
      <rPr>
        <b/>
        <u/>
        <sz val="11"/>
        <color theme="1"/>
        <rFont val="Calibri"/>
        <family val="2"/>
        <scheme val="minor"/>
      </rPr>
      <t>_</t>
    </r>
    <r>
      <rPr>
        <u/>
        <sz val="11"/>
        <color theme="1"/>
        <rFont val="Calibri"/>
        <family val="2"/>
        <scheme val="minor"/>
      </rPr>
      <t>_Irritados_____________</t>
    </r>
    <r>
      <rPr>
        <b/>
        <u/>
        <sz val="11"/>
        <color theme="1"/>
        <rFont val="Calibri"/>
        <family val="2"/>
        <scheme val="minor"/>
      </rPr>
      <t>___</t>
    </r>
  </si>
  <si>
    <r>
      <t>_3_</t>
    </r>
    <r>
      <rPr>
        <b/>
        <u/>
        <sz val="11"/>
        <color theme="1"/>
        <rFont val="Calibri"/>
        <family val="2"/>
        <scheme val="minor"/>
      </rPr>
      <t>_</t>
    </r>
    <r>
      <rPr>
        <u/>
        <sz val="11"/>
        <color theme="1"/>
        <rFont val="Calibri"/>
        <family val="2"/>
        <scheme val="minor"/>
      </rPr>
      <t>_Furiosos_______________ _</t>
    </r>
  </si>
  <si>
    <r>
      <t>_2_</t>
    </r>
    <r>
      <rPr>
        <b/>
        <u/>
        <sz val="11"/>
        <color theme="1"/>
        <rFont val="Calibri"/>
        <family val="2"/>
        <scheme val="minor"/>
      </rPr>
      <t>_</t>
    </r>
    <r>
      <rPr>
        <u/>
        <sz val="11"/>
        <color theme="1"/>
        <rFont val="Calibri"/>
        <family val="2"/>
        <scheme val="minor"/>
      </rPr>
      <t>_Muy agresivos_________</t>
    </r>
    <r>
      <rPr>
        <b/>
        <u/>
        <sz val="11"/>
        <color theme="1"/>
        <rFont val="Calibri"/>
        <family val="2"/>
        <scheme val="minor"/>
      </rPr>
      <t>_</t>
    </r>
    <r>
      <rPr>
        <u/>
        <sz val="11"/>
        <color theme="1"/>
        <rFont val="Calibri"/>
        <family val="2"/>
        <scheme val="minor"/>
      </rPr>
      <t>_</t>
    </r>
  </si>
  <si>
    <r>
      <t>_1_</t>
    </r>
    <r>
      <rPr>
        <b/>
        <u/>
        <sz val="11"/>
        <color theme="1"/>
        <rFont val="Calibri"/>
        <family val="2"/>
        <scheme val="minor"/>
      </rPr>
      <t>_</t>
    </r>
    <r>
      <rPr>
        <u/>
        <sz val="11"/>
        <color theme="1"/>
        <rFont val="Calibri"/>
        <family val="2"/>
        <scheme val="minor"/>
      </rPr>
      <t>_Como la Guerra Fría____ _</t>
    </r>
  </si>
  <si>
    <t>Confianza del equipo</t>
  </si>
  <si>
    <r>
      <t>______________________</t>
    </r>
    <r>
      <rPr>
        <b/>
        <u/>
        <sz val="11"/>
        <color theme="1"/>
        <rFont val="Calibri"/>
        <family val="2"/>
        <scheme val="minor"/>
      </rPr>
      <t>_</t>
    </r>
    <r>
      <rPr>
        <u/>
        <sz val="11"/>
        <color theme="1"/>
        <rFont val="Calibri"/>
        <family val="2"/>
        <scheme val="minor"/>
      </rPr>
      <t>_</t>
    </r>
  </si>
  <si>
    <t>_10__Se creen Maradona_</t>
  </si>
  <si>
    <r>
      <t>_9_</t>
    </r>
    <r>
      <rPr>
        <b/>
        <u/>
        <sz val="11"/>
        <color theme="1"/>
        <rFont val="Calibri"/>
        <family val="2"/>
        <scheme val="minor"/>
      </rPr>
      <t>_</t>
    </r>
    <r>
      <rPr>
        <u/>
        <sz val="11"/>
        <color theme="1"/>
        <rFont val="Calibri"/>
        <family val="2"/>
        <scheme val="minor"/>
      </rPr>
      <t>_Desmedida_____</t>
    </r>
    <r>
      <rPr>
        <b/>
        <u/>
        <sz val="11"/>
        <color theme="1"/>
        <rFont val="Calibri"/>
        <family val="2"/>
        <scheme val="minor"/>
      </rPr>
      <t>__</t>
    </r>
    <r>
      <rPr>
        <u/>
        <sz val="11"/>
        <color theme="1"/>
        <rFont val="Calibri"/>
        <family val="2"/>
        <scheme val="minor"/>
      </rPr>
      <t>_</t>
    </r>
  </si>
  <si>
    <r>
      <t>_8_</t>
    </r>
    <r>
      <rPr>
        <b/>
        <u/>
        <sz val="11"/>
        <color theme="1"/>
        <rFont val="Calibri"/>
        <family val="2"/>
        <scheme val="minor"/>
      </rPr>
      <t>_</t>
    </r>
    <r>
      <rPr>
        <u/>
        <sz val="11"/>
        <color theme="1"/>
        <rFont val="Calibri"/>
        <family val="2"/>
        <scheme val="minor"/>
      </rPr>
      <t>_Exagerada_________</t>
    </r>
  </si>
  <si>
    <r>
      <t>_7_</t>
    </r>
    <r>
      <rPr>
        <b/>
        <u/>
        <sz val="11"/>
        <color theme="1"/>
        <rFont val="Calibri"/>
        <family val="2"/>
        <scheme val="minor"/>
      </rPr>
      <t>_</t>
    </r>
    <r>
      <rPr>
        <u/>
        <sz val="11"/>
        <color theme="1"/>
        <rFont val="Calibri"/>
        <family val="2"/>
        <scheme val="minor"/>
      </rPr>
      <t>_Estupenda_______</t>
    </r>
    <r>
      <rPr>
        <b/>
        <u/>
        <sz val="11"/>
        <color theme="1"/>
        <rFont val="Calibri"/>
        <family val="2"/>
        <scheme val="minor"/>
      </rPr>
      <t>_</t>
    </r>
    <r>
      <rPr>
        <u/>
        <sz val="11"/>
        <color theme="1"/>
        <rFont val="Calibri"/>
        <family val="2"/>
        <scheme val="minor"/>
      </rPr>
      <t>_</t>
    </r>
  </si>
  <si>
    <r>
      <t>_6_</t>
    </r>
    <r>
      <rPr>
        <b/>
        <u/>
        <sz val="11"/>
        <color theme="1"/>
        <rFont val="Calibri"/>
        <family val="2"/>
        <scheme val="minor"/>
      </rPr>
      <t>_</t>
    </r>
    <r>
      <rPr>
        <u/>
        <sz val="11"/>
        <color theme="1"/>
        <rFont val="Calibri"/>
        <family val="2"/>
        <scheme val="minor"/>
      </rPr>
      <t>_Motivados______</t>
    </r>
    <r>
      <rPr>
        <b/>
        <u/>
        <sz val="11"/>
        <color theme="1"/>
        <rFont val="Calibri"/>
        <family val="2"/>
        <scheme val="minor"/>
      </rPr>
      <t>___</t>
    </r>
  </si>
  <si>
    <r>
      <t>_5_</t>
    </r>
    <r>
      <rPr>
        <b/>
        <u/>
        <sz val="11"/>
        <color theme="1"/>
        <rFont val="Calibri"/>
        <family val="2"/>
        <scheme val="minor"/>
      </rPr>
      <t>_</t>
    </r>
    <r>
      <rPr>
        <u/>
        <sz val="11"/>
        <color theme="1"/>
        <rFont val="Calibri"/>
        <family val="2"/>
        <scheme val="minor"/>
      </rPr>
      <t>_Decente________</t>
    </r>
    <r>
      <rPr>
        <b/>
        <u/>
        <sz val="11"/>
        <color theme="1"/>
        <rFont val="Calibri"/>
        <family val="2"/>
        <scheme val="minor"/>
      </rPr>
      <t>__</t>
    </r>
    <r>
      <rPr>
        <u/>
        <sz val="11"/>
        <color theme="1"/>
        <rFont val="Calibri"/>
        <family val="2"/>
        <scheme val="minor"/>
      </rPr>
      <t>_</t>
    </r>
  </si>
  <si>
    <r>
      <t>_4_</t>
    </r>
    <r>
      <rPr>
        <b/>
        <u/>
        <sz val="11"/>
        <color theme="1"/>
        <rFont val="Calibri"/>
        <family val="2"/>
        <scheme val="minor"/>
      </rPr>
      <t>_</t>
    </r>
    <r>
      <rPr>
        <u/>
        <sz val="11"/>
        <color theme="1"/>
        <rFont val="Calibri"/>
        <family val="2"/>
        <scheme val="minor"/>
      </rPr>
      <t>_Baja____________</t>
    </r>
    <r>
      <rPr>
        <b/>
        <u/>
        <sz val="11"/>
        <color theme="1"/>
        <rFont val="Calibri"/>
        <family val="2"/>
        <scheme val="minor"/>
      </rPr>
      <t>_ _</t>
    </r>
  </si>
  <si>
    <r>
      <t>_3_</t>
    </r>
    <r>
      <rPr>
        <b/>
        <u/>
        <sz val="11"/>
        <color theme="1"/>
        <rFont val="Calibri"/>
        <family val="2"/>
        <scheme val="minor"/>
      </rPr>
      <t>_</t>
    </r>
    <r>
      <rPr>
        <u/>
        <sz val="11"/>
        <color theme="1"/>
        <rFont val="Calibri"/>
        <family val="2"/>
        <scheme val="minor"/>
      </rPr>
      <t>_Lastimosa______</t>
    </r>
    <r>
      <rPr>
        <b/>
        <u/>
        <sz val="11"/>
        <color theme="1"/>
        <rFont val="Calibri"/>
        <family val="2"/>
        <scheme val="minor"/>
      </rPr>
      <t>__</t>
    </r>
    <r>
      <rPr>
        <u/>
        <sz val="11"/>
        <color theme="1"/>
        <rFont val="Calibri"/>
        <family val="2"/>
        <scheme val="minor"/>
      </rPr>
      <t>_</t>
    </r>
  </si>
  <si>
    <r>
      <t>_2_</t>
    </r>
    <r>
      <rPr>
        <b/>
        <u/>
        <sz val="11"/>
        <color theme="1"/>
        <rFont val="Calibri"/>
        <family val="2"/>
        <scheme val="minor"/>
      </rPr>
      <t>_</t>
    </r>
    <r>
      <rPr>
        <u/>
        <sz val="11"/>
        <color theme="1"/>
        <rFont val="Calibri"/>
        <family val="2"/>
        <scheme val="minor"/>
      </rPr>
      <t>_Por el piso_________</t>
    </r>
  </si>
  <si>
    <r>
      <t>_1_</t>
    </r>
    <r>
      <rPr>
        <b/>
        <u/>
        <sz val="11"/>
        <color theme="1"/>
        <rFont val="Calibri"/>
        <family val="2"/>
        <scheme val="minor"/>
      </rPr>
      <t>_</t>
    </r>
    <r>
      <rPr>
        <u/>
        <sz val="11"/>
        <color theme="1"/>
        <rFont val="Calibri"/>
        <family val="2"/>
        <scheme val="minor"/>
      </rPr>
      <t>_Inexistente______</t>
    </r>
    <r>
      <rPr>
        <b/>
        <u/>
        <sz val="11"/>
        <color theme="1"/>
        <rFont val="Calibri"/>
        <family val="2"/>
        <scheme val="minor"/>
      </rPr>
      <t>_</t>
    </r>
    <r>
      <rPr>
        <u/>
        <sz val="11"/>
        <color theme="1"/>
        <rFont val="Calibri"/>
        <family val="2"/>
        <scheme val="minor"/>
      </rPr>
      <t>_</t>
    </r>
  </si>
  <si>
    <t>¡Mostrar la firma entera!</t>
  </si>
  <si>
    <t>querés ser mi club amigo/supporter? gracias!!!</t>
  </si>
  <si>
    <t>Mis clubes amigos:</t>
  </si>
  <si>
    <t>(http://docs.google.com/Doc?docid=0AWl8cQ9-H8R...hl=es)</t>
  </si>
  <si>
    <t>Calificaciones de Partido</t>
  </si>
  <si>
    <r>
      <t>________________________________</t>
    </r>
    <r>
      <rPr>
        <b/>
        <u/>
        <sz val="11"/>
        <color theme="1"/>
        <rFont val="Calibri"/>
        <family val="2"/>
        <scheme val="minor"/>
      </rPr>
      <t>_ _</t>
    </r>
  </si>
  <si>
    <r>
      <t>_19,75__20,00__divino (ma)_____</t>
    </r>
    <r>
      <rPr>
        <b/>
        <u/>
        <sz val="11"/>
        <color theme="1"/>
        <rFont val="Calibri"/>
        <family val="2"/>
        <scheme val="minor"/>
      </rPr>
      <t>__</t>
    </r>
    <r>
      <rPr>
        <u/>
        <sz val="11"/>
        <color theme="1"/>
        <rFont val="Calibri"/>
        <family val="2"/>
        <scheme val="minor"/>
      </rPr>
      <t>_</t>
    </r>
  </si>
  <si>
    <r>
      <t>_19,50__19,75__divino (a)________</t>
    </r>
    <r>
      <rPr>
        <b/>
        <u/>
        <sz val="11"/>
        <color theme="1"/>
        <rFont val="Calibri"/>
        <family val="2"/>
        <scheme val="minor"/>
      </rPr>
      <t>_</t>
    </r>
    <r>
      <rPr>
        <u/>
        <sz val="11"/>
        <color theme="1"/>
        <rFont val="Calibri"/>
        <family val="2"/>
        <scheme val="minor"/>
      </rPr>
      <t>_</t>
    </r>
  </si>
  <si>
    <r>
      <t>_19,25__19,50__divino (b)________</t>
    </r>
    <r>
      <rPr>
        <b/>
        <u/>
        <sz val="11"/>
        <color theme="1"/>
        <rFont val="Calibri"/>
        <family val="2"/>
        <scheme val="minor"/>
      </rPr>
      <t>_</t>
    </r>
    <r>
      <rPr>
        <u/>
        <sz val="11"/>
        <color theme="1"/>
        <rFont val="Calibri"/>
        <family val="2"/>
        <scheme val="minor"/>
      </rPr>
      <t>_</t>
    </r>
  </si>
  <si>
    <r>
      <t>_19,00__19,25__divino (mb)_____</t>
    </r>
    <r>
      <rPr>
        <b/>
        <u/>
        <sz val="11"/>
        <color theme="1"/>
        <rFont val="Calibri"/>
        <family val="2"/>
        <scheme val="minor"/>
      </rPr>
      <t>__</t>
    </r>
    <r>
      <rPr>
        <u/>
        <sz val="11"/>
        <color theme="1"/>
        <rFont val="Calibri"/>
        <family val="2"/>
        <scheme val="minor"/>
      </rPr>
      <t>_</t>
    </r>
  </si>
  <si>
    <r>
      <t>_18,75__19,00__utópico (ma)_____</t>
    </r>
    <r>
      <rPr>
        <b/>
        <u/>
        <sz val="11"/>
        <color theme="1"/>
        <rFont val="Calibri"/>
        <family val="2"/>
        <scheme val="minor"/>
      </rPr>
      <t>_</t>
    </r>
    <r>
      <rPr>
        <u/>
        <sz val="11"/>
        <color theme="1"/>
        <rFont val="Calibri"/>
        <family val="2"/>
        <scheme val="minor"/>
      </rPr>
      <t>_</t>
    </r>
  </si>
  <si>
    <t>_18,50__18,75__utópico (a)_________</t>
  </si>
  <si>
    <t>_18,25__18,50__utópico (b)_________</t>
  </si>
  <si>
    <r>
      <t>_18,00__18,25__utópico (mb)_____</t>
    </r>
    <r>
      <rPr>
        <b/>
        <u/>
        <sz val="11"/>
        <color theme="1"/>
        <rFont val="Calibri"/>
        <family val="2"/>
        <scheme val="minor"/>
      </rPr>
      <t>_</t>
    </r>
    <r>
      <rPr>
        <u/>
        <sz val="11"/>
        <color theme="1"/>
        <rFont val="Calibri"/>
        <family val="2"/>
        <scheme val="minor"/>
      </rPr>
      <t>_</t>
    </r>
  </si>
  <si>
    <r>
      <t>_17,75__18,00__mágico (ma)_____</t>
    </r>
    <r>
      <rPr>
        <b/>
        <u/>
        <sz val="11"/>
        <color theme="1"/>
        <rFont val="Calibri"/>
        <family val="2"/>
        <scheme val="minor"/>
      </rPr>
      <t>_</t>
    </r>
    <r>
      <rPr>
        <u/>
        <sz val="11"/>
        <color theme="1"/>
        <rFont val="Calibri"/>
        <family val="2"/>
        <scheme val="minor"/>
      </rPr>
      <t>_</t>
    </r>
  </si>
  <si>
    <t>_17,50__17,75__mágico (a)_________</t>
  </si>
  <si>
    <t>_17,25__17,50__mágico (b)_________</t>
  </si>
  <si>
    <r>
      <t>_17,00__17,25__mágico (mb)_____</t>
    </r>
    <r>
      <rPr>
        <b/>
        <u/>
        <sz val="11"/>
        <color theme="1"/>
        <rFont val="Calibri"/>
        <family val="2"/>
        <scheme val="minor"/>
      </rPr>
      <t>_</t>
    </r>
    <r>
      <rPr>
        <u/>
        <sz val="11"/>
        <color theme="1"/>
        <rFont val="Calibri"/>
        <family val="2"/>
        <scheme val="minor"/>
      </rPr>
      <t>_</t>
    </r>
  </si>
  <si>
    <r>
      <t>_16,75__17,00__mítico (ma)_____</t>
    </r>
    <r>
      <rPr>
        <b/>
        <u/>
        <sz val="11"/>
        <color theme="1"/>
        <rFont val="Calibri"/>
        <family val="2"/>
        <scheme val="minor"/>
      </rPr>
      <t>__</t>
    </r>
    <r>
      <rPr>
        <u/>
        <sz val="11"/>
        <color theme="1"/>
        <rFont val="Calibri"/>
        <family val="2"/>
        <scheme val="minor"/>
      </rPr>
      <t>_</t>
    </r>
  </si>
  <si>
    <r>
      <t>_16,50__16,75__mítico (a)________</t>
    </r>
    <r>
      <rPr>
        <b/>
        <u/>
        <sz val="11"/>
        <color theme="1"/>
        <rFont val="Calibri"/>
        <family val="2"/>
        <scheme val="minor"/>
      </rPr>
      <t>_</t>
    </r>
    <r>
      <rPr>
        <u/>
        <sz val="11"/>
        <color theme="1"/>
        <rFont val="Calibri"/>
        <family val="2"/>
        <scheme val="minor"/>
      </rPr>
      <t>_</t>
    </r>
  </si>
  <si>
    <r>
      <t>_16,25__16,50__mítico (b)________</t>
    </r>
    <r>
      <rPr>
        <b/>
        <u/>
        <sz val="11"/>
        <color theme="1"/>
        <rFont val="Calibri"/>
        <family val="2"/>
        <scheme val="minor"/>
      </rPr>
      <t>_</t>
    </r>
    <r>
      <rPr>
        <u/>
        <sz val="11"/>
        <color theme="1"/>
        <rFont val="Calibri"/>
        <family val="2"/>
        <scheme val="minor"/>
      </rPr>
      <t>_</t>
    </r>
  </si>
  <si>
    <r>
      <t>_16,00__16,25__mítico (mb)_____</t>
    </r>
    <r>
      <rPr>
        <b/>
        <u/>
        <sz val="11"/>
        <color theme="1"/>
        <rFont val="Calibri"/>
        <family val="2"/>
        <scheme val="minor"/>
      </rPr>
      <t>__</t>
    </r>
    <r>
      <rPr>
        <u/>
        <sz val="11"/>
        <color theme="1"/>
        <rFont val="Calibri"/>
        <family val="2"/>
        <scheme val="minor"/>
      </rPr>
      <t>_</t>
    </r>
  </si>
  <si>
    <r>
      <t>_15,75__16,00__extraterrestre (ma)</t>
    </r>
    <r>
      <rPr>
        <b/>
        <u/>
        <sz val="11"/>
        <color theme="1"/>
        <rFont val="Calibri"/>
        <family val="2"/>
        <scheme val="minor"/>
      </rPr>
      <t>_</t>
    </r>
  </si>
  <si>
    <t>_15,50__15,75__extraterrestre (a)___</t>
  </si>
  <si>
    <t>_15,25__15,50__extraterrestre (b)___</t>
  </si>
  <si>
    <r>
      <t>_15,00__15,25__extraterrestre (mb)</t>
    </r>
    <r>
      <rPr>
        <b/>
        <u/>
        <sz val="11"/>
        <color theme="1"/>
        <rFont val="Calibri"/>
        <family val="2"/>
        <scheme val="minor"/>
      </rPr>
      <t>_</t>
    </r>
  </si>
  <si>
    <r>
      <t>_14,75__15,00__titánico muy (a)_</t>
    </r>
    <r>
      <rPr>
        <b/>
        <u/>
        <sz val="11"/>
        <color theme="1"/>
        <rFont val="Calibri"/>
        <family val="2"/>
        <scheme val="minor"/>
      </rPr>
      <t>__</t>
    </r>
    <r>
      <rPr>
        <u/>
        <sz val="11"/>
        <color theme="1"/>
        <rFont val="Calibri"/>
        <family val="2"/>
        <scheme val="minor"/>
      </rPr>
      <t>_</t>
    </r>
  </si>
  <si>
    <t>_14,50__14,75__titánico (a)_________</t>
  </si>
  <si>
    <t>_14,25__14,50__titánico (b)_________</t>
  </si>
  <si>
    <r>
      <t>_14,00__14,25__titánico (mb)_____</t>
    </r>
    <r>
      <rPr>
        <b/>
        <u/>
        <sz val="11"/>
        <color theme="1"/>
        <rFont val="Calibri"/>
        <family val="2"/>
        <scheme val="minor"/>
      </rPr>
      <t>_</t>
    </r>
    <r>
      <rPr>
        <u/>
        <sz val="11"/>
        <color theme="1"/>
        <rFont val="Calibri"/>
        <family val="2"/>
        <scheme val="minor"/>
      </rPr>
      <t>_</t>
    </r>
  </si>
  <si>
    <r>
      <t>_13,75__14,00__sobrenatural (ma)_</t>
    </r>
    <r>
      <rPr>
        <b/>
        <u/>
        <sz val="11"/>
        <color theme="1"/>
        <rFont val="Calibri"/>
        <family val="2"/>
        <scheme val="minor"/>
      </rPr>
      <t>_</t>
    </r>
  </si>
  <si>
    <t>_13,50__13,75__sobrenatural (a)____</t>
  </si>
  <si>
    <t>_13,25__13,50__sobrenatural (b)____</t>
  </si>
  <si>
    <r>
      <t>_13,00__13,25__sobrenatural (mb)_</t>
    </r>
    <r>
      <rPr>
        <b/>
        <u/>
        <sz val="11"/>
        <color theme="1"/>
        <rFont val="Calibri"/>
        <family val="2"/>
        <scheme val="minor"/>
      </rPr>
      <t>_</t>
    </r>
  </si>
  <si>
    <t>_12,75__13,00__clase mundial (ma)_</t>
  </si>
  <si>
    <r>
      <t>_12,50__12,75__clase mundial (a)</t>
    </r>
    <r>
      <rPr>
        <b/>
        <u/>
        <sz val="11"/>
        <color theme="1"/>
        <rFont val="Calibri"/>
        <family val="2"/>
        <scheme val="minor"/>
      </rPr>
      <t>_ _</t>
    </r>
  </si>
  <si>
    <r>
      <t>_12,25__12,50__clase mundial (b)</t>
    </r>
    <r>
      <rPr>
        <b/>
        <u/>
        <sz val="11"/>
        <color theme="1"/>
        <rFont val="Calibri"/>
        <family val="2"/>
        <scheme val="minor"/>
      </rPr>
      <t>_ _</t>
    </r>
  </si>
  <si>
    <t>_12,00__12,25__clase mundial (mb)_</t>
  </si>
  <si>
    <r>
      <t>_11,75__12,00__magnífico (ma)__</t>
    </r>
    <r>
      <rPr>
        <b/>
        <u/>
        <sz val="11"/>
        <color theme="1"/>
        <rFont val="Calibri"/>
        <family val="2"/>
        <scheme val="minor"/>
      </rPr>
      <t>_ _</t>
    </r>
  </si>
  <si>
    <t>_11,50__11,75__magnífico (a)_____ _</t>
  </si>
  <si>
    <t>_11,25__11,50__magnífico (b)_____ _</t>
  </si>
  <si>
    <r>
      <t>_11,00__11,25__magnífico (mb)__</t>
    </r>
    <r>
      <rPr>
        <b/>
        <u/>
        <sz val="11"/>
        <color theme="1"/>
        <rFont val="Calibri"/>
        <family val="2"/>
        <scheme val="minor"/>
      </rPr>
      <t>_ _</t>
    </r>
  </si>
  <si>
    <r>
      <t>_10,75__11,00__brillante (ma)___</t>
    </r>
    <r>
      <rPr>
        <b/>
        <u/>
        <sz val="11"/>
        <color theme="1"/>
        <rFont val="Calibri"/>
        <family val="2"/>
        <scheme val="minor"/>
      </rPr>
      <t>__</t>
    </r>
    <r>
      <rPr>
        <u/>
        <sz val="11"/>
        <color theme="1"/>
        <rFont val="Calibri"/>
        <family val="2"/>
        <scheme val="minor"/>
      </rPr>
      <t>_</t>
    </r>
  </si>
  <si>
    <r>
      <t>_10,50__10,75__brillante (a)______</t>
    </r>
    <r>
      <rPr>
        <b/>
        <u/>
        <sz val="11"/>
        <color theme="1"/>
        <rFont val="Calibri"/>
        <family val="2"/>
        <scheme val="minor"/>
      </rPr>
      <t>_</t>
    </r>
    <r>
      <rPr>
        <u/>
        <sz val="11"/>
        <color theme="1"/>
        <rFont val="Calibri"/>
        <family val="2"/>
        <scheme val="minor"/>
      </rPr>
      <t>_</t>
    </r>
  </si>
  <si>
    <r>
      <t>_10,25__10,50__brillante (b)______</t>
    </r>
    <r>
      <rPr>
        <b/>
        <u/>
        <sz val="11"/>
        <color theme="1"/>
        <rFont val="Calibri"/>
        <family val="2"/>
        <scheme val="minor"/>
      </rPr>
      <t>_</t>
    </r>
    <r>
      <rPr>
        <u/>
        <sz val="11"/>
        <color theme="1"/>
        <rFont val="Calibri"/>
        <family val="2"/>
        <scheme val="minor"/>
      </rPr>
      <t>_</t>
    </r>
  </si>
  <si>
    <r>
      <t>_10,00__10,25__brillante (mb)___</t>
    </r>
    <r>
      <rPr>
        <b/>
        <u/>
        <sz val="11"/>
        <color theme="1"/>
        <rFont val="Calibri"/>
        <family val="2"/>
        <scheme val="minor"/>
      </rPr>
      <t>__</t>
    </r>
    <r>
      <rPr>
        <u/>
        <sz val="11"/>
        <color theme="1"/>
        <rFont val="Calibri"/>
        <family val="2"/>
        <scheme val="minor"/>
      </rPr>
      <t>_</t>
    </r>
  </si>
  <si>
    <t>_9,75__10,00__destacado (ma)__</t>
  </si>
  <si>
    <r>
      <t>_9,50__9,75_</t>
    </r>
    <r>
      <rPr>
        <b/>
        <u/>
        <sz val="11"/>
        <color theme="1"/>
        <rFont val="Calibri"/>
        <family val="2"/>
        <scheme val="minor"/>
      </rPr>
      <t>_</t>
    </r>
    <r>
      <rPr>
        <u/>
        <sz val="11"/>
        <color theme="1"/>
        <rFont val="Calibri"/>
        <family val="2"/>
        <scheme val="minor"/>
      </rPr>
      <t>_destacado (a)_</t>
    </r>
    <r>
      <rPr>
        <b/>
        <u/>
        <sz val="11"/>
        <color theme="1"/>
        <rFont val="Calibri"/>
        <family val="2"/>
        <scheme val="minor"/>
      </rPr>
      <t>_ _</t>
    </r>
  </si>
  <si>
    <r>
      <t>_9,25__9,50_</t>
    </r>
    <r>
      <rPr>
        <b/>
        <u/>
        <sz val="11"/>
        <color theme="1"/>
        <rFont val="Calibri"/>
        <family val="2"/>
        <scheme val="minor"/>
      </rPr>
      <t>_</t>
    </r>
    <r>
      <rPr>
        <u/>
        <sz val="11"/>
        <color theme="1"/>
        <rFont val="Calibri"/>
        <family val="2"/>
        <scheme val="minor"/>
      </rPr>
      <t>_destacado (b)_</t>
    </r>
    <r>
      <rPr>
        <b/>
        <u/>
        <sz val="11"/>
        <color theme="1"/>
        <rFont val="Calibri"/>
        <family val="2"/>
        <scheme val="minor"/>
      </rPr>
      <t>_ _</t>
    </r>
  </si>
  <si>
    <r>
      <t>_9,00__9,25_</t>
    </r>
    <r>
      <rPr>
        <b/>
        <u/>
        <sz val="11"/>
        <color theme="1"/>
        <rFont val="Calibri"/>
        <family val="2"/>
        <scheme val="minor"/>
      </rPr>
      <t>_</t>
    </r>
    <r>
      <rPr>
        <u/>
        <sz val="11"/>
        <color theme="1"/>
        <rFont val="Calibri"/>
        <family val="2"/>
        <scheme val="minor"/>
      </rPr>
      <t>_destacado (mb)__</t>
    </r>
  </si>
  <si>
    <r>
      <t>_8,75__9,00_</t>
    </r>
    <r>
      <rPr>
        <b/>
        <u/>
        <sz val="11"/>
        <color theme="1"/>
        <rFont val="Calibri"/>
        <family val="2"/>
        <scheme val="minor"/>
      </rPr>
      <t>_</t>
    </r>
    <r>
      <rPr>
        <u/>
        <sz val="11"/>
        <color theme="1"/>
        <rFont val="Calibri"/>
        <family val="2"/>
        <scheme val="minor"/>
      </rPr>
      <t>_formidable (ma)_</t>
    </r>
    <r>
      <rPr>
        <b/>
        <u/>
        <sz val="11"/>
        <color theme="1"/>
        <rFont val="Calibri"/>
        <family val="2"/>
        <scheme val="minor"/>
      </rPr>
      <t xml:space="preserve"> </t>
    </r>
  </si>
  <si>
    <r>
      <t>_8,50__8,75_</t>
    </r>
    <r>
      <rPr>
        <b/>
        <u/>
        <sz val="11"/>
        <color theme="1"/>
        <rFont val="Calibri"/>
        <family val="2"/>
        <scheme val="minor"/>
      </rPr>
      <t>_</t>
    </r>
    <r>
      <rPr>
        <u/>
        <sz val="11"/>
        <color theme="1"/>
        <rFont val="Calibri"/>
        <family val="2"/>
        <scheme val="minor"/>
      </rPr>
      <t>_formidable (a)</t>
    </r>
    <r>
      <rPr>
        <b/>
        <u/>
        <sz val="11"/>
        <color theme="1"/>
        <rFont val="Calibri"/>
        <family val="2"/>
        <scheme val="minor"/>
      </rPr>
      <t>__</t>
    </r>
    <r>
      <rPr>
        <u/>
        <sz val="11"/>
        <color theme="1"/>
        <rFont val="Calibri"/>
        <family val="2"/>
        <scheme val="minor"/>
      </rPr>
      <t>_</t>
    </r>
  </si>
  <si>
    <r>
      <t>_8,25__8,50_</t>
    </r>
    <r>
      <rPr>
        <b/>
        <u/>
        <sz val="11"/>
        <color theme="1"/>
        <rFont val="Calibri"/>
        <family val="2"/>
        <scheme val="minor"/>
      </rPr>
      <t>_</t>
    </r>
    <r>
      <rPr>
        <u/>
        <sz val="11"/>
        <color theme="1"/>
        <rFont val="Calibri"/>
        <family val="2"/>
        <scheme val="minor"/>
      </rPr>
      <t>_formidable (b)</t>
    </r>
    <r>
      <rPr>
        <b/>
        <u/>
        <sz val="11"/>
        <color theme="1"/>
        <rFont val="Calibri"/>
        <family val="2"/>
        <scheme val="minor"/>
      </rPr>
      <t>__</t>
    </r>
    <r>
      <rPr>
        <u/>
        <sz val="11"/>
        <color theme="1"/>
        <rFont val="Calibri"/>
        <family val="2"/>
        <scheme val="minor"/>
      </rPr>
      <t>_</t>
    </r>
  </si>
  <si>
    <r>
      <t>_8,00__8,25_</t>
    </r>
    <r>
      <rPr>
        <b/>
        <u/>
        <sz val="11"/>
        <color theme="1"/>
        <rFont val="Calibri"/>
        <family val="2"/>
        <scheme val="minor"/>
      </rPr>
      <t>_</t>
    </r>
    <r>
      <rPr>
        <u/>
        <sz val="11"/>
        <color theme="1"/>
        <rFont val="Calibri"/>
        <family val="2"/>
        <scheme val="minor"/>
      </rPr>
      <t>_formidable (mb)_</t>
    </r>
    <r>
      <rPr>
        <b/>
        <u/>
        <sz val="11"/>
        <color theme="1"/>
        <rFont val="Calibri"/>
        <family val="2"/>
        <scheme val="minor"/>
      </rPr>
      <t xml:space="preserve"> </t>
    </r>
  </si>
  <si>
    <r>
      <t>_7,75__8,00_</t>
    </r>
    <r>
      <rPr>
        <b/>
        <u/>
        <sz val="11"/>
        <color theme="1"/>
        <rFont val="Calibri"/>
        <family val="2"/>
        <scheme val="minor"/>
      </rPr>
      <t>_</t>
    </r>
    <r>
      <rPr>
        <u/>
        <sz val="11"/>
        <color theme="1"/>
        <rFont val="Calibri"/>
        <family val="2"/>
        <scheme val="minor"/>
      </rPr>
      <t>_excelente (ma)_</t>
    </r>
    <r>
      <rPr>
        <b/>
        <u/>
        <sz val="11"/>
        <color theme="1"/>
        <rFont val="Calibri"/>
        <family val="2"/>
        <scheme val="minor"/>
      </rPr>
      <t xml:space="preserve"> </t>
    </r>
    <r>
      <rPr>
        <u/>
        <sz val="11"/>
        <color theme="1"/>
        <rFont val="Calibri"/>
        <family val="2"/>
        <scheme val="minor"/>
      </rPr>
      <t>_</t>
    </r>
  </si>
  <si>
    <r>
      <t>_7,50__7,75_</t>
    </r>
    <r>
      <rPr>
        <b/>
        <u/>
        <sz val="11"/>
        <color theme="1"/>
        <rFont val="Calibri"/>
        <family val="2"/>
        <scheme val="minor"/>
      </rPr>
      <t>_</t>
    </r>
    <r>
      <rPr>
        <u/>
        <sz val="11"/>
        <color theme="1"/>
        <rFont val="Calibri"/>
        <family val="2"/>
        <scheme val="minor"/>
      </rPr>
      <t>_excelente (a)_</t>
    </r>
    <r>
      <rPr>
        <b/>
        <u/>
        <sz val="11"/>
        <color theme="1"/>
        <rFont val="Calibri"/>
        <family val="2"/>
        <scheme val="minor"/>
      </rPr>
      <t>__</t>
    </r>
    <r>
      <rPr>
        <u/>
        <sz val="11"/>
        <color theme="1"/>
        <rFont val="Calibri"/>
        <family val="2"/>
        <scheme val="minor"/>
      </rPr>
      <t>_</t>
    </r>
  </si>
  <si>
    <r>
      <t>_7,25__7,50_</t>
    </r>
    <r>
      <rPr>
        <b/>
        <u/>
        <sz val="11"/>
        <color theme="1"/>
        <rFont val="Calibri"/>
        <family val="2"/>
        <scheme val="minor"/>
      </rPr>
      <t>_</t>
    </r>
    <r>
      <rPr>
        <u/>
        <sz val="11"/>
        <color theme="1"/>
        <rFont val="Calibri"/>
        <family val="2"/>
        <scheme val="minor"/>
      </rPr>
      <t>_excelente (b)_</t>
    </r>
    <r>
      <rPr>
        <b/>
        <u/>
        <sz val="11"/>
        <color theme="1"/>
        <rFont val="Calibri"/>
        <family val="2"/>
        <scheme val="minor"/>
      </rPr>
      <t>__</t>
    </r>
    <r>
      <rPr>
        <u/>
        <sz val="11"/>
        <color theme="1"/>
        <rFont val="Calibri"/>
        <family val="2"/>
        <scheme val="minor"/>
      </rPr>
      <t>_</t>
    </r>
  </si>
  <si>
    <r>
      <t>_7,00__7,25_</t>
    </r>
    <r>
      <rPr>
        <b/>
        <u/>
        <sz val="11"/>
        <color theme="1"/>
        <rFont val="Calibri"/>
        <family val="2"/>
        <scheme val="minor"/>
      </rPr>
      <t>_</t>
    </r>
    <r>
      <rPr>
        <u/>
        <sz val="11"/>
        <color theme="1"/>
        <rFont val="Calibri"/>
        <family val="2"/>
        <scheme val="minor"/>
      </rPr>
      <t>_excelente (mb)_</t>
    </r>
    <r>
      <rPr>
        <b/>
        <u/>
        <sz val="11"/>
        <color theme="1"/>
        <rFont val="Calibri"/>
        <family val="2"/>
        <scheme val="minor"/>
      </rPr>
      <t xml:space="preserve"> </t>
    </r>
    <r>
      <rPr>
        <u/>
        <sz val="11"/>
        <color theme="1"/>
        <rFont val="Calibri"/>
        <family val="2"/>
        <scheme val="minor"/>
      </rPr>
      <t>_</t>
    </r>
  </si>
  <si>
    <r>
      <t>_6,75__7,00_</t>
    </r>
    <r>
      <rPr>
        <b/>
        <u/>
        <sz val="11"/>
        <color theme="1"/>
        <rFont val="Calibri"/>
        <family val="2"/>
        <scheme val="minor"/>
      </rPr>
      <t>_</t>
    </r>
    <r>
      <rPr>
        <u/>
        <sz val="11"/>
        <color theme="1"/>
        <rFont val="Calibri"/>
        <family val="2"/>
        <scheme val="minor"/>
      </rPr>
      <t>_bueno (ma)____ _</t>
    </r>
  </si>
  <si>
    <r>
      <t>_6,50__6,75_</t>
    </r>
    <r>
      <rPr>
        <b/>
        <u/>
        <sz val="11"/>
        <color theme="1"/>
        <rFont val="Calibri"/>
        <family val="2"/>
        <scheme val="minor"/>
      </rPr>
      <t>_</t>
    </r>
    <r>
      <rPr>
        <u/>
        <sz val="11"/>
        <color theme="1"/>
        <rFont val="Calibri"/>
        <family val="2"/>
        <scheme val="minor"/>
      </rPr>
      <t>_bueno (a)____</t>
    </r>
    <r>
      <rPr>
        <b/>
        <u/>
        <sz val="11"/>
        <color theme="1"/>
        <rFont val="Calibri"/>
        <family val="2"/>
        <scheme val="minor"/>
      </rPr>
      <t>___</t>
    </r>
  </si>
  <si>
    <r>
      <t>_6,25__6,50_</t>
    </r>
    <r>
      <rPr>
        <b/>
        <u/>
        <sz val="11"/>
        <color theme="1"/>
        <rFont val="Calibri"/>
        <family val="2"/>
        <scheme val="minor"/>
      </rPr>
      <t>_</t>
    </r>
    <r>
      <rPr>
        <u/>
        <sz val="11"/>
        <color theme="1"/>
        <rFont val="Calibri"/>
        <family val="2"/>
        <scheme val="minor"/>
      </rPr>
      <t>_bueno (b)____</t>
    </r>
    <r>
      <rPr>
        <b/>
        <u/>
        <sz val="11"/>
        <color theme="1"/>
        <rFont val="Calibri"/>
        <family val="2"/>
        <scheme val="minor"/>
      </rPr>
      <t>___</t>
    </r>
  </si>
  <si>
    <r>
      <t>_6,00__6,25_</t>
    </r>
    <r>
      <rPr>
        <b/>
        <u/>
        <sz val="11"/>
        <color theme="1"/>
        <rFont val="Calibri"/>
        <family val="2"/>
        <scheme val="minor"/>
      </rPr>
      <t>_</t>
    </r>
    <r>
      <rPr>
        <u/>
        <sz val="11"/>
        <color theme="1"/>
        <rFont val="Calibri"/>
        <family val="2"/>
        <scheme val="minor"/>
      </rPr>
      <t>_bueno (mb)____ _</t>
    </r>
  </si>
  <si>
    <r>
      <t>_5,75__6,00_</t>
    </r>
    <r>
      <rPr>
        <b/>
        <u/>
        <sz val="11"/>
        <color theme="1"/>
        <rFont val="Calibri"/>
        <family val="2"/>
        <scheme val="minor"/>
      </rPr>
      <t>_</t>
    </r>
    <r>
      <rPr>
        <u/>
        <sz val="11"/>
        <color theme="1"/>
        <rFont val="Calibri"/>
        <family val="2"/>
        <scheme val="minor"/>
      </rPr>
      <t>_aceptable (ma)_</t>
    </r>
    <r>
      <rPr>
        <b/>
        <u/>
        <sz val="11"/>
        <color theme="1"/>
        <rFont val="Calibri"/>
        <family val="2"/>
        <scheme val="minor"/>
      </rPr>
      <t xml:space="preserve"> </t>
    </r>
    <r>
      <rPr>
        <u/>
        <sz val="11"/>
        <color theme="1"/>
        <rFont val="Calibri"/>
        <family val="2"/>
        <scheme val="minor"/>
      </rPr>
      <t>_</t>
    </r>
  </si>
  <si>
    <r>
      <t>_5,50__5,75_</t>
    </r>
    <r>
      <rPr>
        <b/>
        <u/>
        <sz val="11"/>
        <color theme="1"/>
        <rFont val="Calibri"/>
        <family val="2"/>
        <scheme val="minor"/>
      </rPr>
      <t>_</t>
    </r>
    <r>
      <rPr>
        <u/>
        <sz val="11"/>
        <color theme="1"/>
        <rFont val="Calibri"/>
        <family val="2"/>
        <scheme val="minor"/>
      </rPr>
      <t>_aceptable (a)_</t>
    </r>
    <r>
      <rPr>
        <b/>
        <u/>
        <sz val="11"/>
        <color theme="1"/>
        <rFont val="Calibri"/>
        <family val="2"/>
        <scheme val="minor"/>
      </rPr>
      <t>__</t>
    </r>
    <r>
      <rPr>
        <u/>
        <sz val="11"/>
        <color theme="1"/>
        <rFont val="Calibri"/>
        <family val="2"/>
        <scheme val="minor"/>
      </rPr>
      <t>_</t>
    </r>
  </si>
  <si>
    <r>
      <t>_5,25__5,50_</t>
    </r>
    <r>
      <rPr>
        <b/>
        <u/>
        <sz val="11"/>
        <color theme="1"/>
        <rFont val="Calibri"/>
        <family val="2"/>
        <scheme val="minor"/>
      </rPr>
      <t>_</t>
    </r>
    <r>
      <rPr>
        <u/>
        <sz val="11"/>
        <color theme="1"/>
        <rFont val="Calibri"/>
        <family val="2"/>
        <scheme val="minor"/>
      </rPr>
      <t>_aceptable (b)_</t>
    </r>
    <r>
      <rPr>
        <b/>
        <u/>
        <sz val="11"/>
        <color theme="1"/>
        <rFont val="Calibri"/>
        <family val="2"/>
        <scheme val="minor"/>
      </rPr>
      <t>__</t>
    </r>
    <r>
      <rPr>
        <u/>
        <sz val="11"/>
        <color theme="1"/>
        <rFont val="Calibri"/>
        <family val="2"/>
        <scheme val="minor"/>
      </rPr>
      <t>_</t>
    </r>
  </si>
  <si>
    <r>
      <t>_5,00__5,25_</t>
    </r>
    <r>
      <rPr>
        <b/>
        <u/>
        <sz val="11"/>
        <color theme="1"/>
        <rFont val="Calibri"/>
        <family val="2"/>
        <scheme val="minor"/>
      </rPr>
      <t>_</t>
    </r>
    <r>
      <rPr>
        <u/>
        <sz val="11"/>
        <color theme="1"/>
        <rFont val="Calibri"/>
        <family val="2"/>
        <scheme val="minor"/>
      </rPr>
      <t>_aceptable (mb)_</t>
    </r>
    <r>
      <rPr>
        <b/>
        <u/>
        <sz val="11"/>
        <color theme="1"/>
        <rFont val="Calibri"/>
        <family val="2"/>
        <scheme val="minor"/>
      </rPr>
      <t xml:space="preserve"> </t>
    </r>
    <r>
      <rPr>
        <u/>
        <sz val="11"/>
        <color theme="1"/>
        <rFont val="Calibri"/>
        <family val="2"/>
        <scheme val="minor"/>
      </rPr>
      <t>_</t>
    </r>
  </si>
  <si>
    <t>A nivel de selección:(11886114.198)</t>
  </si>
  <si>
    <t>Iba a poner aquí un rollo sobre cómo se hizo el estudio y demás, pero seguro que nadie lo leería e iría directo al grano, así que...</t>
  </si>
  <si>
    <t>Esta es la tabla de las actualizaciones de la parte superior de serenos</t>
  </si>
  <si>
    <r>
      <t>___________________________________________________</t>
    </r>
    <r>
      <rPr>
        <b/>
        <u/>
        <sz val="11"/>
        <color theme="1"/>
        <rFont val="Calibri"/>
        <family val="2"/>
        <scheme val="minor"/>
      </rPr>
      <t>___</t>
    </r>
  </si>
  <si>
    <r>
      <t>_________________________________________ </t>
    </r>
    <r>
      <rPr>
        <b/>
        <u/>
        <sz val="8"/>
        <color rgb="FF000000"/>
        <rFont val="Verdana"/>
        <family val="2"/>
      </rPr>
      <t>_</t>
    </r>
  </si>
  <si>
    <r>
      <t>_____</t>
    </r>
    <r>
      <rPr>
        <b/>
        <u/>
        <sz val="11"/>
        <color theme="1"/>
        <rFont val="Calibri"/>
        <family val="2"/>
        <scheme val="minor"/>
      </rPr>
      <t>_ _</t>
    </r>
    <r>
      <rPr>
        <u/>
        <sz val="11"/>
        <color theme="1"/>
        <rFont val="Calibri"/>
        <family val="2"/>
        <scheme val="minor"/>
      </rPr>
      <t>bueno/acept__insu__débil__pobre__horri__desast_</t>
    </r>
  </si>
  <si>
    <r>
      <t>|</t>
    </r>
    <r>
      <rPr>
        <u/>
        <sz val="8"/>
        <color rgb="FF000000"/>
        <rFont val="Verdana"/>
        <family val="2"/>
      </rPr>
      <t>_</t>
    </r>
    <r>
      <rPr>
        <b/>
        <u/>
        <sz val="8"/>
        <color rgb="FF000000"/>
        <rFont val="Verdana"/>
        <family val="2"/>
      </rPr>
      <t>Espiritu\HL</t>
    </r>
    <r>
      <rPr>
        <u/>
        <sz val="8"/>
        <color rgb="FF000000"/>
        <rFont val="Verdana"/>
        <family val="2"/>
      </rPr>
      <t>_|_</t>
    </r>
    <r>
      <rPr>
        <b/>
        <u/>
        <sz val="8"/>
        <color rgb="FF000000"/>
        <rFont val="Verdana"/>
        <family val="2"/>
      </rPr>
      <t>7 o 6</t>
    </r>
    <r>
      <rPr>
        <u/>
        <sz val="8"/>
        <color rgb="FF000000"/>
        <rFont val="Verdana"/>
        <family val="2"/>
      </rPr>
      <t>_|_‚</t>
    </r>
    <r>
      <rPr>
        <b/>
        <u/>
        <sz val="8"/>
        <color rgb="FF000000"/>
        <rFont val="Verdana"/>
        <family val="2"/>
      </rPr>
      <t>5</t>
    </r>
    <r>
      <rPr>
        <u/>
        <sz val="8"/>
        <color rgb="FF000000"/>
        <rFont val="Verdana"/>
        <family val="2"/>
      </rPr>
      <t>_‚|_‚</t>
    </r>
    <r>
      <rPr>
        <b/>
        <u/>
        <sz val="8"/>
        <color rgb="FF000000"/>
        <rFont val="Verdana"/>
        <family val="2"/>
      </rPr>
      <t>4</t>
    </r>
    <r>
      <rPr>
        <u/>
        <sz val="8"/>
        <color rgb="FF000000"/>
        <rFont val="Verdana"/>
        <family val="2"/>
      </rPr>
      <t>_‚|_‚</t>
    </r>
    <r>
      <rPr>
        <b/>
        <u/>
        <sz val="8"/>
        <color rgb="FF000000"/>
        <rFont val="Verdana"/>
        <family val="2"/>
      </rPr>
      <t>3</t>
    </r>
    <r>
      <rPr>
        <u/>
        <sz val="8"/>
        <color rgb="FF000000"/>
        <rFont val="Verdana"/>
        <family val="2"/>
      </rPr>
      <t>_‚|_‚</t>
    </r>
    <r>
      <rPr>
        <b/>
        <u/>
        <sz val="8"/>
        <color rgb="FF000000"/>
        <rFont val="Verdana"/>
        <family val="2"/>
      </rPr>
      <t>2</t>
    </r>
    <r>
      <rPr>
        <u/>
        <sz val="8"/>
        <color rgb="FF000000"/>
        <rFont val="Verdana"/>
        <family val="2"/>
      </rPr>
      <t>_‚|_</t>
    </r>
    <r>
      <rPr>
        <b/>
        <u/>
        <sz val="8"/>
        <color rgb="FF000000"/>
        <rFont val="Verdana"/>
        <family val="2"/>
      </rPr>
      <t>1</t>
    </r>
    <r>
      <rPr>
        <u/>
        <sz val="8"/>
        <color rgb="FF000000"/>
        <rFont val="Verdana"/>
        <family val="2"/>
      </rPr>
      <t>_</t>
    </r>
    <r>
      <rPr>
        <sz val="8"/>
        <color rgb="FF000000"/>
        <rFont val="Verdana"/>
        <family val="2"/>
      </rPr>
      <t>|</t>
    </r>
  </si>
  <si>
    <r>
      <t>_10&amp;gt;9__1_________</t>
    </r>
    <r>
      <rPr>
        <b/>
        <u/>
        <sz val="11"/>
        <color theme="1"/>
        <rFont val="Calibri"/>
        <family val="2"/>
        <scheme val="minor"/>
      </rPr>
      <t>___</t>
    </r>
    <r>
      <rPr>
        <u/>
        <sz val="11"/>
        <color theme="1"/>
        <rFont val="Calibri"/>
        <family val="2"/>
        <scheme val="minor"/>
      </rPr>
      <t>1___ _1__</t>
    </r>
    <r>
      <rPr>
        <b/>
        <u/>
        <sz val="11"/>
        <color theme="1"/>
        <rFont val="Calibri"/>
        <family val="2"/>
        <scheme val="minor"/>
      </rPr>
      <t>__</t>
    </r>
    <r>
      <rPr>
        <u/>
        <sz val="11"/>
        <color theme="1"/>
        <rFont val="Calibri"/>
        <family val="2"/>
        <scheme val="minor"/>
      </rPr>
      <t>_1____</t>
    </r>
    <r>
      <rPr>
        <b/>
        <u/>
        <sz val="11"/>
        <color theme="1"/>
        <rFont val="Calibri"/>
        <family val="2"/>
        <scheme val="minor"/>
      </rPr>
      <t>_</t>
    </r>
    <r>
      <rPr>
        <u/>
        <sz val="11"/>
        <color theme="1"/>
        <rFont val="Calibri"/>
        <family val="2"/>
        <scheme val="minor"/>
      </rPr>
      <t>_1_____1______</t>
    </r>
  </si>
  <si>
    <t>9,99-9</t>
  </si>
  <si>
    <r>
      <t>|</t>
    </r>
    <r>
      <rPr>
        <u/>
        <sz val="8"/>
        <color rgb="FF000000"/>
        <rFont val="Verdana"/>
        <family val="2"/>
      </rPr>
      <t>____</t>
    </r>
    <r>
      <rPr>
        <b/>
        <u/>
        <sz val="8"/>
        <color rgb="FF000000"/>
        <rFont val="Verdana"/>
        <family val="2"/>
      </rPr>
      <t>_10</t>
    </r>
    <r>
      <rPr>
        <u/>
        <sz val="8"/>
        <color rgb="FF000000"/>
        <rFont val="Verdana"/>
        <family val="2"/>
      </rPr>
      <t>____</t>
    </r>
    <r>
      <rPr>
        <b/>
        <u/>
        <sz val="8"/>
        <color rgb="FF000000"/>
        <rFont val="Verdana"/>
        <family val="2"/>
      </rPr>
      <t>_</t>
    </r>
    <r>
      <rPr>
        <u/>
        <sz val="8"/>
        <color rgb="FF000000"/>
        <rFont val="Verdana"/>
        <family val="2"/>
      </rPr>
      <t>|_ </t>
    </r>
    <r>
      <rPr>
        <b/>
        <u/>
        <sz val="8"/>
        <color rgb="FF000000"/>
        <rFont val="Verdana"/>
        <family val="2"/>
      </rPr>
      <t>_</t>
    </r>
    <r>
      <rPr>
        <u/>
        <sz val="8"/>
        <color rgb="FF000000"/>
        <rFont val="Verdana"/>
        <family val="2"/>
      </rPr>
      <t>0</t>
    </r>
    <r>
      <rPr>
        <b/>
        <u/>
        <sz val="8"/>
        <color rgb="FF000000"/>
        <rFont val="Verdana"/>
        <family val="2"/>
      </rPr>
      <t>_ _</t>
    </r>
    <r>
      <rPr>
        <u/>
        <sz val="8"/>
        <color rgb="FF000000"/>
        <rFont val="Verdana"/>
        <family val="2"/>
      </rPr>
      <t>|_‚0 _|_‚0 _|_‚0 _|_‚0 _|_0</t>
    </r>
    <r>
      <rPr>
        <b/>
        <u/>
        <sz val="8"/>
        <color rgb="FF000000"/>
        <rFont val="Verdana"/>
        <family val="2"/>
      </rPr>
      <t>_</t>
    </r>
    <r>
      <rPr>
        <sz val="8"/>
        <color rgb="FF000000"/>
        <rFont val="Verdana"/>
        <family val="2"/>
      </rPr>
      <t>|</t>
    </r>
  </si>
  <si>
    <r>
      <t>_9&amp;gt;8_</t>
    </r>
    <r>
      <rPr>
        <b/>
        <u/>
        <sz val="11"/>
        <color theme="1"/>
        <rFont val="Calibri"/>
        <family val="2"/>
        <scheme val="minor"/>
      </rPr>
      <t>_</t>
    </r>
    <r>
      <rPr>
        <u/>
        <sz val="11"/>
        <color theme="1"/>
        <rFont val="Calibri"/>
        <family val="2"/>
        <scheme val="minor"/>
      </rPr>
      <t>_3_________</t>
    </r>
    <r>
      <rPr>
        <b/>
        <u/>
        <sz val="11"/>
        <color theme="1"/>
        <rFont val="Calibri"/>
        <family val="2"/>
        <scheme val="minor"/>
      </rPr>
      <t>___</t>
    </r>
    <r>
      <rPr>
        <u/>
        <sz val="11"/>
        <color theme="1"/>
        <rFont val="Calibri"/>
        <family val="2"/>
        <scheme val="minor"/>
      </rPr>
      <t>2___ _1__</t>
    </r>
    <r>
      <rPr>
        <b/>
        <u/>
        <sz val="11"/>
        <color theme="1"/>
        <rFont val="Calibri"/>
        <family val="2"/>
        <scheme val="minor"/>
      </rPr>
      <t>__</t>
    </r>
    <r>
      <rPr>
        <u/>
        <sz val="11"/>
        <color theme="1"/>
        <rFont val="Calibri"/>
        <family val="2"/>
        <scheme val="minor"/>
      </rPr>
      <t>_1____</t>
    </r>
    <r>
      <rPr>
        <b/>
        <u/>
        <sz val="11"/>
        <color theme="1"/>
        <rFont val="Calibri"/>
        <family val="2"/>
        <scheme val="minor"/>
      </rPr>
      <t>_</t>
    </r>
    <r>
      <rPr>
        <u/>
        <sz val="11"/>
        <color theme="1"/>
        <rFont val="Calibri"/>
        <family val="2"/>
        <scheme val="minor"/>
      </rPr>
      <t>_1_____1______</t>
    </r>
  </si>
  <si>
    <t>8,99-8</t>
  </si>
  <si>
    <r>
      <t>|</t>
    </r>
    <r>
      <rPr>
        <u/>
        <sz val="8"/>
        <color rgb="FF000000"/>
        <rFont val="Verdana"/>
        <family val="2"/>
      </rPr>
      <t>____ </t>
    </r>
    <r>
      <rPr>
        <b/>
        <u/>
        <sz val="8"/>
        <color rgb="FF000000"/>
        <rFont val="Verdana"/>
        <family val="2"/>
      </rPr>
      <t>_9</t>
    </r>
    <r>
      <rPr>
        <u/>
        <sz val="8"/>
        <color rgb="FF000000"/>
        <rFont val="Verdana"/>
        <family val="2"/>
      </rPr>
      <t>____ </t>
    </r>
    <r>
      <rPr>
        <b/>
        <u/>
        <sz val="8"/>
        <color rgb="FF000000"/>
        <rFont val="Verdana"/>
        <family val="2"/>
      </rPr>
      <t>_</t>
    </r>
    <r>
      <rPr>
        <u/>
        <sz val="8"/>
        <color rgb="FF000000"/>
        <rFont val="Verdana"/>
        <family val="2"/>
      </rPr>
      <t>|_ </t>
    </r>
    <r>
      <rPr>
        <b/>
        <u/>
        <sz val="8"/>
        <color rgb="FF000000"/>
        <rFont val="Verdana"/>
        <family val="2"/>
      </rPr>
      <t>_</t>
    </r>
    <r>
      <rPr>
        <u/>
        <sz val="8"/>
        <color rgb="FF000000"/>
        <rFont val="Verdana"/>
        <family val="2"/>
      </rPr>
      <t>3</t>
    </r>
    <r>
      <rPr>
        <b/>
        <u/>
        <sz val="8"/>
        <color rgb="FF000000"/>
        <rFont val="Verdana"/>
        <family val="2"/>
      </rPr>
      <t>_ _</t>
    </r>
    <r>
      <rPr>
        <u/>
        <sz val="8"/>
        <color rgb="FF000000"/>
        <rFont val="Verdana"/>
        <family val="2"/>
      </rPr>
      <t>|_‚1 _|_‚1 _|_‚1 _|_‚1 _|_1</t>
    </r>
    <r>
      <rPr>
        <b/>
        <u/>
        <sz val="8"/>
        <color rgb="FF000000"/>
        <rFont val="Verdana"/>
        <family val="2"/>
      </rPr>
      <t>_</t>
    </r>
    <r>
      <rPr>
        <sz val="8"/>
        <color rgb="FF000000"/>
        <rFont val="Verdana"/>
        <family val="2"/>
      </rPr>
      <t>|</t>
    </r>
  </si>
  <si>
    <r>
      <t>_8&amp;gt;7_</t>
    </r>
    <r>
      <rPr>
        <b/>
        <u/>
        <sz val="11"/>
        <color theme="1"/>
        <rFont val="Calibri"/>
        <family val="2"/>
        <scheme val="minor"/>
      </rPr>
      <t>_</t>
    </r>
    <r>
      <rPr>
        <u/>
        <sz val="11"/>
        <color theme="1"/>
        <rFont val="Calibri"/>
        <family val="2"/>
        <scheme val="minor"/>
      </rPr>
      <t>_5_________</t>
    </r>
    <r>
      <rPr>
        <b/>
        <u/>
        <sz val="11"/>
        <color theme="1"/>
        <rFont val="Calibri"/>
        <family val="2"/>
        <scheme val="minor"/>
      </rPr>
      <t>___</t>
    </r>
    <r>
      <rPr>
        <u/>
        <sz val="11"/>
        <color theme="1"/>
        <rFont val="Calibri"/>
        <family val="2"/>
        <scheme val="minor"/>
      </rPr>
      <t>4___ _3__</t>
    </r>
    <r>
      <rPr>
        <b/>
        <u/>
        <sz val="11"/>
        <color theme="1"/>
        <rFont val="Calibri"/>
        <family val="2"/>
        <scheme val="minor"/>
      </rPr>
      <t>__</t>
    </r>
    <r>
      <rPr>
        <u/>
        <sz val="11"/>
        <color theme="1"/>
        <rFont val="Calibri"/>
        <family val="2"/>
        <scheme val="minor"/>
      </rPr>
      <t>_2____</t>
    </r>
    <r>
      <rPr>
        <b/>
        <u/>
        <sz val="11"/>
        <color theme="1"/>
        <rFont val="Calibri"/>
        <family val="2"/>
        <scheme val="minor"/>
      </rPr>
      <t>_</t>
    </r>
    <r>
      <rPr>
        <u/>
        <sz val="11"/>
        <color theme="1"/>
        <rFont val="Calibri"/>
        <family val="2"/>
        <scheme val="minor"/>
      </rPr>
      <t>_1_____1______</t>
    </r>
  </si>
  <si>
    <t>7,99-7</t>
  </si>
  <si>
    <r>
      <t>|</t>
    </r>
    <r>
      <rPr>
        <u/>
        <sz val="8"/>
        <color rgb="FF000000"/>
        <rFont val="Verdana"/>
        <family val="2"/>
      </rPr>
      <t>____ </t>
    </r>
    <r>
      <rPr>
        <b/>
        <u/>
        <sz val="8"/>
        <color rgb="FF000000"/>
        <rFont val="Verdana"/>
        <family val="2"/>
      </rPr>
      <t>_8</t>
    </r>
    <r>
      <rPr>
        <u/>
        <sz val="8"/>
        <color rgb="FF000000"/>
        <rFont val="Verdana"/>
        <family val="2"/>
      </rPr>
      <t>____ </t>
    </r>
    <r>
      <rPr>
        <b/>
        <u/>
        <sz val="8"/>
        <color rgb="FF000000"/>
        <rFont val="Verdana"/>
        <family val="2"/>
      </rPr>
      <t>_</t>
    </r>
    <r>
      <rPr>
        <u/>
        <sz val="8"/>
        <color rgb="FF000000"/>
        <rFont val="Verdana"/>
        <family val="2"/>
      </rPr>
      <t>|_ </t>
    </r>
    <r>
      <rPr>
        <b/>
        <u/>
        <sz val="8"/>
        <color rgb="FF000000"/>
        <rFont val="Verdana"/>
        <family val="2"/>
      </rPr>
      <t>_</t>
    </r>
    <r>
      <rPr>
        <u/>
        <sz val="8"/>
        <color rgb="FF000000"/>
        <rFont val="Verdana"/>
        <family val="2"/>
      </rPr>
      <t>8</t>
    </r>
    <r>
      <rPr>
        <b/>
        <u/>
        <sz val="8"/>
        <color rgb="FF000000"/>
        <rFont val="Verdana"/>
        <family val="2"/>
      </rPr>
      <t>_ _</t>
    </r>
    <r>
      <rPr>
        <u/>
        <sz val="8"/>
        <color rgb="FF000000"/>
        <rFont val="Verdana"/>
        <family val="2"/>
      </rPr>
      <t>|_‚6 _|_‚4 _|_‚3 _|_‚2 _|_2</t>
    </r>
    <r>
      <rPr>
        <b/>
        <u/>
        <sz val="8"/>
        <color rgb="FF000000"/>
        <rFont val="Verdana"/>
        <family val="2"/>
      </rPr>
      <t>_</t>
    </r>
    <r>
      <rPr>
        <sz val="8"/>
        <color rgb="FF000000"/>
        <rFont val="Verdana"/>
        <family val="2"/>
      </rPr>
      <t>|</t>
    </r>
  </si>
  <si>
    <r>
      <t>_7&amp;gt;6_</t>
    </r>
    <r>
      <rPr>
        <b/>
        <u/>
        <sz val="11"/>
        <color theme="1"/>
        <rFont val="Calibri"/>
        <family val="2"/>
        <scheme val="minor"/>
      </rPr>
      <t>_</t>
    </r>
    <r>
      <rPr>
        <u/>
        <sz val="11"/>
        <color theme="1"/>
        <rFont val="Calibri"/>
        <family val="2"/>
        <scheme val="minor"/>
      </rPr>
      <t>_7_________</t>
    </r>
    <r>
      <rPr>
        <b/>
        <u/>
        <sz val="11"/>
        <color theme="1"/>
        <rFont val="Calibri"/>
        <family val="2"/>
        <scheme val="minor"/>
      </rPr>
      <t>___</t>
    </r>
    <r>
      <rPr>
        <u/>
        <sz val="11"/>
        <color theme="1"/>
        <rFont val="Calibri"/>
        <family val="2"/>
        <scheme val="minor"/>
      </rPr>
      <t>6___ _5__</t>
    </r>
    <r>
      <rPr>
        <b/>
        <u/>
        <sz val="11"/>
        <color theme="1"/>
        <rFont val="Calibri"/>
        <family val="2"/>
        <scheme val="minor"/>
      </rPr>
      <t>__</t>
    </r>
    <r>
      <rPr>
        <u/>
        <sz val="11"/>
        <color theme="1"/>
        <rFont val="Calibri"/>
        <family val="2"/>
        <scheme val="minor"/>
      </rPr>
      <t>_2____</t>
    </r>
    <r>
      <rPr>
        <b/>
        <u/>
        <sz val="11"/>
        <color theme="1"/>
        <rFont val="Calibri"/>
        <family val="2"/>
        <scheme val="minor"/>
      </rPr>
      <t>_</t>
    </r>
    <r>
      <rPr>
        <u/>
        <sz val="11"/>
        <color theme="1"/>
        <rFont val="Calibri"/>
        <family val="2"/>
        <scheme val="minor"/>
      </rPr>
      <t>_1_____1______</t>
    </r>
  </si>
  <si>
    <t>6,99-6</t>
  </si>
  <si>
    <r>
      <t>|</t>
    </r>
    <r>
      <rPr>
        <u/>
        <sz val="8"/>
        <color rgb="FF000000"/>
        <rFont val="Verdana"/>
        <family val="2"/>
      </rPr>
      <t>____ </t>
    </r>
    <r>
      <rPr>
        <b/>
        <u/>
        <sz val="8"/>
        <color rgb="FF000000"/>
        <rFont val="Verdana"/>
        <family val="2"/>
      </rPr>
      <t>_7</t>
    </r>
    <r>
      <rPr>
        <u/>
        <sz val="8"/>
        <color rgb="FF000000"/>
        <rFont val="Verdana"/>
        <family val="2"/>
      </rPr>
      <t>____ </t>
    </r>
    <r>
      <rPr>
        <b/>
        <u/>
        <sz val="8"/>
        <color rgb="FF000000"/>
        <rFont val="Verdana"/>
        <family val="2"/>
      </rPr>
      <t>_</t>
    </r>
    <r>
      <rPr>
        <u/>
        <sz val="8"/>
        <color rgb="FF000000"/>
        <rFont val="Verdana"/>
        <family val="2"/>
      </rPr>
      <t>|</t>
    </r>
    <r>
      <rPr>
        <b/>
        <u/>
        <sz val="8"/>
        <color rgb="FF000000"/>
        <rFont val="Verdana"/>
        <family val="2"/>
      </rPr>
      <t>__</t>
    </r>
    <r>
      <rPr>
        <u/>
        <sz val="8"/>
        <color rgb="FF000000"/>
        <rFont val="Verdana"/>
        <family val="2"/>
      </rPr>
      <t>15</t>
    </r>
    <r>
      <rPr>
        <b/>
        <u/>
        <sz val="8"/>
        <color rgb="FF000000"/>
        <rFont val="Verdana"/>
        <family val="2"/>
      </rPr>
      <t>__</t>
    </r>
    <r>
      <rPr>
        <u/>
        <sz val="8"/>
        <color rgb="FF000000"/>
        <rFont val="Verdana"/>
        <family val="2"/>
      </rPr>
      <t>|_12_|_‚9 _|_‚5 _|_‚3 _|_3</t>
    </r>
    <r>
      <rPr>
        <b/>
        <u/>
        <sz val="8"/>
        <color rgb="FF000000"/>
        <rFont val="Verdana"/>
        <family val="2"/>
      </rPr>
      <t>_</t>
    </r>
    <r>
      <rPr>
        <sz val="8"/>
        <color rgb="FF000000"/>
        <rFont val="Verdana"/>
        <family val="2"/>
      </rPr>
      <t>|</t>
    </r>
  </si>
  <si>
    <r>
      <t>_6&amp;gt;5_</t>
    </r>
    <r>
      <rPr>
        <b/>
        <u/>
        <sz val="11"/>
        <color theme="1"/>
        <rFont val="Calibri"/>
        <family val="2"/>
        <scheme val="minor"/>
      </rPr>
      <t>_</t>
    </r>
    <r>
      <rPr>
        <u/>
        <sz val="11"/>
        <color theme="1"/>
        <rFont val="Calibri"/>
        <family val="2"/>
        <scheme val="minor"/>
      </rPr>
      <t>_13________</t>
    </r>
    <r>
      <rPr>
        <b/>
        <u/>
        <sz val="11"/>
        <color theme="1"/>
        <rFont val="Calibri"/>
        <family val="2"/>
        <scheme val="minor"/>
      </rPr>
      <t>__</t>
    </r>
    <r>
      <rPr>
        <u/>
        <sz val="11"/>
        <color theme="1"/>
        <rFont val="Calibri"/>
        <family val="2"/>
        <scheme val="minor"/>
      </rPr>
      <t>_10</t>
    </r>
    <r>
      <rPr>
        <b/>
        <u/>
        <sz val="11"/>
        <color theme="1"/>
        <rFont val="Calibri"/>
        <family val="2"/>
        <scheme val="minor"/>
      </rPr>
      <t>___</t>
    </r>
    <r>
      <rPr>
        <u/>
        <sz val="11"/>
        <color theme="1"/>
        <rFont val="Calibri"/>
        <family val="2"/>
        <scheme val="minor"/>
      </rPr>
      <t>7__</t>
    </r>
    <r>
      <rPr>
        <b/>
        <u/>
        <sz val="11"/>
        <color theme="1"/>
        <rFont val="Calibri"/>
        <family val="2"/>
        <scheme val="minor"/>
      </rPr>
      <t>__</t>
    </r>
    <r>
      <rPr>
        <u/>
        <sz val="11"/>
        <color theme="1"/>
        <rFont val="Calibri"/>
        <family val="2"/>
        <scheme val="minor"/>
      </rPr>
      <t>_5____</t>
    </r>
    <r>
      <rPr>
        <b/>
        <u/>
        <sz val="11"/>
        <color theme="1"/>
        <rFont val="Calibri"/>
        <family val="2"/>
        <scheme val="minor"/>
      </rPr>
      <t>_</t>
    </r>
    <r>
      <rPr>
        <u/>
        <sz val="11"/>
        <color theme="1"/>
        <rFont val="Calibri"/>
        <family val="2"/>
        <scheme val="minor"/>
      </rPr>
      <t>_2_____1______</t>
    </r>
  </si>
  <si>
    <t>5,99-5</t>
  </si>
  <si>
    <r>
      <t>|</t>
    </r>
    <r>
      <rPr>
        <u/>
        <sz val="8"/>
        <color rgb="FF000000"/>
        <rFont val="Verdana"/>
        <family val="2"/>
      </rPr>
      <t>____ </t>
    </r>
    <r>
      <rPr>
        <b/>
        <u/>
        <sz val="8"/>
        <color rgb="FF000000"/>
        <rFont val="Verdana"/>
        <family val="2"/>
      </rPr>
      <t>_6</t>
    </r>
    <r>
      <rPr>
        <u/>
        <sz val="8"/>
        <color rgb="FF000000"/>
        <rFont val="Verdana"/>
        <family val="2"/>
      </rPr>
      <t>____ </t>
    </r>
    <r>
      <rPr>
        <b/>
        <u/>
        <sz val="8"/>
        <color rgb="FF000000"/>
        <rFont val="Verdana"/>
        <family val="2"/>
      </rPr>
      <t>_</t>
    </r>
    <r>
      <rPr>
        <u/>
        <sz val="8"/>
        <color rgb="FF000000"/>
        <rFont val="Verdana"/>
        <family val="2"/>
      </rPr>
      <t>|</t>
    </r>
    <r>
      <rPr>
        <b/>
        <u/>
        <sz val="8"/>
        <color rgb="FF000000"/>
        <rFont val="Verdana"/>
        <family val="2"/>
      </rPr>
      <t>__</t>
    </r>
    <r>
      <rPr>
        <u/>
        <sz val="8"/>
        <color rgb="FF000000"/>
        <rFont val="Verdana"/>
        <family val="2"/>
      </rPr>
      <t>28</t>
    </r>
    <r>
      <rPr>
        <b/>
        <u/>
        <sz val="8"/>
        <color rgb="FF000000"/>
        <rFont val="Verdana"/>
        <family val="2"/>
      </rPr>
      <t>__</t>
    </r>
    <r>
      <rPr>
        <u/>
        <sz val="8"/>
        <color rgb="FF000000"/>
        <rFont val="Verdana"/>
        <family val="2"/>
      </rPr>
      <t>|_22_|_16_|_10_|_‚5 _|_4</t>
    </r>
    <r>
      <rPr>
        <b/>
        <u/>
        <sz val="8"/>
        <color rgb="FF000000"/>
        <rFont val="Verdana"/>
        <family val="2"/>
      </rPr>
      <t>_</t>
    </r>
    <r>
      <rPr>
        <sz val="8"/>
        <color rgb="FF000000"/>
        <rFont val="Verdana"/>
        <family val="2"/>
      </rPr>
      <t>|</t>
    </r>
  </si>
  <si>
    <r>
      <t>_5&amp;gt;4_</t>
    </r>
    <r>
      <rPr>
        <b/>
        <u/>
        <sz val="11"/>
        <color theme="1"/>
        <rFont val="Calibri"/>
        <family val="2"/>
        <scheme val="minor"/>
      </rPr>
      <t>_</t>
    </r>
    <r>
      <rPr>
        <u/>
        <sz val="11"/>
        <color theme="1"/>
        <rFont val="Calibri"/>
        <family val="2"/>
        <scheme val="minor"/>
      </rPr>
      <t>_33________</t>
    </r>
    <r>
      <rPr>
        <b/>
        <u/>
        <sz val="11"/>
        <color theme="1"/>
        <rFont val="Calibri"/>
        <family val="2"/>
        <scheme val="minor"/>
      </rPr>
      <t>__</t>
    </r>
    <r>
      <rPr>
        <u/>
        <sz val="11"/>
        <color theme="1"/>
        <rFont val="Calibri"/>
        <family val="2"/>
        <scheme val="minor"/>
      </rPr>
      <t>_26</t>
    </r>
    <r>
      <rPr>
        <b/>
        <u/>
        <sz val="11"/>
        <color theme="1"/>
        <rFont val="Calibri"/>
        <family val="2"/>
        <scheme val="minor"/>
      </rPr>
      <t>___</t>
    </r>
    <r>
      <rPr>
        <u/>
        <sz val="11"/>
        <color theme="1"/>
        <rFont val="Calibri"/>
        <family val="2"/>
        <scheme val="minor"/>
      </rPr>
      <t>20__</t>
    </r>
    <r>
      <rPr>
        <b/>
        <u/>
        <sz val="11"/>
        <color theme="1"/>
        <rFont val="Calibri"/>
        <family val="2"/>
        <scheme val="minor"/>
      </rPr>
      <t>_</t>
    </r>
    <r>
      <rPr>
        <u/>
        <sz val="11"/>
        <color theme="1"/>
        <rFont val="Calibri"/>
        <family val="2"/>
        <scheme val="minor"/>
      </rPr>
      <t>_13_____6_____2______</t>
    </r>
  </si>
  <si>
    <t>4,99-4</t>
  </si>
  <si>
    <r>
      <t>|</t>
    </r>
    <r>
      <rPr>
        <u/>
        <sz val="8"/>
        <color rgb="FF000000"/>
        <rFont val="Verdana"/>
        <family val="2"/>
      </rPr>
      <t>____ </t>
    </r>
    <r>
      <rPr>
        <b/>
        <u/>
        <sz val="8"/>
        <color rgb="FF000000"/>
        <rFont val="Verdana"/>
        <family val="2"/>
      </rPr>
      <t>_5</t>
    </r>
    <r>
      <rPr>
        <u/>
        <sz val="8"/>
        <color rgb="FF000000"/>
        <rFont val="Verdana"/>
        <family val="2"/>
      </rPr>
      <t>____ </t>
    </r>
    <r>
      <rPr>
        <b/>
        <u/>
        <sz val="8"/>
        <color rgb="FF000000"/>
        <rFont val="Verdana"/>
        <family val="2"/>
      </rPr>
      <t>_</t>
    </r>
    <r>
      <rPr>
        <u/>
        <sz val="8"/>
        <color rgb="FF000000"/>
        <rFont val="Verdana"/>
        <family val="2"/>
      </rPr>
      <t>|</t>
    </r>
    <r>
      <rPr>
        <b/>
        <u/>
        <sz val="8"/>
        <color rgb="FF000000"/>
        <rFont val="Verdana"/>
        <family val="2"/>
      </rPr>
      <t>__</t>
    </r>
    <r>
      <rPr>
        <u/>
        <sz val="8"/>
        <color rgb="FF000000"/>
        <rFont val="Verdana"/>
        <family val="2"/>
      </rPr>
      <t>61</t>
    </r>
    <r>
      <rPr>
        <b/>
        <u/>
        <sz val="8"/>
        <color rgb="FF000000"/>
        <rFont val="Verdana"/>
        <family val="2"/>
      </rPr>
      <t>__</t>
    </r>
    <r>
      <rPr>
        <u/>
        <sz val="8"/>
        <color rgb="FF000000"/>
        <rFont val="Verdana"/>
        <family val="2"/>
      </rPr>
      <t>|_48_|_36_|_23_|_11_|_6</t>
    </r>
    <r>
      <rPr>
        <b/>
        <u/>
        <sz val="8"/>
        <color rgb="FF000000"/>
        <rFont val="Verdana"/>
        <family val="2"/>
      </rPr>
      <t>_</t>
    </r>
    <r>
      <rPr>
        <sz val="8"/>
        <color rgb="FF000000"/>
        <rFont val="Verdana"/>
        <family val="2"/>
      </rPr>
      <t>|</t>
    </r>
  </si>
  <si>
    <r>
      <t>|</t>
    </r>
    <r>
      <rPr>
        <u/>
        <sz val="8"/>
        <color rgb="FF000000"/>
        <rFont val="Verdana"/>
        <family val="2"/>
      </rPr>
      <t>____ </t>
    </r>
    <r>
      <rPr>
        <b/>
        <u/>
        <sz val="8"/>
        <color rgb="FF000000"/>
        <rFont val="Verdana"/>
        <family val="2"/>
      </rPr>
      <t>_4</t>
    </r>
    <r>
      <rPr>
        <u/>
        <sz val="8"/>
        <color rgb="FF000000"/>
        <rFont val="Verdana"/>
        <family val="2"/>
      </rPr>
      <t>____ </t>
    </r>
    <r>
      <rPr>
        <b/>
        <u/>
        <sz val="8"/>
        <color rgb="FF000000"/>
        <rFont val="Verdana"/>
        <family val="2"/>
      </rPr>
      <t>_</t>
    </r>
    <r>
      <rPr>
        <u/>
        <sz val="8"/>
        <color rgb="FF000000"/>
        <rFont val="Verdana"/>
        <family val="2"/>
      </rPr>
      <t>|</t>
    </r>
    <r>
      <rPr>
        <b/>
        <u/>
        <sz val="8"/>
        <color rgb="FF000000"/>
        <rFont val="Verdana"/>
        <family val="2"/>
      </rPr>
      <t>__</t>
    </r>
    <r>
      <rPr>
        <u/>
        <sz val="8"/>
        <color rgb="FF000000"/>
        <rFont val="Verdana"/>
        <family val="2"/>
      </rPr>
      <t>62</t>
    </r>
    <r>
      <rPr>
        <b/>
        <u/>
        <sz val="8"/>
        <color rgb="FF000000"/>
        <rFont val="Verdana"/>
        <family val="2"/>
      </rPr>
      <t>__</t>
    </r>
    <r>
      <rPr>
        <u/>
        <sz val="8"/>
        <color rgb="FF000000"/>
        <rFont val="Verdana"/>
        <family val="2"/>
      </rPr>
      <t>|_49_|_37_|_24_|_12_|_7</t>
    </r>
    <r>
      <rPr>
        <b/>
        <u/>
        <sz val="8"/>
        <color rgb="FF000000"/>
        <rFont val="Verdana"/>
        <family val="2"/>
      </rPr>
      <t>_</t>
    </r>
    <r>
      <rPr>
        <sz val="8"/>
        <color rgb="FF000000"/>
        <rFont val="Verdana"/>
        <family val="2"/>
      </rPr>
      <t>|</t>
    </r>
  </si>
  <si>
    <t>Según el tipo de entrenador, para bajar de un nivel a otro, son necesarias tantas actualizaciones.</t>
  </si>
  <si>
    <t>Durante el estudio también se han visto cosas curiosas, como por ejemplo:</t>
  </si>
  <si>
    <t>- que fichando siete jugadores antipáticos que afecten al espíritu, éste baja un nivel, hablando siempre por debajo de serenos.</t>
  </si>
  <si>
    <t>- que dependiendo de la confianza el efecto del MOTS/PIC disminuye/aumenta los conocidos 1/2 y 1/3 o no.</t>
  </si>
  <si>
    <r>
      <t xml:space="preserve">- que los psicólogos no tienen efecto </t>
    </r>
    <r>
      <rPr>
        <u/>
        <sz val="11"/>
        <color theme="1"/>
        <rFont val="Calibri"/>
        <family val="2"/>
        <scheme val="minor"/>
      </rPr>
      <t>directo</t>
    </r>
    <r>
      <rPr>
        <sz val="11"/>
        <color theme="1"/>
        <rFont val="Calibri"/>
        <family val="2"/>
        <scheme val="minor"/>
      </rPr>
      <t xml:space="preserve"> sobre el espíritu, pero lo hacen a través de la confianza.</t>
    </r>
  </si>
  <si>
    <t>- que dependiendo del nivel de confianza se pueden incrementar el número de las actualizaciones necesarias para recuperar un nivel hasta, al menos, un 15%.</t>
  </si>
  <si>
    <t>- no se ha podido demostrar que el subnivel del liderazgo del entrenador afecte o no al comportamiento del espíritu.</t>
  </si>
  <si>
    <t>Seguramente se sacarán más conclusiones a medida que analice los datos que tengo y, sobre todo, de los que aun no tengo, pero alguien tenía que actualizar su blog</t>
  </si>
  <si>
    <t>;-)</t>
  </si>
  <si>
    <t>P.D.: El estudio no ha concluido y seguramente alguna cosa se tendrá que cambiar.</t>
  </si>
  <si>
    <t>P.D.2: A ver si alguien encuentra una ecuación que aproxime los datos y se la enviamos a gardier para que la incluya en el HC.</t>
  </si>
  <si>
    <t>P.D.3: Por supuesto se admiten críticas</t>
  </si>
  <si>
    <t>INTRODUCCIÓN</t>
  </si>
  <si>
    <t>Bienvenidos al tutorial de sustituciones. En este hilo espero poder explicar cuáles son los tipos básicos de sustituciones condicionales y que podamos debatir qué opciones son más importantes en cada caso. Para ello contaremos con la inestimable colaboración de LA-elfarolillo, fundador de la federación Secrets of Substitutions y gran conocedor del tema.</t>
  </si>
  <si>
    <t>Este tutorial solo tratará las sustituciones condicionales, y no las "obligatorias" (las que suceden si hay lesiones)</t>
  </si>
  <si>
    <t>¿QUÉ SON LAS SUSTITUCIONES CONDICIONALES?</t>
  </si>
  <si>
    <t>Las sustituciones son el cambio de jugadores durante los partidos cuando se dan unas condiciones determinadas, previamente especificadas por el mánager. Fueron introducidas en HT en la temporada 25 española (o 37 en la global). En este tutorial tratamos de igual manera las sustituciones de jugadores y los cambios de posición/comportamiento de un jugador, puesto que HT las une en la misma página e interfaz.</t>
  </si>
  <si>
    <t>Para cada partido, se puede especificar un máximo de 5 sustituciones condicionales/cambios de comportamiento. Si más de 3 órdenes requieren sacar un nuevo jugador al campo, sólo se ejecutarán las 3 primeras, puesto que HT solo permite un máximo de 3 cambios.</t>
  </si>
  <si>
    <t>SUSTITUCIONES: PARTE DE LA TÁCTICA</t>
  </si>
  <si>
    <t>Las sustituciones son una parte muy importante de la preparación de los partidos, aunque en ocasiones no deban ejecutarse. Salvo casos muy excepcionales, no hay motivo por el cual no se deban programar cambios según las cosas vayan bien o mal. Cuando estamos preparando el partido y la táctica, debemos pensar muy claramente sobre las siguientes cuestiones:</t>
  </si>
  <si>
    <t>1) ¿Con qué resultado estaría contento?</t>
  </si>
  <si>
    <t>Las posibilidades serían: "no perder de mucho", "empatar", "ganar" y "golear". Esta pregunta, básicamente, es para evaluar cuál es la expectativa del partido, y pensar en si eres inferior, igual, superior o muy superior a tu rival.</t>
  </si>
  <si>
    <t>2) ¿Cómo voy a generar mis ocasiones?</t>
  </si>
  <si>
    <r>
      <t xml:space="preserve">Aquí sólo considero dos opciones: luchando el mediocampo, o al contraataque. Esta pregunta es importante porque indica cuál es vuestra línea más importante: el mediocampo o la defensa. El ataque no puede generar ocasiones por sí mismo, así que no lo incluyo de momento. A lo largo del tutorial, llamaré a la línea más importante la </t>
    </r>
    <r>
      <rPr>
        <b/>
        <sz val="11"/>
        <color theme="1"/>
        <rFont val="Calibri"/>
        <family val="2"/>
        <scheme val="minor"/>
      </rPr>
      <t>línea clave</t>
    </r>
    <r>
      <rPr>
        <sz val="11"/>
        <color theme="1"/>
        <rFont val="Calibri"/>
        <family val="2"/>
        <scheme val="minor"/>
      </rPr>
      <t>.</t>
    </r>
  </si>
  <si>
    <t>A TENER EN CUENTA</t>
  </si>
  <si>
    <r>
      <t xml:space="preserve">Antes de empezar a planificar las sustituciones, hay que tener en cuenta que 5 sustituciones/reposicionamientos pueden parecer muchos al principio, pero </t>
    </r>
    <r>
      <rPr>
        <b/>
        <sz val="11"/>
        <color theme="1"/>
        <rFont val="Calibri"/>
        <family val="2"/>
        <scheme val="minor"/>
      </rPr>
      <t>5 sustituciones NO son suficientes para cubrir cualquier eventualidad</t>
    </r>
    <r>
      <rPr>
        <sz val="11"/>
        <color theme="1"/>
        <rFont val="Calibri"/>
        <family val="2"/>
        <scheme val="minor"/>
      </rPr>
      <t>. Por este motivo, debemos pensar cuál es el escenario más probable del partido y dedicarle la mayor parte de esas 5 sustituciones. Según mi experiencia personal, un buen balance sería dedicar 3 cambios a la situación más probable, 1 cambio a imprevistos y 1 cambio a expulsiones. En el siguiente post veremos los tipos de sustituciones y cómo aplicarlas.</t>
    </r>
  </si>
  <si>
    <t>Leed las notas de LA-elfarolillo sobre este apartado: (14286771.15)</t>
  </si>
  <si>
    <t>TIPOS DE SUSTITUCIONES</t>
  </si>
  <si>
    <t>En general, creo que podemos separar las sustituciones según el objetivo de las mismas:</t>
  </si>
  <si>
    <r>
      <t xml:space="preserve">1) </t>
    </r>
    <r>
      <rPr>
        <u/>
        <sz val="11"/>
        <color theme="1"/>
        <rFont val="Calibri"/>
        <family val="2"/>
        <scheme val="minor"/>
      </rPr>
      <t>Para recuperarme tras una expulsión</t>
    </r>
  </si>
  <si>
    <t>Es la sustitución más importante, y una que nunca debería faltar al hacer la táctica del partido.</t>
  </si>
  <si>
    <t>Si se juega a luchar por el mediocampo, esta sustitución sirve para sacar un defensa/delantero y poner un inner (mediocampista). Yo recomiendo, en la mayoría de casos, que el sacrificado sea un delantero (también sirve p. ej. reposicionar a un delantero defensivo), a no ser que sea un partido clave en el que no te sirve el empate. Hay que tener en cuenta que es difícil ganar con uno menos, así que es mejor ser conservador y asegurarse como mínimo el empate.</t>
  </si>
  <si>
    <t>Si se juega al contraataque, con esta sustitución se debería cambiar un inner/extremo/delantero y poner un defensa. Hay que intentar minimizar lás pérdidas, de manera que hay que pensar cuál es nuestro ataque más debil. Si nuestro ataque fuerte es el centro, es mejor cambiar a un extremo para que entre un defensa. Si nuestro ataque fuerte son las bandas, mejor sacar a un inner para que entre un defensa. Y si simplemente íbamos a no perder de mucho, cambiar a un delantero por un defensa.</t>
  </si>
  <si>
    <t>En todos los casos mencionados en este punto deberíamos ordenar una sustitución "en cualquier minuto" y "si un mediocampista/defensa mío es expulsado" (según se quiera proteger el medio o la defensa), y entonces elegir el reposicionamiento del jugador. No os preocupéis si ya jugáis con una 3-5-2 y no quedan huecos de reposicionamiento, elegid cualquiera de ellos en la línea que queáis proteger y el motor se encargará del resto.</t>
  </si>
  <si>
    <r>
      <t xml:space="preserve">2) </t>
    </r>
    <r>
      <rPr>
        <u/>
        <sz val="11"/>
        <color theme="1"/>
        <rFont val="Calibri"/>
        <family val="2"/>
        <scheme val="minor"/>
      </rPr>
      <t>Voy perdiendo y quiero remontar</t>
    </r>
  </si>
  <si>
    <t>Evidentemente, hay que hacer cambios ofensivos y potenciar el mediocampo y el ataque (o sólo el ataque, si jugamos al contraataque). Lo más normal es poner a un extremo en ofensivo (cambio moderado), cambiar a un extremo por un delantero (para potenciar el ataque central) o bien cambiar un defensa por un delantero e ir a por todas con una 3-4-3 o una 2-5-3. Puesto que siempre hay que intentar mantener la linea clave más o menos intacta, es importante que al sustituir delantero por un extremo también pongamos un central ofensivo, si es que tenemos uno con jugadas. Si vamos MUY sobrados en la línea clave (mucho más medio que el rival), podemos considerar cambiar un jugador de la línea clave por un delantero. Si disponemos de un buen delantero defensivo, también podemos llegar a un compromiso y potenciar a la vez mediocampo y ataque, cambiando un defensa por un DD.</t>
  </si>
  <si>
    <t>Si nuestra línea clave es la defensa, deberemos potenciar el ataque a costa del mediocampo. Esto puede ser cambiar un inner por un delantero (si queremos mayor ataque central) o poner un inner hacia lateral (si tiene lateral) para potenciar el ataque por una banda.</t>
  </si>
  <si>
    <t>Por norma general, estos cambios deberían empezar sobre el minuto 50 e iniciarse con los cambios más moderados, añadiendo cambios más extremos si vemos que no surgen efecto. Por lo general, yo pondría los cambios "si no vas ganando" cuando se juega en casa, y "si vas perdiendo" cuando juegas fuera (porque un empate fuera tampoco está mal), pero si se es superior al rival y/o sólo sirve la victoria, deberíamos ir a por el "si no vas ganando".</t>
  </si>
  <si>
    <r>
      <t xml:space="preserve">3) </t>
    </r>
    <r>
      <rPr>
        <u/>
        <sz val="11"/>
        <color theme="1"/>
        <rFont val="Calibri"/>
        <family val="2"/>
        <scheme val="minor"/>
      </rPr>
      <t>Voy ganando y estoy contento con el resultado</t>
    </r>
  </si>
  <si>
    <t>Entonces hay que amarrar el partido. El objetivo es que no nos metan goles. Para conseguir esto, debemos: ofrecer al rival el menor número de ocasiones posible con nuestro mediocampo, y parar todas esas ocasiones con nuestra defensa.</t>
  </si>
  <si>
    <t>Eso quiere decir reforzar el mediocampo y la defensa, y dejar un poco de lado el ataque. Si la línea clave es el mediocampo, hay que sustituir un delantero por un defensa (p. ej. de una 3-5-2 a una 4-5-1) para reforzar la defensa, y poner como mínimo uno de los extremos hacia el medio para reforzar el medio. También se puede considerar cambiar el otro delantero por un delantero defensivo para reforzar aun más el medio. Si alguno de los defensas estaba en ofensivo, sería una buena idea también ponerlos en normal. Es importante recordar que hay que reforzar la zona defensiva más más débil en relación al ataque rival. Si el rival ataca por el centro, la sustitución delantero-&gt;defensa debería ser por un central. Si ataca por las bandas, poned un central hacia lateral (o un defensa lateral, si es que no había uno).</t>
  </si>
  <si>
    <t>Si la línea clave es la defensa (jugando p. ej. con una 5-3-2), los cambios deberían ir orientados a mejorar el mediocampo y la defensa. Lo más normal es sacar a un delantero y poner un inner (con una 5-4-1) o bien cambiar a un inner ofensivo por uno defensivo (ya sea el mismo jugador u otro diferente). Si el extremo (o los extremos) juegan con orden ofensivos, habría que ponerlos en normal, o bien uno en normal y el otro hacia medio.</t>
  </si>
  <si>
    <t>Este tipo de cambios se suelen hacer en dos ocasiones muy claras: Cuando juegas fuera un partido igualado, o cuando juegas contra un rival superior. Si se juega contra un rival muy superior, se puede incluso hacer estos cambios "si no voy perdiendo" a partir de cierto minuto.</t>
  </si>
  <si>
    <t>Por lo general, en partidos igualados, estos cambios deberían plantearse relativamente tarde en el partido, quizás a partir del minuto 70. Cuantas menos opciones de ganar tengamos, antes deberíamos programar estos cambios. Por ejemplo, si se juega contra alguien superior y fuera de casa, incluso se puede considerar hacer estos cambios "si voy ganando" en cualquier minuto. De esta manera, si suena la flauta y marcamos un gol temprano, podemos pasarnos el resto del partido especulando con el resultado.</t>
  </si>
  <si>
    <t>En caso de prever un partido relativamente fácil, también se pueden llegar a dedicar dos cambios a la misma situación, aunque no es demasiado recomendable. Un ejemplo sería: cambiar delantero por defensa "si voy ganando por más de 1 gol" en el minuto 60, y el mismo delantero por el mismo defensa "si voy ganando" en el minuto 75. De esta manera damos algo de tiempo a marcar más goles porque en principio somos superiores, pero si las cosas van justas aun podemos amarrar el partido en el minuto 75.</t>
  </si>
  <si>
    <r>
      <t xml:space="preserve">4) </t>
    </r>
    <r>
      <rPr>
        <u/>
        <sz val="11"/>
        <color theme="1"/>
        <rFont val="Calibri"/>
        <family val="2"/>
        <scheme val="minor"/>
      </rPr>
      <t>Reservar titulares y que jueguen los suplentes</t>
    </r>
  </si>
  <si>
    <t>Si te sabes superior al rival y ganas por goleada, hay dos cosas que puedes hacer: ir a humillar al rival, o bien reservar a algunos titulares y dar entrada a suplentes para evitar posibles lesiones. Yo siempre recomiendo reservar a los titulares.</t>
  </si>
  <si>
    <t>Si sólo tienes suplentes malos, las posiciones más sencillas para cambiar a jugadores son los delanteros y los extremos, ya que no afectan a nuestra habilidad de evitar goles en contra. Estas son las posiciones que se deberían usar cuando quieres, por ejemplo, hacer jugar a alguien en muy mala forma para que se recupere un poco. Los cambios, de nuevo, deberían depender del minuto, por ejemplo: "si voy ganando por más de 2 goles" en el minuto 60, "si voy ganando por más de 1 gol" en el minuto 75, o "si voy ganando" en el minuto 89 (cuanta mayor sea la pérdida de nivel al sacar al suplente, más tarde debería hacerse el cambio).</t>
  </si>
  <si>
    <t>Notas de LA-elfarolillo sobre esta táctica: (14286771.17)</t>
  </si>
  <si>
    <t>SUSTITUCIONES AVANZADAS</t>
  </si>
  <si>
    <t>En este apartado tratamos los problemas cuando nuestro rival puede jugar dos (o más) diferentes tácticas, y no sabemos qué hacer. Gracias a las sustituciones, podemos intentar cambiar nuestra táctica si las cosas van mal.</t>
  </si>
  <si>
    <r>
      <t xml:space="preserve">1) </t>
    </r>
    <r>
      <rPr>
        <u/>
        <sz val="11"/>
        <color theme="1"/>
        <rFont val="Calibri"/>
        <family val="2"/>
        <scheme val="minor"/>
      </rPr>
      <t>Del centro a las bandas y al revés</t>
    </r>
  </si>
  <si>
    <t>En un partido importante que debamos ganar, a veces es necesario arriesgar un poco para ganar. Si jugamos contra un adversario que a veces juega con dos/tres defensas centrales y a veces con un defensa central y dos laterales, se puede plantear hacer una táctica para contrarrestarlas las dos. La táctica inicial debería ser la que mejor creáis que va a funcionar viendo los últimos partidos del contrario. Por ejemplo, asumimos que es una 3-5-2 y atacar por el centro, con exremos hacia el medio. En la media parte debemos evaluar si nuestra táctica ha funcionado o no. Deberíamos hacer hasta 4 cambios "si no voy ganando", que serían: poner a los dos extremos en ofensivo y cambiar a los dos delanteros por delanteros defensivos, para mantener el mismo nivel de mediocampo y atacar por las bandas toda la segunda parte.</t>
  </si>
  <si>
    <t>Evidentemente, la táctica también sirve empezando a atacar por las bandas y cambiar al centro, usando los cambios inversos.</t>
  </si>
  <si>
    <r>
      <t xml:space="preserve">2) </t>
    </r>
    <r>
      <rPr>
        <u/>
        <sz val="11"/>
        <color theme="1"/>
        <rFont val="Calibri"/>
        <family val="2"/>
        <scheme val="minor"/>
      </rPr>
      <t>De una banda a la otra, y más potencia por la banda</t>
    </r>
  </si>
  <si>
    <t>Otra táctica muy útil es cuando se juega contra equipos con defensa asimétrica, es decir, con mucha mayor defensa en una banda que en la otra. Si no tenemos suficiente nivel de mediocampo para jugar con dos ataques laterales fuertes, podemos salir con un lateral ofensivo y el otro hacia el medio, y cambiarlos en la media parte "si no voy ganando". Se pueden usar hasta tres cambios para potenciar el ataque por una banda si las cosas no funcionan, que se podrían escalar en diferentes minutos. Lo más normal sería: minuto 45 - Poner un lateral en ofensivo, el otro hacia medio "si no voy ganando". Minuto 60 - Defensa lateral ofensivo "si no voy ganando". Minuto 75 - inner hacia lateral "si no voy ganando".</t>
  </si>
  <si>
    <t>Esta táctica es especialmente útil si juegas contra equipos con una defensa muy fuerte, y que vengan a empatar a cero. El ataque lateral es más difícil de defender que el ataque central, así que es probable marcar si tienes una banda muy fuerte con la que jugar.</t>
  </si>
  <si>
    <t>Notas de LA-elfarolillo sobre este apartado: (14286771.20)</t>
  </si>
  <si>
    <t>Y creo que aquí acaban mis ideas sobre los usos más importantes de las sustituciones. Si queréis ejemplos de como ejecutar bien las sustituciones con lo que os he dicho, repasad los partidos de Primera de las últimas jornadas, y veréis como prácticamente todos ellos los podéis clasificar en uno de los tipos que he descrito en el tutorial. Ahora le paso la batuta a LA-elfarolillo, que nos dará una lección sobre otros usos de las sustituciones. Y que empiecen las preguntas! :)</t>
  </si>
  <si>
    <r>
      <t xml:space="preserve">OTROS </t>
    </r>
    <r>
      <rPr>
        <sz val="11"/>
        <color theme="1"/>
        <rFont val="Calibri"/>
        <family val="2"/>
        <scheme val="minor"/>
      </rPr>
      <t>(por LA-elfarolillo)</t>
    </r>
  </si>
  <si>
    <t>(14286771.15) - ¿Quién sale si hay una lesión y no hay sustituto en su puesto?</t>
  </si>
  <si>
    <t>(14286771.16) - Sustituciones para hacer step-trading</t>
  </si>
  <si>
    <t>(14286771.19) - Sustituciones y resistencia</t>
  </si>
  <si>
    <t>(14286771.21) - Sustituciones y entrenamiento extra</t>
  </si>
  <si>
    <t>(14286771.22) - Sustituciones y juveniles</t>
  </si>
  <si>
    <t>(14286771.23) - Sustituciones y experiencia de formaciones</t>
  </si>
  <si>
    <t>aquadigio escribió:</t>
  </si>
  <si>
    <t>Esta táctica fue objeto de debate en mi fede, y a mí me pareció interesante desde el principio... pero la verdad es que las veces que la he probado no me he ido demasiado bien hasta el punto de que ahora la considero una táctica de nivel menor. Esta táctica me iba como anillo al dedo porque solía disponer de dos o tres híbridos en lateral y jugadas y me resultaba muy fácil cambiar de "hacia medio" a "ofensivo" y viceversa, incluso con el apoyo de un defensa lateral en ofensivo en ocasiones.</t>
  </si>
  <si>
    <t>El problema con el que me he encontrado a la hora de la verdad es que nadie, nadie, nadie, te puede garantizar que al descanso vas por debajo debido a una alineación inicial equivocada. De hecho, en varias ocasiones me ha pasado que usé la táctica para cambiar de banda y resulta que lo que hice fue comenzar a atacar por su banda fuerte, o sea, los cambios resultaron contraproducentes.</t>
  </si>
  <si>
    <t>Dado lo caprichoso del motor del juego, diría que esta táctica es una "apuesta arriesgada", basada en la suposición de que vas perdiendo por una mala elección de la banda de ataque. Quizás primaría otro tipo de tácticas antes que esta para reacción ante una derrota, quizás poner los dos extremos en ofensivo combinado con poner un defensa central en ofensivo (o un delantero en defensivo) para compensar la pérdida de mediocampo. Por supuesto, esto exige tener buenos híbridos o una plantilla amplia.</t>
  </si>
  <si>
    <t>Un inconveniente de esta táctica es que requiere la utilización de muchas ordenes individuales para su ejecución, con lo que nos quedamos sin hueco para realizar sustituciones "normales" de jugador por jugador (si queremos hacer step o plantear una alternativa diferente...).</t>
  </si>
  <si>
    <r>
      <t xml:space="preserve">Let's start with classes of players according to their </t>
    </r>
    <r>
      <rPr>
        <b/>
        <sz val="12"/>
        <color theme="1"/>
        <rFont val="Calibri"/>
        <family val="2"/>
        <scheme val="minor"/>
      </rPr>
      <t>aggressiveness</t>
    </r>
  </si>
  <si>
    <r>
      <t xml:space="preserve">We continue considering the </t>
    </r>
    <r>
      <rPr>
        <b/>
        <sz val="12"/>
        <color rgb="FF000000"/>
        <rFont val="Calibri"/>
        <family val="2"/>
        <scheme val="minor"/>
      </rPr>
      <t>HONESTY</t>
    </r>
  </si>
  <si>
    <t>P de tarjeta</t>
  </si>
  <si>
    <t>P Expulsión</t>
  </si>
  <si>
    <t>TRANQUIL</t>
  </si>
  <si>
    <t>INFAMOUS</t>
  </si>
  <si>
    <t>CALM</t>
  </si>
  <si>
    <t>DISHONEST</t>
  </si>
  <si>
    <t>BALANCED</t>
  </si>
  <si>
    <t>HONEST</t>
  </si>
  <si>
    <t>TEMPERAMENTAL</t>
  </si>
  <si>
    <t>UPRIGHT</t>
  </si>
  <si>
    <t>FIERY</t>
  </si>
  <si>
    <t>RIGHTEOUS</t>
  </si>
  <si>
    <t>Las modificaciones del porcentaje del entrenamiento</t>
  </si>
  <si>
    <t>¿Para qué se baja el % de entrenamiento?</t>
  </si>
  <si>
    <t>El % de entrenamiento se baja para conseguir más espíritu de equipo. Es importante saber que una vez se vuelva a subir el % a su intensidad habitual, el espíritu volverá a bajar. Si hemos metido MOTS, al final tendremos unos 3 niveles por debajo.</t>
  </si>
  <si>
    <t>¿Cuándo debe bajarse?</t>
  </si>
  <si>
    <t>En la actualización previa al entrenamiento, el jueves a las 11:00 hora HT, en la argentina, se chequea la intensidad ó % de entrenamiento. Así que, antes de esa hora y ese día, hay que bajar el %. Hay mucha gente que cree que basta con hacerlo antes del entrenamiento, y no es así.</t>
  </si>
  <si>
    <t>¿Cuánto sube el espíritu?</t>
  </si>
  <si>
    <t>Depende de cuánto bajemos el % de entrenamiento. Se calcula que sube 1 nivel por cada 16-20% bajado. </t>
  </si>
  <si>
    <t>Si bajamos el porcentaje de entrenamiento a un 50% el aumento del espíritu puede ser de 2 y hasta 3 niveles, si lo hacemos por debajo del 20%, podemos subir 4 o 5 y si lo dejamos cercano al 0% el espíritu subirá hasta el máximo.</t>
  </si>
  <si>
    <t>¿Qué consecuencias tiene?</t>
  </si>
  <si>
    <t>Pero esto tan "bonito" tiene dos graves contrapartidas:</t>
  </si>
  <si>
    <t>- Pues para empezar, los jugadores entrenarán menos. Si bajamos hasta el 50%, los jugadores entrenarán sólo la mitad que si entrenásemos al 100%.</t>
  </si>
  <si>
    <t>- Descenso de la forma: Es el principal inconveniente. Bajando hasta el 25% no hay problemas de forma. Bajando hasta el 10%, 5%, e incluso 0%, los efectos en la forma son realmente negativos, bajando varios niveles la forma media del equipo. La bajada de forma de la mayor parte de la plantilla, algo que se hará notar, no en el entrenamiento inmediatamente siguiente, sino en los de las semanas posteriores, con bajadas generalizadas que pueden llegar a ser de hasta 3 o más niveles.</t>
  </si>
  <si>
    <t>- La posterior subida del porcentaje al nivel adecuado, es decir al 100%, provoca una bajada de espíritu que, en ciertos casos, puede llevar a nuestro espíritu a "Como en la guerra fría", algo nefasto para los siguientes partidos.</t>
  </si>
  <si>
    <t>Es por ello que esta manera de hacer subir el espíritu, sólo debe de aplicarse, y siempre sopesando bien las contraindicaciones que hemos comentado, antes del último partido de la temporada y siempre que en ese partido nos vaya algo muy importante, conseguir un ascenso o evitar un descenso de categoría. En este caso no importará la bajada posterior del espíritu pues, antes del inicio de la siguiente temporada, éste se resetea a Serenos, pero la forma... ¡ay la forma! eso no tiene remedio.</t>
  </si>
  <si>
    <t>Eventos psicológicos durante el partido</t>
  </si>
  <si>
    <t>Tirarse para atrás: </t>
  </si>
  <si>
    <t>* Este evento tiene la función de debilitar el ataque y fortalecer la defensa, (no modifica la cantidad de situaciones normales), a pesar de que no lo veremos reflejado en las calificaciones.</t>
  </si>
  <si>
    <t>* Tan sólo puede aparecer una vez el evento para el equipo, es decir, no se puede un mismo equipo tirar atrás dos veces.</t>
  </si>
  <si>
    <t>* Ambos equipos pueden sufrir el evento en el mismo partido. Si uno gana por varios goles, y su rival lo da vuelta y pasa a ganar por varios goles, ambos equipos se pueden tirar atrás.</t>
  </si>
  <si>
    <t>* La probabilidad de que el evento aparezca es la siguiente:</t>
  </si>
  <si>
    <t>+2 goles: 20% </t>
  </si>
  <si>
    <t>+3 goles: 40% </t>
  </si>
  <si>
    <t>+4 goles: 60% </t>
  </si>
  <si>
    <t>+5 goles: 80% </t>
  </si>
  <si>
    <t>+6 goles: 100% </t>
  </si>
  <si>
    <t>Confusión:</t>
  </si>
  <si>
    <t>* Es un evento que afecta al mediocampo, también a la defensa y el ataque, aunque aquí no se vea reflejado en las calificaciones.</t>
  </si>
  <si>
    <t>* Su función es "bajar la organización del equipo" a niveles más bajos.</t>
  </si>
  <si>
    <t>* La confusión aparecerá en cualquier momento del partido, y a lo largo del mismo se irá calculando a ver si baja la organización.</t>
  </si>
  <si>
    <t>* Un mismo equipo puede sufrir confusión varias veces en un mismo partido</t>
  </si>
  <si>
    <t>* Cuanto más lejos esté la formación de 4-4-2, habrá más posibilidades de que haya confusión</t>
  </si>
  <si>
    <t>* Es importante la experiencia en la formación y la experiencia total del equipo, jugando un rol fundamental en esto el capitán.</t>
  </si>
  <si>
    <t>Para cerrar el tema de los socios aquí una tabla de socios.</t>
  </si>
  <si>
    <t>Aficonados objectivos en cada divisón.</t>
  </si>
  <si>
    <t>nivel / liga</t>
  </si>
  <si>
    <t>1 a 3</t>
  </si>
  <si>
    <t>1 a 4</t>
  </si>
  <si>
    <t>1 a 5</t>
  </si>
  <si>
    <t>1 a 6</t>
  </si>
  <si>
    <t>1 a 7</t>
  </si>
  <si>
    <t>1 a 8</t>
  </si>
  <si>
    <t>1 a 9</t>
  </si>
  <si>
    <t>1 a 10</t>
  </si>
  <si>
    <t>1 a 11</t>
  </si>
  <si>
    <t>I</t>
  </si>
  <si>
    <t>II</t>
  </si>
  <si>
    <t>III</t>
  </si>
  <si>
    <t>IV</t>
  </si>
  <si>
    <t>V</t>
  </si>
  <si>
    <t>VI</t>
  </si>
  <si>
    <t>VII</t>
  </si>
  <si>
    <t>VIII</t>
  </si>
  <si>
    <t>IX</t>
  </si>
  <si>
    <t>X</t>
  </si>
  <si>
    <t>XI</t>
  </si>
  <si>
    <t>1 a 11 se refiere a los paises con 11 divisiones.</t>
  </si>
  <si>
    <t>Buenas,</t>
  </si>
  <si>
    <t xml:space="preserve">Te copio/pego alguna tabla que tengo guardada con esta info. </t>
  </si>
  <si>
    <t>Por un lado, para saber cuanto nivel de lider te va bien para ser competitivo, mira esta tabla.</t>
  </si>
  <si>
    <t>______ _bueno/acept__insu__débil__pobre__horri__desast_</t>
  </si>
  <si>
    <t>_10&amp;gt;9__1____________1___ _1_____1______1_____1______</t>
  </si>
  <si>
    <t>_9&amp;gt;8___3____________2___ _1_____1______1_____1______</t>
  </si>
  <si>
    <t>_8&amp;gt;7___5____________4___ _3_____2______1_____1______</t>
  </si>
  <si>
    <t>_7&amp;gt;6___7____________6___ _5_____2______1_____1______</t>
  </si>
  <si>
    <t>_6&amp;gt;5___13___________10___7_____5______2_____1______</t>
  </si>
  <si>
    <t>_5&amp;gt;4___33___________26___20____13_____6_____2______</t>
  </si>
  <si>
    <t>Es decir, con un entrenador aceptable lider, tu espiritu de equipo tarda unas 13 actualizaciones para bajar de 6 a 5.</t>
  </si>
  <si>
    <t xml:space="preserve">Por otro lado, </t>
  </si>
  <si>
    <t>Leadership</t>
  </si>
  <si>
    <r>
      <t>► A</t>
    </r>
    <r>
      <rPr>
        <b/>
        <sz val="11"/>
        <color theme="1"/>
        <rFont val="Calibri"/>
        <family val="2"/>
        <scheme val="minor"/>
      </rPr>
      <t xml:space="preserve"> coach with SOLID LEADERSHIP</t>
    </r>
    <r>
      <rPr>
        <sz val="11"/>
        <color theme="1"/>
        <rFont val="Calibri"/>
        <family val="2"/>
        <scheme val="minor"/>
      </rPr>
      <t xml:space="preserve"> will drop his LS to Passable:</t>
    </r>
  </si>
  <si>
    <t>- in approximately 112-150 days if he's low Solid LS</t>
  </si>
  <si>
    <t>- in approximately 150-224 days if he's medium Solid LS</t>
  </si>
  <si>
    <t>- in approximately 224-400 days if he's high Solid LS</t>
  </si>
  <si>
    <t>► It is accepted that every week after the first season the coach's leadership has 1/3 chance to drop by 1/8 level.</t>
  </si>
  <si>
    <t>When the leadership drops to disastrous, only a few weeks later the coaching skill will drop with 1 level. So disastrous LS lasts less than the other levels and this is not a bug.</t>
  </si>
  <si>
    <t>no creativos</t>
  </si>
  <si>
    <t>Evento</t>
  </si>
  <si>
    <t>Descripcion</t>
  </si>
  <si>
    <t>pbase_Obs</t>
  </si>
  <si>
    <t>p_slots</t>
  </si>
  <si>
    <t>pbase_cal</t>
  </si>
  <si>
    <t>IMP Pase Largo</t>
  </si>
  <si>
    <t>no</t>
  </si>
  <si>
    <t>IMP Anotacion</t>
  </si>
  <si>
    <t>IMP</t>
  </si>
  <si>
    <t>IMP Fallo</t>
  </si>
  <si>
    <t>RAP Anotacion</t>
  </si>
  <si>
    <t>RAP Pase</t>
  </si>
  <si>
    <t>Defensa Cansado</t>
  </si>
  <si>
    <t>si</t>
  </si>
  <si>
    <t>Corner + Ano</t>
  </si>
  <si>
    <t>pos</t>
  </si>
  <si>
    <t>Corner + CAB</t>
  </si>
  <si>
    <t>IMP Propia Puerta</t>
  </si>
  <si>
    <t>Delantero XP</t>
  </si>
  <si>
    <t>Defensa No-XP</t>
  </si>
  <si>
    <t>Lateral+CAB</t>
  </si>
  <si>
    <t>1/2 y 1/8</t>
  </si>
  <si>
    <t>Lateral+ANO</t>
  </si>
  <si>
    <t>TEC vs CAB</t>
  </si>
  <si>
    <t>POT Delantero Normal</t>
  </si>
  <si>
    <t>POT Corta</t>
  </si>
  <si>
    <t>1/6</t>
  </si>
  <si>
    <t>1/8</t>
  </si>
  <si>
    <t>1/13</t>
  </si>
  <si>
    <t>1/5</t>
  </si>
  <si>
    <t>1/2</t>
  </si>
  <si>
    <t>pbase</t>
  </si>
  <si>
    <t>pbase_corregida</t>
  </si>
  <si>
    <t>No</t>
  </si>
  <si>
    <t>RAP</t>
  </si>
  <si>
    <t>IMP+Pase</t>
  </si>
  <si>
    <t>IMP+Ano</t>
  </si>
  <si>
    <t>RAP+Ano</t>
  </si>
  <si>
    <t>RAP+Pase</t>
  </si>
  <si>
    <t>IMP Propia</t>
  </si>
  <si>
    <t>Lat+CAB</t>
  </si>
  <si>
    <t>Lat+ANO</t>
  </si>
  <si>
    <t>pInd</t>
  </si>
  <si>
    <t>Peq</t>
  </si>
  <si>
    <t>CAB</t>
  </si>
  <si>
    <t>Slots</t>
  </si>
  <si>
    <t>Slots1</t>
  </si>
  <si>
    <t>Slots2</t>
  </si>
  <si>
    <t>Pos1</t>
  </si>
  <si>
    <t>Pos2</t>
  </si>
  <si>
    <t>pOK</t>
  </si>
  <si>
    <t>a1</t>
  </si>
  <si>
    <t>a2</t>
  </si>
  <si>
    <t>pConv1</t>
  </si>
  <si>
    <t>pConv2</t>
  </si>
  <si>
    <t>g1</t>
  </si>
  <si>
    <t>g2</t>
  </si>
  <si>
    <t>Del</t>
  </si>
  <si>
    <t>All</t>
  </si>
  <si>
    <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</si>
</sst>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 #,##0.00\ &quot;€&quot;_-;\-* #,##0.00\ &quot;€&quot;_-;_-* &quot;-&quot;??\ &quot;€&quot;_-;_-@_-"/>
    <numFmt numFmtId="164" formatCode="0.0"/>
    <numFmt numFmtId="165" formatCode="_-* #,##0\ [$€-C0A]_-;\-* #,##0\ [$€-C0A]_-;_-* &quot;-&quot;??\ [$€-C0A]_-;_-@_-"/>
    <numFmt numFmtId="166" formatCode="0.000"/>
    <numFmt numFmtId="167" formatCode="0.0%"/>
    <numFmt numFmtId="168" formatCode="_-* #,##0\ &quot;€&quot;_-;\-* #,##0\ &quot;€&quot;_-;_-* &quot;-&quot;??\ &quot;€&quot;_-;_-@_-"/>
  </numFmts>
  <fonts count="48" x14ac:knownFonts="1">
    <font>
      <sz val="11"/>
      <color theme="1"/>
      <name val="Calibri"/>
      <family val="2"/>
      <scheme val="minor"/>
    </font>
    <font>
      <b/>
      <sz val="11"/>
      <color theme="1"/>
      <name val="Calibri"/>
      <family val="2"/>
      <scheme val="minor"/>
    </font>
    <font>
      <sz val="8"/>
      <color rgb="FF000000"/>
      <name val="Verdana"/>
      <family val="2"/>
    </font>
    <font>
      <b/>
      <sz val="12"/>
      <color rgb="FF000000"/>
      <name val="Verdana"/>
      <family val="2"/>
    </font>
    <font>
      <b/>
      <sz val="8"/>
      <color rgb="FF000000"/>
      <name val="Verdana"/>
      <family val="2"/>
    </font>
    <font>
      <b/>
      <sz val="12"/>
      <color theme="1"/>
      <name val="Calibri"/>
      <family val="2"/>
      <scheme val="minor"/>
    </font>
    <font>
      <b/>
      <sz val="14"/>
      <color theme="1"/>
      <name val="Calibri"/>
      <family val="2"/>
      <scheme val="minor"/>
    </font>
    <font>
      <sz val="14"/>
      <color theme="1"/>
      <name val="Calibri"/>
      <family val="2"/>
      <scheme val="minor"/>
    </font>
    <font>
      <sz val="8"/>
      <color theme="1"/>
      <name val="Calibri"/>
      <family val="2"/>
      <scheme val="minor"/>
    </font>
    <font>
      <b/>
      <sz val="8"/>
      <color theme="1"/>
      <name val="Calibri"/>
      <family val="2"/>
      <scheme val="minor"/>
    </font>
    <font>
      <b/>
      <sz val="8"/>
      <color rgb="FFFFFFFF"/>
      <name val="Calibri"/>
      <family val="2"/>
      <scheme val="minor"/>
    </font>
    <font>
      <b/>
      <i/>
      <sz val="12"/>
      <color theme="1"/>
      <name val="Calibri"/>
      <family val="2"/>
      <scheme val="minor"/>
    </font>
    <font>
      <sz val="8"/>
      <color rgb="FFFFFFFF"/>
      <name val="Calibri"/>
      <family val="2"/>
      <scheme val="minor"/>
    </font>
    <font>
      <b/>
      <sz val="10"/>
      <name val="Verdana"/>
      <family val="2"/>
    </font>
    <font>
      <sz val="10"/>
      <name val="Verdana"/>
      <family val="2"/>
    </font>
    <font>
      <sz val="16"/>
      <name val="Verdana"/>
      <family val="2"/>
    </font>
    <font>
      <sz val="14"/>
      <name val="Verdana"/>
      <family val="2"/>
    </font>
    <font>
      <sz val="8.5"/>
      <name val="Verdana"/>
      <family val="2"/>
    </font>
    <font>
      <sz val="10"/>
      <color rgb="FFFF0000"/>
      <name val="Verdana"/>
      <family val="2"/>
    </font>
    <font>
      <b/>
      <sz val="8"/>
      <color indexed="81"/>
      <name val="Tahoma"/>
      <family val="2"/>
    </font>
    <font>
      <sz val="8"/>
      <color indexed="81"/>
      <name val="Tahoma"/>
      <family val="2"/>
    </font>
    <font>
      <sz val="11"/>
      <color theme="1"/>
      <name val="Calibri"/>
      <family val="2"/>
      <scheme val="minor"/>
    </font>
    <font>
      <b/>
      <sz val="8"/>
      <color theme="0"/>
      <name val="Verdana"/>
      <family val="2"/>
    </font>
    <font>
      <sz val="11"/>
      <color rgb="FFFF0000"/>
      <name val="Calibri"/>
      <family val="2"/>
      <scheme val="minor"/>
    </font>
    <font>
      <u/>
      <sz val="11"/>
      <color theme="1"/>
      <name val="Calibri"/>
      <family val="2"/>
      <scheme val="minor"/>
    </font>
    <font>
      <b/>
      <u/>
      <sz val="11"/>
      <color theme="1"/>
      <name val="Calibri"/>
      <family val="2"/>
      <scheme val="minor"/>
    </font>
    <font>
      <b/>
      <sz val="14"/>
      <color rgb="FFFF0000"/>
      <name val="Calibri"/>
      <family val="2"/>
      <scheme val="minor"/>
    </font>
    <font>
      <b/>
      <i/>
      <sz val="11"/>
      <color theme="1"/>
      <name val="Calibri"/>
      <family val="2"/>
      <scheme val="minor"/>
    </font>
    <font>
      <sz val="8"/>
      <color theme="1"/>
      <name val="Times New Roman"/>
      <family val="1"/>
    </font>
    <font>
      <b/>
      <sz val="8"/>
      <color theme="1"/>
      <name val="Times New Roman"/>
      <family val="1"/>
    </font>
    <font>
      <sz val="14"/>
      <color rgb="FFFF0000"/>
      <name val="Calibri"/>
      <family val="2"/>
      <scheme val="minor"/>
    </font>
    <font>
      <b/>
      <sz val="7.5"/>
      <color rgb="FFFFFFFF"/>
      <name val="Calibri"/>
      <family val="2"/>
      <scheme val="minor"/>
    </font>
    <font>
      <b/>
      <sz val="7.5"/>
      <color theme="1"/>
      <name val="Calibri"/>
      <family val="2"/>
      <scheme val="minor"/>
    </font>
    <font>
      <sz val="7.5"/>
      <color theme="1"/>
      <name val="Calibri"/>
      <family val="2"/>
      <scheme val="minor"/>
    </font>
    <font>
      <b/>
      <sz val="11"/>
      <color rgb="FFFF0000"/>
      <name val="Calibri"/>
      <family val="2"/>
      <scheme val="minor"/>
    </font>
    <font>
      <sz val="11"/>
      <name val="Calibri"/>
      <family val="2"/>
      <scheme val="minor"/>
    </font>
    <font>
      <sz val="10"/>
      <color theme="1"/>
      <name val="Calibri"/>
      <family val="2"/>
      <scheme val="minor"/>
    </font>
    <font>
      <b/>
      <sz val="13.5"/>
      <color theme="1"/>
      <name val="Calibri"/>
      <family val="2"/>
      <scheme val="minor"/>
    </font>
    <font>
      <sz val="12"/>
      <color rgb="FF000000"/>
      <name val="Calibri"/>
      <family val="2"/>
      <scheme val="minor"/>
    </font>
    <font>
      <b/>
      <sz val="12"/>
      <color rgb="FF000000"/>
      <name val="Calibri"/>
      <family val="2"/>
      <scheme val="minor"/>
    </font>
    <font>
      <sz val="12"/>
      <color theme="1"/>
      <name val="Calibri"/>
      <family val="2"/>
      <scheme val="minor"/>
    </font>
    <font>
      <u/>
      <sz val="11"/>
      <color theme="10"/>
      <name val="Calibri"/>
      <family val="2"/>
      <scheme val="minor"/>
    </font>
    <font>
      <i/>
      <sz val="8"/>
      <color rgb="FF000000"/>
      <name val="Verdana"/>
      <family val="2"/>
    </font>
    <font>
      <u/>
      <sz val="8"/>
      <color rgb="FF000000"/>
      <name val="Verdana"/>
      <family val="2"/>
    </font>
    <font>
      <b/>
      <u/>
      <sz val="8"/>
      <color rgb="FF000000"/>
      <name val="Verdana"/>
      <family val="2"/>
    </font>
    <font>
      <i/>
      <sz val="11"/>
      <color theme="1"/>
      <name val="Calibri"/>
      <family val="2"/>
      <scheme val="minor"/>
    </font>
    <font>
      <sz val="11"/>
      <color rgb="FF00B050"/>
      <name val="Calibri"/>
      <family val="2"/>
      <scheme val="minor"/>
    </font>
    <font>
      <b/>
      <sz val="11"/>
      <color rgb="FF00B050"/>
      <name val="Calibri"/>
      <family val="2"/>
      <scheme val="minor"/>
    </font>
  </fonts>
  <fills count="30">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333333"/>
        <bgColor indexed="64"/>
      </patternFill>
    </fill>
    <fill>
      <patternFill patternType="solid">
        <fgColor rgb="FFCCCCCC"/>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rgb="FF000000"/>
        <bgColor indexed="64"/>
      </patternFill>
    </fill>
    <fill>
      <patternFill patternType="solid">
        <fgColor rgb="FFEDF1ED"/>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rgb="FFFFFFDD"/>
        <bgColor rgb="FFFFFF00"/>
      </patternFill>
    </fill>
    <fill>
      <patternFill patternType="solid">
        <fgColor theme="0" tint="-4.9989318521683403E-2"/>
        <bgColor rgb="FF000000"/>
      </patternFill>
    </fill>
    <fill>
      <patternFill patternType="solid">
        <fgColor theme="6" tint="0.59999389629810485"/>
        <bgColor rgb="FFFFFF00"/>
      </patternFill>
    </fill>
    <fill>
      <patternFill patternType="solid">
        <fgColor theme="4" tint="-0.249977111117893"/>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rgb="FFFFC000"/>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7" tint="0.59999389629810485"/>
        <bgColor indexed="64"/>
      </patternFill>
    </fill>
    <fill>
      <patternFill patternType="solid">
        <fgColor rgb="FFFFFFCC"/>
        <bgColor indexed="64"/>
      </patternFill>
    </fill>
    <fill>
      <patternFill patternType="solid">
        <fgColor theme="5" tint="0.59999389629810485"/>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top/>
      <bottom/>
      <diagonal/>
    </border>
    <border>
      <left/>
      <right style="medium">
        <color indexed="64"/>
      </right>
      <top/>
      <bottom/>
      <diagonal/>
    </border>
    <border>
      <left style="medium">
        <color indexed="64"/>
      </left>
      <right style="thin">
        <color indexed="64"/>
      </right>
      <top/>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right/>
      <top style="medium">
        <color rgb="FFCCCCCC"/>
      </top>
      <bottom style="medium">
        <color rgb="FFCCCCCC"/>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s>
  <cellStyleXfs count="4">
    <xf numFmtId="0" fontId="0" fillId="0" borderId="0"/>
    <xf numFmtId="9" fontId="21" fillId="0" borderId="0" applyFont="0" applyFill="0" applyBorder="0" applyAlignment="0" applyProtection="0"/>
    <xf numFmtId="44" fontId="21" fillId="0" borderId="0" applyFont="0" applyFill="0" applyBorder="0" applyAlignment="0" applyProtection="0"/>
    <xf numFmtId="0" fontId="41" fillId="0" borderId="0" applyNumberFormat="0" applyFill="0" applyBorder="0" applyAlignment="0" applyProtection="0"/>
  </cellStyleXfs>
  <cellXfs count="310">
    <xf numFmtId="0" fontId="0" fillId="0" borderId="0" xfId="0"/>
    <xf numFmtId="0" fontId="2" fillId="0" borderId="0" xfId="0" applyFont="1"/>
    <xf numFmtId="0" fontId="3" fillId="0" borderId="0" xfId="0" applyFont="1"/>
    <xf numFmtId="0" fontId="2" fillId="0" borderId="0" xfId="0" applyFont="1" applyFill="1"/>
    <xf numFmtId="0" fontId="4" fillId="0" borderId="0" xfId="0" applyFont="1"/>
    <xf numFmtId="0" fontId="1" fillId="2" borderId="0" xfId="0" applyFont="1" applyFill="1" applyAlignment="1">
      <alignment horizontal="center" wrapText="1"/>
    </xf>
    <xf numFmtId="0" fontId="1" fillId="2" borderId="0" xfId="0" applyFont="1" applyFill="1" applyAlignment="1">
      <alignment wrapText="1"/>
    </xf>
    <xf numFmtId="0" fontId="5" fillId="2" borderId="1" xfId="0" applyFont="1" applyFill="1" applyBorder="1" applyAlignment="1">
      <alignment wrapText="1"/>
    </xf>
    <xf numFmtId="0" fontId="1" fillId="2" borderId="0" xfId="0" applyFont="1" applyFill="1" applyBorder="1" applyAlignment="1">
      <alignment wrapText="1"/>
    </xf>
    <xf numFmtId="0" fontId="1" fillId="0" borderId="0" xfId="0" applyFont="1" applyFill="1" applyAlignment="1">
      <alignment wrapText="1"/>
    </xf>
    <xf numFmtId="9" fontId="1" fillId="2" borderId="0" xfId="0" applyNumberFormat="1" applyFont="1" applyFill="1" applyAlignment="1">
      <alignment wrapText="1"/>
    </xf>
    <xf numFmtId="164" fontId="0" fillId="0" borderId="0" xfId="0" applyNumberFormat="1" applyAlignment="1">
      <alignment wrapText="1"/>
    </xf>
    <xf numFmtId="164" fontId="5" fillId="0" borderId="1" xfId="0" applyNumberFormat="1" applyFont="1" applyBorder="1" applyAlignment="1">
      <alignment wrapText="1"/>
    </xf>
    <xf numFmtId="164" fontId="0" fillId="0" borderId="0" xfId="0" applyNumberFormat="1" applyFont="1" applyBorder="1" applyAlignment="1">
      <alignment wrapText="1"/>
    </xf>
    <xf numFmtId="0" fontId="0" fillId="0" borderId="0" xfId="0" applyFill="1" applyAlignment="1">
      <alignment wrapText="1"/>
    </xf>
    <xf numFmtId="0" fontId="2" fillId="3" borderId="2" xfId="0" applyFont="1" applyFill="1" applyBorder="1" applyAlignment="1">
      <alignment horizontal="left" vertical="top" wrapText="1"/>
    </xf>
    <xf numFmtId="164" fontId="5" fillId="0" borderId="3" xfId="0" applyNumberFormat="1" applyFont="1" applyBorder="1" applyAlignment="1">
      <alignment wrapText="1"/>
    </xf>
    <xf numFmtId="0" fontId="6" fillId="0" borderId="0" xfId="0" applyFont="1" applyFill="1" applyBorder="1" applyAlignment="1">
      <alignment wrapText="1"/>
    </xf>
    <xf numFmtId="9" fontId="6" fillId="2" borderId="1" xfId="0" applyNumberFormat="1" applyFont="1" applyFill="1" applyBorder="1" applyAlignment="1">
      <alignment wrapText="1"/>
    </xf>
    <xf numFmtId="164" fontId="6" fillId="0" borderId="1" xfId="0" applyNumberFormat="1" applyFont="1" applyBorder="1" applyAlignment="1">
      <alignment wrapText="1"/>
    </xf>
    <xf numFmtId="164" fontId="1" fillId="0" borderId="1" xfId="0" applyNumberFormat="1" applyFont="1" applyBorder="1" applyAlignment="1">
      <alignment wrapText="1"/>
    </xf>
    <xf numFmtId="164" fontId="5" fillId="0" borderId="4" xfId="0" applyNumberFormat="1" applyFont="1" applyBorder="1" applyAlignment="1">
      <alignment wrapText="1"/>
    </xf>
    <xf numFmtId="164" fontId="7" fillId="0" borderId="1" xfId="0" applyNumberFormat="1" applyFont="1" applyBorder="1" applyAlignment="1">
      <alignment wrapText="1"/>
    </xf>
    <xf numFmtId="9" fontId="1" fillId="2" borderId="0" xfId="0" applyNumberFormat="1" applyFont="1" applyFill="1" applyAlignment="1">
      <alignment horizontal="right" wrapText="1"/>
    </xf>
    <xf numFmtId="0" fontId="8" fillId="0" borderId="0" xfId="0" applyFont="1"/>
    <xf numFmtId="0" fontId="5" fillId="0" borderId="0" xfId="0" applyFont="1"/>
    <xf numFmtId="0" fontId="0" fillId="0" borderId="0" xfId="0" applyFill="1"/>
    <xf numFmtId="0" fontId="8" fillId="0" borderId="0" xfId="0" applyFont="1" applyFill="1"/>
    <xf numFmtId="0" fontId="8" fillId="0" borderId="0" xfId="0" applyFont="1" applyAlignment="1">
      <alignment horizontal="left" indent="2"/>
    </xf>
    <xf numFmtId="0" fontId="10" fillId="4" borderId="0" xfId="0" applyFont="1" applyFill="1" applyAlignment="1">
      <alignment horizontal="center" wrapText="1"/>
    </xf>
    <xf numFmtId="0" fontId="9" fillId="5" borderId="0" xfId="0" applyFont="1" applyFill="1" applyAlignment="1">
      <alignment horizontal="center" wrapText="1"/>
    </xf>
    <xf numFmtId="0" fontId="9" fillId="7" borderId="0" xfId="0" applyFont="1" applyFill="1" applyAlignment="1">
      <alignment horizontal="center" wrapText="1"/>
    </xf>
    <xf numFmtId="0" fontId="9" fillId="8" borderId="0" xfId="0" applyFont="1" applyFill="1" applyAlignment="1">
      <alignment horizontal="center" wrapText="1"/>
    </xf>
    <xf numFmtId="0" fontId="11" fillId="0" borderId="0" xfId="0" applyFont="1"/>
    <xf numFmtId="0" fontId="9" fillId="0" borderId="0" xfId="0" applyFont="1" applyAlignment="1">
      <alignment horizontal="center" wrapText="1"/>
    </xf>
    <xf numFmtId="0" fontId="8" fillId="7" borderId="0" xfId="0" applyFont="1" applyFill="1" applyAlignment="1">
      <alignment wrapText="1"/>
    </xf>
    <xf numFmtId="0" fontId="8" fillId="8" borderId="0" xfId="0" applyFont="1" applyFill="1" applyAlignment="1">
      <alignment wrapText="1"/>
    </xf>
    <xf numFmtId="0" fontId="9" fillId="6" borderId="0" xfId="0" applyFont="1" applyFill="1" applyAlignment="1">
      <alignment horizontal="center" wrapText="1"/>
    </xf>
    <xf numFmtId="0" fontId="1" fillId="0" borderId="0" xfId="0" applyFont="1"/>
    <xf numFmtId="9" fontId="0" fillId="0" borderId="0" xfId="0" applyNumberFormat="1"/>
    <xf numFmtId="0" fontId="0" fillId="0" borderId="0" xfId="0" applyAlignment="1">
      <alignment horizontal="center"/>
    </xf>
    <xf numFmtId="0" fontId="0" fillId="0" borderId="1" xfId="0" applyBorder="1" applyAlignment="1">
      <alignment horizontal="center"/>
    </xf>
    <xf numFmtId="164" fontId="0" fillId="0" borderId="1" xfId="0" applyNumberFormat="1" applyBorder="1" applyAlignment="1">
      <alignment horizontal="center"/>
    </xf>
    <xf numFmtId="0" fontId="2" fillId="3" borderId="1" xfId="0" applyFont="1" applyFill="1" applyBorder="1" applyAlignment="1">
      <alignment horizontal="left" vertical="top" wrapText="1" indent="1"/>
    </xf>
    <xf numFmtId="0" fontId="4" fillId="3" borderId="1" xfId="0" applyFont="1" applyFill="1" applyBorder="1" applyAlignment="1">
      <alignment horizontal="left" vertical="top" wrapText="1" indent="1"/>
    </xf>
    <xf numFmtId="164" fontId="0" fillId="0" borderId="1" xfId="0" applyNumberFormat="1" applyFill="1" applyBorder="1" applyAlignment="1">
      <alignment horizontal="center"/>
    </xf>
    <xf numFmtId="0" fontId="2" fillId="3" borderId="4" xfId="0" applyFont="1" applyFill="1" applyBorder="1" applyAlignment="1">
      <alignment horizontal="left" vertical="top" wrapText="1" indent="1"/>
    </xf>
    <xf numFmtId="0" fontId="4" fillId="3" borderId="4" xfId="0" applyFont="1" applyFill="1" applyBorder="1" applyAlignment="1">
      <alignment horizontal="left" vertical="top" wrapText="1" indent="1"/>
    </xf>
    <xf numFmtId="0" fontId="4" fillId="12" borderId="1" xfId="0" applyFont="1" applyFill="1" applyBorder="1" applyAlignment="1">
      <alignment horizontal="center" vertical="top" wrapText="1"/>
    </xf>
    <xf numFmtId="0" fontId="4" fillId="12" borderId="1" xfId="0" applyFont="1" applyFill="1" applyBorder="1" applyAlignment="1">
      <alignment horizontal="left" vertical="top" wrapText="1" indent="1"/>
    </xf>
    <xf numFmtId="0" fontId="1" fillId="13" borderId="1" xfId="0" applyFont="1" applyFill="1" applyBorder="1"/>
    <xf numFmtId="0" fontId="1" fillId="13" borderId="1" xfId="0" applyFont="1" applyFill="1" applyBorder="1" applyAlignment="1">
      <alignment horizontal="center"/>
    </xf>
    <xf numFmtId="0" fontId="1" fillId="14" borderId="1" xfId="0" applyFont="1" applyFill="1" applyBorder="1" applyAlignment="1">
      <alignment horizontal="center"/>
    </xf>
    <xf numFmtId="0" fontId="1" fillId="15" borderId="1" xfId="0" applyFont="1" applyFill="1" applyBorder="1" applyAlignment="1">
      <alignment horizontal="center"/>
    </xf>
    <xf numFmtId="165" fontId="0" fillId="0" borderId="0" xfId="0" applyNumberFormat="1" applyAlignment="1">
      <alignment horizontal="center"/>
    </xf>
    <xf numFmtId="165" fontId="0" fillId="0" borderId="0" xfId="0" applyNumberFormat="1"/>
    <xf numFmtId="0" fontId="13" fillId="16" borderId="1" xfId="0" applyFont="1" applyFill="1" applyBorder="1" applyAlignment="1">
      <alignment horizontal="center" vertical="top" wrapText="1"/>
    </xf>
    <xf numFmtId="0" fontId="14" fillId="16" borderId="0" xfId="0" applyFont="1" applyFill="1" applyBorder="1" applyAlignment="1">
      <alignment horizontal="center" vertical="top" wrapText="1"/>
    </xf>
    <xf numFmtId="165" fontId="1" fillId="2" borderId="0" xfId="0" applyNumberFormat="1" applyFont="1" applyFill="1" applyAlignment="1">
      <alignment horizontal="center"/>
    </xf>
    <xf numFmtId="0" fontId="13" fillId="17" borderId="1" xfId="0" applyFont="1" applyFill="1" applyBorder="1" applyAlignment="1">
      <alignment horizontal="center" vertical="top" wrapText="1"/>
    </xf>
    <xf numFmtId="0" fontId="14" fillId="17" borderId="0" xfId="0" applyFont="1" applyFill="1" applyBorder="1" applyAlignment="1">
      <alignment horizontal="center" vertical="top" wrapText="1"/>
    </xf>
    <xf numFmtId="165" fontId="1" fillId="0" borderId="0" xfId="0" applyNumberFormat="1" applyFont="1" applyAlignment="1">
      <alignment horizontal="center"/>
    </xf>
    <xf numFmtId="0" fontId="14" fillId="17" borderId="1" xfId="0" applyFont="1" applyFill="1" applyBorder="1" applyAlignment="1">
      <alignment horizontal="center" vertical="top" wrapText="1"/>
    </xf>
    <xf numFmtId="0" fontId="17" fillId="17" borderId="1" xfId="0" applyFont="1" applyFill="1" applyBorder="1" applyAlignment="1">
      <alignment horizontal="center" vertical="top" wrapText="1"/>
    </xf>
    <xf numFmtId="165" fontId="18" fillId="17" borderId="0" xfId="0" applyNumberFormat="1" applyFont="1" applyFill="1" applyBorder="1" applyAlignment="1">
      <alignment horizontal="center" vertical="top" wrapText="1"/>
    </xf>
    <xf numFmtId="0" fontId="14" fillId="16" borderId="1" xfId="0" applyFont="1" applyFill="1" applyBorder="1" applyAlignment="1">
      <alignment horizontal="center" vertical="top" wrapText="1"/>
    </xf>
    <xf numFmtId="0" fontId="17" fillId="16" borderId="1" xfId="0" applyFont="1" applyFill="1" applyBorder="1" applyAlignment="1">
      <alignment horizontal="center" vertical="top" wrapText="1"/>
    </xf>
    <xf numFmtId="165" fontId="13" fillId="18" borderId="0" xfId="0" applyNumberFormat="1" applyFont="1" applyFill="1" applyBorder="1" applyAlignment="1">
      <alignment horizontal="center" vertical="top" wrapText="1"/>
    </xf>
    <xf numFmtId="165" fontId="1" fillId="14" borderId="0" xfId="0" applyNumberFormat="1" applyFont="1" applyFill="1" applyAlignment="1">
      <alignment horizontal="center"/>
    </xf>
    <xf numFmtId="0" fontId="22" fillId="19" borderId="1" xfId="0" applyFont="1" applyFill="1" applyBorder="1" applyAlignment="1">
      <alignment horizontal="center" vertical="center"/>
    </xf>
    <xf numFmtId="0" fontId="0" fillId="0" borderId="0" xfId="0" applyFont="1"/>
    <xf numFmtId="0" fontId="22" fillId="19" borderId="5" xfId="0" applyFont="1" applyFill="1" applyBorder="1" applyAlignment="1">
      <alignment horizontal="center" vertical="center"/>
    </xf>
    <xf numFmtId="10" fontId="0" fillId="0" borderId="0" xfId="0" applyNumberFormat="1"/>
    <xf numFmtId="10" fontId="0" fillId="0" borderId="0" xfId="1" applyNumberFormat="1" applyFont="1"/>
    <xf numFmtId="0" fontId="22" fillId="19" borderId="0" xfId="0" applyFont="1" applyFill="1" applyBorder="1" applyAlignment="1">
      <alignment horizontal="center" vertical="center"/>
    </xf>
    <xf numFmtId="1" fontId="0" fillId="0" borderId="0" xfId="0" applyNumberFormat="1"/>
    <xf numFmtId="2" fontId="0" fillId="0" borderId="0" xfId="0" applyNumberFormat="1"/>
    <xf numFmtId="166" fontId="0" fillId="0" borderId="0" xfId="0" applyNumberFormat="1"/>
    <xf numFmtId="0" fontId="6" fillId="13" borderId="0" xfId="0" applyFont="1" applyFill="1" applyAlignment="1">
      <alignment horizontal="center"/>
    </xf>
    <xf numFmtId="0" fontId="6" fillId="13" borderId="3" xfId="0" applyFont="1" applyFill="1" applyBorder="1" applyAlignment="1">
      <alignment horizontal="center"/>
    </xf>
    <xf numFmtId="0" fontId="0" fillId="0" borderId="8" xfId="0" applyBorder="1"/>
    <xf numFmtId="167" fontId="0" fillId="0" borderId="9" xfId="0" applyNumberFormat="1" applyBorder="1"/>
    <xf numFmtId="167" fontId="0" fillId="0" borderId="10" xfId="0" applyNumberFormat="1" applyBorder="1"/>
    <xf numFmtId="167" fontId="0" fillId="0" borderId="0" xfId="0" applyNumberFormat="1"/>
    <xf numFmtId="0" fontId="0" fillId="0" borderId="11" xfId="0" applyBorder="1"/>
    <xf numFmtId="167" fontId="0" fillId="0" borderId="3" xfId="0" applyNumberFormat="1" applyBorder="1"/>
    <xf numFmtId="167" fontId="0" fillId="0" borderId="12" xfId="0" applyNumberFormat="1" applyBorder="1"/>
    <xf numFmtId="0" fontId="0" fillId="0" borderId="13" xfId="0" applyBorder="1"/>
    <xf numFmtId="167" fontId="0" fillId="0" borderId="1" xfId="0" applyNumberFormat="1" applyBorder="1"/>
    <xf numFmtId="167" fontId="0" fillId="0" borderId="14" xfId="0" applyNumberFormat="1" applyBorder="1"/>
    <xf numFmtId="167" fontId="0" fillId="0" borderId="3" xfId="0" applyNumberFormat="1" applyBorder="1" applyAlignment="1">
      <alignment horizontal="center"/>
    </xf>
    <xf numFmtId="0" fontId="24" fillId="0" borderId="0" xfId="0" applyFont="1"/>
    <xf numFmtId="167" fontId="0" fillId="0" borderId="9" xfId="0" applyNumberFormat="1" applyFill="1" applyBorder="1"/>
    <xf numFmtId="0" fontId="0" fillId="0" borderId="21" xfId="0" applyBorder="1"/>
    <xf numFmtId="167" fontId="0" fillId="0" borderId="22" xfId="0" applyNumberFormat="1" applyBorder="1"/>
    <xf numFmtId="167" fontId="0" fillId="0" borderId="1" xfId="0" applyNumberFormat="1" applyBorder="1" applyAlignment="1">
      <alignment horizontal="center"/>
    </xf>
    <xf numFmtId="167" fontId="0" fillId="0" borderId="1" xfId="0" applyNumberFormat="1" applyFill="1" applyBorder="1"/>
    <xf numFmtId="167" fontId="0" fillId="0" borderId="3" xfId="0" applyNumberFormat="1" applyFill="1" applyBorder="1"/>
    <xf numFmtId="167" fontId="0" fillId="0" borderId="9" xfId="0" applyNumberFormat="1" applyBorder="1" applyAlignment="1">
      <alignment horizontal="center"/>
    </xf>
    <xf numFmtId="0" fontId="0" fillId="0" borderId="26" xfId="0" applyBorder="1"/>
    <xf numFmtId="167" fontId="0" fillId="0" borderId="27" xfId="0" applyNumberFormat="1" applyBorder="1"/>
    <xf numFmtId="167" fontId="0" fillId="0" borderId="19" xfId="0" applyNumberFormat="1" applyBorder="1" applyAlignment="1">
      <alignment horizontal="center"/>
    </xf>
    <xf numFmtId="167" fontId="0" fillId="0" borderId="20" xfId="0" applyNumberFormat="1" applyBorder="1" applyAlignment="1">
      <alignment horizontal="center"/>
    </xf>
    <xf numFmtId="167" fontId="0" fillId="0" borderId="5" xfId="0" applyNumberFormat="1" applyBorder="1"/>
    <xf numFmtId="167" fontId="0" fillId="0" borderId="5" xfId="0" applyNumberFormat="1" applyBorder="1" applyAlignment="1">
      <alignment horizontal="center"/>
    </xf>
    <xf numFmtId="167" fontId="0" fillId="0" borderId="30" xfId="0" applyNumberFormat="1" applyBorder="1" applyAlignment="1">
      <alignment horizontal="center"/>
    </xf>
    <xf numFmtId="167" fontId="0" fillId="0" borderId="31" xfId="0" applyNumberFormat="1" applyBorder="1" applyAlignment="1">
      <alignment horizontal="center"/>
    </xf>
    <xf numFmtId="0" fontId="0" fillId="0" borderId="32" xfId="0" applyBorder="1"/>
    <xf numFmtId="167" fontId="0" fillId="0" borderId="17" xfId="0" applyNumberFormat="1" applyBorder="1" applyAlignment="1">
      <alignment horizontal="center"/>
    </xf>
    <xf numFmtId="167" fontId="0" fillId="0" borderId="18" xfId="0" applyNumberFormat="1" applyBorder="1" applyAlignment="1">
      <alignment horizontal="center"/>
    </xf>
    <xf numFmtId="167" fontId="0" fillId="0" borderId="4" xfId="0" applyNumberFormat="1" applyBorder="1"/>
    <xf numFmtId="167" fontId="0" fillId="0" borderId="33" xfId="0" applyNumberFormat="1" applyBorder="1" applyAlignment="1">
      <alignment horizontal="center"/>
    </xf>
    <xf numFmtId="167" fontId="0" fillId="0" borderId="34" xfId="0" applyNumberFormat="1" applyBorder="1" applyAlignment="1">
      <alignment horizontal="center"/>
    </xf>
    <xf numFmtId="0" fontId="0" fillId="0" borderId="35" xfId="0" applyBorder="1"/>
    <xf numFmtId="0" fontId="27" fillId="0" borderId="1" xfId="0" applyFont="1" applyBorder="1" applyAlignment="1">
      <alignment horizontal="center"/>
    </xf>
    <xf numFmtId="0" fontId="27" fillId="2" borderId="1" xfId="0" applyFont="1" applyFill="1" applyBorder="1" applyAlignment="1">
      <alignment horizontal="center"/>
    </xf>
    <xf numFmtId="9" fontId="0" fillId="2" borderId="1" xfId="0" applyNumberFormat="1" applyFill="1" applyBorder="1"/>
    <xf numFmtId="167" fontId="0" fillId="2" borderId="1" xfId="0" applyNumberFormat="1" applyFill="1" applyBorder="1"/>
    <xf numFmtId="0" fontId="27" fillId="21" borderId="1" xfId="0" applyFont="1" applyFill="1" applyBorder="1" applyAlignment="1">
      <alignment horizontal="center"/>
    </xf>
    <xf numFmtId="10" fontId="0" fillId="21" borderId="1" xfId="0" applyNumberFormat="1" applyFill="1" applyBorder="1"/>
    <xf numFmtId="167" fontId="0" fillId="21" borderId="1" xfId="0" applyNumberFormat="1" applyFill="1" applyBorder="1"/>
    <xf numFmtId="167" fontId="0" fillId="0" borderId="0" xfId="1" applyNumberFormat="1" applyFont="1"/>
    <xf numFmtId="0" fontId="27" fillId="22" borderId="1" xfId="0" applyFont="1" applyFill="1" applyBorder="1" applyAlignment="1">
      <alignment horizontal="center"/>
    </xf>
    <xf numFmtId="10" fontId="0" fillId="22" borderId="1" xfId="0" applyNumberFormat="1" applyFill="1" applyBorder="1"/>
    <xf numFmtId="167" fontId="0" fillId="22" borderId="1" xfId="0" applyNumberFormat="1" applyFill="1" applyBorder="1"/>
    <xf numFmtId="0" fontId="0" fillId="0" borderId="1" xfId="0" applyBorder="1"/>
    <xf numFmtId="0" fontId="28" fillId="0" borderId="0" xfId="0" applyFont="1" applyAlignment="1"/>
    <xf numFmtId="0" fontId="1" fillId="0" borderId="1" xfId="0" applyFont="1" applyBorder="1"/>
    <xf numFmtId="0" fontId="0" fillId="2" borderId="0" xfId="0" applyFill="1"/>
    <xf numFmtId="9" fontId="1" fillId="0" borderId="1" xfId="0" applyNumberFormat="1" applyFont="1" applyBorder="1"/>
    <xf numFmtId="0" fontId="29" fillId="0" borderId="1" xfId="0" applyFont="1" applyBorder="1" applyAlignment="1">
      <alignment horizontal="center"/>
    </xf>
    <xf numFmtId="9" fontId="1" fillId="0" borderId="1" xfId="1" applyNumberFormat="1" applyFont="1" applyBorder="1"/>
    <xf numFmtId="164" fontId="1" fillId="0" borderId="1" xfId="0" applyNumberFormat="1" applyFont="1" applyBorder="1"/>
    <xf numFmtId="0" fontId="0" fillId="2" borderId="1" xfId="0" applyFill="1" applyBorder="1" applyAlignment="1">
      <alignment horizontal="right"/>
    </xf>
    <xf numFmtId="0" fontId="0" fillId="2" borderId="1" xfId="0" applyFill="1" applyBorder="1"/>
    <xf numFmtId="167" fontId="30" fillId="2" borderId="1" xfId="1" applyNumberFormat="1" applyFont="1" applyFill="1" applyBorder="1"/>
    <xf numFmtId="167" fontId="7" fillId="2" borderId="1" xfId="1" applyNumberFormat="1" applyFont="1" applyFill="1" applyBorder="1"/>
    <xf numFmtId="9" fontId="1" fillId="2" borderId="1" xfId="0" applyNumberFormat="1" applyFont="1" applyFill="1" applyBorder="1"/>
    <xf numFmtId="164" fontId="1" fillId="2" borderId="1" xfId="0" applyNumberFormat="1" applyFont="1" applyFill="1" applyBorder="1"/>
    <xf numFmtId="9" fontId="1" fillId="2" borderId="1" xfId="1" applyNumberFormat="1" applyFont="1" applyFill="1" applyBorder="1"/>
    <xf numFmtId="10" fontId="1" fillId="0" borderId="0" xfId="0" applyNumberFormat="1" applyFont="1"/>
    <xf numFmtId="0" fontId="23" fillId="0" borderId="0" xfId="0" applyFont="1"/>
    <xf numFmtId="0" fontId="0" fillId="0" borderId="0" xfId="0" applyFill="1" applyAlignment="1">
      <alignment horizontal="center"/>
    </xf>
    <xf numFmtId="0" fontId="1" fillId="23" borderId="0" xfId="0" applyFont="1" applyFill="1" applyAlignment="1">
      <alignment horizontal="center"/>
    </xf>
    <xf numFmtId="0" fontId="1" fillId="2" borderId="0" xfId="0" applyFont="1" applyFill="1" applyAlignment="1">
      <alignment horizontal="center"/>
    </xf>
    <xf numFmtId="0" fontId="23" fillId="24" borderId="0" xfId="0" applyFont="1" applyFill="1" applyAlignment="1">
      <alignment horizontal="center"/>
    </xf>
    <xf numFmtId="0" fontId="1" fillId="24" borderId="0" xfId="0" applyFont="1" applyFill="1" applyAlignment="1">
      <alignment horizontal="center"/>
    </xf>
    <xf numFmtId="0" fontId="0" fillId="0" borderId="1" xfId="0" applyBorder="1" applyAlignment="1">
      <alignment horizontal="right" wrapText="1"/>
    </xf>
    <xf numFmtId="0" fontId="0" fillId="25" borderId="0" xfId="0" applyFill="1" applyAlignment="1">
      <alignment horizontal="center"/>
    </xf>
    <xf numFmtId="0" fontId="0" fillId="25" borderId="0" xfId="0" applyFill="1" applyBorder="1" applyAlignment="1">
      <alignment horizontal="center"/>
    </xf>
    <xf numFmtId="0" fontId="0" fillId="0" borderId="1" xfId="0" applyBorder="1" applyAlignment="1">
      <alignment horizontal="center" wrapText="1"/>
    </xf>
    <xf numFmtId="0" fontId="0" fillId="0" borderId="1" xfId="0" applyFill="1" applyBorder="1" applyAlignment="1">
      <alignment horizontal="center"/>
    </xf>
    <xf numFmtId="0" fontId="0" fillId="26" borderId="0" xfId="0" applyFill="1" applyAlignment="1">
      <alignment horizontal="center"/>
    </xf>
    <xf numFmtId="0" fontId="0" fillId="13" borderId="0" xfId="0" applyFill="1" applyAlignment="1">
      <alignment horizontal="right"/>
    </xf>
    <xf numFmtId="1" fontId="0" fillId="13" borderId="0" xfId="0" applyNumberFormat="1" applyFill="1" applyAlignment="1">
      <alignment horizontal="center"/>
    </xf>
    <xf numFmtId="165" fontId="0" fillId="0" borderId="0" xfId="0" applyNumberFormat="1" applyFill="1" applyBorder="1" applyAlignment="1">
      <alignment horizontal="center"/>
    </xf>
    <xf numFmtId="0" fontId="31" fillId="11" borderId="0" xfId="0" applyFont="1" applyFill="1" applyAlignment="1">
      <alignment horizontal="center" wrapText="1"/>
    </xf>
    <xf numFmtId="0" fontId="0" fillId="27" borderId="0" xfId="0" applyFill="1" applyAlignment="1">
      <alignment horizontal="right"/>
    </xf>
    <xf numFmtId="1" fontId="0" fillId="27" borderId="0" xfId="0" applyNumberFormat="1" applyFill="1" applyAlignment="1">
      <alignment horizontal="center"/>
    </xf>
    <xf numFmtId="0" fontId="32" fillId="28" borderId="0" xfId="0" applyFont="1" applyFill="1" applyAlignment="1">
      <alignment horizontal="center" wrapText="1"/>
    </xf>
    <xf numFmtId="2" fontId="33" fillId="0" borderId="0" xfId="0" applyNumberFormat="1" applyFont="1" applyAlignment="1">
      <alignment horizontal="center" wrapText="1"/>
    </xf>
    <xf numFmtId="164" fontId="32" fillId="0" borderId="0" xfId="0" applyNumberFormat="1" applyFont="1" applyAlignment="1">
      <alignment horizontal="center" wrapText="1"/>
    </xf>
    <xf numFmtId="2" fontId="33" fillId="5" borderId="0" xfId="0" applyNumberFormat="1" applyFont="1" applyFill="1" applyAlignment="1">
      <alignment horizontal="center" wrapText="1"/>
    </xf>
    <xf numFmtId="1" fontId="0" fillId="2" borderId="0" xfId="0" applyNumberFormat="1" applyFill="1" applyAlignment="1">
      <alignment horizontal="center"/>
    </xf>
    <xf numFmtId="0" fontId="0" fillId="14" borderId="0" xfId="0" applyFill="1" applyBorder="1" applyAlignment="1">
      <alignment horizontal="right" wrapText="1"/>
    </xf>
    <xf numFmtId="165" fontId="0" fillId="14" borderId="0" xfId="0" applyNumberFormat="1" applyFill="1" applyBorder="1" applyAlignment="1">
      <alignment horizontal="center" wrapText="1"/>
    </xf>
    <xf numFmtId="0" fontId="0" fillId="21" borderId="0" xfId="0" applyFill="1" applyBorder="1" applyAlignment="1">
      <alignment horizontal="right" wrapText="1"/>
    </xf>
    <xf numFmtId="165" fontId="0" fillId="21" borderId="0" xfId="0" applyNumberFormat="1" applyFill="1" applyBorder="1" applyAlignment="1">
      <alignment horizontal="center" wrapText="1"/>
    </xf>
    <xf numFmtId="0" fontId="1" fillId="2" borderId="0" xfId="0" applyFont="1" applyFill="1"/>
    <xf numFmtId="166" fontId="0" fillId="0" borderId="0" xfId="0" applyNumberFormat="1" applyFill="1"/>
    <xf numFmtId="166" fontId="0" fillId="0" borderId="0" xfId="0" applyNumberFormat="1" applyFill="1" applyAlignment="1">
      <alignment horizontal="center"/>
    </xf>
    <xf numFmtId="166" fontId="32" fillId="0" borderId="0" xfId="0" applyNumberFormat="1" applyFont="1" applyFill="1" applyAlignment="1">
      <alignment horizontal="center" wrapText="1"/>
    </xf>
    <xf numFmtId="0" fontId="0" fillId="0" borderId="0" xfId="0" applyFill="1" applyAlignment="1">
      <alignment horizontal="left"/>
    </xf>
    <xf numFmtId="0" fontId="0" fillId="2" borderId="1" xfId="0" applyFill="1" applyBorder="1" applyAlignment="1">
      <alignment horizontal="left" wrapText="1"/>
    </xf>
    <xf numFmtId="1" fontId="0" fillId="0" borderId="0" xfId="0" applyNumberFormat="1" applyFill="1" applyAlignment="1">
      <alignment horizontal="center"/>
    </xf>
    <xf numFmtId="2" fontId="0" fillId="0" borderId="0" xfId="0" applyNumberFormat="1" applyFill="1" applyAlignment="1">
      <alignment horizontal="center"/>
    </xf>
    <xf numFmtId="2" fontId="0" fillId="0" borderId="0" xfId="0" applyNumberFormat="1" applyFont="1" applyFill="1" applyAlignment="1">
      <alignment horizontal="center" wrapText="1"/>
    </xf>
    <xf numFmtId="0" fontId="0" fillId="15" borderId="0" xfId="0" applyFill="1" applyBorder="1" applyAlignment="1">
      <alignment horizontal="right" wrapText="1"/>
    </xf>
    <xf numFmtId="165" fontId="0" fillId="15" borderId="0" xfId="0" applyNumberFormat="1" applyFill="1" applyBorder="1" applyAlignment="1">
      <alignment horizontal="center" wrapText="1"/>
    </xf>
    <xf numFmtId="0" fontId="0" fillId="29" borderId="0" xfId="0" applyFill="1" applyBorder="1" applyAlignment="1">
      <alignment horizontal="right" wrapText="1"/>
    </xf>
    <xf numFmtId="165" fontId="0" fillId="29" borderId="0" xfId="0" applyNumberFormat="1" applyFill="1" applyBorder="1" applyAlignment="1">
      <alignment horizontal="center" wrapText="1"/>
    </xf>
    <xf numFmtId="0" fontId="0" fillId="0" borderId="0" xfId="0" applyFill="1" applyBorder="1" applyAlignment="1">
      <alignment horizontal="right" wrapText="1"/>
    </xf>
    <xf numFmtId="0" fontId="34" fillId="0" borderId="0" xfId="0" applyFont="1" applyFill="1" applyAlignment="1">
      <alignment horizontal="center"/>
    </xf>
    <xf numFmtId="168" fontId="34" fillId="0" borderId="0" xfId="0" applyNumberFormat="1" applyFont="1" applyFill="1" applyAlignment="1">
      <alignment horizontal="center"/>
    </xf>
    <xf numFmtId="165" fontId="0" fillId="0" borderId="0" xfId="0" applyNumberFormat="1" applyFill="1" applyAlignment="1">
      <alignment horizontal="center"/>
    </xf>
    <xf numFmtId="0" fontId="1" fillId="0" borderId="0" xfId="0" applyFont="1" applyFill="1" applyAlignment="1">
      <alignment horizontal="center"/>
    </xf>
    <xf numFmtId="0" fontId="1" fillId="0" borderId="1" xfId="0" applyFont="1" applyBorder="1" applyAlignment="1">
      <alignment horizontal="center" wrapText="1"/>
    </xf>
    <xf numFmtId="0" fontId="23" fillId="0" borderId="0" xfId="0" applyFont="1" applyFill="1" applyAlignment="1">
      <alignment horizontal="center"/>
    </xf>
    <xf numFmtId="168" fontId="23" fillId="2" borderId="0" xfId="2" applyNumberFormat="1" applyFont="1" applyFill="1" applyAlignment="1">
      <alignment horizontal="center"/>
    </xf>
    <xf numFmtId="168" fontId="35" fillId="13" borderId="0" xfId="2" applyNumberFormat="1" applyFont="1" applyFill="1" applyAlignment="1">
      <alignment horizontal="center"/>
    </xf>
    <xf numFmtId="168" fontId="0" fillId="13" borderId="0" xfId="2" applyNumberFormat="1" applyFont="1" applyFill="1" applyAlignment="1">
      <alignment horizontal="center"/>
    </xf>
    <xf numFmtId="164" fontId="23" fillId="0" borderId="0" xfId="0" applyNumberFormat="1" applyFont="1" applyFill="1" applyAlignment="1">
      <alignment horizontal="center"/>
    </xf>
    <xf numFmtId="0" fontId="23" fillId="0" borderId="0" xfId="0" applyFont="1" applyFill="1" applyBorder="1" applyAlignment="1">
      <alignment horizontal="center"/>
    </xf>
    <xf numFmtId="168" fontId="23" fillId="13" borderId="0" xfId="2" applyNumberFormat="1" applyFont="1" applyFill="1" applyAlignment="1">
      <alignment horizontal="center"/>
    </xf>
    <xf numFmtId="0" fontId="36" fillId="26" borderId="0" xfId="0" applyFont="1" applyFill="1" applyBorder="1" applyAlignment="1">
      <alignment horizontal="right" wrapText="1"/>
    </xf>
    <xf numFmtId="165" fontId="36" fillId="26" borderId="0" xfId="0" applyNumberFormat="1" applyFont="1" applyFill="1" applyBorder="1" applyAlignment="1">
      <alignment horizontal="center" wrapText="1"/>
    </xf>
    <xf numFmtId="0" fontId="7" fillId="0" borderId="0" xfId="0" applyFont="1" applyFill="1"/>
    <xf numFmtId="0" fontId="7" fillId="0" borderId="0" xfId="0" applyFont="1" applyFill="1" applyAlignment="1">
      <alignment horizontal="center"/>
    </xf>
    <xf numFmtId="0" fontId="7" fillId="26" borderId="0" xfId="0" applyFont="1" applyFill="1" applyBorder="1" applyAlignment="1">
      <alignment horizontal="right" wrapText="1"/>
    </xf>
    <xf numFmtId="165" fontId="7" fillId="26" borderId="0" xfId="0" applyNumberFormat="1" applyFont="1" applyFill="1" applyBorder="1" applyAlignment="1">
      <alignment horizontal="center" wrapText="1"/>
    </xf>
    <xf numFmtId="0" fontId="6" fillId="26" borderId="0" xfId="0" applyFont="1" applyFill="1" applyBorder="1" applyAlignment="1">
      <alignment horizontal="right" wrapText="1"/>
    </xf>
    <xf numFmtId="165" fontId="6" fillId="26" borderId="0" xfId="0" applyNumberFormat="1" applyFont="1" applyFill="1" applyBorder="1" applyAlignment="1">
      <alignment horizontal="center" wrapText="1"/>
    </xf>
    <xf numFmtId="0" fontId="37" fillId="0" borderId="0" xfId="0" applyFont="1"/>
    <xf numFmtId="0" fontId="38" fillId="0" borderId="0" xfId="0" applyFont="1"/>
    <xf numFmtId="0" fontId="40" fillId="0" borderId="0" xfId="0" applyNumberFormat="1" applyFont="1"/>
    <xf numFmtId="0" fontId="40" fillId="0" borderId="0" xfId="0" applyFont="1"/>
    <xf numFmtId="0" fontId="41" fillId="0" borderId="0" xfId="3" applyAlignment="1" applyProtection="1"/>
    <xf numFmtId="0" fontId="0" fillId="0" borderId="36" xfId="0" applyBorder="1" applyAlignment="1">
      <alignment horizontal="left" wrapText="1" indent="1"/>
    </xf>
    <xf numFmtId="0" fontId="42" fillId="0" borderId="0" xfId="0" applyFont="1" applyAlignment="1">
      <alignment horizontal="left" wrapText="1" indent="1"/>
    </xf>
    <xf numFmtId="0" fontId="0" fillId="0" borderId="0" xfId="0" applyAlignment="1">
      <alignment horizontal="left" wrapText="1" indent="1"/>
    </xf>
    <xf numFmtId="167" fontId="0" fillId="0" borderId="1" xfId="1" applyNumberFormat="1" applyFont="1" applyBorder="1"/>
    <xf numFmtId="0" fontId="25" fillId="0" borderId="0" xfId="0" applyFont="1"/>
    <xf numFmtId="0" fontId="41" fillId="0" borderId="0" xfId="3" applyAlignment="1" applyProtection="1">
      <alignment horizontal="left" indent="1"/>
    </xf>
    <xf numFmtId="0" fontId="43" fillId="0" borderId="0" xfId="0" applyFont="1"/>
    <xf numFmtId="0" fontId="1" fillId="0" borderId="0" xfId="0" applyFont="1" applyAlignment="1">
      <alignment wrapText="1"/>
    </xf>
    <xf numFmtId="0" fontId="0" fillId="0" borderId="0" xfId="0" applyAlignment="1">
      <alignment wrapText="1"/>
    </xf>
    <xf numFmtId="0" fontId="41" fillId="0" borderId="0" xfId="3" applyAlignment="1" applyProtection="1">
      <alignment wrapText="1"/>
    </xf>
    <xf numFmtId="0" fontId="0" fillId="0" borderId="0" xfId="0" applyAlignment="1">
      <alignment horizontal="left" wrapText="1"/>
    </xf>
    <xf numFmtId="0" fontId="0" fillId="0" borderId="0" xfId="0" applyAlignment="1">
      <alignment horizontal="center" vertical="center"/>
    </xf>
    <xf numFmtId="10" fontId="1" fillId="0" borderId="0" xfId="1" applyNumberFormat="1" applyFont="1"/>
    <xf numFmtId="164" fontId="45" fillId="0" borderId="0" xfId="0" applyNumberFormat="1" applyFont="1" applyAlignment="1">
      <alignment wrapText="1"/>
    </xf>
    <xf numFmtId="164" fontId="11" fillId="0" borderId="1" xfId="0" applyNumberFormat="1" applyFont="1" applyBorder="1" applyAlignment="1">
      <alignment wrapText="1"/>
    </xf>
    <xf numFmtId="164" fontId="45" fillId="0" borderId="0" xfId="0" applyNumberFormat="1" applyFont="1" applyBorder="1" applyAlignment="1">
      <alignment wrapText="1"/>
    </xf>
    <xf numFmtId="164" fontId="11" fillId="0" borderId="3" xfId="0" applyNumberFormat="1" applyFont="1" applyBorder="1" applyAlignment="1">
      <alignment wrapText="1"/>
    </xf>
    <xf numFmtId="164" fontId="11" fillId="2" borderId="3" xfId="0" applyNumberFormat="1" applyFont="1" applyFill="1" applyBorder="1" applyAlignment="1">
      <alignment wrapText="1"/>
    </xf>
    <xf numFmtId="164" fontId="6" fillId="2" borderId="1" xfId="0" applyNumberFormat="1" applyFont="1" applyFill="1" applyBorder="1" applyAlignment="1">
      <alignment wrapText="1"/>
    </xf>
    <xf numFmtId="164" fontId="0" fillId="2" borderId="0" xfId="0" applyNumberFormat="1" applyFill="1" applyAlignment="1">
      <alignment wrapText="1"/>
    </xf>
    <xf numFmtId="164" fontId="0" fillId="2" borderId="0" xfId="0" applyNumberFormat="1" applyFont="1" applyFill="1" applyBorder="1" applyAlignment="1">
      <alignment wrapText="1"/>
    </xf>
    <xf numFmtId="164" fontId="7" fillId="2" borderId="1" xfId="0" applyNumberFormat="1" applyFont="1" applyFill="1" applyBorder="1" applyAlignment="1">
      <alignment wrapText="1"/>
    </xf>
    <xf numFmtId="0" fontId="1" fillId="0" borderId="0" xfId="0" applyFont="1" applyAlignment="1">
      <alignment horizontal="center" vertical="center" wrapText="1"/>
    </xf>
    <xf numFmtId="0" fontId="0" fillId="0" borderId="1" xfId="0" applyBorder="1" applyAlignment="1">
      <alignment horizontal="center" vertical="center" wrapText="1"/>
    </xf>
    <xf numFmtId="49" fontId="0" fillId="0" borderId="1" xfId="0" applyNumberFormat="1" applyBorder="1" applyAlignment="1">
      <alignment horizontal="center" vertical="center" wrapText="1"/>
    </xf>
    <xf numFmtId="166" fontId="0" fillId="0" borderId="0" xfId="0" applyNumberFormat="1" applyAlignment="1">
      <alignment horizontal="center"/>
    </xf>
    <xf numFmtId="0" fontId="0" fillId="0" borderId="1" xfId="0" applyFill="1" applyBorder="1" applyAlignment="1">
      <alignment horizontal="center" vertical="center" wrapText="1"/>
    </xf>
    <xf numFmtId="166" fontId="0" fillId="0" borderId="1" xfId="0" applyNumberFormat="1" applyBorder="1" applyAlignment="1">
      <alignment horizontal="center"/>
    </xf>
    <xf numFmtId="0" fontId="0" fillId="0" borderId="0" xfId="0" applyFill="1" applyBorder="1" applyAlignment="1">
      <alignment horizontal="center" vertical="center" wrapText="1"/>
    </xf>
    <xf numFmtId="166" fontId="0" fillId="0" borderId="1" xfId="0" applyNumberFormat="1" applyFill="1" applyBorder="1" applyAlignment="1">
      <alignment horizontal="center" vertical="center" wrapText="1"/>
    </xf>
    <xf numFmtId="0" fontId="0" fillId="0" borderId="0" xfId="0" applyBorder="1"/>
    <xf numFmtId="0" fontId="0" fillId="0" borderId="0" xfId="0" applyBorder="1" applyAlignment="1">
      <alignment horizontal="center" vertical="center" wrapText="1"/>
    </xf>
    <xf numFmtId="167" fontId="0" fillId="0" borderId="0" xfId="1" applyNumberFormat="1" applyFont="1" applyBorder="1" applyAlignment="1">
      <alignment horizontal="center" vertical="center" wrapText="1"/>
    </xf>
    <xf numFmtId="167" fontId="0" fillId="0" borderId="0" xfId="1" applyNumberFormat="1" applyFont="1" applyFill="1" applyBorder="1" applyAlignment="1">
      <alignment horizontal="center" vertical="center" wrapText="1"/>
    </xf>
    <xf numFmtId="0" fontId="0" fillId="0" borderId="0" xfId="0" applyAlignment="1">
      <alignment horizontal="right"/>
    </xf>
    <xf numFmtId="0" fontId="0" fillId="0" borderId="0" xfId="0" applyBorder="1" applyAlignment="1">
      <alignment horizontal="center"/>
    </xf>
    <xf numFmtId="166" fontId="1" fillId="0" borderId="0" xfId="0" applyNumberFormat="1" applyFont="1" applyAlignment="1">
      <alignment horizontal="center" vertical="center" wrapText="1"/>
    </xf>
    <xf numFmtId="0" fontId="0" fillId="0" borderId="0" xfId="0" applyFill="1" applyBorder="1"/>
    <xf numFmtId="0" fontId="1" fillId="0" borderId="0" xfId="0" applyFont="1" applyBorder="1" applyAlignment="1">
      <alignment horizontal="center" vertical="center" wrapText="1"/>
    </xf>
    <xf numFmtId="0" fontId="1" fillId="0" borderId="0" xfId="0" applyFont="1" applyFill="1" applyBorder="1" applyAlignment="1">
      <alignment horizontal="center" vertical="center" wrapText="1"/>
    </xf>
    <xf numFmtId="9" fontId="0" fillId="0" borderId="0" xfId="1" applyFont="1" applyAlignment="1">
      <alignment horizontal="center"/>
    </xf>
    <xf numFmtId="2" fontId="0" fillId="0" borderId="0" xfId="0" applyNumberFormat="1" applyAlignment="1">
      <alignment horizontal="center"/>
    </xf>
    <xf numFmtId="166" fontId="0" fillId="0" borderId="0" xfId="0" applyNumberFormat="1" applyBorder="1"/>
    <xf numFmtId="166" fontId="0" fillId="0" borderId="0" xfId="0" applyNumberFormat="1" applyBorder="1" applyAlignment="1">
      <alignment horizontal="center" vertical="center" wrapText="1"/>
    </xf>
    <xf numFmtId="0" fontId="23" fillId="0" borderId="0" xfId="0" applyFont="1" applyBorder="1"/>
    <xf numFmtId="0" fontId="23" fillId="0" borderId="0" xfId="0" applyFont="1" applyFill="1" applyBorder="1" applyAlignment="1">
      <alignment horizontal="center" vertical="center" wrapText="1"/>
    </xf>
    <xf numFmtId="0" fontId="23" fillId="0" borderId="0" xfId="0" applyFont="1" applyFill="1" applyBorder="1"/>
    <xf numFmtId="9" fontId="23" fillId="0" borderId="0" xfId="0" applyNumberFormat="1" applyFont="1" applyBorder="1"/>
    <xf numFmtId="2" fontId="23" fillId="0" borderId="0" xfId="0" applyNumberFormat="1" applyFont="1" applyBorder="1"/>
    <xf numFmtId="0" fontId="34" fillId="0" borderId="0" xfId="0" applyFont="1" applyBorder="1" applyAlignment="1">
      <alignment horizontal="center" vertical="center" wrapText="1"/>
    </xf>
    <xf numFmtId="0" fontId="23" fillId="0" borderId="0" xfId="0" applyFont="1" applyBorder="1" applyAlignment="1">
      <alignment horizontal="center" vertical="center" wrapText="1"/>
    </xf>
    <xf numFmtId="0" fontId="34" fillId="0" borderId="0" xfId="0" applyFont="1" applyFill="1" applyBorder="1" applyAlignment="1">
      <alignment horizontal="center" vertical="center" wrapText="1"/>
    </xf>
    <xf numFmtId="167" fontId="23" fillId="0" borderId="0" xfId="1" applyNumberFormat="1" applyFont="1" applyBorder="1" applyAlignment="1">
      <alignment horizontal="center"/>
    </xf>
    <xf numFmtId="2" fontId="23" fillId="0" borderId="0" xfId="0" applyNumberFormat="1" applyFont="1" applyBorder="1" applyAlignment="1">
      <alignment horizontal="center"/>
    </xf>
    <xf numFmtId="0" fontId="46" fillId="0" borderId="0" xfId="0" applyFont="1" applyBorder="1"/>
    <xf numFmtId="0" fontId="46" fillId="0" borderId="0" xfId="0" applyFont="1" applyFill="1" applyBorder="1" applyAlignment="1">
      <alignment horizontal="center" vertical="center" wrapText="1"/>
    </xf>
    <xf numFmtId="0" fontId="46" fillId="0" borderId="0" xfId="0" applyFont="1" applyFill="1" applyBorder="1"/>
    <xf numFmtId="9" fontId="46" fillId="0" borderId="0" xfId="0" applyNumberFormat="1" applyFont="1" applyBorder="1"/>
    <xf numFmtId="2" fontId="46" fillId="0" borderId="0" xfId="0" applyNumberFormat="1" applyFont="1" applyBorder="1"/>
    <xf numFmtId="0" fontId="47" fillId="0" borderId="0" xfId="0" applyFont="1" applyFill="1" applyBorder="1" applyAlignment="1">
      <alignment horizontal="center" vertical="center" wrapText="1"/>
    </xf>
    <xf numFmtId="0" fontId="46" fillId="0" borderId="0" xfId="0" applyFont="1" applyBorder="1" applyAlignment="1">
      <alignment horizontal="center" vertical="center" wrapText="1"/>
    </xf>
    <xf numFmtId="167" fontId="46" fillId="0" borderId="0" xfId="1" applyNumberFormat="1" applyFont="1" applyBorder="1" applyAlignment="1">
      <alignment horizontal="center"/>
    </xf>
    <xf numFmtId="2" fontId="46" fillId="0" borderId="0" xfId="0" applyNumberFormat="1" applyFont="1" applyBorder="1" applyAlignment="1">
      <alignment horizontal="center"/>
    </xf>
    <xf numFmtId="0" fontId="12" fillId="11" borderId="0" xfId="0" applyFont="1" applyFill="1" applyAlignment="1">
      <alignment horizontal="center" wrapText="1"/>
    </xf>
    <xf numFmtId="0" fontId="9" fillId="6" borderId="0" xfId="0" applyFont="1" applyFill="1" applyAlignment="1">
      <alignment horizontal="center" wrapText="1"/>
    </xf>
    <xf numFmtId="0" fontId="9" fillId="7" borderId="0" xfId="0" applyFont="1" applyFill="1" applyAlignment="1">
      <alignment horizontal="center" wrapText="1"/>
    </xf>
    <xf numFmtId="0" fontId="9" fillId="8" borderId="0" xfId="0" applyFont="1" applyFill="1" applyAlignment="1">
      <alignment horizontal="center" wrapText="1"/>
    </xf>
    <xf numFmtId="0" fontId="9" fillId="9" borderId="0" xfId="0" applyFont="1" applyFill="1" applyAlignment="1">
      <alignment horizontal="center" wrapText="1"/>
    </xf>
    <xf numFmtId="0" fontId="9" fillId="10" borderId="0" xfId="0" applyFont="1" applyFill="1" applyAlignment="1">
      <alignment horizontal="center" wrapText="1"/>
    </xf>
    <xf numFmtId="0" fontId="4" fillId="3" borderId="1" xfId="0" applyFont="1" applyFill="1" applyBorder="1" applyAlignment="1">
      <alignment horizontal="left" vertical="top" wrapText="1" indent="1"/>
    </xf>
    <xf numFmtId="0" fontId="15" fillId="17" borderId="1" xfId="0" applyFont="1" applyFill="1" applyBorder="1" applyAlignment="1">
      <alignment horizontal="center" vertical="top" wrapText="1"/>
    </xf>
    <xf numFmtId="0" fontId="16" fillId="16" borderId="1" xfId="0" applyFont="1" applyFill="1" applyBorder="1" applyAlignment="1">
      <alignment horizontal="center" vertical="top" wrapText="1"/>
    </xf>
    <xf numFmtId="0" fontId="14" fillId="16" borderId="1" xfId="0" applyFont="1" applyFill="1" applyBorder="1" applyAlignment="1">
      <alignment horizontal="center" vertical="top" wrapText="1"/>
    </xf>
    <xf numFmtId="0" fontId="2" fillId="20" borderId="37" xfId="0" applyFont="1" applyFill="1" applyBorder="1" applyAlignment="1">
      <alignment horizontal="left" vertical="top" wrapText="1"/>
    </xf>
    <xf numFmtId="0" fontId="2" fillId="20" borderId="38" xfId="0" applyFont="1" applyFill="1" applyBorder="1" applyAlignment="1">
      <alignment horizontal="left" vertical="top" wrapText="1"/>
    </xf>
    <xf numFmtId="0" fontId="2" fillId="3" borderId="37" xfId="0" applyFont="1" applyFill="1" applyBorder="1" applyAlignment="1">
      <alignment horizontal="left" vertical="top" wrapText="1"/>
    </xf>
    <xf numFmtId="0" fontId="2" fillId="3" borderId="38" xfId="0" applyFont="1" applyFill="1" applyBorder="1" applyAlignment="1">
      <alignment horizontal="left" vertical="top" wrapText="1"/>
    </xf>
    <xf numFmtId="0" fontId="4" fillId="3" borderId="37" xfId="0" applyFont="1" applyFill="1" applyBorder="1" applyAlignment="1">
      <alignment horizontal="left" vertical="top" wrapText="1"/>
    </xf>
    <xf numFmtId="0" fontId="4" fillId="3" borderId="38" xfId="0" applyFont="1" applyFill="1" applyBorder="1" applyAlignment="1">
      <alignment horizontal="left" vertical="top" wrapText="1"/>
    </xf>
    <xf numFmtId="0" fontId="4" fillId="20" borderId="37" xfId="0" applyFont="1" applyFill="1" applyBorder="1" applyAlignment="1">
      <alignment horizontal="left" vertical="top" wrapText="1"/>
    </xf>
    <xf numFmtId="0" fontId="4" fillId="20" borderId="38" xfId="0" applyFont="1" applyFill="1" applyBorder="1" applyAlignment="1">
      <alignment horizontal="left" vertical="top" wrapText="1"/>
    </xf>
    <xf numFmtId="167" fontId="0" fillId="0" borderId="6" xfId="0" applyNumberFormat="1" applyBorder="1" applyAlignment="1">
      <alignment horizontal="center"/>
    </xf>
    <xf numFmtId="167" fontId="0" fillId="0" borderId="28" xfId="0" applyNumberFormat="1" applyBorder="1" applyAlignment="1">
      <alignment horizontal="center"/>
    </xf>
    <xf numFmtId="167" fontId="0" fillId="0" borderId="15" xfId="0" applyNumberFormat="1" applyBorder="1" applyAlignment="1">
      <alignment horizontal="center"/>
    </xf>
    <xf numFmtId="167" fontId="0" fillId="0" borderId="25" xfId="0" applyNumberFormat="1" applyBorder="1" applyAlignment="1">
      <alignment horizontal="center"/>
    </xf>
    <xf numFmtId="167" fontId="0" fillId="0" borderId="16" xfId="0" applyNumberFormat="1" applyBorder="1" applyAlignment="1">
      <alignment horizontal="center"/>
    </xf>
    <xf numFmtId="167" fontId="0" fillId="0" borderId="17" xfId="0" applyNumberFormat="1" applyBorder="1" applyAlignment="1">
      <alignment horizontal="center"/>
    </xf>
    <xf numFmtId="167" fontId="0" fillId="0" borderId="18" xfId="0" applyNumberFormat="1" applyBorder="1" applyAlignment="1">
      <alignment horizontal="center"/>
    </xf>
    <xf numFmtId="167" fontId="0" fillId="0" borderId="19" xfId="0" applyNumberFormat="1" applyBorder="1" applyAlignment="1">
      <alignment horizontal="center"/>
    </xf>
    <xf numFmtId="167" fontId="0" fillId="0" borderId="20" xfId="0" applyNumberFormat="1" applyBorder="1" applyAlignment="1">
      <alignment horizontal="center"/>
    </xf>
    <xf numFmtId="167" fontId="0" fillId="0" borderId="9" xfId="0" applyNumberFormat="1" applyBorder="1" applyAlignment="1">
      <alignment horizontal="center"/>
    </xf>
    <xf numFmtId="167" fontId="0" fillId="0" borderId="22" xfId="0" applyNumberFormat="1" applyBorder="1" applyAlignment="1">
      <alignment horizontal="center"/>
    </xf>
    <xf numFmtId="167" fontId="0" fillId="0" borderId="23" xfId="0" applyNumberFormat="1" applyBorder="1" applyAlignment="1">
      <alignment horizontal="center"/>
    </xf>
    <xf numFmtId="167" fontId="0" fillId="0" borderId="24" xfId="0" applyNumberFormat="1" applyBorder="1" applyAlignment="1">
      <alignment horizontal="center"/>
    </xf>
    <xf numFmtId="167" fontId="0" fillId="0" borderId="1" xfId="0" applyNumberFormat="1" applyBorder="1" applyAlignment="1">
      <alignment horizontal="center"/>
    </xf>
    <xf numFmtId="167" fontId="0" fillId="0" borderId="3" xfId="0" applyNumberFormat="1" applyBorder="1" applyAlignment="1">
      <alignment horizontal="center"/>
    </xf>
    <xf numFmtId="0" fontId="6" fillId="13" borderId="1" xfId="0" applyFont="1" applyFill="1" applyBorder="1" applyAlignment="1">
      <alignment horizontal="center"/>
    </xf>
    <xf numFmtId="0" fontId="6" fillId="13" borderId="6" xfId="0" applyFont="1" applyFill="1" applyBorder="1" applyAlignment="1">
      <alignment horizontal="center"/>
    </xf>
    <xf numFmtId="0" fontId="6" fillId="13" borderId="7" xfId="0" applyFont="1" applyFill="1" applyBorder="1" applyAlignment="1">
      <alignment horizontal="center"/>
    </xf>
    <xf numFmtId="0" fontId="6" fillId="13" borderId="0" xfId="0" applyFont="1" applyFill="1" applyAlignment="1">
      <alignment horizontal="center"/>
    </xf>
    <xf numFmtId="166" fontId="26" fillId="2" borderId="17" xfId="0" applyNumberFormat="1" applyFont="1" applyFill="1" applyBorder="1" applyAlignment="1">
      <alignment horizontal="center"/>
    </xf>
    <xf numFmtId="166" fontId="26" fillId="2" borderId="29" xfId="0" applyNumberFormat="1" applyFont="1" applyFill="1" applyBorder="1" applyAlignment="1">
      <alignment horizontal="center"/>
    </xf>
    <xf numFmtId="0" fontId="29" fillId="0" borderId="1" xfId="0" applyFont="1" applyBorder="1" applyAlignment="1">
      <alignment horizontal="center"/>
    </xf>
  </cellXfs>
  <cellStyles count="4">
    <cellStyle name="Hipervínculo" xfId="3" builtinId="8"/>
    <cellStyle name="Moneda" xfId="2" builtinId="4"/>
    <cellStyle name="Normal" xfId="0" builtinId="0"/>
    <cellStyle name="Porcentaje" xfId="1" builtinId="5"/>
  </cellStyles>
  <dxfs count="28">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bgColor rgb="FFFFC7CE"/>
        </patternFill>
      </fill>
    </dxf>
    <dxf>
      <font>
        <condense val="0"/>
        <extend val="0"/>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val>
            <c:numRef>
              <c:f>#REF!</c:f>
              <c:numCache>
                <c:formatCode>General</c:formatCode>
                <c:ptCount val="1"/>
                <c:pt idx="0">
                  <c:v>1</c:v>
                </c:pt>
              </c:numCache>
            </c:numRef>
          </c:val>
          <c:smooth val="0"/>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DD6F-41EE-AC1F-DFD212036C4A}"/>
            </c:ext>
          </c:extLst>
        </c:ser>
        <c:dLbls>
          <c:showLegendKey val="0"/>
          <c:showVal val="0"/>
          <c:showCatName val="0"/>
          <c:showSerName val="0"/>
          <c:showPercent val="0"/>
          <c:showBubbleSize val="0"/>
        </c:dLbls>
        <c:marker val="1"/>
        <c:smooth val="0"/>
        <c:axId val="281440448"/>
        <c:axId val="281436136"/>
      </c:lineChart>
      <c:catAx>
        <c:axId val="281440448"/>
        <c:scaling>
          <c:orientation val="minMax"/>
        </c:scaling>
        <c:delete val="0"/>
        <c:axPos val="b"/>
        <c:numFmt formatCode="0%" sourceLinked="1"/>
        <c:majorTickMark val="out"/>
        <c:minorTickMark val="none"/>
        <c:tickLblPos val="nextTo"/>
        <c:crossAx val="281436136"/>
        <c:crosses val="autoZero"/>
        <c:auto val="1"/>
        <c:lblAlgn val="ctr"/>
        <c:lblOffset val="100"/>
        <c:noMultiLvlLbl val="0"/>
      </c:catAx>
      <c:valAx>
        <c:axId val="281436136"/>
        <c:scaling>
          <c:orientation val="minMax"/>
          <c:max val="2"/>
        </c:scaling>
        <c:delete val="1"/>
        <c:axPos val="l"/>
        <c:majorGridlines/>
        <c:numFmt formatCode="General" sourceLinked="1"/>
        <c:majorTickMark val="out"/>
        <c:minorTickMark val="none"/>
        <c:tickLblPos val="none"/>
        <c:crossAx val="281440448"/>
        <c:crosses val="autoZero"/>
        <c:crossBetween val="between"/>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v>%</c:v>
          </c:tx>
          <c:marker>
            <c:symbol val="none"/>
          </c:marker>
          <c:val>
            <c:numRef>
              <c:f>#REF!</c:f>
              <c:numCache>
                <c:formatCode>General</c:formatCode>
                <c:ptCount val="1"/>
                <c:pt idx="0">
                  <c:v>1</c:v>
                </c:pt>
              </c:numCache>
            </c:numRef>
          </c:val>
          <c:smooth val="0"/>
          <c:extLs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72F8-47B0-AD9E-F98980047305}"/>
            </c:ext>
          </c:extLst>
        </c:ser>
        <c:dLbls>
          <c:showLegendKey val="0"/>
          <c:showVal val="0"/>
          <c:showCatName val="0"/>
          <c:showSerName val="0"/>
          <c:showPercent val="0"/>
          <c:showBubbleSize val="0"/>
        </c:dLbls>
        <c:smooth val="0"/>
        <c:axId val="289854328"/>
        <c:axId val="289848056"/>
      </c:lineChart>
      <c:catAx>
        <c:axId val="289854328"/>
        <c:scaling>
          <c:orientation val="minMax"/>
        </c:scaling>
        <c:delete val="0"/>
        <c:axPos val="b"/>
        <c:numFmt formatCode="General" sourceLinked="1"/>
        <c:majorTickMark val="out"/>
        <c:minorTickMark val="none"/>
        <c:tickLblPos val="nextTo"/>
        <c:crossAx val="289848056"/>
        <c:crosses val="autoZero"/>
        <c:auto val="1"/>
        <c:lblAlgn val="ctr"/>
        <c:lblOffset val="100"/>
        <c:noMultiLvlLbl val="0"/>
      </c:catAx>
      <c:valAx>
        <c:axId val="289848056"/>
        <c:scaling>
          <c:orientation val="minMax"/>
          <c:max val="1"/>
        </c:scaling>
        <c:delete val="0"/>
        <c:axPos val="l"/>
        <c:majorGridlines/>
        <c:numFmt formatCode="General" sourceLinked="1"/>
        <c:majorTickMark val="out"/>
        <c:minorTickMark val="none"/>
        <c:tickLblPos val="nextTo"/>
        <c:crossAx val="289854328"/>
        <c:crosses val="autoZero"/>
        <c:crossBetween val="between"/>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hyperlink" Target="https://sites.google.com/site/andreachattrickanalysis/home/hattrick---a-study-on-cards/Immagine03.PNG?attredirects=0" TargetMode="External"/><Relationship Id="rId2" Type="http://schemas.openxmlformats.org/officeDocument/2006/relationships/image" Target="../media/image2.png"/><Relationship Id="rId1" Type="http://schemas.openxmlformats.org/officeDocument/2006/relationships/hyperlink" Target="https://sites.google.com/site/andreachattrickanalysis/home/hattrick---a-study-on-cards/Immagine02.PNG?attredirects=0" TargetMode="External"/><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8" Type="http://schemas.openxmlformats.org/officeDocument/2006/relationships/hyperlink" Target="http://www86.hattrick.org/MyHattrick/Bookmarks/Default.aspx?actionType=add&amp;BookmarkTypeID=10&amp;ObjectID=12004970&amp;ObjectID2=3" TargetMode="External"/><Relationship Id="rId3" Type="http://schemas.openxmlformats.org/officeDocument/2006/relationships/image" Target="../media/image4.gif"/><Relationship Id="rId7" Type="http://schemas.openxmlformats.org/officeDocument/2006/relationships/hyperlink" Target="http://www86.hattrick.org/World/Leagues/League.aspx?LeagueID=7" TargetMode="External"/><Relationship Id="rId2" Type="http://schemas.openxmlformats.org/officeDocument/2006/relationships/hyperlink" Target="http://www86.hattrick.org/Help/Supporter/" TargetMode="External"/><Relationship Id="rId1" Type="http://schemas.openxmlformats.org/officeDocument/2006/relationships/hyperlink" Target="javascript:void(0);" TargetMode="External"/><Relationship Id="rId6" Type="http://schemas.openxmlformats.org/officeDocument/2006/relationships/hyperlink" Target="http://www86.hattrick.org/MyHattrick/Bookmarks/Default.aspx?actionType=add&amp;BookmarkTypeID=10&amp;ObjectID=12004970&amp;ObjectID2=2" TargetMode="External"/><Relationship Id="rId5" Type="http://schemas.openxmlformats.org/officeDocument/2006/relationships/image" Target="../media/image5.gif"/><Relationship Id="rId10" Type="http://schemas.openxmlformats.org/officeDocument/2006/relationships/chart" Target="../charts/chart2.xml"/><Relationship Id="rId4" Type="http://schemas.openxmlformats.org/officeDocument/2006/relationships/hyperlink" Target="javascript:goAnchor('');" TargetMode="External"/><Relationship Id="rId9"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0</xdr:row>
      <xdr:rowOff>0</xdr:rowOff>
    </xdr:from>
    <xdr:to>
      <xdr:col>11</xdr:col>
      <xdr:colOff>336476</xdr:colOff>
      <xdr:row>58</xdr:row>
      <xdr:rowOff>143381</xdr:rowOff>
    </xdr:to>
    <xdr:pic>
      <xdr:nvPicPr>
        <xdr:cNvPr id="2" name="Picture 1" descr="http://www.escuelaercantohattrick.com/images/stories/tablassalariales.png">
          <a:extLst>
            <a:ext uri="{FF2B5EF4-FFF2-40B4-BE49-F238E27FC236}">
              <a16:creationId xmlns:a16="http://schemas.microsoft.com/office/drawing/2014/main" id="{F07B0355-74E9-45E0-B261-93AE43CCECA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181350" y="0"/>
          <a:ext cx="5670476" cy="11192381"/>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6</xdr:col>
      <xdr:colOff>0</xdr:colOff>
      <xdr:row>14</xdr:row>
      <xdr:rowOff>19050</xdr:rowOff>
    </xdr:to>
    <xdr:pic>
      <xdr:nvPicPr>
        <xdr:cNvPr id="2" name="Imagen 1" descr="https://sites.google.com/site/andreachattrickanalysis/_/rsrc/1300003157809/home/hattrick---a-study-on-cards/Immagine02.PNG">
          <a:hlinkClick xmlns:r="http://schemas.openxmlformats.org/officeDocument/2006/relationships" r:id="rId1"/>
          <a:extLst>
            <a:ext uri="{FF2B5EF4-FFF2-40B4-BE49-F238E27FC236}">
              <a16:creationId xmlns:a16="http://schemas.microsoft.com/office/drawing/2014/main" id="{159B154A-DDFF-46F5-89CE-3433D1D092D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90525"/>
          <a:ext cx="4572000" cy="2305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xdr:row>
      <xdr:rowOff>0</xdr:rowOff>
    </xdr:from>
    <xdr:to>
      <xdr:col>16</xdr:col>
      <xdr:colOff>9525</xdr:colOff>
      <xdr:row>14</xdr:row>
      <xdr:rowOff>0</xdr:rowOff>
    </xdr:to>
    <xdr:pic>
      <xdr:nvPicPr>
        <xdr:cNvPr id="3" name="Imagen 2" descr="https://sites.google.com/site/andreachattrickanalysis/_/rsrc/1300003181864/home/hattrick---a-study-on-cards/Immagine03.PNG">
          <a:hlinkClick xmlns:r="http://schemas.openxmlformats.org/officeDocument/2006/relationships" r:id="rId3"/>
          <a:extLst>
            <a:ext uri="{FF2B5EF4-FFF2-40B4-BE49-F238E27FC236}">
              <a16:creationId xmlns:a16="http://schemas.microsoft.com/office/drawing/2014/main" id="{89CBF0E5-D836-4888-9EED-F25CD442002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620000" y="390525"/>
          <a:ext cx="4581525" cy="228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15</xdr:col>
      <xdr:colOff>190501</xdr:colOff>
      <xdr:row>1</xdr:row>
      <xdr:rowOff>190499</xdr:rowOff>
    </xdr:from>
    <xdr:to>
      <xdr:col>16</xdr:col>
      <xdr:colOff>5834063</xdr:colOff>
      <xdr:row>29</xdr:row>
      <xdr:rowOff>137583</xdr:rowOff>
    </xdr:to>
    <xdr:graphicFrame macro="">
      <xdr:nvGraphicFramePr>
        <xdr:cNvPr id="2" name="2 Gráfico">
          <a:extLst>
            <a:ext uri="{FF2B5EF4-FFF2-40B4-BE49-F238E27FC236}">
              <a16:creationId xmlns:a16="http://schemas.microsoft.com/office/drawing/2014/main" id="{F99C94AF-2754-4A7D-B5DB-CEBA12327B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122</xdr:row>
      <xdr:rowOff>0</xdr:rowOff>
    </xdr:from>
    <xdr:to>
      <xdr:col>0</xdr:col>
      <xdr:colOff>304800</xdr:colOff>
      <xdr:row>123</xdr:row>
      <xdr:rowOff>114300</xdr:rowOff>
    </xdr:to>
    <xdr:sp macro="" textlink="">
      <xdr:nvSpPr>
        <xdr:cNvPr id="2" name="AutoShape 1" descr="chrome://foxtrick/content/resources/img/copy/copy_yellow_small.png">
          <a:hlinkClick xmlns:r="http://schemas.openxmlformats.org/officeDocument/2006/relationships" r:id="rId1" tooltip="Copiar ID del mensaje al portapapeles"/>
          <a:extLst>
            <a:ext uri="{FF2B5EF4-FFF2-40B4-BE49-F238E27FC236}">
              <a16:creationId xmlns:a16="http://schemas.microsoft.com/office/drawing/2014/main" id="{BD79FBA0-703A-4D4E-A164-4E1632E6CE28}"/>
            </a:ext>
          </a:extLst>
        </xdr:cNvPr>
        <xdr:cNvSpPr>
          <a:spLocks noChangeAspect="1" noChangeArrowheads="1"/>
        </xdr:cNvSpPr>
      </xdr:nvSpPr>
      <xdr:spPr bwMode="auto">
        <a:xfrm>
          <a:off x="0" y="23945850"/>
          <a:ext cx="304800" cy="304800"/>
        </a:xfrm>
        <a:prstGeom prst="rect">
          <a:avLst/>
        </a:prstGeom>
        <a:noFill/>
      </xdr:spPr>
    </xdr:sp>
    <xdr:clientData/>
  </xdr:twoCellAnchor>
  <xdr:twoCellAnchor editAs="oneCell">
    <xdr:from>
      <xdr:col>0</xdr:col>
      <xdr:colOff>0</xdr:colOff>
      <xdr:row>123</xdr:row>
      <xdr:rowOff>0</xdr:rowOff>
    </xdr:from>
    <xdr:to>
      <xdr:col>0</xdr:col>
      <xdr:colOff>95250</xdr:colOff>
      <xdr:row>123</xdr:row>
      <xdr:rowOff>76200</xdr:rowOff>
    </xdr:to>
    <xdr:pic>
      <xdr:nvPicPr>
        <xdr:cNvPr id="3" name="Picture 2" descr="Hattrick Supporter">
          <a:hlinkClick xmlns:r="http://schemas.openxmlformats.org/officeDocument/2006/relationships" r:id="rId2" tooltip="Hattrick Supporter"/>
          <a:extLst>
            <a:ext uri="{FF2B5EF4-FFF2-40B4-BE49-F238E27FC236}">
              <a16:creationId xmlns:a16="http://schemas.microsoft.com/office/drawing/2014/main" id="{E99A4091-602E-45E5-A955-9BFC97E789EB}"/>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4136350"/>
          <a:ext cx="95250" cy="76200"/>
        </a:xfrm>
        <a:prstGeom prst="rect">
          <a:avLst/>
        </a:prstGeom>
        <a:noFill/>
      </xdr:spPr>
    </xdr:pic>
    <xdr:clientData/>
  </xdr:twoCellAnchor>
  <xdr:twoCellAnchor editAs="oneCell">
    <xdr:from>
      <xdr:col>0</xdr:col>
      <xdr:colOff>0</xdr:colOff>
      <xdr:row>124</xdr:row>
      <xdr:rowOff>0</xdr:rowOff>
    </xdr:from>
    <xdr:to>
      <xdr:col>0</xdr:col>
      <xdr:colOff>95250</xdr:colOff>
      <xdr:row>124</xdr:row>
      <xdr:rowOff>76200</xdr:rowOff>
    </xdr:to>
    <xdr:pic>
      <xdr:nvPicPr>
        <xdr:cNvPr id="4" name="Picture 3" descr="Hattrick Supporter">
          <a:hlinkClick xmlns:r="http://schemas.openxmlformats.org/officeDocument/2006/relationships" r:id="rId2" tooltip="Hattrick Supporter"/>
          <a:extLst>
            <a:ext uri="{FF2B5EF4-FFF2-40B4-BE49-F238E27FC236}">
              <a16:creationId xmlns:a16="http://schemas.microsoft.com/office/drawing/2014/main" id="{7C20FAD0-40D4-4B22-941F-C48A157B6039}"/>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4326850"/>
          <a:ext cx="95250" cy="76200"/>
        </a:xfrm>
        <a:prstGeom prst="rect">
          <a:avLst/>
        </a:prstGeom>
        <a:noFill/>
      </xdr:spPr>
    </xdr:pic>
    <xdr:clientData/>
  </xdr:twoCellAnchor>
  <xdr:twoCellAnchor editAs="oneCell">
    <xdr:from>
      <xdr:col>0</xdr:col>
      <xdr:colOff>0</xdr:colOff>
      <xdr:row>125</xdr:row>
      <xdr:rowOff>0</xdr:rowOff>
    </xdr:from>
    <xdr:to>
      <xdr:col>0</xdr:col>
      <xdr:colOff>9525</xdr:colOff>
      <xdr:row>125</xdr:row>
      <xdr:rowOff>9525</xdr:rowOff>
    </xdr:to>
    <xdr:pic>
      <xdr:nvPicPr>
        <xdr:cNvPr id="5" name="Picture 4" descr="¡Volver arriba!">
          <a:hlinkClick xmlns:r="http://schemas.openxmlformats.org/officeDocument/2006/relationships" r:id="rId4"/>
          <a:extLst>
            <a:ext uri="{FF2B5EF4-FFF2-40B4-BE49-F238E27FC236}">
              <a16:creationId xmlns:a16="http://schemas.microsoft.com/office/drawing/2014/main" id="{C6D6542E-4C86-4166-BE1E-A27789A0DF4C}"/>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4517350"/>
          <a:ext cx="9525" cy="9525"/>
        </a:xfrm>
        <a:prstGeom prst="rect">
          <a:avLst/>
        </a:prstGeom>
        <a:noFill/>
      </xdr:spPr>
    </xdr:pic>
    <xdr:clientData/>
  </xdr:twoCellAnchor>
  <xdr:twoCellAnchor editAs="oneCell">
    <xdr:from>
      <xdr:col>0</xdr:col>
      <xdr:colOff>0</xdr:colOff>
      <xdr:row>126</xdr:row>
      <xdr:rowOff>0</xdr:rowOff>
    </xdr:from>
    <xdr:to>
      <xdr:col>0</xdr:col>
      <xdr:colOff>9525</xdr:colOff>
      <xdr:row>126</xdr:row>
      <xdr:rowOff>9525</xdr:rowOff>
    </xdr:to>
    <xdr:pic>
      <xdr:nvPicPr>
        <xdr:cNvPr id="6" name="Picture 5" descr="Añadir este mensaje a tus favoritos">
          <a:hlinkClick xmlns:r="http://schemas.openxmlformats.org/officeDocument/2006/relationships" r:id="rId6" tooltip="Añadir este mensaje a tus favoritos"/>
          <a:extLst>
            <a:ext uri="{FF2B5EF4-FFF2-40B4-BE49-F238E27FC236}">
              <a16:creationId xmlns:a16="http://schemas.microsoft.com/office/drawing/2014/main" id="{41762B2F-56E6-4645-A65C-B2F5F7CA165A}"/>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4707850"/>
          <a:ext cx="9525" cy="9525"/>
        </a:xfrm>
        <a:prstGeom prst="rect">
          <a:avLst/>
        </a:prstGeom>
        <a:noFill/>
      </xdr:spPr>
    </xdr:pic>
    <xdr:clientData/>
  </xdr:twoCellAnchor>
  <xdr:twoCellAnchor editAs="oneCell">
    <xdr:from>
      <xdr:col>0</xdr:col>
      <xdr:colOff>0</xdr:colOff>
      <xdr:row>127</xdr:row>
      <xdr:rowOff>0</xdr:rowOff>
    </xdr:from>
    <xdr:to>
      <xdr:col>0</xdr:col>
      <xdr:colOff>9525</xdr:colOff>
      <xdr:row>127</xdr:row>
      <xdr:rowOff>9525</xdr:rowOff>
    </xdr:to>
    <xdr:pic>
      <xdr:nvPicPr>
        <xdr:cNvPr id="7" name="ft_copy_posting_link_id1" descr="http://www86.hattrick.org/Img/Icons/transparent.gif">
          <a:extLst>
            <a:ext uri="{FF2B5EF4-FFF2-40B4-BE49-F238E27FC236}">
              <a16:creationId xmlns:a16="http://schemas.microsoft.com/office/drawing/2014/main" id="{A425CCAB-92B9-40A6-8874-1E6C28DA130A}"/>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4898350"/>
          <a:ext cx="9525" cy="9525"/>
        </a:xfrm>
        <a:prstGeom prst="rect">
          <a:avLst/>
        </a:prstGeom>
        <a:noFill/>
      </xdr:spPr>
    </xdr:pic>
    <xdr:clientData/>
  </xdr:twoCellAnchor>
  <xdr:twoCellAnchor editAs="oneCell">
    <xdr:from>
      <xdr:col>0</xdr:col>
      <xdr:colOff>0</xdr:colOff>
      <xdr:row>130</xdr:row>
      <xdr:rowOff>0</xdr:rowOff>
    </xdr:from>
    <xdr:to>
      <xdr:col>0</xdr:col>
      <xdr:colOff>95250</xdr:colOff>
      <xdr:row>130</xdr:row>
      <xdr:rowOff>76200</xdr:rowOff>
    </xdr:to>
    <xdr:pic>
      <xdr:nvPicPr>
        <xdr:cNvPr id="8" name="Picture 14" descr="Hattrick Supporter">
          <a:hlinkClick xmlns:r="http://schemas.openxmlformats.org/officeDocument/2006/relationships" r:id="rId2" tooltip="Hattrick Supporter"/>
          <a:extLst>
            <a:ext uri="{FF2B5EF4-FFF2-40B4-BE49-F238E27FC236}">
              <a16:creationId xmlns:a16="http://schemas.microsoft.com/office/drawing/2014/main" id="{66B561F3-3D67-4DD9-A94A-BBFB3923EB0E}"/>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5469850"/>
          <a:ext cx="95250" cy="76200"/>
        </a:xfrm>
        <a:prstGeom prst="rect">
          <a:avLst/>
        </a:prstGeom>
        <a:noFill/>
      </xdr:spPr>
    </xdr:pic>
    <xdr:clientData/>
  </xdr:twoCellAnchor>
  <xdr:twoCellAnchor editAs="oneCell">
    <xdr:from>
      <xdr:col>0</xdr:col>
      <xdr:colOff>0</xdr:colOff>
      <xdr:row>132</xdr:row>
      <xdr:rowOff>0</xdr:rowOff>
    </xdr:from>
    <xdr:to>
      <xdr:col>0</xdr:col>
      <xdr:colOff>9525</xdr:colOff>
      <xdr:row>132</xdr:row>
      <xdr:rowOff>9525</xdr:rowOff>
    </xdr:to>
    <xdr:pic>
      <xdr:nvPicPr>
        <xdr:cNvPr id="9" name="Picture 16" descr="Argentina">
          <a:hlinkClick xmlns:r="http://schemas.openxmlformats.org/officeDocument/2006/relationships" r:id="rId7"/>
          <a:extLst>
            <a:ext uri="{FF2B5EF4-FFF2-40B4-BE49-F238E27FC236}">
              <a16:creationId xmlns:a16="http://schemas.microsoft.com/office/drawing/2014/main" id="{EB92D8DE-FB8C-4FF2-BA99-2D1E6D490C1E}"/>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5850850"/>
          <a:ext cx="9525" cy="9525"/>
        </a:xfrm>
        <a:prstGeom prst="rect">
          <a:avLst/>
        </a:prstGeom>
        <a:noFill/>
      </xdr:spPr>
    </xdr:pic>
    <xdr:clientData/>
  </xdr:twoCellAnchor>
  <xdr:twoCellAnchor editAs="oneCell">
    <xdr:from>
      <xdr:col>0</xdr:col>
      <xdr:colOff>0</xdr:colOff>
      <xdr:row>220</xdr:row>
      <xdr:rowOff>0</xdr:rowOff>
    </xdr:from>
    <xdr:to>
      <xdr:col>0</xdr:col>
      <xdr:colOff>304800</xdr:colOff>
      <xdr:row>221</xdr:row>
      <xdr:rowOff>114300</xdr:rowOff>
    </xdr:to>
    <xdr:sp macro="" textlink="">
      <xdr:nvSpPr>
        <xdr:cNvPr id="10" name="AutoShape 17" descr="chrome://foxtrick/content/resources/img/copy/copy_yellow_small.png">
          <a:hlinkClick xmlns:r="http://schemas.openxmlformats.org/officeDocument/2006/relationships" r:id="rId1" tooltip="Copiar ID del mensaje al portapapeles"/>
          <a:extLst>
            <a:ext uri="{FF2B5EF4-FFF2-40B4-BE49-F238E27FC236}">
              <a16:creationId xmlns:a16="http://schemas.microsoft.com/office/drawing/2014/main" id="{8C95C82F-DA40-40A5-B795-4B50C77ACBA4}"/>
            </a:ext>
          </a:extLst>
        </xdr:cNvPr>
        <xdr:cNvSpPr>
          <a:spLocks noChangeAspect="1" noChangeArrowheads="1"/>
        </xdr:cNvSpPr>
      </xdr:nvSpPr>
      <xdr:spPr bwMode="auto">
        <a:xfrm>
          <a:off x="0" y="42614850"/>
          <a:ext cx="304800" cy="304800"/>
        </a:xfrm>
        <a:prstGeom prst="rect">
          <a:avLst/>
        </a:prstGeom>
        <a:noFill/>
      </xdr:spPr>
    </xdr:sp>
    <xdr:clientData/>
  </xdr:twoCellAnchor>
  <xdr:twoCellAnchor editAs="oneCell">
    <xdr:from>
      <xdr:col>0</xdr:col>
      <xdr:colOff>0</xdr:colOff>
      <xdr:row>221</xdr:row>
      <xdr:rowOff>0</xdr:rowOff>
    </xdr:from>
    <xdr:to>
      <xdr:col>0</xdr:col>
      <xdr:colOff>95250</xdr:colOff>
      <xdr:row>221</xdr:row>
      <xdr:rowOff>76200</xdr:rowOff>
    </xdr:to>
    <xdr:pic>
      <xdr:nvPicPr>
        <xdr:cNvPr id="11" name="Picture 18" descr="Hattrick Supporter">
          <a:hlinkClick xmlns:r="http://schemas.openxmlformats.org/officeDocument/2006/relationships" r:id="rId2" tooltip="Hattrick Supporter"/>
          <a:extLst>
            <a:ext uri="{FF2B5EF4-FFF2-40B4-BE49-F238E27FC236}">
              <a16:creationId xmlns:a16="http://schemas.microsoft.com/office/drawing/2014/main" id="{AA98FDDF-468E-4FFD-BBA3-43C5A9C9BA8A}"/>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42805350"/>
          <a:ext cx="95250" cy="76200"/>
        </a:xfrm>
        <a:prstGeom prst="rect">
          <a:avLst/>
        </a:prstGeom>
        <a:noFill/>
      </xdr:spPr>
    </xdr:pic>
    <xdr:clientData/>
  </xdr:twoCellAnchor>
  <xdr:twoCellAnchor editAs="oneCell">
    <xdr:from>
      <xdr:col>0</xdr:col>
      <xdr:colOff>0</xdr:colOff>
      <xdr:row>222</xdr:row>
      <xdr:rowOff>0</xdr:rowOff>
    </xdr:from>
    <xdr:to>
      <xdr:col>0</xdr:col>
      <xdr:colOff>9525</xdr:colOff>
      <xdr:row>222</xdr:row>
      <xdr:rowOff>9525</xdr:rowOff>
    </xdr:to>
    <xdr:pic>
      <xdr:nvPicPr>
        <xdr:cNvPr id="12" name="Picture 19" descr="¡Volver arriba!">
          <a:hlinkClick xmlns:r="http://schemas.openxmlformats.org/officeDocument/2006/relationships" r:id="rId4"/>
          <a:extLst>
            <a:ext uri="{FF2B5EF4-FFF2-40B4-BE49-F238E27FC236}">
              <a16:creationId xmlns:a16="http://schemas.microsoft.com/office/drawing/2014/main" id="{965D8C9B-3E06-43AF-B28A-F61A8619035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42995850"/>
          <a:ext cx="9525" cy="9525"/>
        </a:xfrm>
        <a:prstGeom prst="rect">
          <a:avLst/>
        </a:prstGeom>
        <a:noFill/>
      </xdr:spPr>
    </xdr:pic>
    <xdr:clientData/>
  </xdr:twoCellAnchor>
  <xdr:twoCellAnchor editAs="oneCell">
    <xdr:from>
      <xdr:col>0</xdr:col>
      <xdr:colOff>0</xdr:colOff>
      <xdr:row>223</xdr:row>
      <xdr:rowOff>0</xdr:rowOff>
    </xdr:from>
    <xdr:to>
      <xdr:col>0</xdr:col>
      <xdr:colOff>9525</xdr:colOff>
      <xdr:row>223</xdr:row>
      <xdr:rowOff>9525</xdr:rowOff>
    </xdr:to>
    <xdr:pic>
      <xdr:nvPicPr>
        <xdr:cNvPr id="13" name="Picture 20" descr="Añadir este mensaje a tus favoritos">
          <a:hlinkClick xmlns:r="http://schemas.openxmlformats.org/officeDocument/2006/relationships" r:id="rId8" tooltip="Añadir este mensaje a tus favoritos"/>
          <a:extLst>
            <a:ext uri="{FF2B5EF4-FFF2-40B4-BE49-F238E27FC236}">
              <a16:creationId xmlns:a16="http://schemas.microsoft.com/office/drawing/2014/main" id="{BC65A38E-6453-483F-B3DE-B24D37B62202}"/>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43186350"/>
          <a:ext cx="9525" cy="9525"/>
        </a:xfrm>
        <a:prstGeom prst="rect">
          <a:avLst/>
        </a:prstGeom>
        <a:noFill/>
      </xdr:spPr>
    </xdr:pic>
    <xdr:clientData/>
  </xdr:twoCellAnchor>
  <xdr:twoCellAnchor editAs="oneCell">
    <xdr:from>
      <xdr:col>0</xdr:col>
      <xdr:colOff>0</xdr:colOff>
      <xdr:row>224</xdr:row>
      <xdr:rowOff>0</xdr:rowOff>
    </xdr:from>
    <xdr:to>
      <xdr:col>0</xdr:col>
      <xdr:colOff>9525</xdr:colOff>
      <xdr:row>224</xdr:row>
      <xdr:rowOff>9525</xdr:rowOff>
    </xdr:to>
    <xdr:pic>
      <xdr:nvPicPr>
        <xdr:cNvPr id="14" name="ft_copy_posting_link_id2" descr="http://www86.hattrick.org/Img/Icons/transparent.gif">
          <a:extLst>
            <a:ext uri="{FF2B5EF4-FFF2-40B4-BE49-F238E27FC236}">
              <a16:creationId xmlns:a16="http://schemas.microsoft.com/office/drawing/2014/main" id="{FF2D27A0-F070-4FAD-AD5E-620D26C8D6AA}"/>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43376850"/>
          <a:ext cx="9525" cy="9525"/>
        </a:xfrm>
        <a:prstGeom prst="rect">
          <a:avLst/>
        </a:prstGeom>
        <a:noFill/>
      </xdr:spPr>
    </xdr:pic>
    <xdr:clientData/>
  </xdr:twoCellAnchor>
  <xdr:twoCellAnchor editAs="oneCell">
    <xdr:from>
      <xdr:col>0</xdr:col>
      <xdr:colOff>0</xdr:colOff>
      <xdr:row>227</xdr:row>
      <xdr:rowOff>0</xdr:rowOff>
    </xdr:from>
    <xdr:to>
      <xdr:col>0</xdr:col>
      <xdr:colOff>95250</xdr:colOff>
      <xdr:row>227</xdr:row>
      <xdr:rowOff>76200</xdr:rowOff>
    </xdr:to>
    <xdr:pic>
      <xdr:nvPicPr>
        <xdr:cNvPr id="15" name="Picture 29" descr="Hattrick Supporter">
          <a:hlinkClick xmlns:r="http://schemas.openxmlformats.org/officeDocument/2006/relationships" r:id="rId2" tooltip="Hattrick Supporter"/>
          <a:extLst>
            <a:ext uri="{FF2B5EF4-FFF2-40B4-BE49-F238E27FC236}">
              <a16:creationId xmlns:a16="http://schemas.microsoft.com/office/drawing/2014/main" id="{D9D94F73-BCFE-45A2-8FBB-C3F5C72101DB}"/>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43948350"/>
          <a:ext cx="95250" cy="76200"/>
        </a:xfrm>
        <a:prstGeom prst="rect">
          <a:avLst/>
        </a:prstGeom>
        <a:noFill/>
      </xdr:spPr>
    </xdr:pic>
    <xdr:clientData/>
  </xdr:twoCellAnchor>
  <xdr:twoCellAnchor editAs="oneCell">
    <xdr:from>
      <xdr:col>0</xdr:col>
      <xdr:colOff>0</xdr:colOff>
      <xdr:row>229</xdr:row>
      <xdr:rowOff>0</xdr:rowOff>
    </xdr:from>
    <xdr:to>
      <xdr:col>0</xdr:col>
      <xdr:colOff>9525</xdr:colOff>
      <xdr:row>229</xdr:row>
      <xdr:rowOff>9525</xdr:rowOff>
    </xdr:to>
    <xdr:pic>
      <xdr:nvPicPr>
        <xdr:cNvPr id="16" name="Picture 31" descr="Argentina">
          <a:hlinkClick xmlns:r="http://schemas.openxmlformats.org/officeDocument/2006/relationships" r:id="rId7"/>
          <a:extLst>
            <a:ext uri="{FF2B5EF4-FFF2-40B4-BE49-F238E27FC236}">
              <a16:creationId xmlns:a16="http://schemas.microsoft.com/office/drawing/2014/main" id="{95CF5C6F-9C7A-410D-942F-24375FBFF669}"/>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44329350"/>
          <a:ext cx="9525" cy="9525"/>
        </a:xfrm>
        <a:prstGeom prst="rect">
          <a:avLst/>
        </a:prstGeom>
        <a:noFill/>
      </xdr:spPr>
    </xdr:pic>
    <xdr:clientData/>
  </xdr:twoCellAnchor>
  <xdr:twoCellAnchor editAs="oneCell">
    <xdr:from>
      <xdr:col>0</xdr:col>
      <xdr:colOff>0</xdr:colOff>
      <xdr:row>107</xdr:row>
      <xdr:rowOff>0</xdr:rowOff>
    </xdr:from>
    <xdr:to>
      <xdr:col>0</xdr:col>
      <xdr:colOff>304800</xdr:colOff>
      <xdr:row>108</xdr:row>
      <xdr:rowOff>114300</xdr:rowOff>
    </xdr:to>
    <xdr:sp macro="" textlink="">
      <xdr:nvSpPr>
        <xdr:cNvPr id="17" name="AutoShape 1" descr="chrome://foxtrick/content/resources/img/copy/copy_yellow_small.png">
          <a:hlinkClick xmlns:r="http://schemas.openxmlformats.org/officeDocument/2006/relationships" r:id="rId1" tooltip="Copiar ID del mensaje al portapapeles"/>
          <a:extLst>
            <a:ext uri="{FF2B5EF4-FFF2-40B4-BE49-F238E27FC236}">
              <a16:creationId xmlns:a16="http://schemas.microsoft.com/office/drawing/2014/main" id="{BC1E9AAB-3DCE-444C-8379-0CB85438636E}"/>
            </a:ext>
          </a:extLst>
        </xdr:cNvPr>
        <xdr:cNvSpPr>
          <a:spLocks noChangeAspect="1" noChangeArrowheads="1"/>
        </xdr:cNvSpPr>
      </xdr:nvSpPr>
      <xdr:spPr bwMode="auto">
        <a:xfrm>
          <a:off x="0" y="21088350"/>
          <a:ext cx="304800" cy="304800"/>
        </a:xfrm>
        <a:prstGeom prst="rect">
          <a:avLst/>
        </a:prstGeom>
        <a:noFill/>
      </xdr:spPr>
    </xdr:sp>
    <xdr:clientData/>
  </xdr:twoCellAnchor>
  <xdr:twoCellAnchor editAs="oneCell">
    <xdr:from>
      <xdr:col>0</xdr:col>
      <xdr:colOff>0</xdr:colOff>
      <xdr:row>107</xdr:row>
      <xdr:rowOff>0</xdr:rowOff>
    </xdr:from>
    <xdr:to>
      <xdr:col>0</xdr:col>
      <xdr:colOff>95250</xdr:colOff>
      <xdr:row>107</xdr:row>
      <xdr:rowOff>76200</xdr:rowOff>
    </xdr:to>
    <xdr:pic>
      <xdr:nvPicPr>
        <xdr:cNvPr id="18" name="Picture 2" descr="Hattrick Supporter">
          <a:hlinkClick xmlns:r="http://schemas.openxmlformats.org/officeDocument/2006/relationships" r:id="rId2" tooltip="Hattrick Supporter"/>
          <a:extLst>
            <a:ext uri="{FF2B5EF4-FFF2-40B4-BE49-F238E27FC236}">
              <a16:creationId xmlns:a16="http://schemas.microsoft.com/office/drawing/2014/main" id="{54C02ED1-8787-4968-A28F-2522949D98F1}"/>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1088350"/>
          <a:ext cx="95250" cy="76200"/>
        </a:xfrm>
        <a:prstGeom prst="rect">
          <a:avLst/>
        </a:prstGeom>
        <a:noFill/>
      </xdr:spPr>
    </xdr:pic>
    <xdr:clientData/>
  </xdr:twoCellAnchor>
  <xdr:twoCellAnchor editAs="oneCell">
    <xdr:from>
      <xdr:col>0</xdr:col>
      <xdr:colOff>0</xdr:colOff>
      <xdr:row>107</xdr:row>
      <xdr:rowOff>0</xdr:rowOff>
    </xdr:from>
    <xdr:to>
      <xdr:col>0</xdr:col>
      <xdr:colOff>95250</xdr:colOff>
      <xdr:row>107</xdr:row>
      <xdr:rowOff>76200</xdr:rowOff>
    </xdr:to>
    <xdr:pic>
      <xdr:nvPicPr>
        <xdr:cNvPr id="19" name="Picture 3" descr="Hattrick Supporter">
          <a:hlinkClick xmlns:r="http://schemas.openxmlformats.org/officeDocument/2006/relationships" r:id="rId2" tooltip="Hattrick Supporter"/>
          <a:extLst>
            <a:ext uri="{FF2B5EF4-FFF2-40B4-BE49-F238E27FC236}">
              <a16:creationId xmlns:a16="http://schemas.microsoft.com/office/drawing/2014/main" id="{B831F7E4-D14A-479A-B27A-060F5EB82A46}"/>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1088350"/>
          <a:ext cx="95250" cy="76200"/>
        </a:xfrm>
        <a:prstGeom prst="rect">
          <a:avLst/>
        </a:prstGeom>
        <a:noFill/>
      </xdr:spPr>
    </xdr:pic>
    <xdr:clientData/>
  </xdr:twoCellAnchor>
  <xdr:twoCellAnchor editAs="oneCell">
    <xdr:from>
      <xdr:col>0</xdr:col>
      <xdr:colOff>0</xdr:colOff>
      <xdr:row>107</xdr:row>
      <xdr:rowOff>0</xdr:rowOff>
    </xdr:from>
    <xdr:to>
      <xdr:col>0</xdr:col>
      <xdr:colOff>9525</xdr:colOff>
      <xdr:row>107</xdr:row>
      <xdr:rowOff>9525</xdr:rowOff>
    </xdr:to>
    <xdr:pic>
      <xdr:nvPicPr>
        <xdr:cNvPr id="20" name="Picture 4" descr="¡Volver arriba!">
          <a:hlinkClick xmlns:r="http://schemas.openxmlformats.org/officeDocument/2006/relationships" r:id="rId4"/>
          <a:extLst>
            <a:ext uri="{FF2B5EF4-FFF2-40B4-BE49-F238E27FC236}">
              <a16:creationId xmlns:a16="http://schemas.microsoft.com/office/drawing/2014/main" id="{ED777F64-F1F7-4C9D-A885-398C08B16E3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1088350"/>
          <a:ext cx="9525" cy="9525"/>
        </a:xfrm>
        <a:prstGeom prst="rect">
          <a:avLst/>
        </a:prstGeom>
        <a:noFill/>
      </xdr:spPr>
    </xdr:pic>
    <xdr:clientData/>
  </xdr:twoCellAnchor>
  <xdr:twoCellAnchor editAs="oneCell">
    <xdr:from>
      <xdr:col>0</xdr:col>
      <xdr:colOff>0</xdr:colOff>
      <xdr:row>107</xdr:row>
      <xdr:rowOff>0</xdr:rowOff>
    </xdr:from>
    <xdr:to>
      <xdr:col>0</xdr:col>
      <xdr:colOff>9525</xdr:colOff>
      <xdr:row>107</xdr:row>
      <xdr:rowOff>9525</xdr:rowOff>
    </xdr:to>
    <xdr:pic>
      <xdr:nvPicPr>
        <xdr:cNvPr id="21" name="Picture 5" descr="Añadir este mensaje a tus favoritos">
          <a:hlinkClick xmlns:r="http://schemas.openxmlformats.org/officeDocument/2006/relationships" r:id="rId6" tooltip="Añadir este mensaje a tus favoritos"/>
          <a:extLst>
            <a:ext uri="{FF2B5EF4-FFF2-40B4-BE49-F238E27FC236}">
              <a16:creationId xmlns:a16="http://schemas.microsoft.com/office/drawing/2014/main" id="{E8C0D904-9507-4454-B35B-AE027DD657F1}"/>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1088350"/>
          <a:ext cx="9525" cy="9525"/>
        </a:xfrm>
        <a:prstGeom prst="rect">
          <a:avLst/>
        </a:prstGeom>
        <a:noFill/>
      </xdr:spPr>
    </xdr:pic>
    <xdr:clientData/>
  </xdr:twoCellAnchor>
  <xdr:twoCellAnchor editAs="oneCell">
    <xdr:from>
      <xdr:col>0</xdr:col>
      <xdr:colOff>0</xdr:colOff>
      <xdr:row>107</xdr:row>
      <xdr:rowOff>0</xdr:rowOff>
    </xdr:from>
    <xdr:to>
      <xdr:col>0</xdr:col>
      <xdr:colOff>9525</xdr:colOff>
      <xdr:row>107</xdr:row>
      <xdr:rowOff>9525</xdr:rowOff>
    </xdr:to>
    <xdr:pic>
      <xdr:nvPicPr>
        <xdr:cNvPr id="22" name="ft_copy_posting_link_id1" descr="http://www86.hattrick.org/Img/Icons/transparent.gif">
          <a:extLst>
            <a:ext uri="{FF2B5EF4-FFF2-40B4-BE49-F238E27FC236}">
              <a16:creationId xmlns:a16="http://schemas.microsoft.com/office/drawing/2014/main" id="{F91AE88B-EED8-4361-9152-83AE749BCF71}"/>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1088350"/>
          <a:ext cx="9525" cy="9525"/>
        </a:xfrm>
        <a:prstGeom prst="rect">
          <a:avLst/>
        </a:prstGeom>
        <a:noFill/>
      </xdr:spPr>
    </xdr:pic>
    <xdr:clientData/>
  </xdr:twoCellAnchor>
  <xdr:twoCellAnchor editAs="oneCell">
    <xdr:from>
      <xdr:col>0</xdr:col>
      <xdr:colOff>0</xdr:colOff>
      <xdr:row>107</xdr:row>
      <xdr:rowOff>0</xdr:rowOff>
    </xdr:from>
    <xdr:to>
      <xdr:col>0</xdr:col>
      <xdr:colOff>95250</xdr:colOff>
      <xdr:row>107</xdr:row>
      <xdr:rowOff>76200</xdr:rowOff>
    </xdr:to>
    <xdr:pic>
      <xdr:nvPicPr>
        <xdr:cNvPr id="23" name="Picture 14" descr="Hattrick Supporter">
          <a:hlinkClick xmlns:r="http://schemas.openxmlformats.org/officeDocument/2006/relationships" r:id="rId2" tooltip="Hattrick Supporter"/>
          <a:extLst>
            <a:ext uri="{FF2B5EF4-FFF2-40B4-BE49-F238E27FC236}">
              <a16:creationId xmlns:a16="http://schemas.microsoft.com/office/drawing/2014/main" id="{F9D5F7E6-949D-4D6C-A284-0A305AD7282A}"/>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1088350"/>
          <a:ext cx="95250" cy="76200"/>
        </a:xfrm>
        <a:prstGeom prst="rect">
          <a:avLst/>
        </a:prstGeom>
        <a:noFill/>
      </xdr:spPr>
    </xdr:pic>
    <xdr:clientData/>
  </xdr:twoCellAnchor>
  <xdr:twoCellAnchor editAs="oneCell">
    <xdr:from>
      <xdr:col>0</xdr:col>
      <xdr:colOff>104775</xdr:colOff>
      <xdr:row>107</xdr:row>
      <xdr:rowOff>0</xdr:rowOff>
    </xdr:from>
    <xdr:to>
      <xdr:col>0</xdr:col>
      <xdr:colOff>257175</xdr:colOff>
      <xdr:row>107</xdr:row>
      <xdr:rowOff>123825</xdr:rowOff>
    </xdr:to>
    <xdr:pic>
      <xdr:nvPicPr>
        <xdr:cNvPr id="24" name="Picture 15" descr="¡Conectado!">
          <a:extLst>
            <a:ext uri="{FF2B5EF4-FFF2-40B4-BE49-F238E27FC236}">
              <a16:creationId xmlns:a16="http://schemas.microsoft.com/office/drawing/2014/main" id="{C2B6E091-53E9-445C-99E3-5239D5CBB467}"/>
            </a:ext>
          </a:extLst>
        </xdr:cNvPr>
        <xdr:cNvPicPr>
          <a:picLocks noChangeAspect="1" noChangeArrowheads="1"/>
        </xdr:cNvPicPr>
      </xdr:nvPicPr>
      <xdr:blipFill>
        <a:blip xmlns:r="http://schemas.openxmlformats.org/officeDocument/2006/relationships" r:embed="rId9" cstate="print"/>
        <a:srcRect/>
        <a:stretch>
          <a:fillRect/>
        </a:stretch>
      </xdr:blipFill>
      <xdr:spPr bwMode="auto">
        <a:xfrm>
          <a:off x="104775" y="21088350"/>
          <a:ext cx="152400" cy="123825"/>
        </a:xfrm>
        <a:prstGeom prst="rect">
          <a:avLst/>
        </a:prstGeom>
        <a:noFill/>
      </xdr:spPr>
    </xdr:pic>
    <xdr:clientData/>
  </xdr:twoCellAnchor>
  <xdr:twoCellAnchor editAs="oneCell">
    <xdr:from>
      <xdr:col>0</xdr:col>
      <xdr:colOff>0</xdr:colOff>
      <xdr:row>107</xdr:row>
      <xdr:rowOff>0</xdr:rowOff>
    </xdr:from>
    <xdr:to>
      <xdr:col>0</xdr:col>
      <xdr:colOff>9525</xdr:colOff>
      <xdr:row>107</xdr:row>
      <xdr:rowOff>9525</xdr:rowOff>
    </xdr:to>
    <xdr:pic>
      <xdr:nvPicPr>
        <xdr:cNvPr id="25" name="Picture 16" descr="Argentina">
          <a:hlinkClick xmlns:r="http://schemas.openxmlformats.org/officeDocument/2006/relationships" r:id="rId7"/>
          <a:extLst>
            <a:ext uri="{FF2B5EF4-FFF2-40B4-BE49-F238E27FC236}">
              <a16:creationId xmlns:a16="http://schemas.microsoft.com/office/drawing/2014/main" id="{3274E23C-0BF3-4E81-8892-ADD5C80DB558}"/>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1088350"/>
          <a:ext cx="9525" cy="9525"/>
        </a:xfrm>
        <a:prstGeom prst="rect">
          <a:avLst/>
        </a:prstGeom>
        <a:noFill/>
      </xdr:spPr>
    </xdr:pic>
    <xdr:clientData/>
  </xdr:twoCellAnchor>
  <xdr:twoCellAnchor editAs="oneCell">
    <xdr:from>
      <xdr:col>0</xdr:col>
      <xdr:colOff>0</xdr:colOff>
      <xdr:row>187</xdr:row>
      <xdr:rowOff>0</xdr:rowOff>
    </xdr:from>
    <xdr:to>
      <xdr:col>0</xdr:col>
      <xdr:colOff>304800</xdr:colOff>
      <xdr:row>188</xdr:row>
      <xdr:rowOff>114300</xdr:rowOff>
    </xdr:to>
    <xdr:sp macro="" textlink="">
      <xdr:nvSpPr>
        <xdr:cNvPr id="26" name="AutoShape 17" descr="chrome://foxtrick/content/resources/img/copy/copy_yellow_small.png">
          <a:hlinkClick xmlns:r="http://schemas.openxmlformats.org/officeDocument/2006/relationships" r:id="rId1" tooltip="Copiar ID del mensaje al portapapeles"/>
          <a:extLst>
            <a:ext uri="{FF2B5EF4-FFF2-40B4-BE49-F238E27FC236}">
              <a16:creationId xmlns:a16="http://schemas.microsoft.com/office/drawing/2014/main" id="{B01EF10A-34FB-4414-BE95-0BD1C4CBCBDF}"/>
            </a:ext>
          </a:extLst>
        </xdr:cNvPr>
        <xdr:cNvSpPr>
          <a:spLocks noChangeAspect="1" noChangeArrowheads="1"/>
        </xdr:cNvSpPr>
      </xdr:nvSpPr>
      <xdr:spPr bwMode="auto">
        <a:xfrm>
          <a:off x="0" y="36328350"/>
          <a:ext cx="304800" cy="304800"/>
        </a:xfrm>
        <a:prstGeom prst="rect">
          <a:avLst/>
        </a:prstGeom>
        <a:noFill/>
      </xdr:spPr>
    </xdr:sp>
    <xdr:clientData/>
  </xdr:twoCellAnchor>
  <xdr:twoCellAnchor editAs="oneCell">
    <xdr:from>
      <xdr:col>0</xdr:col>
      <xdr:colOff>0</xdr:colOff>
      <xdr:row>187</xdr:row>
      <xdr:rowOff>0</xdr:rowOff>
    </xdr:from>
    <xdr:to>
      <xdr:col>0</xdr:col>
      <xdr:colOff>95250</xdr:colOff>
      <xdr:row>187</xdr:row>
      <xdr:rowOff>76200</xdr:rowOff>
    </xdr:to>
    <xdr:pic>
      <xdr:nvPicPr>
        <xdr:cNvPr id="27" name="Picture 18" descr="Hattrick Supporter">
          <a:hlinkClick xmlns:r="http://schemas.openxmlformats.org/officeDocument/2006/relationships" r:id="rId2" tooltip="Hattrick Supporter"/>
          <a:extLst>
            <a:ext uri="{FF2B5EF4-FFF2-40B4-BE49-F238E27FC236}">
              <a16:creationId xmlns:a16="http://schemas.microsoft.com/office/drawing/2014/main" id="{FD388DA7-4017-4D20-8182-07221E3A23CD}"/>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36328350"/>
          <a:ext cx="95250" cy="76200"/>
        </a:xfrm>
        <a:prstGeom prst="rect">
          <a:avLst/>
        </a:prstGeom>
        <a:noFill/>
      </xdr:spPr>
    </xdr:pic>
    <xdr:clientData/>
  </xdr:twoCellAnchor>
  <xdr:twoCellAnchor editAs="oneCell">
    <xdr:from>
      <xdr:col>0</xdr:col>
      <xdr:colOff>0</xdr:colOff>
      <xdr:row>187</xdr:row>
      <xdr:rowOff>0</xdr:rowOff>
    </xdr:from>
    <xdr:to>
      <xdr:col>0</xdr:col>
      <xdr:colOff>9525</xdr:colOff>
      <xdr:row>187</xdr:row>
      <xdr:rowOff>9525</xdr:rowOff>
    </xdr:to>
    <xdr:pic>
      <xdr:nvPicPr>
        <xdr:cNvPr id="28" name="Picture 19" descr="¡Volver arriba!">
          <a:hlinkClick xmlns:r="http://schemas.openxmlformats.org/officeDocument/2006/relationships" r:id="rId4"/>
          <a:extLst>
            <a:ext uri="{FF2B5EF4-FFF2-40B4-BE49-F238E27FC236}">
              <a16:creationId xmlns:a16="http://schemas.microsoft.com/office/drawing/2014/main" id="{42853201-C1B2-4FB3-9614-B90F303B156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36328350"/>
          <a:ext cx="9525" cy="9525"/>
        </a:xfrm>
        <a:prstGeom prst="rect">
          <a:avLst/>
        </a:prstGeom>
        <a:noFill/>
      </xdr:spPr>
    </xdr:pic>
    <xdr:clientData/>
  </xdr:twoCellAnchor>
  <xdr:twoCellAnchor editAs="oneCell">
    <xdr:from>
      <xdr:col>0</xdr:col>
      <xdr:colOff>0</xdr:colOff>
      <xdr:row>187</xdr:row>
      <xdr:rowOff>0</xdr:rowOff>
    </xdr:from>
    <xdr:to>
      <xdr:col>0</xdr:col>
      <xdr:colOff>9525</xdr:colOff>
      <xdr:row>187</xdr:row>
      <xdr:rowOff>9525</xdr:rowOff>
    </xdr:to>
    <xdr:pic>
      <xdr:nvPicPr>
        <xdr:cNvPr id="29" name="Picture 20" descr="Añadir este mensaje a tus favoritos">
          <a:hlinkClick xmlns:r="http://schemas.openxmlformats.org/officeDocument/2006/relationships" r:id="rId8" tooltip="Añadir este mensaje a tus favoritos"/>
          <a:extLst>
            <a:ext uri="{FF2B5EF4-FFF2-40B4-BE49-F238E27FC236}">
              <a16:creationId xmlns:a16="http://schemas.microsoft.com/office/drawing/2014/main" id="{3F1A0517-5431-4168-8B22-2312EF2539C6}"/>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36328350"/>
          <a:ext cx="9525" cy="9525"/>
        </a:xfrm>
        <a:prstGeom prst="rect">
          <a:avLst/>
        </a:prstGeom>
        <a:noFill/>
      </xdr:spPr>
    </xdr:pic>
    <xdr:clientData/>
  </xdr:twoCellAnchor>
  <xdr:twoCellAnchor editAs="oneCell">
    <xdr:from>
      <xdr:col>0</xdr:col>
      <xdr:colOff>0</xdr:colOff>
      <xdr:row>187</xdr:row>
      <xdr:rowOff>0</xdr:rowOff>
    </xdr:from>
    <xdr:to>
      <xdr:col>0</xdr:col>
      <xdr:colOff>9525</xdr:colOff>
      <xdr:row>187</xdr:row>
      <xdr:rowOff>9525</xdr:rowOff>
    </xdr:to>
    <xdr:pic>
      <xdr:nvPicPr>
        <xdr:cNvPr id="30" name="ft_copy_posting_link_id2" descr="http://www86.hattrick.org/Img/Icons/transparent.gif">
          <a:extLst>
            <a:ext uri="{FF2B5EF4-FFF2-40B4-BE49-F238E27FC236}">
              <a16:creationId xmlns:a16="http://schemas.microsoft.com/office/drawing/2014/main" id="{1AA2E43E-98A1-486C-8CB6-CF0D038B2B39}"/>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36328350"/>
          <a:ext cx="9525" cy="9525"/>
        </a:xfrm>
        <a:prstGeom prst="rect">
          <a:avLst/>
        </a:prstGeom>
        <a:noFill/>
      </xdr:spPr>
    </xdr:pic>
    <xdr:clientData/>
  </xdr:twoCellAnchor>
  <xdr:twoCellAnchor editAs="oneCell">
    <xdr:from>
      <xdr:col>0</xdr:col>
      <xdr:colOff>0</xdr:colOff>
      <xdr:row>187</xdr:row>
      <xdr:rowOff>0</xdr:rowOff>
    </xdr:from>
    <xdr:to>
      <xdr:col>0</xdr:col>
      <xdr:colOff>95250</xdr:colOff>
      <xdr:row>187</xdr:row>
      <xdr:rowOff>76200</xdr:rowOff>
    </xdr:to>
    <xdr:pic>
      <xdr:nvPicPr>
        <xdr:cNvPr id="31" name="Picture 29" descr="Hattrick Supporter">
          <a:hlinkClick xmlns:r="http://schemas.openxmlformats.org/officeDocument/2006/relationships" r:id="rId2" tooltip="Hattrick Supporter"/>
          <a:extLst>
            <a:ext uri="{FF2B5EF4-FFF2-40B4-BE49-F238E27FC236}">
              <a16:creationId xmlns:a16="http://schemas.microsoft.com/office/drawing/2014/main" id="{4BE16E88-C95E-42AB-AF8C-EF11BD3BF3CB}"/>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36328350"/>
          <a:ext cx="95250" cy="76200"/>
        </a:xfrm>
        <a:prstGeom prst="rect">
          <a:avLst/>
        </a:prstGeom>
        <a:noFill/>
      </xdr:spPr>
    </xdr:pic>
    <xdr:clientData/>
  </xdr:twoCellAnchor>
  <xdr:twoCellAnchor editAs="oneCell">
    <xdr:from>
      <xdr:col>0</xdr:col>
      <xdr:colOff>0</xdr:colOff>
      <xdr:row>187</xdr:row>
      <xdr:rowOff>0</xdr:rowOff>
    </xdr:from>
    <xdr:to>
      <xdr:col>0</xdr:col>
      <xdr:colOff>9525</xdr:colOff>
      <xdr:row>187</xdr:row>
      <xdr:rowOff>9525</xdr:rowOff>
    </xdr:to>
    <xdr:pic>
      <xdr:nvPicPr>
        <xdr:cNvPr id="32" name="Picture 31" descr="Argentina">
          <a:hlinkClick xmlns:r="http://schemas.openxmlformats.org/officeDocument/2006/relationships" r:id="rId7"/>
          <a:extLst>
            <a:ext uri="{FF2B5EF4-FFF2-40B4-BE49-F238E27FC236}">
              <a16:creationId xmlns:a16="http://schemas.microsoft.com/office/drawing/2014/main" id="{F14810D7-7E19-4DC1-8B07-557C0902CFF8}"/>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36328350"/>
          <a:ext cx="9525" cy="9525"/>
        </a:xfrm>
        <a:prstGeom prst="rect">
          <a:avLst/>
        </a:prstGeom>
        <a:noFill/>
      </xdr:spPr>
    </xdr:pic>
    <xdr:clientData/>
  </xdr:twoCellAnchor>
  <xdr:twoCellAnchor>
    <xdr:from>
      <xdr:col>6</xdr:col>
      <xdr:colOff>390525</xdr:colOff>
      <xdr:row>10</xdr:row>
      <xdr:rowOff>171450</xdr:rowOff>
    </xdr:from>
    <xdr:to>
      <xdr:col>7</xdr:col>
      <xdr:colOff>409575</xdr:colOff>
      <xdr:row>25</xdr:row>
      <xdr:rowOff>57150</xdr:rowOff>
    </xdr:to>
    <xdr:graphicFrame macro="">
      <xdr:nvGraphicFramePr>
        <xdr:cNvPr id="33" name="48 Gráfico">
          <a:extLst>
            <a:ext uri="{FF2B5EF4-FFF2-40B4-BE49-F238E27FC236}">
              <a16:creationId xmlns:a16="http://schemas.microsoft.com/office/drawing/2014/main" id="{8BDAD9E0-D91F-4E87-8585-0DBDA8C70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3" Type="http://schemas.openxmlformats.org/officeDocument/2006/relationships/hyperlink" Target="http://www74.hattrick.org/Help/Rules/PlayerAttributes.aspx" TargetMode="External"/><Relationship Id="rId2" Type="http://schemas.openxmlformats.org/officeDocument/2006/relationships/hyperlink" Target="http://docs.google.com/Doc?docid=0AWl8cQ9-H8RZZDg5Zjg1cV8xMjRka3F2dGQ2&amp;hl=es" TargetMode="External"/><Relationship Id="rId1" Type="http://schemas.openxmlformats.org/officeDocument/2006/relationships/hyperlink" Target="javascript:ShowSignature('202240386');" TargetMode="External"/><Relationship Id="rId4" Type="http://schemas.openxmlformats.org/officeDocument/2006/relationships/drawing" Target="../drawings/drawing4.xml"/></Relationships>
</file>

<file path=xl/worksheets/_rels/sheet17.xml.rels><?xml version="1.0" encoding="UTF-8" standalone="yes"?>
<Relationships xmlns="http://schemas.openxmlformats.org/package/2006/relationships"><Relationship Id="rId1" Type="http://schemas.openxmlformats.org/officeDocument/2006/relationships/hyperlink" Target="http://www77.hattrick.org/Forum/Read.aspx?t=11886114&amp;n=198&amp;v=0&amp;mr=0"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www78.hattrick.org/Forum/Read.aspx?t=14286771&amp;n=22&amp;v=0&amp;mr=0" TargetMode="External"/><Relationship Id="rId3" Type="http://schemas.openxmlformats.org/officeDocument/2006/relationships/hyperlink" Target="http://www78.hattrick.org/Forum/Read.aspx?t=14286771&amp;n=20&amp;v=0&amp;mr=0" TargetMode="External"/><Relationship Id="rId7" Type="http://schemas.openxmlformats.org/officeDocument/2006/relationships/hyperlink" Target="http://www78.hattrick.org/Forum/Read.aspx?t=14286771&amp;n=21&amp;v=0&amp;mr=0" TargetMode="External"/><Relationship Id="rId2" Type="http://schemas.openxmlformats.org/officeDocument/2006/relationships/hyperlink" Target="http://www78.hattrick.org/Forum/Read.aspx?t=14286771&amp;n=17&amp;v=0&amp;mr=0" TargetMode="External"/><Relationship Id="rId1" Type="http://schemas.openxmlformats.org/officeDocument/2006/relationships/hyperlink" Target="http://www78.hattrick.org/Forum/Read.aspx?t=14286771&amp;n=15&amp;v=0&amp;mr=0" TargetMode="External"/><Relationship Id="rId6" Type="http://schemas.openxmlformats.org/officeDocument/2006/relationships/hyperlink" Target="http://www78.hattrick.org/Forum/Read.aspx?t=14286771&amp;n=19&amp;v=0&amp;mr=0" TargetMode="External"/><Relationship Id="rId5" Type="http://schemas.openxmlformats.org/officeDocument/2006/relationships/hyperlink" Target="http://www78.hattrick.org/Forum/Read.aspx?t=14286771&amp;n=16&amp;v=0&amp;mr=0" TargetMode="External"/><Relationship Id="rId4" Type="http://schemas.openxmlformats.org/officeDocument/2006/relationships/hyperlink" Target="http://www78.hattrick.org/Forum/Read.aspx?t=14286771&amp;n=15&amp;v=0&amp;mr=0" TargetMode="External"/><Relationship Id="rId9" Type="http://schemas.openxmlformats.org/officeDocument/2006/relationships/hyperlink" Target="http://www78.hattrick.org/Forum/Read.aspx?t=14286771&amp;n=23&amp;v=0&amp;mr=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AS127"/>
  <sheetViews>
    <sheetView zoomScale="80" zoomScaleNormal="80" workbookViewId="0">
      <selection activeCell="T15" sqref="T15"/>
    </sheetView>
  </sheetViews>
  <sheetFormatPr baseColWidth="10" defaultColWidth="9.140625" defaultRowHeight="15.75" x14ac:dyDescent="0.25"/>
  <cols>
    <col min="1" max="1" width="7" customWidth="1"/>
    <col min="2" max="3" width="9.140625" bestFit="1" customWidth="1"/>
    <col min="4" max="5" width="8.85546875" bestFit="1" customWidth="1"/>
    <col min="6" max="6" width="7" customWidth="1"/>
    <col min="7" max="7" width="4.85546875" bestFit="1" customWidth="1"/>
    <col min="8" max="8" width="5.85546875" style="25" customWidth="1"/>
    <col min="9" max="23" width="4.85546875" bestFit="1" customWidth="1"/>
    <col min="24" max="24" width="6.28515625" style="26" customWidth="1"/>
    <col min="25" max="25" width="9.140625" customWidth="1"/>
    <col min="26" max="43" width="4" bestFit="1" customWidth="1"/>
    <col min="44" max="44" width="3" bestFit="1" customWidth="1"/>
    <col min="45" max="45" width="5.5703125" bestFit="1" customWidth="1"/>
  </cols>
  <sheetData>
    <row r="1" spans="1:45" x14ac:dyDescent="0.25">
      <c r="A1" s="1" t="s">
        <v>0</v>
      </c>
      <c r="B1" s="1"/>
      <c r="C1" s="1"/>
      <c r="D1" s="1"/>
      <c r="E1" s="1"/>
      <c r="F1" s="1"/>
      <c r="G1" s="1"/>
      <c r="H1" s="2"/>
      <c r="I1" s="1"/>
      <c r="J1" s="1"/>
      <c r="K1" s="1"/>
      <c r="L1" s="1"/>
      <c r="M1" s="1"/>
      <c r="N1" s="1"/>
      <c r="O1" s="1"/>
      <c r="P1" s="1"/>
      <c r="Q1" s="1"/>
      <c r="R1" s="1"/>
      <c r="S1" s="1"/>
      <c r="T1" s="1"/>
      <c r="U1" s="1"/>
      <c r="V1" s="1"/>
      <c r="W1" s="1"/>
      <c r="X1" s="3"/>
      <c r="Y1" s="4" t="s">
        <v>1</v>
      </c>
    </row>
    <row r="2" spans="1:45" x14ac:dyDescent="0.25">
      <c r="A2" s="5" t="s">
        <v>2</v>
      </c>
      <c r="B2" s="6">
        <v>17</v>
      </c>
      <c r="C2" s="6">
        <v>18</v>
      </c>
      <c r="D2" s="6">
        <v>19</v>
      </c>
      <c r="E2" s="6">
        <v>20</v>
      </c>
      <c r="F2" s="6">
        <v>21</v>
      </c>
      <c r="G2" s="7">
        <v>22</v>
      </c>
      <c r="H2" s="6">
        <v>23</v>
      </c>
      <c r="I2" s="6">
        <v>24</v>
      </c>
      <c r="J2" s="6">
        <v>25</v>
      </c>
      <c r="K2" s="6">
        <v>26</v>
      </c>
      <c r="L2" s="6">
        <v>27</v>
      </c>
      <c r="M2" s="8">
        <v>28</v>
      </c>
      <c r="N2" s="8">
        <v>29</v>
      </c>
      <c r="O2" s="8">
        <v>30</v>
      </c>
      <c r="P2" s="8">
        <v>31</v>
      </c>
      <c r="Q2" s="6">
        <v>32</v>
      </c>
      <c r="R2" s="6">
        <v>33</v>
      </c>
      <c r="S2" s="6">
        <v>34</v>
      </c>
      <c r="T2" s="6">
        <v>35</v>
      </c>
      <c r="U2" s="6">
        <v>36</v>
      </c>
      <c r="V2" s="6">
        <v>37</v>
      </c>
      <c r="W2" s="6">
        <v>38</v>
      </c>
      <c r="X2" s="9"/>
      <c r="Y2" s="1" t="s">
        <v>3</v>
      </c>
    </row>
    <row r="3" spans="1:45" ht="16.5" thickBot="1" x14ac:dyDescent="0.3">
      <c r="A3" s="10">
        <v>0.05</v>
      </c>
      <c r="B3" s="220">
        <v>3.2</v>
      </c>
      <c r="C3" s="220">
        <v>3.7</v>
      </c>
      <c r="D3" s="220">
        <v>4.0999999999999996</v>
      </c>
      <c r="E3" s="220">
        <v>4.4000000000000004</v>
      </c>
      <c r="F3" s="220">
        <v>4.5999999999999996</v>
      </c>
      <c r="G3" s="221">
        <v>4.7</v>
      </c>
      <c r="H3" s="220">
        <v>4.55</v>
      </c>
      <c r="I3" s="220">
        <v>4.4000000000000004</v>
      </c>
      <c r="J3" s="220">
        <v>4.25</v>
      </c>
      <c r="K3" s="220">
        <v>4.0999999999999996</v>
      </c>
      <c r="L3" s="220">
        <v>3.95</v>
      </c>
      <c r="M3" s="222">
        <v>3.8</v>
      </c>
      <c r="N3" s="222">
        <v>3.6500000000000004</v>
      </c>
      <c r="O3" s="222">
        <v>3.5</v>
      </c>
      <c r="P3" s="222">
        <v>3.3499999999999996</v>
      </c>
      <c r="Q3" s="220">
        <v>3.1500000000000004</v>
      </c>
      <c r="R3" s="220">
        <v>2.95</v>
      </c>
      <c r="S3" s="220">
        <v>2.65</v>
      </c>
      <c r="T3" s="220">
        <v>2.2999999999999998</v>
      </c>
      <c r="U3" s="220">
        <v>1.9</v>
      </c>
      <c r="V3" s="220">
        <v>1.4500000000000002</v>
      </c>
      <c r="W3" s="220">
        <v>0.95</v>
      </c>
      <c r="X3" s="14"/>
      <c r="Y3" s="1"/>
    </row>
    <row r="4" spans="1:45" ht="16.5" thickBot="1" x14ac:dyDescent="0.3">
      <c r="A4" s="10">
        <v>0.06</v>
      </c>
      <c r="B4" s="220">
        <v>3.5700000000000003</v>
      </c>
      <c r="C4" s="220">
        <v>4.07</v>
      </c>
      <c r="D4" s="220">
        <v>4.47</v>
      </c>
      <c r="E4" s="220">
        <v>4.7699999999999996</v>
      </c>
      <c r="F4" s="220">
        <v>4.97</v>
      </c>
      <c r="G4" s="221">
        <v>5.07</v>
      </c>
      <c r="H4" s="220">
        <v>4.92</v>
      </c>
      <c r="I4" s="220">
        <v>4.7699999999999996</v>
      </c>
      <c r="J4" s="220">
        <v>4.62</v>
      </c>
      <c r="K4" s="220">
        <v>4.47</v>
      </c>
      <c r="L4" s="220">
        <v>4.32</v>
      </c>
      <c r="M4" s="222">
        <v>4.17</v>
      </c>
      <c r="N4" s="222">
        <v>4.0199999999999996</v>
      </c>
      <c r="O4" s="222">
        <v>3.87</v>
      </c>
      <c r="P4" s="222">
        <v>3.7199999999999998</v>
      </c>
      <c r="Q4" s="220">
        <v>3.5199999999999996</v>
      </c>
      <c r="R4" s="220">
        <v>3.3200000000000003</v>
      </c>
      <c r="S4" s="220">
        <v>3.0199999999999996</v>
      </c>
      <c r="T4" s="220">
        <v>2.67</v>
      </c>
      <c r="U4" s="220">
        <v>2.27</v>
      </c>
      <c r="V4" s="220">
        <v>1.8199999999999998</v>
      </c>
      <c r="W4" s="220">
        <v>1.3199999999999998</v>
      </c>
      <c r="X4" s="14"/>
      <c r="Y4" s="15" t="s">
        <v>4</v>
      </c>
      <c r="Z4" s="15">
        <v>0</v>
      </c>
      <c r="AA4" s="15">
        <v>5</v>
      </c>
      <c r="AB4" s="15">
        <v>10</v>
      </c>
      <c r="AC4" s="15">
        <v>15</v>
      </c>
      <c r="AD4" s="15">
        <v>20</v>
      </c>
      <c r="AE4" s="15">
        <v>25</v>
      </c>
      <c r="AF4" s="15">
        <v>30</v>
      </c>
      <c r="AG4" s="15">
        <v>35</v>
      </c>
      <c r="AH4" s="15">
        <v>40</v>
      </c>
      <c r="AI4" s="15">
        <v>45</v>
      </c>
      <c r="AJ4" s="15">
        <v>50</v>
      </c>
      <c r="AK4" s="15">
        <v>55</v>
      </c>
      <c r="AL4" s="15">
        <v>60</v>
      </c>
      <c r="AM4" s="15">
        <v>65</v>
      </c>
      <c r="AN4" s="15">
        <v>70</v>
      </c>
      <c r="AO4" s="15">
        <v>75</v>
      </c>
      <c r="AP4" s="15">
        <v>80</v>
      </c>
      <c r="AQ4" s="15">
        <v>85</v>
      </c>
      <c r="AR4" s="15">
        <v>90</v>
      </c>
      <c r="AS4" s="15" t="s">
        <v>5</v>
      </c>
    </row>
    <row r="5" spans="1:45" ht="16.5" thickBot="1" x14ac:dyDescent="0.3">
      <c r="A5" s="10">
        <v>7.0000000000000007E-2</v>
      </c>
      <c r="B5" s="220">
        <v>3.92</v>
      </c>
      <c r="C5" s="220">
        <v>4.42</v>
      </c>
      <c r="D5" s="220">
        <v>4.82</v>
      </c>
      <c r="E5" s="220">
        <v>5.12</v>
      </c>
      <c r="F5" s="220">
        <v>5.32</v>
      </c>
      <c r="G5" s="223">
        <v>5.42</v>
      </c>
      <c r="H5" s="220">
        <v>5.27</v>
      </c>
      <c r="I5" s="220">
        <v>5.12</v>
      </c>
      <c r="J5" s="220">
        <v>4.97</v>
      </c>
      <c r="K5" s="220">
        <v>4.82</v>
      </c>
      <c r="L5" s="220">
        <v>4.67</v>
      </c>
      <c r="M5" s="222">
        <v>4.5199999999999996</v>
      </c>
      <c r="N5" s="222">
        <v>4.37</v>
      </c>
      <c r="O5" s="222">
        <v>4.22</v>
      </c>
      <c r="P5" s="222">
        <v>4.07</v>
      </c>
      <c r="Q5" s="220">
        <v>3.87</v>
      </c>
      <c r="R5" s="220">
        <v>3.67</v>
      </c>
      <c r="S5" s="220">
        <v>3.37</v>
      </c>
      <c r="T5" s="220">
        <v>3.0199999999999996</v>
      </c>
      <c r="U5" s="220">
        <v>2.62</v>
      </c>
      <c r="V5" s="220">
        <v>2.17</v>
      </c>
      <c r="W5" s="220">
        <v>1.67</v>
      </c>
      <c r="X5" s="14"/>
      <c r="Y5" s="15">
        <v>9</v>
      </c>
      <c r="Z5" s="15">
        <v>100</v>
      </c>
      <c r="AA5" s="15">
        <v>100</v>
      </c>
      <c r="AB5" s="15">
        <v>100</v>
      </c>
      <c r="AC5" s="15">
        <v>100</v>
      </c>
      <c r="AD5" s="15">
        <v>100</v>
      </c>
      <c r="AE5" s="15">
        <v>100</v>
      </c>
      <c r="AF5" s="15">
        <v>100</v>
      </c>
      <c r="AG5" s="15">
        <v>100</v>
      </c>
      <c r="AH5" s="15">
        <v>100</v>
      </c>
      <c r="AI5" s="15">
        <v>100</v>
      </c>
      <c r="AJ5" s="15">
        <v>100</v>
      </c>
      <c r="AK5" s="15">
        <v>100</v>
      </c>
      <c r="AL5" s="15">
        <v>100</v>
      </c>
      <c r="AM5" s="15">
        <v>100</v>
      </c>
      <c r="AN5" s="15">
        <v>100</v>
      </c>
      <c r="AO5" s="15">
        <v>100</v>
      </c>
      <c r="AP5" s="15">
        <v>100</v>
      </c>
      <c r="AQ5" s="15">
        <v>100</v>
      </c>
      <c r="AR5" s="15">
        <v>99</v>
      </c>
      <c r="AS5" s="15">
        <v>99.95</v>
      </c>
    </row>
    <row r="6" spans="1:45" ht="19.5" thickBot="1" x14ac:dyDescent="0.35">
      <c r="A6" s="10">
        <v>0.08</v>
      </c>
      <c r="B6" s="220">
        <v>4.24</v>
      </c>
      <c r="C6" s="220">
        <v>4.74</v>
      </c>
      <c r="D6" s="220">
        <v>5.14</v>
      </c>
      <c r="E6" s="220">
        <v>5.44</v>
      </c>
      <c r="F6" s="220">
        <v>5.64</v>
      </c>
      <c r="G6" s="221">
        <v>5.74</v>
      </c>
      <c r="H6" s="220">
        <v>5.59</v>
      </c>
      <c r="I6" s="220">
        <v>5.44</v>
      </c>
      <c r="J6" s="220">
        <v>5.29</v>
      </c>
      <c r="K6" s="220">
        <v>5.14</v>
      </c>
      <c r="L6" s="220">
        <v>4.99</v>
      </c>
      <c r="M6" s="222">
        <v>4.84</v>
      </c>
      <c r="N6" s="222">
        <v>4.6900000000000004</v>
      </c>
      <c r="O6" s="222">
        <v>4.54</v>
      </c>
      <c r="P6" s="222">
        <v>4.3899999999999997</v>
      </c>
      <c r="Q6" s="220">
        <v>4.1900000000000004</v>
      </c>
      <c r="R6" s="220">
        <v>3.99</v>
      </c>
      <c r="S6" s="220">
        <v>3.6900000000000004</v>
      </c>
      <c r="T6" s="220">
        <v>3.34</v>
      </c>
      <c r="U6" s="220">
        <v>2.94</v>
      </c>
      <c r="V6" s="220">
        <v>2.4900000000000002</v>
      </c>
      <c r="W6" s="220">
        <v>1.9900000000000002</v>
      </c>
      <c r="X6" s="17"/>
      <c r="Y6" s="15">
        <v>8.9</v>
      </c>
      <c r="Z6" s="15">
        <v>100</v>
      </c>
      <c r="AA6" s="15">
        <v>100</v>
      </c>
      <c r="AB6" s="15">
        <v>100</v>
      </c>
      <c r="AC6" s="15">
        <v>100</v>
      </c>
      <c r="AD6" s="15">
        <v>100</v>
      </c>
      <c r="AE6" s="15">
        <v>100</v>
      </c>
      <c r="AF6" s="15">
        <v>100</v>
      </c>
      <c r="AG6" s="15">
        <v>100</v>
      </c>
      <c r="AH6" s="15">
        <v>100</v>
      </c>
      <c r="AI6" s="15">
        <v>100</v>
      </c>
      <c r="AJ6" s="15">
        <v>100</v>
      </c>
      <c r="AK6" s="15">
        <v>100</v>
      </c>
      <c r="AL6" s="15">
        <v>100</v>
      </c>
      <c r="AM6" s="15">
        <v>100</v>
      </c>
      <c r="AN6" s="15">
        <v>100</v>
      </c>
      <c r="AO6" s="15">
        <v>100</v>
      </c>
      <c r="AP6" s="15">
        <v>100</v>
      </c>
      <c r="AQ6" s="15">
        <v>100</v>
      </c>
      <c r="AR6" s="15">
        <v>98</v>
      </c>
      <c r="AS6" s="15">
        <v>99.89</v>
      </c>
    </row>
    <row r="7" spans="1:45" ht="16.5" thickBot="1" x14ac:dyDescent="0.3">
      <c r="A7" s="10">
        <v>0.09</v>
      </c>
      <c r="B7" s="220">
        <v>4.53</v>
      </c>
      <c r="C7" s="220">
        <v>5.03</v>
      </c>
      <c r="D7" s="220">
        <v>5.43</v>
      </c>
      <c r="E7" s="220">
        <v>5.73</v>
      </c>
      <c r="F7" s="220">
        <v>5.93</v>
      </c>
      <c r="G7" s="224">
        <v>6.03</v>
      </c>
      <c r="H7" s="220">
        <v>5.88</v>
      </c>
      <c r="I7" s="220">
        <v>5.73</v>
      </c>
      <c r="J7" s="220">
        <v>5.58</v>
      </c>
      <c r="K7" s="220">
        <v>5.43</v>
      </c>
      <c r="L7" s="220">
        <v>5.28</v>
      </c>
      <c r="M7" s="222">
        <v>5.13</v>
      </c>
      <c r="N7" s="222">
        <v>4.9800000000000004</v>
      </c>
      <c r="O7" s="222">
        <v>4.83</v>
      </c>
      <c r="P7" s="222">
        <v>4.68</v>
      </c>
      <c r="Q7" s="220">
        <v>4.4800000000000004</v>
      </c>
      <c r="R7" s="220">
        <v>4.28</v>
      </c>
      <c r="S7" s="220">
        <v>3.9800000000000004</v>
      </c>
      <c r="T7" s="220">
        <v>3.63</v>
      </c>
      <c r="U7" s="220">
        <v>3.2300000000000004</v>
      </c>
      <c r="V7" s="220">
        <v>2.78</v>
      </c>
      <c r="W7" s="220">
        <v>2.2799999999999998</v>
      </c>
      <c r="X7" s="14"/>
      <c r="Y7" s="15">
        <v>8.8000000000000007</v>
      </c>
      <c r="Z7" s="15">
        <v>100</v>
      </c>
      <c r="AA7" s="15">
        <v>100</v>
      </c>
      <c r="AB7" s="15">
        <v>100</v>
      </c>
      <c r="AC7" s="15">
        <v>100</v>
      </c>
      <c r="AD7" s="15">
        <v>100</v>
      </c>
      <c r="AE7" s="15">
        <v>100</v>
      </c>
      <c r="AF7" s="15">
        <v>100</v>
      </c>
      <c r="AG7" s="15">
        <v>100</v>
      </c>
      <c r="AH7" s="15">
        <v>100</v>
      </c>
      <c r="AI7" s="15">
        <v>100</v>
      </c>
      <c r="AJ7" s="15">
        <v>100</v>
      </c>
      <c r="AK7" s="15">
        <v>100</v>
      </c>
      <c r="AL7" s="15">
        <v>100</v>
      </c>
      <c r="AM7" s="15">
        <v>100</v>
      </c>
      <c r="AN7" s="15">
        <v>100</v>
      </c>
      <c r="AO7" s="15">
        <v>100</v>
      </c>
      <c r="AP7" s="15">
        <v>100</v>
      </c>
      <c r="AQ7" s="15">
        <v>100</v>
      </c>
      <c r="AR7" s="15">
        <v>97</v>
      </c>
      <c r="AS7" s="15">
        <v>99.84</v>
      </c>
    </row>
    <row r="8" spans="1:45" ht="19.5" thickBot="1" x14ac:dyDescent="0.35">
      <c r="A8" s="18">
        <v>0.1</v>
      </c>
      <c r="B8" s="19">
        <v>4.8099999999999996</v>
      </c>
      <c r="C8" s="19">
        <v>5.31</v>
      </c>
      <c r="D8" s="19">
        <v>5.71</v>
      </c>
      <c r="E8" s="19">
        <v>6.01</v>
      </c>
      <c r="F8" s="19">
        <v>6.21</v>
      </c>
      <c r="G8" s="12">
        <v>6.31</v>
      </c>
      <c r="H8" s="19">
        <v>6.16</v>
      </c>
      <c r="I8" s="225">
        <v>6.01</v>
      </c>
      <c r="J8" s="19">
        <v>5.86</v>
      </c>
      <c r="K8" s="19">
        <v>5.71</v>
      </c>
      <c r="L8" s="19">
        <v>5.56</v>
      </c>
      <c r="M8" s="20">
        <v>5.41</v>
      </c>
      <c r="N8" s="20">
        <v>5.26</v>
      </c>
      <c r="O8" s="20">
        <v>5.1100000000000003</v>
      </c>
      <c r="P8" s="20">
        <v>4.96</v>
      </c>
      <c r="Q8" s="19">
        <v>4.76</v>
      </c>
      <c r="R8" s="19">
        <v>4.5599999999999996</v>
      </c>
      <c r="S8" s="19">
        <v>4.26</v>
      </c>
      <c r="T8" s="19">
        <v>3.91</v>
      </c>
      <c r="U8" s="19">
        <v>3.51</v>
      </c>
      <c r="V8" s="19">
        <v>3.0599999999999996</v>
      </c>
      <c r="W8" s="19">
        <v>2.56</v>
      </c>
      <c r="X8" s="14"/>
      <c r="Y8" s="15">
        <v>8.6999999999999993</v>
      </c>
      <c r="Z8" s="15">
        <v>100</v>
      </c>
      <c r="AA8" s="15">
        <v>100</v>
      </c>
      <c r="AB8" s="15">
        <v>100</v>
      </c>
      <c r="AC8" s="15">
        <v>100</v>
      </c>
      <c r="AD8" s="15">
        <v>100</v>
      </c>
      <c r="AE8" s="15">
        <v>100</v>
      </c>
      <c r="AF8" s="15">
        <v>100</v>
      </c>
      <c r="AG8" s="15">
        <v>100</v>
      </c>
      <c r="AH8" s="15">
        <v>100</v>
      </c>
      <c r="AI8" s="15">
        <v>100</v>
      </c>
      <c r="AJ8" s="15">
        <v>100</v>
      </c>
      <c r="AK8" s="15">
        <v>100</v>
      </c>
      <c r="AL8" s="15">
        <v>100</v>
      </c>
      <c r="AM8" s="15">
        <v>100</v>
      </c>
      <c r="AN8" s="15">
        <v>100</v>
      </c>
      <c r="AO8" s="15">
        <v>100</v>
      </c>
      <c r="AP8" s="15">
        <v>100</v>
      </c>
      <c r="AQ8" s="15">
        <v>100</v>
      </c>
      <c r="AR8" s="15">
        <v>96</v>
      </c>
      <c r="AS8" s="15">
        <v>99.79</v>
      </c>
    </row>
    <row r="9" spans="1:45" ht="16.5" thickBot="1" x14ac:dyDescent="0.3">
      <c r="A9" s="10">
        <v>0.11</v>
      </c>
      <c r="B9" s="11">
        <v>5.0599999999999996</v>
      </c>
      <c r="C9" s="11">
        <v>5.56</v>
      </c>
      <c r="D9" s="11">
        <v>5.96</v>
      </c>
      <c r="E9" s="11">
        <v>6.26</v>
      </c>
      <c r="F9" s="11">
        <v>6.46</v>
      </c>
      <c r="G9" s="16">
        <v>6.56</v>
      </c>
      <c r="H9" s="11">
        <v>6.41</v>
      </c>
      <c r="I9" s="11">
        <v>6.26</v>
      </c>
      <c r="J9" s="11">
        <v>6.11</v>
      </c>
      <c r="K9" s="226">
        <v>5.96</v>
      </c>
      <c r="L9" s="11">
        <v>5.81</v>
      </c>
      <c r="M9" s="13">
        <v>5.66</v>
      </c>
      <c r="N9" s="13">
        <v>5.51</v>
      </c>
      <c r="O9" s="13">
        <v>5.36</v>
      </c>
      <c r="P9" s="13">
        <v>5.21</v>
      </c>
      <c r="Q9" s="11">
        <v>5.01</v>
      </c>
      <c r="R9" s="11">
        <v>4.8099999999999996</v>
      </c>
      <c r="S9" s="11">
        <v>4.51</v>
      </c>
      <c r="T9" s="11">
        <v>4.16</v>
      </c>
      <c r="U9" s="11">
        <v>3.76</v>
      </c>
      <c r="V9" s="11">
        <v>3.3099999999999996</v>
      </c>
      <c r="W9" s="11">
        <v>2.81</v>
      </c>
      <c r="X9" s="14"/>
      <c r="Y9" s="15">
        <v>8.6</v>
      </c>
      <c r="Z9" s="15">
        <v>100</v>
      </c>
      <c r="AA9" s="15">
        <v>100</v>
      </c>
      <c r="AB9" s="15">
        <v>100</v>
      </c>
      <c r="AC9" s="15">
        <v>100</v>
      </c>
      <c r="AD9" s="15">
        <v>100</v>
      </c>
      <c r="AE9" s="15">
        <v>100</v>
      </c>
      <c r="AF9" s="15">
        <v>100</v>
      </c>
      <c r="AG9" s="15">
        <v>100</v>
      </c>
      <c r="AH9" s="15">
        <v>100</v>
      </c>
      <c r="AI9" s="15">
        <v>100</v>
      </c>
      <c r="AJ9" s="15">
        <v>100</v>
      </c>
      <c r="AK9" s="15">
        <v>100</v>
      </c>
      <c r="AL9" s="15">
        <v>100</v>
      </c>
      <c r="AM9" s="15">
        <v>100</v>
      </c>
      <c r="AN9" s="15">
        <v>100</v>
      </c>
      <c r="AO9" s="15">
        <v>100</v>
      </c>
      <c r="AP9" s="15">
        <v>100</v>
      </c>
      <c r="AQ9" s="15">
        <v>98</v>
      </c>
      <c r="AR9" s="15">
        <v>95</v>
      </c>
      <c r="AS9" s="15">
        <v>99.63</v>
      </c>
    </row>
    <row r="10" spans="1:45" ht="19.5" thickBot="1" x14ac:dyDescent="0.35">
      <c r="A10" s="18">
        <v>0.12</v>
      </c>
      <c r="B10" s="19">
        <v>5.3</v>
      </c>
      <c r="C10" s="19">
        <v>5.8</v>
      </c>
      <c r="D10" s="19">
        <v>6.2</v>
      </c>
      <c r="E10" s="19">
        <v>6.5</v>
      </c>
      <c r="F10" s="19">
        <v>6.7</v>
      </c>
      <c r="G10" s="12">
        <v>6.8</v>
      </c>
      <c r="H10" s="19">
        <v>6.65</v>
      </c>
      <c r="I10" s="19">
        <v>6.5</v>
      </c>
      <c r="J10" s="19">
        <v>6.35</v>
      </c>
      <c r="K10" s="19">
        <v>6.2</v>
      </c>
      <c r="L10" s="225">
        <v>6.05</v>
      </c>
      <c r="M10" s="20">
        <v>5.9</v>
      </c>
      <c r="N10" s="20">
        <v>5.75</v>
      </c>
      <c r="O10" s="20">
        <v>5.6</v>
      </c>
      <c r="P10" s="20">
        <v>5.45</v>
      </c>
      <c r="Q10" s="20">
        <v>5.25</v>
      </c>
      <c r="R10" s="20">
        <v>5.05</v>
      </c>
      <c r="S10" s="20">
        <v>4.75</v>
      </c>
      <c r="T10" s="20">
        <v>4.4000000000000004</v>
      </c>
      <c r="U10" s="20">
        <v>4</v>
      </c>
      <c r="V10" s="20">
        <v>3.55</v>
      </c>
      <c r="W10" s="20">
        <v>3.05</v>
      </c>
      <c r="X10" s="9"/>
      <c r="Y10" s="15">
        <v>8.5</v>
      </c>
      <c r="Z10" s="15">
        <v>100</v>
      </c>
      <c r="AA10" s="15">
        <v>100</v>
      </c>
      <c r="AB10" s="15">
        <v>100</v>
      </c>
      <c r="AC10" s="15">
        <v>100</v>
      </c>
      <c r="AD10" s="15">
        <v>100</v>
      </c>
      <c r="AE10" s="15">
        <v>100</v>
      </c>
      <c r="AF10" s="15">
        <v>100</v>
      </c>
      <c r="AG10" s="15">
        <v>100</v>
      </c>
      <c r="AH10" s="15">
        <v>100</v>
      </c>
      <c r="AI10" s="15">
        <v>100</v>
      </c>
      <c r="AJ10" s="15">
        <v>100</v>
      </c>
      <c r="AK10" s="15">
        <v>100</v>
      </c>
      <c r="AL10" s="15">
        <v>100</v>
      </c>
      <c r="AM10" s="15">
        <v>100</v>
      </c>
      <c r="AN10" s="15">
        <v>100</v>
      </c>
      <c r="AO10" s="15">
        <v>100</v>
      </c>
      <c r="AP10" s="15">
        <v>100</v>
      </c>
      <c r="AQ10" s="15">
        <v>98</v>
      </c>
      <c r="AR10" s="15">
        <v>94</v>
      </c>
      <c r="AS10" s="15">
        <v>99.58</v>
      </c>
    </row>
    <row r="11" spans="1:45" ht="16.5" thickBot="1" x14ac:dyDescent="0.3">
      <c r="A11" s="10">
        <v>0.13</v>
      </c>
      <c r="B11" s="11">
        <v>5.52</v>
      </c>
      <c r="C11" s="11">
        <v>6.02</v>
      </c>
      <c r="D11" s="11">
        <v>6.42</v>
      </c>
      <c r="E11" s="11">
        <v>6.72</v>
      </c>
      <c r="F11" s="11">
        <v>6.92</v>
      </c>
      <c r="G11" s="21">
        <v>7.02</v>
      </c>
      <c r="H11" s="11">
        <v>6.87</v>
      </c>
      <c r="I11" s="11">
        <v>6.72</v>
      </c>
      <c r="J11" s="11">
        <v>6.57</v>
      </c>
      <c r="K11" s="11">
        <v>6.42</v>
      </c>
      <c r="L11" s="11">
        <v>6.27</v>
      </c>
      <c r="M11" s="13">
        <v>6.12</v>
      </c>
      <c r="N11" s="227">
        <v>5.97</v>
      </c>
      <c r="O11" s="13">
        <v>5.82</v>
      </c>
      <c r="P11" s="13">
        <v>5.67</v>
      </c>
      <c r="Q11" s="11">
        <v>5.47</v>
      </c>
      <c r="R11" s="11">
        <v>5.27</v>
      </c>
      <c r="S11" s="11">
        <v>4.97</v>
      </c>
      <c r="T11" s="11">
        <v>4.62</v>
      </c>
      <c r="U11" s="11">
        <v>4.22</v>
      </c>
      <c r="V11" s="11">
        <v>3.7699999999999996</v>
      </c>
      <c r="W11" s="11">
        <v>3.2699999999999996</v>
      </c>
      <c r="X11" s="14"/>
      <c r="Y11" s="15">
        <v>8.4</v>
      </c>
      <c r="Z11" s="15">
        <v>100</v>
      </c>
      <c r="AA11" s="15">
        <v>100</v>
      </c>
      <c r="AB11" s="15">
        <v>100</v>
      </c>
      <c r="AC11" s="15">
        <v>100</v>
      </c>
      <c r="AD11" s="15">
        <v>100</v>
      </c>
      <c r="AE11" s="15">
        <v>100</v>
      </c>
      <c r="AF11" s="15">
        <v>100</v>
      </c>
      <c r="AG11" s="15">
        <v>100</v>
      </c>
      <c r="AH11" s="15">
        <v>100</v>
      </c>
      <c r="AI11" s="15">
        <v>100</v>
      </c>
      <c r="AJ11" s="15">
        <v>100</v>
      </c>
      <c r="AK11" s="15">
        <v>100</v>
      </c>
      <c r="AL11" s="15">
        <v>100</v>
      </c>
      <c r="AM11" s="15">
        <v>100</v>
      </c>
      <c r="AN11" s="15">
        <v>100</v>
      </c>
      <c r="AO11" s="15">
        <v>100</v>
      </c>
      <c r="AP11" s="15">
        <v>99</v>
      </c>
      <c r="AQ11" s="15">
        <v>96</v>
      </c>
      <c r="AR11" s="15">
        <v>93</v>
      </c>
      <c r="AS11" s="15">
        <v>99.37</v>
      </c>
    </row>
    <row r="12" spans="1:45" ht="16.5" thickBot="1" x14ac:dyDescent="0.3">
      <c r="A12" s="10">
        <v>0.14000000000000001</v>
      </c>
      <c r="B12" s="11">
        <v>5.72</v>
      </c>
      <c r="C12" s="11">
        <v>6.22</v>
      </c>
      <c r="D12" s="11">
        <v>6.62</v>
      </c>
      <c r="E12" s="11">
        <v>6.92</v>
      </c>
      <c r="F12" s="11">
        <v>7.1199999999999992</v>
      </c>
      <c r="G12" s="12">
        <v>7.2200000000000006</v>
      </c>
      <c r="H12" s="11">
        <v>7.07</v>
      </c>
      <c r="I12" s="11">
        <v>6.92</v>
      </c>
      <c r="J12" s="11">
        <v>6.77</v>
      </c>
      <c r="K12" s="11">
        <v>6.62</v>
      </c>
      <c r="L12" s="11">
        <v>6.47</v>
      </c>
      <c r="M12" s="13">
        <v>6.32</v>
      </c>
      <c r="N12" s="13">
        <v>6.17</v>
      </c>
      <c r="O12" s="227">
        <v>6.02</v>
      </c>
      <c r="P12" s="13">
        <v>5.87</v>
      </c>
      <c r="Q12" s="11">
        <v>5.67</v>
      </c>
      <c r="R12" s="11">
        <v>5.47</v>
      </c>
      <c r="S12" s="11">
        <v>5.17</v>
      </c>
      <c r="T12" s="11">
        <v>4.82</v>
      </c>
      <c r="U12" s="11">
        <v>4.42</v>
      </c>
      <c r="V12" s="11">
        <v>3.9699999999999998</v>
      </c>
      <c r="W12" s="11">
        <v>3.4699999999999998</v>
      </c>
      <c r="X12" s="14"/>
      <c r="Y12" s="15">
        <v>8.3000000000000007</v>
      </c>
      <c r="Z12" s="15">
        <v>100</v>
      </c>
      <c r="AA12" s="15">
        <v>100</v>
      </c>
      <c r="AB12" s="15">
        <v>100</v>
      </c>
      <c r="AC12" s="15">
        <v>100</v>
      </c>
      <c r="AD12" s="15">
        <v>100</v>
      </c>
      <c r="AE12" s="15">
        <v>100</v>
      </c>
      <c r="AF12" s="15">
        <v>100</v>
      </c>
      <c r="AG12" s="15">
        <v>100</v>
      </c>
      <c r="AH12" s="15">
        <v>100</v>
      </c>
      <c r="AI12" s="15">
        <v>100</v>
      </c>
      <c r="AJ12" s="15">
        <v>100</v>
      </c>
      <c r="AK12" s="15">
        <v>100</v>
      </c>
      <c r="AL12" s="15">
        <v>100</v>
      </c>
      <c r="AM12" s="15">
        <v>100</v>
      </c>
      <c r="AN12" s="15">
        <v>100</v>
      </c>
      <c r="AO12" s="15">
        <v>100</v>
      </c>
      <c r="AP12" s="15">
        <v>99</v>
      </c>
      <c r="AQ12" s="15">
        <v>95</v>
      </c>
      <c r="AR12" s="15">
        <v>92</v>
      </c>
      <c r="AS12" s="15">
        <v>99.26</v>
      </c>
    </row>
    <row r="13" spans="1:45" ht="16.5" thickBot="1" x14ac:dyDescent="0.3">
      <c r="A13" s="10">
        <v>0.15</v>
      </c>
      <c r="B13" s="11">
        <v>5.91</v>
      </c>
      <c r="C13" s="11">
        <v>6.41</v>
      </c>
      <c r="D13" s="11">
        <v>6.81</v>
      </c>
      <c r="E13" s="11">
        <v>7.1099999999999994</v>
      </c>
      <c r="F13" s="11">
        <v>7.3100000000000005</v>
      </c>
      <c r="G13" s="12">
        <v>7.41</v>
      </c>
      <c r="H13" s="11">
        <v>7.26</v>
      </c>
      <c r="I13" s="11">
        <v>7.1099999999999994</v>
      </c>
      <c r="J13" s="11">
        <v>6.96</v>
      </c>
      <c r="K13" s="11">
        <v>6.81</v>
      </c>
      <c r="L13" s="11">
        <v>6.66</v>
      </c>
      <c r="M13" s="13">
        <v>6.51</v>
      </c>
      <c r="N13" s="13">
        <v>6.36</v>
      </c>
      <c r="O13" s="13">
        <v>6.21</v>
      </c>
      <c r="P13" s="227">
        <v>6.06</v>
      </c>
      <c r="Q13" s="11">
        <v>5.86</v>
      </c>
      <c r="R13" s="11">
        <v>5.66</v>
      </c>
      <c r="S13" s="11">
        <v>5.36</v>
      </c>
      <c r="T13" s="11">
        <v>5.01</v>
      </c>
      <c r="U13" s="11">
        <v>4.6100000000000003</v>
      </c>
      <c r="V13" s="11">
        <v>4.16</v>
      </c>
      <c r="W13" s="11">
        <v>3.66</v>
      </c>
      <c r="X13" s="14"/>
      <c r="Y13" s="15">
        <v>8.1999999999999993</v>
      </c>
      <c r="Z13" s="15">
        <v>100</v>
      </c>
      <c r="AA13" s="15">
        <v>100</v>
      </c>
      <c r="AB13" s="15">
        <v>100</v>
      </c>
      <c r="AC13" s="15">
        <v>100</v>
      </c>
      <c r="AD13" s="15">
        <v>100</v>
      </c>
      <c r="AE13" s="15">
        <v>100</v>
      </c>
      <c r="AF13" s="15">
        <v>100</v>
      </c>
      <c r="AG13" s="15">
        <v>100</v>
      </c>
      <c r="AH13" s="15">
        <v>100</v>
      </c>
      <c r="AI13" s="15">
        <v>100</v>
      </c>
      <c r="AJ13" s="15">
        <v>100</v>
      </c>
      <c r="AK13" s="15">
        <v>100</v>
      </c>
      <c r="AL13" s="15">
        <v>100</v>
      </c>
      <c r="AM13" s="15">
        <v>100</v>
      </c>
      <c r="AN13" s="15">
        <v>100</v>
      </c>
      <c r="AO13" s="15">
        <v>100</v>
      </c>
      <c r="AP13" s="15">
        <v>97</v>
      </c>
      <c r="AQ13" s="15">
        <v>94</v>
      </c>
      <c r="AR13" s="15">
        <v>91</v>
      </c>
      <c r="AS13" s="15">
        <v>99.05</v>
      </c>
    </row>
    <row r="14" spans="1:45" ht="16.5" thickBot="1" x14ac:dyDescent="0.3">
      <c r="A14" s="10">
        <v>0.16</v>
      </c>
      <c r="B14" s="11">
        <v>6.09</v>
      </c>
      <c r="C14" s="11">
        <v>6.59</v>
      </c>
      <c r="D14" s="11">
        <v>6.99</v>
      </c>
      <c r="E14" s="11">
        <v>7.2899999999999991</v>
      </c>
      <c r="F14" s="11">
        <v>7.49</v>
      </c>
      <c r="G14" s="16">
        <v>7.59</v>
      </c>
      <c r="H14" s="11">
        <v>7.4399999999999995</v>
      </c>
      <c r="I14" s="11">
        <v>7.2899999999999991</v>
      </c>
      <c r="J14" s="11">
        <v>7.1400000000000006</v>
      </c>
      <c r="K14" s="11">
        <v>6.99</v>
      </c>
      <c r="L14" s="11">
        <v>6.84</v>
      </c>
      <c r="M14" s="13">
        <v>6.69</v>
      </c>
      <c r="N14" s="13">
        <v>6.54</v>
      </c>
      <c r="O14" s="13">
        <v>6.39</v>
      </c>
      <c r="P14" s="13">
        <v>6.24</v>
      </c>
      <c r="Q14" s="226">
        <v>6.04</v>
      </c>
      <c r="R14" s="11">
        <v>5.84</v>
      </c>
      <c r="S14" s="11">
        <v>5.54</v>
      </c>
      <c r="T14" s="11">
        <v>5.19</v>
      </c>
      <c r="U14" s="11">
        <v>4.79</v>
      </c>
      <c r="V14" s="11">
        <v>4.34</v>
      </c>
      <c r="W14" s="11">
        <v>3.84</v>
      </c>
      <c r="X14" s="14"/>
      <c r="Y14" s="15">
        <v>8.1</v>
      </c>
      <c r="Z14" s="15">
        <v>100</v>
      </c>
      <c r="AA14" s="15">
        <v>100</v>
      </c>
      <c r="AB14" s="15">
        <v>100</v>
      </c>
      <c r="AC14" s="15">
        <v>100</v>
      </c>
      <c r="AD14" s="15">
        <v>100</v>
      </c>
      <c r="AE14" s="15">
        <v>100</v>
      </c>
      <c r="AF14" s="15">
        <v>100</v>
      </c>
      <c r="AG14" s="15">
        <v>100</v>
      </c>
      <c r="AH14" s="15">
        <v>100</v>
      </c>
      <c r="AI14" s="15">
        <v>100</v>
      </c>
      <c r="AJ14" s="15">
        <v>100</v>
      </c>
      <c r="AK14" s="15">
        <v>100</v>
      </c>
      <c r="AL14" s="15">
        <v>100</v>
      </c>
      <c r="AM14" s="15">
        <v>100</v>
      </c>
      <c r="AN14" s="15">
        <v>100</v>
      </c>
      <c r="AO14" s="15">
        <v>100</v>
      </c>
      <c r="AP14" s="15">
        <v>97</v>
      </c>
      <c r="AQ14" s="15">
        <v>93</v>
      </c>
      <c r="AR14" s="15">
        <v>90</v>
      </c>
      <c r="AS14" s="15">
        <v>98.95</v>
      </c>
    </row>
    <row r="15" spans="1:45" ht="19.5" thickBot="1" x14ac:dyDescent="0.35">
      <c r="A15" s="18">
        <v>0.17</v>
      </c>
      <c r="B15" s="19">
        <v>6.25</v>
      </c>
      <c r="C15" s="19">
        <v>6.75</v>
      </c>
      <c r="D15" s="19">
        <v>7.15</v>
      </c>
      <c r="E15" s="19">
        <v>7.4499999999999993</v>
      </c>
      <c r="F15" s="19">
        <v>7.65</v>
      </c>
      <c r="G15" s="12">
        <v>7.75</v>
      </c>
      <c r="H15" s="19">
        <v>7.6</v>
      </c>
      <c r="I15" s="19">
        <v>7.4499999999999993</v>
      </c>
      <c r="J15" s="19">
        <v>7.3000000000000007</v>
      </c>
      <c r="K15" s="19">
        <v>7.15</v>
      </c>
      <c r="L15" s="19">
        <v>7</v>
      </c>
      <c r="M15" s="20">
        <v>6.85</v>
      </c>
      <c r="N15" s="20">
        <v>6.7</v>
      </c>
      <c r="O15" s="20">
        <v>6.55</v>
      </c>
      <c r="P15" s="20">
        <v>6.4</v>
      </c>
      <c r="Q15" s="19">
        <v>6.2</v>
      </c>
      <c r="R15" s="225">
        <v>6</v>
      </c>
      <c r="S15" s="19">
        <v>5.7</v>
      </c>
      <c r="T15" s="19">
        <v>5.35</v>
      </c>
      <c r="U15" s="19">
        <v>4.95</v>
      </c>
      <c r="V15" s="19">
        <v>4.5</v>
      </c>
      <c r="W15" s="19">
        <v>4</v>
      </c>
      <c r="X15" s="17"/>
      <c r="Y15" s="15">
        <v>8</v>
      </c>
      <c r="Z15" s="15">
        <v>100</v>
      </c>
      <c r="AA15" s="15">
        <v>100</v>
      </c>
      <c r="AB15" s="15">
        <v>100</v>
      </c>
      <c r="AC15" s="15">
        <v>100</v>
      </c>
      <c r="AD15" s="15">
        <v>100</v>
      </c>
      <c r="AE15" s="15">
        <v>100</v>
      </c>
      <c r="AF15" s="15">
        <v>100</v>
      </c>
      <c r="AG15" s="15">
        <v>100</v>
      </c>
      <c r="AH15" s="15">
        <v>100</v>
      </c>
      <c r="AI15" s="15">
        <v>99</v>
      </c>
      <c r="AJ15" s="15">
        <v>100</v>
      </c>
      <c r="AK15" s="15">
        <v>100</v>
      </c>
      <c r="AL15" s="15">
        <v>100</v>
      </c>
      <c r="AM15" s="15">
        <v>100</v>
      </c>
      <c r="AN15" s="15">
        <v>100</v>
      </c>
      <c r="AO15" s="15">
        <v>99</v>
      </c>
      <c r="AP15" s="15">
        <v>95</v>
      </c>
      <c r="AQ15" s="15">
        <v>92</v>
      </c>
      <c r="AR15" s="15">
        <v>89</v>
      </c>
      <c r="AS15" s="15">
        <v>98.63</v>
      </c>
    </row>
    <row r="16" spans="1:45" ht="16.5" thickBot="1" x14ac:dyDescent="0.3">
      <c r="A16" s="10">
        <v>0.18</v>
      </c>
      <c r="B16" s="11">
        <v>6.4</v>
      </c>
      <c r="C16" s="11">
        <v>6.9</v>
      </c>
      <c r="D16" s="11">
        <v>7.3000000000000007</v>
      </c>
      <c r="E16" s="11">
        <v>7.6</v>
      </c>
      <c r="F16" s="11">
        <v>7.8000000000000007</v>
      </c>
      <c r="G16" s="21">
        <v>7.9</v>
      </c>
      <c r="H16" s="11">
        <v>7.75</v>
      </c>
      <c r="I16" s="11">
        <v>7.6</v>
      </c>
      <c r="J16" s="11">
        <v>7.4499999999999993</v>
      </c>
      <c r="K16" s="11">
        <v>7.3000000000000007</v>
      </c>
      <c r="L16" s="11">
        <v>7.15</v>
      </c>
      <c r="M16" s="13">
        <v>7</v>
      </c>
      <c r="N16" s="13">
        <v>6.85</v>
      </c>
      <c r="O16" s="13">
        <v>6.7</v>
      </c>
      <c r="P16" s="13">
        <v>6.55</v>
      </c>
      <c r="Q16" s="11">
        <v>6.35</v>
      </c>
      <c r="R16" s="11">
        <v>6.15</v>
      </c>
      <c r="S16" s="226">
        <v>5.85</v>
      </c>
      <c r="T16" s="11">
        <v>5.5</v>
      </c>
      <c r="U16" s="11">
        <v>5.0999999999999996</v>
      </c>
      <c r="V16" s="11">
        <v>4.6500000000000004</v>
      </c>
      <c r="W16" s="11">
        <v>4.1500000000000004</v>
      </c>
      <c r="X16" s="14"/>
      <c r="Y16" s="15">
        <v>7.9</v>
      </c>
      <c r="Z16" s="15">
        <v>100</v>
      </c>
      <c r="AA16" s="15">
        <v>100</v>
      </c>
      <c r="AB16" s="15">
        <v>100</v>
      </c>
      <c r="AC16" s="15">
        <v>100</v>
      </c>
      <c r="AD16" s="15">
        <v>100</v>
      </c>
      <c r="AE16" s="15">
        <v>100</v>
      </c>
      <c r="AF16" s="15">
        <v>100</v>
      </c>
      <c r="AG16" s="15">
        <v>100</v>
      </c>
      <c r="AH16" s="15">
        <v>100</v>
      </c>
      <c r="AI16" s="15">
        <v>99</v>
      </c>
      <c r="AJ16" s="15">
        <v>100</v>
      </c>
      <c r="AK16" s="15">
        <v>100</v>
      </c>
      <c r="AL16" s="15">
        <v>100</v>
      </c>
      <c r="AM16" s="15">
        <v>100</v>
      </c>
      <c r="AN16" s="15">
        <v>100</v>
      </c>
      <c r="AO16" s="15">
        <v>98</v>
      </c>
      <c r="AP16" s="15">
        <v>95</v>
      </c>
      <c r="AQ16" s="15">
        <v>92</v>
      </c>
      <c r="AR16" s="15">
        <v>88</v>
      </c>
      <c r="AS16" s="15">
        <v>98.53</v>
      </c>
    </row>
    <row r="17" spans="1:45" ht="16.5" thickBot="1" x14ac:dyDescent="0.3">
      <c r="A17" s="10">
        <v>0.19</v>
      </c>
      <c r="B17" s="11">
        <v>6.54</v>
      </c>
      <c r="C17" s="11">
        <v>7.0399999999999991</v>
      </c>
      <c r="D17" s="11">
        <v>7.4399999999999995</v>
      </c>
      <c r="E17" s="11">
        <v>7.74</v>
      </c>
      <c r="F17" s="11">
        <v>7.9399999999999995</v>
      </c>
      <c r="G17" s="16">
        <v>8.0399999999999991</v>
      </c>
      <c r="H17" s="11">
        <v>7.8900000000000006</v>
      </c>
      <c r="I17" s="11">
        <v>7.74</v>
      </c>
      <c r="J17" s="11">
        <v>7.59</v>
      </c>
      <c r="K17" s="11">
        <v>7.4399999999999995</v>
      </c>
      <c r="L17" s="11">
        <v>7.2899999999999991</v>
      </c>
      <c r="M17" s="13">
        <v>7.1400000000000006</v>
      </c>
      <c r="N17" s="13">
        <v>6.99</v>
      </c>
      <c r="O17" s="13">
        <v>6.84</v>
      </c>
      <c r="P17" s="13">
        <v>6.69</v>
      </c>
      <c r="Q17" s="11">
        <v>6.49</v>
      </c>
      <c r="R17" s="11">
        <v>6.29</v>
      </c>
      <c r="S17" s="226">
        <v>5.99</v>
      </c>
      <c r="T17" s="11">
        <v>5.64</v>
      </c>
      <c r="U17" s="11">
        <v>5.24</v>
      </c>
      <c r="V17" s="11">
        <v>4.79</v>
      </c>
      <c r="W17" s="11">
        <v>4.29</v>
      </c>
      <c r="X17" s="14"/>
      <c r="Y17" s="15">
        <v>7.8</v>
      </c>
      <c r="Z17" s="15">
        <v>100</v>
      </c>
      <c r="AA17" s="15">
        <v>100</v>
      </c>
      <c r="AB17" s="15">
        <v>100</v>
      </c>
      <c r="AC17" s="15">
        <v>100</v>
      </c>
      <c r="AD17" s="15">
        <v>100</v>
      </c>
      <c r="AE17" s="15">
        <v>100</v>
      </c>
      <c r="AF17" s="15">
        <v>100</v>
      </c>
      <c r="AG17" s="15">
        <v>100</v>
      </c>
      <c r="AH17" s="15">
        <v>100</v>
      </c>
      <c r="AI17" s="15">
        <v>98</v>
      </c>
      <c r="AJ17" s="15">
        <v>100</v>
      </c>
      <c r="AK17" s="15">
        <v>100</v>
      </c>
      <c r="AL17" s="15">
        <v>100</v>
      </c>
      <c r="AM17" s="15">
        <v>100</v>
      </c>
      <c r="AN17" s="15">
        <v>100</v>
      </c>
      <c r="AO17" s="15">
        <v>97</v>
      </c>
      <c r="AP17" s="15">
        <v>94</v>
      </c>
      <c r="AQ17" s="15">
        <v>91</v>
      </c>
      <c r="AR17" s="15">
        <v>87</v>
      </c>
      <c r="AS17" s="15">
        <v>98.26</v>
      </c>
    </row>
    <row r="18" spans="1:45" ht="19.5" thickBot="1" x14ac:dyDescent="0.35">
      <c r="A18" s="18">
        <v>0.2</v>
      </c>
      <c r="B18" s="22">
        <v>6.67</v>
      </c>
      <c r="C18" s="22">
        <v>7.17</v>
      </c>
      <c r="D18" s="22">
        <v>7.57</v>
      </c>
      <c r="E18" s="22">
        <v>7.8699999999999992</v>
      </c>
      <c r="F18" s="22">
        <v>8.07</v>
      </c>
      <c r="G18" s="19">
        <v>8.17</v>
      </c>
      <c r="H18" s="22">
        <v>8.02</v>
      </c>
      <c r="I18" s="22">
        <v>7.8699999999999992</v>
      </c>
      <c r="J18" s="22">
        <v>7.7200000000000006</v>
      </c>
      <c r="K18" s="22">
        <v>7.57</v>
      </c>
      <c r="L18" s="22">
        <v>7.42</v>
      </c>
      <c r="M18" s="22">
        <v>7.27</v>
      </c>
      <c r="N18" s="22">
        <v>7.1199999999999992</v>
      </c>
      <c r="O18" s="22">
        <v>6.97</v>
      </c>
      <c r="P18" s="22">
        <v>6.82</v>
      </c>
      <c r="Q18" s="22">
        <v>6.62</v>
      </c>
      <c r="R18" s="22">
        <v>6.42</v>
      </c>
      <c r="S18" s="228">
        <v>6.12</v>
      </c>
      <c r="T18" s="22">
        <v>5.77</v>
      </c>
      <c r="U18" s="22">
        <v>5.37</v>
      </c>
      <c r="V18" s="22">
        <v>4.92</v>
      </c>
      <c r="W18" s="22">
        <v>4.42</v>
      </c>
      <c r="X18" s="14"/>
      <c r="Y18" s="15">
        <v>7.7</v>
      </c>
      <c r="Z18" s="15">
        <v>100</v>
      </c>
      <c r="AA18" s="15">
        <v>100</v>
      </c>
      <c r="AB18" s="15">
        <v>100</v>
      </c>
      <c r="AC18" s="15">
        <v>100</v>
      </c>
      <c r="AD18" s="15">
        <v>100</v>
      </c>
      <c r="AE18" s="15">
        <v>100</v>
      </c>
      <c r="AF18" s="15">
        <v>100</v>
      </c>
      <c r="AG18" s="15">
        <v>100</v>
      </c>
      <c r="AH18" s="15">
        <v>100</v>
      </c>
      <c r="AI18" s="15">
        <v>97</v>
      </c>
      <c r="AJ18" s="15">
        <v>100</v>
      </c>
      <c r="AK18" s="15">
        <v>100</v>
      </c>
      <c r="AL18" s="15">
        <v>100</v>
      </c>
      <c r="AM18" s="15">
        <v>100</v>
      </c>
      <c r="AN18" s="15">
        <v>99</v>
      </c>
      <c r="AO18" s="15">
        <v>96</v>
      </c>
      <c r="AP18" s="15">
        <v>93</v>
      </c>
      <c r="AQ18" s="15">
        <v>89</v>
      </c>
      <c r="AR18" s="15">
        <v>86</v>
      </c>
      <c r="AS18" s="15">
        <v>97.89</v>
      </c>
    </row>
    <row r="19" spans="1:45" ht="16.5" thickBot="1" x14ac:dyDescent="0.3">
      <c r="A19" s="10">
        <v>0.21</v>
      </c>
      <c r="B19" s="11">
        <v>6.8</v>
      </c>
      <c r="C19" s="11">
        <v>7.3000000000000007</v>
      </c>
      <c r="D19" s="11">
        <v>7.6999999999999993</v>
      </c>
      <c r="E19" s="11">
        <v>8</v>
      </c>
      <c r="F19" s="11">
        <v>8.1999999999999993</v>
      </c>
      <c r="G19" s="21">
        <v>8.3000000000000007</v>
      </c>
      <c r="H19" s="11">
        <v>8.15</v>
      </c>
      <c r="I19" s="11">
        <v>8</v>
      </c>
      <c r="J19" s="11">
        <v>7.85</v>
      </c>
      <c r="K19" s="11">
        <v>7.6999999999999993</v>
      </c>
      <c r="L19" s="11">
        <v>7.5500000000000007</v>
      </c>
      <c r="M19" s="13">
        <v>7.4</v>
      </c>
      <c r="N19" s="13">
        <v>7.25</v>
      </c>
      <c r="O19" s="13">
        <v>7.1</v>
      </c>
      <c r="P19" s="13">
        <v>6.95</v>
      </c>
      <c r="Q19" s="11">
        <v>6.75</v>
      </c>
      <c r="R19" s="11">
        <v>6.55</v>
      </c>
      <c r="S19" s="226">
        <v>6.25</v>
      </c>
      <c r="T19" s="11">
        <v>5.9</v>
      </c>
      <c r="U19" s="11">
        <v>5.5</v>
      </c>
      <c r="V19" s="11">
        <v>5.05</v>
      </c>
      <c r="W19" s="11">
        <v>4.55</v>
      </c>
      <c r="X19" s="14"/>
      <c r="Y19" s="15">
        <v>7.6</v>
      </c>
      <c r="Z19" s="15">
        <v>100</v>
      </c>
      <c r="AA19" s="15">
        <v>100</v>
      </c>
      <c r="AB19" s="15">
        <v>100</v>
      </c>
      <c r="AC19" s="15">
        <v>100</v>
      </c>
      <c r="AD19" s="15">
        <v>100</v>
      </c>
      <c r="AE19" s="15">
        <v>100</v>
      </c>
      <c r="AF19" s="15">
        <v>100</v>
      </c>
      <c r="AG19" s="15">
        <v>100</v>
      </c>
      <c r="AH19" s="15">
        <v>100</v>
      </c>
      <c r="AI19" s="15">
        <v>96</v>
      </c>
      <c r="AJ19" s="15">
        <v>100</v>
      </c>
      <c r="AK19" s="15">
        <v>100</v>
      </c>
      <c r="AL19" s="15">
        <v>100</v>
      </c>
      <c r="AM19" s="15">
        <v>100</v>
      </c>
      <c r="AN19" s="15">
        <v>98</v>
      </c>
      <c r="AO19" s="15">
        <v>95</v>
      </c>
      <c r="AP19" s="15">
        <v>91</v>
      </c>
      <c r="AQ19" s="15">
        <v>88</v>
      </c>
      <c r="AR19" s="15">
        <v>85</v>
      </c>
      <c r="AS19" s="15">
        <v>97.53</v>
      </c>
    </row>
    <row r="20" spans="1:45" ht="16.5" thickBot="1" x14ac:dyDescent="0.3">
      <c r="A20" s="10">
        <v>0.22</v>
      </c>
      <c r="B20" s="11">
        <v>6.91</v>
      </c>
      <c r="C20" s="11">
        <v>7.41</v>
      </c>
      <c r="D20" s="11">
        <v>7.8100000000000005</v>
      </c>
      <c r="E20" s="11">
        <v>8.11</v>
      </c>
      <c r="F20" s="11">
        <v>8.31</v>
      </c>
      <c r="G20" s="12">
        <v>8.33</v>
      </c>
      <c r="H20" s="11">
        <v>8.26</v>
      </c>
      <c r="I20" s="11">
        <v>8.11</v>
      </c>
      <c r="J20" s="11">
        <v>7.9600000000000009</v>
      </c>
      <c r="K20" s="11">
        <v>7.8100000000000005</v>
      </c>
      <c r="L20" s="11">
        <v>7.66</v>
      </c>
      <c r="M20" s="13">
        <v>7.51</v>
      </c>
      <c r="N20" s="13">
        <v>7.3599999999999994</v>
      </c>
      <c r="O20" s="13">
        <v>7.2100000000000009</v>
      </c>
      <c r="P20" s="13">
        <v>7.0600000000000005</v>
      </c>
      <c r="Q20" s="11">
        <v>6.86</v>
      </c>
      <c r="R20" s="11">
        <v>6.66</v>
      </c>
      <c r="S20" s="11">
        <v>6.36</v>
      </c>
      <c r="T20" s="226">
        <v>6.01</v>
      </c>
      <c r="U20" s="11">
        <v>5.61</v>
      </c>
      <c r="V20" s="11">
        <v>5.16</v>
      </c>
      <c r="W20" s="11">
        <v>4.66</v>
      </c>
      <c r="X20" s="14"/>
      <c r="Y20" s="15">
        <v>7.5</v>
      </c>
      <c r="Z20" s="15">
        <v>100</v>
      </c>
      <c r="AA20" s="15">
        <v>100</v>
      </c>
      <c r="AB20" s="15">
        <v>100</v>
      </c>
      <c r="AC20" s="15">
        <v>100</v>
      </c>
      <c r="AD20" s="15">
        <v>100</v>
      </c>
      <c r="AE20" s="15">
        <v>100</v>
      </c>
      <c r="AF20" s="15">
        <v>100</v>
      </c>
      <c r="AG20" s="15">
        <v>100</v>
      </c>
      <c r="AH20" s="15">
        <v>100</v>
      </c>
      <c r="AI20" s="15">
        <v>96</v>
      </c>
      <c r="AJ20" s="15">
        <v>100</v>
      </c>
      <c r="AK20" s="15">
        <v>100</v>
      </c>
      <c r="AL20" s="15">
        <v>100</v>
      </c>
      <c r="AM20" s="15">
        <v>100</v>
      </c>
      <c r="AN20" s="15">
        <v>98</v>
      </c>
      <c r="AO20" s="15">
        <v>95</v>
      </c>
      <c r="AP20" s="15">
        <v>91</v>
      </c>
      <c r="AQ20" s="15">
        <v>88</v>
      </c>
      <c r="AR20" s="15">
        <v>84</v>
      </c>
      <c r="AS20" s="15">
        <v>97.47</v>
      </c>
    </row>
    <row r="21" spans="1:45" ht="16.5" thickBot="1" x14ac:dyDescent="0.3">
      <c r="A21" s="10">
        <v>0.23</v>
      </c>
      <c r="B21" s="11">
        <v>7.01</v>
      </c>
      <c r="C21" s="11">
        <v>7.51</v>
      </c>
      <c r="D21" s="11">
        <v>7.91</v>
      </c>
      <c r="E21" s="11">
        <v>8.2100000000000009</v>
      </c>
      <c r="F21" s="11">
        <v>8.33</v>
      </c>
      <c r="G21" s="12">
        <v>8.33</v>
      </c>
      <c r="H21" s="11">
        <v>8.33</v>
      </c>
      <c r="I21" s="11">
        <v>8.2100000000000009</v>
      </c>
      <c r="J21" s="11">
        <v>8.06</v>
      </c>
      <c r="K21" s="11">
        <v>7.91</v>
      </c>
      <c r="L21" s="11">
        <v>7.76</v>
      </c>
      <c r="M21" s="13">
        <v>7.6099999999999994</v>
      </c>
      <c r="N21" s="13">
        <v>7.4600000000000009</v>
      </c>
      <c r="O21" s="13">
        <v>7.3100000000000005</v>
      </c>
      <c r="P21" s="13">
        <v>7.16</v>
      </c>
      <c r="Q21" s="11">
        <v>6.96</v>
      </c>
      <c r="R21" s="11">
        <v>6.76</v>
      </c>
      <c r="S21" s="11">
        <v>6.46</v>
      </c>
      <c r="T21" s="226">
        <v>6.11</v>
      </c>
      <c r="U21" s="11">
        <v>5.71</v>
      </c>
      <c r="V21" s="11">
        <v>5.26</v>
      </c>
      <c r="W21" s="11">
        <v>4.76</v>
      </c>
      <c r="X21" s="14"/>
      <c r="Y21" s="15">
        <v>7.4</v>
      </c>
      <c r="Z21" s="15">
        <v>100</v>
      </c>
      <c r="AA21" s="15">
        <v>100</v>
      </c>
      <c r="AB21" s="15">
        <v>100</v>
      </c>
      <c r="AC21" s="15">
        <v>100</v>
      </c>
      <c r="AD21" s="15">
        <v>100</v>
      </c>
      <c r="AE21" s="15">
        <v>100</v>
      </c>
      <c r="AF21" s="15">
        <v>100</v>
      </c>
      <c r="AG21" s="15">
        <v>100</v>
      </c>
      <c r="AH21" s="15">
        <v>99</v>
      </c>
      <c r="AI21" s="15">
        <v>96</v>
      </c>
      <c r="AJ21" s="15">
        <v>100</v>
      </c>
      <c r="AK21" s="15">
        <v>100</v>
      </c>
      <c r="AL21" s="15">
        <v>100</v>
      </c>
      <c r="AM21" s="15">
        <v>100</v>
      </c>
      <c r="AN21" s="15">
        <v>97</v>
      </c>
      <c r="AO21" s="15">
        <v>94</v>
      </c>
      <c r="AP21" s="15">
        <v>90</v>
      </c>
      <c r="AQ21" s="15">
        <v>87</v>
      </c>
      <c r="AR21" s="15">
        <v>83</v>
      </c>
      <c r="AS21" s="15">
        <v>97.16</v>
      </c>
    </row>
    <row r="22" spans="1:45" ht="16.5" thickBot="1" x14ac:dyDescent="0.3">
      <c r="A22" s="10">
        <v>0.24</v>
      </c>
      <c r="B22" s="11">
        <v>7.1099999999999994</v>
      </c>
      <c r="C22" s="11">
        <v>7.6099999999999994</v>
      </c>
      <c r="D22" s="11">
        <v>8.01</v>
      </c>
      <c r="E22" s="11">
        <v>8.31</v>
      </c>
      <c r="F22" s="11">
        <v>8.33</v>
      </c>
      <c r="G22" s="12">
        <v>8.33</v>
      </c>
      <c r="H22" s="11">
        <v>8.33</v>
      </c>
      <c r="I22" s="11">
        <v>8.31</v>
      </c>
      <c r="J22" s="11">
        <v>8.16</v>
      </c>
      <c r="K22" s="11">
        <v>8.01</v>
      </c>
      <c r="L22" s="11">
        <v>7.8599999999999994</v>
      </c>
      <c r="M22" s="13">
        <v>7.7100000000000009</v>
      </c>
      <c r="N22" s="13">
        <v>7.5600000000000005</v>
      </c>
      <c r="O22" s="13">
        <v>7.41</v>
      </c>
      <c r="P22" s="13">
        <v>7.26</v>
      </c>
      <c r="Q22" s="11">
        <v>7.0600000000000005</v>
      </c>
      <c r="R22" s="11">
        <v>6.86</v>
      </c>
      <c r="S22" s="11">
        <v>6.56</v>
      </c>
      <c r="T22" s="226">
        <v>6.21</v>
      </c>
      <c r="U22" s="11">
        <v>5.81</v>
      </c>
      <c r="V22" s="11">
        <v>5.36</v>
      </c>
      <c r="W22" s="11">
        <v>4.8600000000000003</v>
      </c>
      <c r="X22" s="14"/>
      <c r="Y22" s="15">
        <v>7.3</v>
      </c>
      <c r="Z22" s="15">
        <v>100</v>
      </c>
      <c r="AA22" s="15">
        <v>100</v>
      </c>
      <c r="AB22" s="15">
        <v>100</v>
      </c>
      <c r="AC22" s="15">
        <v>100</v>
      </c>
      <c r="AD22" s="15">
        <v>100</v>
      </c>
      <c r="AE22" s="15">
        <v>100</v>
      </c>
      <c r="AF22" s="15">
        <v>100</v>
      </c>
      <c r="AG22" s="15">
        <v>100</v>
      </c>
      <c r="AH22" s="15">
        <v>98</v>
      </c>
      <c r="AI22" s="15">
        <v>95</v>
      </c>
      <c r="AJ22" s="15">
        <v>100</v>
      </c>
      <c r="AK22" s="15">
        <v>100</v>
      </c>
      <c r="AL22" s="15">
        <v>100</v>
      </c>
      <c r="AM22" s="15">
        <v>100</v>
      </c>
      <c r="AN22" s="15">
        <v>96</v>
      </c>
      <c r="AO22" s="15">
        <v>93</v>
      </c>
      <c r="AP22" s="15">
        <v>89</v>
      </c>
      <c r="AQ22" s="15">
        <v>86</v>
      </c>
      <c r="AR22" s="15">
        <v>82</v>
      </c>
      <c r="AS22" s="15">
        <v>96.79</v>
      </c>
    </row>
    <row r="23" spans="1:45" ht="16.5" thickBot="1" x14ac:dyDescent="0.3">
      <c r="A23" s="10">
        <v>0.25</v>
      </c>
      <c r="B23" s="11">
        <v>7.1999999999999993</v>
      </c>
      <c r="C23" s="11">
        <v>7.6999999999999993</v>
      </c>
      <c r="D23" s="11">
        <v>8.1</v>
      </c>
      <c r="E23" s="11">
        <v>8.33</v>
      </c>
      <c r="F23" s="11">
        <v>8.33</v>
      </c>
      <c r="G23" s="12">
        <v>8.33</v>
      </c>
      <c r="H23" s="11">
        <v>8.33</v>
      </c>
      <c r="I23" s="11">
        <v>8.33</v>
      </c>
      <c r="J23" s="11">
        <v>8.25</v>
      </c>
      <c r="K23" s="11">
        <v>8.1</v>
      </c>
      <c r="L23" s="11">
        <v>7.9499999999999993</v>
      </c>
      <c r="M23" s="13">
        <v>7.8000000000000007</v>
      </c>
      <c r="N23" s="13">
        <v>7.65</v>
      </c>
      <c r="O23" s="13">
        <v>7.5</v>
      </c>
      <c r="P23" s="13">
        <v>7.35</v>
      </c>
      <c r="Q23" s="11">
        <v>7.15</v>
      </c>
      <c r="R23" s="11">
        <v>6.95</v>
      </c>
      <c r="S23" s="11">
        <v>6.65</v>
      </c>
      <c r="T23" s="226">
        <v>6.3</v>
      </c>
      <c r="U23" s="11">
        <v>5.9</v>
      </c>
      <c r="V23" s="11">
        <v>5.45</v>
      </c>
      <c r="W23" s="11">
        <v>4.95</v>
      </c>
      <c r="X23" s="14"/>
      <c r="Y23" s="15">
        <v>7.2</v>
      </c>
      <c r="Z23" s="15">
        <v>100</v>
      </c>
      <c r="AA23" s="15">
        <v>100</v>
      </c>
      <c r="AB23" s="15">
        <v>100</v>
      </c>
      <c r="AC23" s="15">
        <v>100</v>
      </c>
      <c r="AD23" s="15">
        <v>100</v>
      </c>
      <c r="AE23" s="15">
        <v>100</v>
      </c>
      <c r="AF23" s="15">
        <v>100</v>
      </c>
      <c r="AG23" s="15">
        <v>100</v>
      </c>
      <c r="AH23" s="15">
        <v>98</v>
      </c>
      <c r="AI23" s="15">
        <v>94</v>
      </c>
      <c r="AJ23" s="15">
        <v>100</v>
      </c>
      <c r="AK23" s="15">
        <v>100</v>
      </c>
      <c r="AL23" s="15">
        <v>100</v>
      </c>
      <c r="AM23" s="15">
        <v>99</v>
      </c>
      <c r="AN23" s="15">
        <v>95</v>
      </c>
      <c r="AO23" s="15">
        <v>92</v>
      </c>
      <c r="AP23" s="15">
        <v>88</v>
      </c>
      <c r="AQ23" s="15">
        <v>85</v>
      </c>
      <c r="AR23" s="15">
        <v>81</v>
      </c>
      <c r="AS23" s="15">
        <v>96.42</v>
      </c>
    </row>
    <row r="24" spans="1:45" ht="16.5" thickBot="1" x14ac:dyDescent="0.3">
      <c r="A24" s="10">
        <v>0.26</v>
      </c>
      <c r="B24" s="11">
        <v>7.2799999999999994</v>
      </c>
      <c r="C24" s="11">
        <v>7.7799999999999994</v>
      </c>
      <c r="D24" s="11">
        <v>8.18</v>
      </c>
      <c r="E24" s="11">
        <v>8.33</v>
      </c>
      <c r="F24" s="11">
        <v>8.33</v>
      </c>
      <c r="G24" s="12">
        <v>8.33</v>
      </c>
      <c r="H24" s="11">
        <v>8.33</v>
      </c>
      <c r="I24" s="11">
        <v>8.33</v>
      </c>
      <c r="J24" s="11">
        <v>8.33</v>
      </c>
      <c r="K24" s="11">
        <v>8.18</v>
      </c>
      <c r="L24" s="11">
        <v>8.0299999999999994</v>
      </c>
      <c r="M24" s="13">
        <v>7.8800000000000008</v>
      </c>
      <c r="N24" s="13">
        <v>7.73</v>
      </c>
      <c r="O24" s="13">
        <v>7.58</v>
      </c>
      <c r="P24" s="13">
        <v>7.43</v>
      </c>
      <c r="Q24" s="11">
        <v>7.23</v>
      </c>
      <c r="R24" s="11">
        <v>7.0299999999999994</v>
      </c>
      <c r="S24" s="11">
        <v>6.73</v>
      </c>
      <c r="T24" s="11">
        <v>6.38</v>
      </c>
      <c r="U24" s="226">
        <v>5.98</v>
      </c>
      <c r="V24" s="11">
        <v>5.53</v>
      </c>
      <c r="W24" s="11">
        <v>5.03</v>
      </c>
      <c r="X24" s="14"/>
      <c r="Y24" s="15">
        <v>7.1</v>
      </c>
      <c r="Z24" s="15">
        <v>100</v>
      </c>
      <c r="AA24" s="15">
        <v>100</v>
      </c>
      <c r="AB24" s="15">
        <v>100</v>
      </c>
      <c r="AC24" s="15">
        <v>100</v>
      </c>
      <c r="AD24" s="15">
        <v>100</v>
      </c>
      <c r="AE24" s="15">
        <v>100</v>
      </c>
      <c r="AF24" s="15">
        <v>100</v>
      </c>
      <c r="AG24" s="15">
        <v>100</v>
      </c>
      <c r="AH24" s="15">
        <v>97</v>
      </c>
      <c r="AI24" s="15">
        <v>94</v>
      </c>
      <c r="AJ24" s="15">
        <v>100</v>
      </c>
      <c r="AK24" s="15">
        <v>100</v>
      </c>
      <c r="AL24" s="15">
        <v>100</v>
      </c>
      <c r="AM24" s="15">
        <v>98</v>
      </c>
      <c r="AN24" s="15">
        <v>95</v>
      </c>
      <c r="AO24" s="15">
        <v>91</v>
      </c>
      <c r="AP24" s="15">
        <v>87</v>
      </c>
      <c r="AQ24" s="15">
        <v>84</v>
      </c>
      <c r="AR24" s="15">
        <v>80</v>
      </c>
      <c r="AS24" s="15">
        <v>96.11</v>
      </c>
    </row>
    <row r="25" spans="1:45" ht="16.5" thickBot="1" x14ac:dyDescent="0.3">
      <c r="A25" s="10">
        <v>0.27</v>
      </c>
      <c r="B25" s="11">
        <v>7.3599999999999994</v>
      </c>
      <c r="C25" s="11">
        <v>7.8599999999999994</v>
      </c>
      <c r="D25" s="11">
        <v>8.26</v>
      </c>
      <c r="E25" s="11">
        <v>8.33</v>
      </c>
      <c r="F25" s="11">
        <v>8.33</v>
      </c>
      <c r="G25" s="12">
        <v>8.33</v>
      </c>
      <c r="H25" s="11">
        <v>8.33</v>
      </c>
      <c r="I25" s="11">
        <v>8.33</v>
      </c>
      <c r="J25" s="11">
        <v>8.33</v>
      </c>
      <c r="K25" s="11">
        <v>8.26</v>
      </c>
      <c r="L25" s="11">
        <v>8.11</v>
      </c>
      <c r="M25" s="13">
        <v>7.9600000000000009</v>
      </c>
      <c r="N25" s="13">
        <v>7.8100000000000005</v>
      </c>
      <c r="O25" s="13">
        <v>7.66</v>
      </c>
      <c r="P25" s="13">
        <v>7.51</v>
      </c>
      <c r="Q25" s="11">
        <v>7.3100000000000005</v>
      </c>
      <c r="R25" s="11">
        <v>7.1099999999999994</v>
      </c>
      <c r="S25" s="11">
        <v>6.81</v>
      </c>
      <c r="T25" s="11">
        <v>6.46</v>
      </c>
      <c r="U25" s="226">
        <v>6.06</v>
      </c>
      <c r="V25" s="11">
        <v>5.61</v>
      </c>
      <c r="W25" s="11">
        <v>5.1100000000000003</v>
      </c>
      <c r="X25" s="14"/>
      <c r="Y25" s="15">
        <v>7</v>
      </c>
      <c r="Z25" s="15">
        <v>100</v>
      </c>
      <c r="AA25" s="15">
        <v>100</v>
      </c>
      <c r="AB25" s="15">
        <v>100</v>
      </c>
      <c r="AC25" s="15">
        <v>100</v>
      </c>
      <c r="AD25" s="15">
        <v>100</v>
      </c>
      <c r="AE25" s="15">
        <v>100</v>
      </c>
      <c r="AF25" s="15">
        <v>100</v>
      </c>
      <c r="AG25" s="15">
        <v>100</v>
      </c>
      <c r="AH25" s="15">
        <v>96</v>
      </c>
      <c r="AI25" s="15">
        <v>93</v>
      </c>
      <c r="AJ25" s="15">
        <v>100</v>
      </c>
      <c r="AK25" s="15">
        <v>100</v>
      </c>
      <c r="AL25" s="15">
        <v>100</v>
      </c>
      <c r="AM25" s="15">
        <v>97</v>
      </c>
      <c r="AN25" s="15">
        <v>94</v>
      </c>
      <c r="AO25" s="15">
        <v>90</v>
      </c>
      <c r="AP25" s="15">
        <v>86</v>
      </c>
      <c r="AQ25" s="15">
        <v>82</v>
      </c>
      <c r="AR25" s="15">
        <v>79</v>
      </c>
      <c r="AS25" s="15">
        <v>95.79</v>
      </c>
    </row>
    <row r="26" spans="1:45" ht="16.5" thickBot="1" x14ac:dyDescent="0.3">
      <c r="A26" s="10">
        <v>0.28000000000000003</v>
      </c>
      <c r="B26" s="11">
        <v>7.43</v>
      </c>
      <c r="C26" s="11">
        <v>7.93</v>
      </c>
      <c r="D26" s="11">
        <v>8.33</v>
      </c>
      <c r="E26" s="11">
        <v>8.33</v>
      </c>
      <c r="F26" s="11">
        <v>8.33</v>
      </c>
      <c r="G26" s="12">
        <v>8.33</v>
      </c>
      <c r="H26" s="11">
        <v>8.33</v>
      </c>
      <c r="I26" s="11">
        <v>8.33</v>
      </c>
      <c r="J26" s="11">
        <v>8.33</v>
      </c>
      <c r="K26" s="11">
        <v>8.33</v>
      </c>
      <c r="L26" s="11">
        <v>8.18</v>
      </c>
      <c r="M26" s="13">
        <v>8.0299999999999994</v>
      </c>
      <c r="N26" s="13">
        <v>7.8800000000000008</v>
      </c>
      <c r="O26" s="13">
        <v>7.73</v>
      </c>
      <c r="P26" s="13">
        <v>7.58</v>
      </c>
      <c r="Q26" s="11">
        <v>7.3800000000000008</v>
      </c>
      <c r="R26" s="11">
        <v>7.18</v>
      </c>
      <c r="S26" s="11">
        <v>6.88</v>
      </c>
      <c r="T26" s="11">
        <v>6.53</v>
      </c>
      <c r="U26" s="226">
        <v>6.13</v>
      </c>
      <c r="V26" s="11">
        <v>5.68</v>
      </c>
      <c r="W26" s="11">
        <v>5.18</v>
      </c>
      <c r="X26" s="14"/>
      <c r="Y26" s="15">
        <v>6.9</v>
      </c>
      <c r="Z26" s="15">
        <v>100</v>
      </c>
      <c r="AA26" s="15">
        <v>100</v>
      </c>
      <c r="AB26" s="15">
        <v>100</v>
      </c>
      <c r="AC26" s="15">
        <v>100</v>
      </c>
      <c r="AD26" s="15">
        <v>100</v>
      </c>
      <c r="AE26" s="15">
        <v>100</v>
      </c>
      <c r="AF26" s="15">
        <v>100</v>
      </c>
      <c r="AG26" s="15">
        <v>100</v>
      </c>
      <c r="AH26" s="15">
        <v>96</v>
      </c>
      <c r="AI26" s="15">
        <v>92</v>
      </c>
      <c r="AJ26" s="15">
        <v>100</v>
      </c>
      <c r="AK26" s="15">
        <v>100</v>
      </c>
      <c r="AL26" s="15">
        <v>100</v>
      </c>
      <c r="AM26" s="15">
        <v>96</v>
      </c>
      <c r="AN26" s="15">
        <v>93</v>
      </c>
      <c r="AO26" s="15">
        <v>89</v>
      </c>
      <c r="AP26" s="15">
        <v>85</v>
      </c>
      <c r="AQ26" s="15">
        <v>82</v>
      </c>
      <c r="AR26" s="15">
        <v>78</v>
      </c>
      <c r="AS26" s="15">
        <v>95.32</v>
      </c>
    </row>
    <row r="27" spans="1:45" ht="16.5" thickBot="1" x14ac:dyDescent="0.3">
      <c r="A27" s="10">
        <v>0.28999999999999998</v>
      </c>
      <c r="B27" s="11">
        <v>7.5</v>
      </c>
      <c r="C27" s="11">
        <v>8</v>
      </c>
      <c r="D27" s="11">
        <v>8.33</v>
      </c>
      <c r="E27" s="11">
        <v>8.33</v>
      </c>
      <c r="F27" s="11">
        <v>8.33</v>
      </c>
      <c r="G27" s="12">
        <v>8.33</v>
      </c>
      <c r="H27" s="11">
        <v>8.33</v>
      </c>
      <c r="I27" s="11">
        <v>8.33</v>
      </c>
      <c r="J27" s="11">
        <v>8.33</v>
      </c>
      <c r="K27" s="11">
        <v>8.33</v>
      </c>
      <c r="L27" s="11">
        <v>8.25</v>
      </c>
      <c r="M27" s="13">
        <v>8.1</v>
      </c>
      <c r="N27" s="13">
        <v>7.9499999999999993</v>
      </c>
      <c r="O27" s="13">
        <v>7.8000000000000007</v>
      </c>
      <c r="P27" s="13">
        <v>7.65</v>
      </c>
      <c r="Q27" s="11">
        <v>7.4499999999999993</v>
      </c>
      <c r="R27" s="11">
        <v>7.25</v>
      </c>
      <c r="S27" s="11">
        <v>6.95</v>
      </c>
      <c r="T27" s="11">
        <v>6.6</v>
      </c>
      <c r="U27" s="226">
        <v>6.2</v>
      </c>
      <c r="V27" s="11">
        <v>5.75</v>
      </c>
      <c r="W27" s="11">
        <v>5.25</v>
      </c>
      <c r="X27" s="14"/>
      <c r="Y27" s="15">
        <v>6.8</v>
      </c>
      <c r="Z27" s="15">
        <v>100</v>
      </c>
      <c r="AA27" s="15">
        <v>100</v>
      </c>
      <c r="AB27" s="15">
        <v>100</v>
      </c>
      <c r="AC27" s="15">
        <v>100</v>
      </c>
      <c r="AD27" s="15">
        <v>100</v>
      </c>
      <c r="AE27" s="15">
        <v>100</v>
      </c>
      <c r="AF27" s="15">
        <v>100</v>
      </c>
      <c r="AG27" s="15">
        <v>99</v>
      </c>
      <c r="AH27" s="15">
        <v>95</v>
      </c>
      <c r="AI27" s="15">
        <v>91</v>
      </c>
      <c r="AJ27" s="15">
        <v>100</v>
      </c>
      <c r="AK27" s="15">
        <v>100</v>
      </c>
      <c r="AL27" s="15">
        <v>99</v>
      </c>
      <c r="AM27" s="15">
        <v>95</v>
      </c>
      <c r="AN27" s="15">
        <v>91</v>
      </c>
      <c r="AO27" s="15">
        <v>88</v>
      </c>
      <c r="AP27" s="15">
        <v>84</v>
      </c>
      <c r="AQ27" s="15">
        <v>80</v>
      </c>
      <c r="AR27" s="15">
        <v>77</v>
      </c>
      <c r="AS27" s="15">
        <v>94.68</v>
      </c>
    </row>
    <row r="28" spans="1:45" ht="16.5" thickBot="1" x14ac:dyDescent="0.3">
      <c r="A28" s="10">
        <v>0.3</v>
      </c>
      <c r="B28" s="11">
        <v>7.5600000000000005</v>
      </c>
      <c r="C28" s="11">
        <v>8.06</v>
      </c>
      <c r="D28" s="11">
        <v>8.33</v>
      </c>
      <c r="E28" s="11">
        <v>8.33</v>
      </c>
      <c r="F28" s="11">
        <v>8.33</v>
      </c>
      <c r="G28" s="12">
        <v>8.33</v>
      </c>
      <c r="H28" s="11">
        <v>8.33</v>
      </c>
      <c r="I28" s="11">
        <v>8.33</v>
      </c>
      <c r="J28" s="11">
        <v>8.33</v>
      </c>
      <c r="K28" s="11">
        <v>8.33</v>
      </c>
      <c r="L28" s="11">
        <v>8.31</v>
      </c>
      <c r="M28" s="13">
        <v>8.16</v>
      </c>
      <c r="N28" s="13">
        <v>8.01</v>
      </c>
      <c r="O28" s="13">
        <v>7.8599999999999994</v>
      </c>
      <c r="P28" s="13">
        <v>7.7100000000000009</v>
      </c>
      <c r="Q28" s="11">
        <v>7.51</v>
      </c>
      <c r="R28" s="11">
        <v>7.3100000000000005</v>
      </c>
      <c r="S28" s="11">
        <v>7.01</v>
      </c>
      <c r="T28" s="11">
        <v>6.66</v>
      </c>
      <c r="U28" s="226">
        <v>6.26</v>
      </c>
      <c r="V28" s="11">
        <v>5.81</v>
      </c>
      <c r="W28" s="11">
        <v>5.31</v>
      </c>
      <c r="X28" s="14"/>
      <c r="Y28" s="15">
        <v>6.7</v>
      </c>
      <c r="Z28" s="15">
        <v>100</v>
      </c>
      <c r="AA28" s="15">
        <v>100</v>
      </c>
      <c r="AB28" s="15">
        <v>100</v>
      </c>
      <c r="AC28" s="15">
        <v>100</v>
      </c>
      <c r="AD28" s="15">
        <v>100</v>
      </c>
      <c r="AE28" s="15">
        <v>100</v>
      </c>
      <c r="AF28" s="15">
        <v>100</v>
      </c>
      <c r="AG28" s="15">
        <v>99</v>
      </c>
      <c r="AH28" s="15">
        <v>95</v>
      </c>
      <c r="AI28" s="15">
        <v>91</v>
      </c>
      <c r="AJ28" s="15">
        <v>100</v>
      </c>
      <c r="AK28" s="15">
        <v>100</v>
      </c>
      <c r="AL28" s="15">
        <v>99</v>
      </c>
      <c r="AM28" s="15">
        <v>95</v>
      </c>
      <c r="AN28" s="15">
        <v>91</v>
      </c>
      <c r="AO28" s="15">
        <v>87</v>
      </c>
      <c r="AP28" s="15">
        <v>84</v>
      </c>
      <c r="AQ28" s="15">
        <v>80</v>
      </c>
      <c r="AR28" s="15">
        <v>76</v>
      </c>
      <c r="AS28" s="15">
        <v>94.58</v>
      </c>
    </row>
    <row r="29" spans="1:45" ht="16.5" thickBot="1" x14ac:dyDescent="0.3">
      <c r="A29" s="10">
        <v>0.31</v>
      </c>
      <c r="B29" s="11">
        <v>7.6199999999999992</v>
      </c>
      <c r="C29" s="11">
        <v>8.1199999999999992</v>
      </c>
      <c r="D29" s="11">
        <v>8.33</v>
      </c>
      <c r="E29" s="11">
        <v>8.33</v>
      </c>
      <c r="F29" s="11">
        <v>8.33</v>
      </c>
      <c r="G29" s="12">
        <v>8.33</v>
      </c>
      <c r="H29" s="11">
        <v>8.33</v>
      </c>
      <c r="I29" s="11">
        <v>8.33</v>
      </c>
      <c r="J29" s="11">
        <v>8.33</v>
      </c>
      <c r="K29" s="11">
        <v>8.33</v>
      </c>
      <c r="L29" s="11">
        <v>8.33</v>
      </c>
      <c r="M29" s="13">
        <v>8.2200000000000006</v>
      </c>
      <c r="N29" s="13">
        <v>8.07</v>
      </c>
      <c r="O29" s="13">
        <v>7.92</v>
      </c>
      <c r="P29" s="13">
        <v>7.77</v>
      </c>
      <c r="Q29" s="11">
        <v>7.57</v>
      </c>
      <c r="R29" s="11">
        <v>7.3699999999999992</v>
      </c>
      <c r="S29" s="11">
        <v>7.07</v>
      </c>
      <c r="T29" s="11">
        <v>6.72</v>
      </c>
      <c r="U29" s="226">
        <v>6.32</v>
      </c>
      <c r="V29" s="11">
        <v>5.87</v>
      </c>
      <c r="W29" s="11">
        <v>5.37</v>
      </c>
      <c r="X29" s="14"/>
      <c r="Y29" s="15">
        <v>6.6</v>
      </c>
      <c r="Z29" s="15">
        <v>100</v>
      </c>
      <c r="AA29" s="15">
        <v>100</v>
      </c>
      <c r="AB29" s="15">
        <v>100</v>
      </c>
      <c r="AC29" s="15">
        <v>100</v>
      </c>
      <c r="AD29" s="15">
        <v>100</v>
      </c>
      <c r="AE29" s="15">
        <v>100</v>
      </c>
      <c r="AF29" s="15">
        <v>100</v>
      </c>
      <c r="AG29" s="15">
        <v>98</v>
      </c>
      <c r="AH29" s="15">
        <v>94</v>
      </c>
      <c r="AI29" s="15">
        <v>90</v>
      </c>
      <c r="AJ29" s="15">
        <v>100</v>
      </c>
      <c r="AK29" s="15">
        <v>100</v>
      </c>
      <c r="AL29" s="15">
        <v>97</v>
      </c>
      <c r="AM29" s="15">
        <v>94</v>
      </c>
      <c r="AN29" s="15">
        <v>90</v>
      </c>
      <c r="AO29" s="15">
        <v>86</v>
      </c>
      <c r="AP29" s="15">
        <v>82</v>
      </c>
      <c r="AQ29" s="15">
        <v>78</v>
      </c>
      <c r="AR29" s="15">
        <v>75</v>
      </c>
      <c r="AS29" s="15">
        <v>93.89</v>
      </c>
    </row>
    <row r="30" spans="1:45" ht="16.5" thickBot="1" x14ac:dyDescent="0.3">
      <c r="A30" s="10">
        <v>0.32</v>
      </c>
      <c r="B30" s="11">
        <v>7.67</v>
      </c>
      <c r="C30" s="11">
        <v>8.17</v>
      </c>
      <c r="D30" s="11">
        <v>8.33</v>
      </c>
      <c r="E30" s="11">
        <v>8.33</v>
      </c>
      <c r="F30" s="11">
        <v>8.33</v>
      </c>
      <c r="G30" s="12">
        <v>8.33</v>
      </c>
      <c r="H30" s="11">
        <v>8.33</v>
      </c>
      <c r="I30" s="11">
        <v>8.33</v>
      </c>
      <c r="J30" s="11">
        <v>8.33</v>
      </c>
      <c r="K30" s="11">
        <v>8.33</v>
      </c>
      <c r="L30" s="11">
        <v>8.33</v>
      </c>
      <c r="M30" s="13">
        <v>8.27</v>
      </c>
      <c r="N30" s="13">
        <v>8.1199999999999992</v>
      </c>
      <c r="O30" s="13">
        <v>7.9700000000000006</v>
      </c>
      <c r="P30" s="13">
        <v>7.82</v>
      </c>
      <c r="Q30" s="11">
        <v>7.6199999999999992</v>
      </c>
      <c r="R30" s="11">
        <v>7.42</v>
      </c>
      <c r="S30" s="11">
        <v>7.1199999999999992</v>
      </c>
      <c r="T30" s="11">
        <v>6.77</v>
      </c>
      <c r="U30" s="226">
        <v>6.37</v>
      </c>
      <c r="V30" s="11">
        <v>5.92</v>
      </c>
      <c r="W30" s="11">
        <v>5.42</v>
      </c>
      <c r="X30" s="14"/>
      <c r="Y30" s="15">
        <v>6.5</v>
      </c>
      <c r="Z30" s="15">
        <v>100</v>
      </c>
      <c r="AA30" s="15">
        <v>100</v>
      </c>
      <c r="AB30" s="15">
        <v>100</v>
      </c>
      <c r="AC30" s="15">
        <v>100</v>
      </c>
      <c r="AD30" s="15">
        <v>100</v>
      </c>
      <c r="AE30" s="15">
        <v>100</v>
      </c>
      <c r="AF30" s="15">
        <v>100</v>
      </c>
      <c r="AG30" s="15">
        <v>97</v>
      </c>
      <c r="AH30" s="15">
        <v>93</v>
      </c>
      <c r="AI30" s="15">
        <v>90</v>
      </c>
      <c r="AJ30" s="15">
        <v>100</v>
      </c>
      <c r="AK30" s="15">
        <v>100</v>
      </c>
      <c r="AL30" s="15">
        <v>97</v>
      </c>
      <c r="AM30" s="15">
        <v>93</v>
      </c>
      <c r="AN30" s="15">
        <v>89</v>
      </c>
      <c r="AO30" s="15">
        <v>85</v>
      </c>
      <c r="AP30" s="15">
        <v>82</v>
      </c>
      <c r="AQ30" s="15">
        <v>78</v>
      </c>
      <c r="AR30" s="15">
        <v>74</v>
      </c>
      <c r="AS30" s="15">
        <v>93.58</v>
      </c>
    </row>
    <row r="31" spans="1:45" ht="16.5" thickBot="1" x14ac:dyDescent="0.3">
      <c r="A31" s="10">
        <v>0.33</v>
      </c>
      <c r="B31" s="11">
        <v>7.7200000000000006</v>
      </c>
      <c r="C31" s="11">
        <v>8.2200000000000006</v>
      </c>
      <c r="D31" s="11">
        <v>8.33</v>
      </c>
      <c r="E31" s="11">
        <v>8.33</v>
      </c>
      <c r="F31" s="11">
        <v>8.33</v>
      </c>
      <c r="G31" s="12">
        <v>8.33</v>
      </c>
      <c r="H31" s="11">
        <v>8.33</v>
      </c>
      <c r="I31" s="11">
        <v>8.33</v>
      </c>
      <c r="J31" s="11">
        <v>8.33</v>
      </c>
      <c r="K31" s="11">
        <v>8.33</v>
      </c>
      <c r="L31" s="11">
        <v>8.33</v>
      </c>
      <c r="M31" s="13">
        <v>8.32</v>
      </c>
      <c r="N31" s="13">
        <v>8.17</v>
      </c>
      <c r="O31" s="13">
        <v>8.02</v>
      </c>
      <c r="P31" s="13">
        <v>7.8699999999999992</v>
      </c>
      <c r="Q31" s="11">
        <v>7.67</v>
      </c>
      <c r="R31" s="11">
        <v>7.4700000000000006</v>
      </c>
      <c r="S31" s="11">
        <v>7.17</v>
      </c>
      <c r="T31" s="11">
        <v>6.82</v>
      </c>
      <c r="U31" s="11">
        <v>6.42</v>
      </c>
      <c r="V31" s="226">
        <v>5.97</v>
      </c>
      <c r="W31" s="11">
        <v>5.47</v>
      </c>
      <c r="X31" s="14"/>
      <c r="Y31" s="15">
        <v>6.4</v>
      </c>
      <c r="Z31" s="15">
        <v>100</v>
      </c>
      <c r="AA31" s="15">
        <v>100</v>
      </c>
      <c r="AB31" s="15">
        <v>100</v>
      </c>
      <c r="AC31" s="15">
        <v>100</v>
      </c>
      <c r="AD31" s="15">
        <v>100</v>
      </c>
      <c r="AE31" s="15">
        <v>100</v>
      </c>
      <c r="AF31" s="15">
        <v>100</v>
      </c>
      <c r="AG31" s="15">
        <v>97</v>
      </c>
      <c r="AH31" s="15">
        <v>93</v>
      </c>
      <c r="AI31" s="15">
        <v>89</v>
      </c>
      <c r="AJ31" s="15">
        <v>100</v>
      </c>
      <c r="AK31" s="15">
        <v>100</v>
      </c>
      <c r="AL31" s="15">
        <v>96</v>
      </c>
      <c r="AM31" s="15">
        <v>93</v>
      </c>
      <c r="AN31" s="15">
        <v>89</v>
      </c>
      <c r="AO31" s="15">
        <v>85</v>
      </c>
      <c r="AP31" s="15">
        <v>81</v>
      </c>
      <c r="AQ31" s="15">
        <v>77</v>
      </c>
      <c r="AR31" s="15">
        <v>73</v>
      </c>
      <c r="AS31" s="15">
        <v>93.32</v>
      </c>
    </row>
    <row r="32" spans="1:45" ht="16.5" thickBot="1" x14ac:dyDescent="0.3">
      <c r="A32" s="10">
        <v>0.34</v>
      </c>
      <c r="B32" s="11">
        <v>7.77</v>
      </c>
      <c r="C32" s="11">
        <v>8.27</v>
      </c>
      <c r="D32" s="11">
        <v>8.33</v>
      </c>
      <c r="E32" s="11">
        <v>8.33</v>
      </c>
      <c r="F32" s="11">
        <v>8.33</v>
      </c>
      <c r="G32" s="12">
        <v>8.33</v>
      </c>
      <c r="H32" s="11">
        <v>8.33</v>
      </c>
      <c r="I32" s="11">
        <v>8.33</v>
      </c>
      <c r="J32" s="11">
        <v>8.33</v>
      </c>
      <c r="K32" s="11">
        <v>8.33</v>
      </c>
      <c r="L32" s="11">
        <v>8.33</v>
      </c>
      <c r="M32" s="13">
        <v>8.33</v>
      </c>
      <c r="N32" s="13">
        <v>8.2200000000000006</v>
      </c>
      <c r="O32" s="13">
        <v>8.07</v>
      </c>
      <c r="P32" s="13">
        <v>7.92</v>
      </c>
      <c r="Q32" s="11">
        <v>7.7200000000000006</v>
      </c>
      <c r="R32" s="11">
        <v>7.52</v>
      </c>
      <c r="S32" s="11">
        <v>7.2200000000000006</v>
      </c>
      <c r="T32" s="11">
        <v>6.87</v>
      </c>
      <c r="U32" s="11">
        <v>6.47</v>
      </c>
      <c r="V32" s="226">
        <v>6.02</v>
      </c>
      <c r="W32" s="11">
        <v>5.52</v>
      </c>
      <c r="X32" s="14"/>
      <c r="Y32" s="15">
        <v>6.3</v>
      </c>
      <c r="Z32" s="15">
        <v>100</v>
      </c>
      <c r="AA32" s="15">
        <v>100</v>
      </c>
      <c r="AB32" s="15">
        <v>100</v>
      </c>
      <c r="AC32" s="15">
        <v>100</v>
      </c>
      <c r="AD32" s="15">
        <v>100</v>
      </c>
      <c r="AE32" s="15">
        <v>100</v>
      </c>
      <c r="AF32" s="15">
        <v>100</v>
      </c>
      <c r="AG32" s="15">
        <v>96</v>
      </c>
      <c r="AH32" s="15">
        <v>92</v>
      </c>
      <c r="AI32" s="15">
        <v>88</v>
      </c>
      <c r="AJ32" s="15">
        <v>100</v>
      </c>
      <c r="AK32" s="15">
        <v>99</v>
      </c>
      <c r="AL32" s="15">
        <v>95</v>
      </c>
      <c r="AM32" s="15">
        <v>91</v>
      </c>
      <c r="AN32" s="15">
        <v>88</v>
      </c>
      <c r="AO32" s="15">
        <v>84</v>
      </c>
      <c r="AP32" s="15">
        <v>80</v>
      </c>
      <c r="AQ32" s="15">
        <v>76</v>
      </c>
      <c r="AR32" s="15">
        <v>72</v>
      </c>
      <c r="AS32" s="15">
        <v>92.68</v>
      </c>
    </row>
    <row r="33" spans="1:45" ht="16.5" thickBot="1" x14ac:dyDescent="0.3">
      <c r="A33" s="10">
        <v>0.35</v>
      </c>
      <c r="B33" s="11">
        <v>7.8100000000000005</v>
      </c>
      <c r="C33" s="11">
        <v>8.31</v>
      </c>
      <c r="D33" s="11">
        <v>8.33</v>
      </c>
      <c r="E33" s="11">
        <v>8.33</v>
      </c>
      <c r="F33" s="11">
        <v>8.33</v>
      </c>
      <c r="G33" s="12">
        <v>8.33</v>
      </c>
      <c r="H33" s="11">
        <v>8.33</v>
      </c>
      <c r="I33" s="11">
        <v>8.33</v>
      </c>
      <c r="J33" s="11">
        <v>8.33</v>
      </c>
      <c r="K33" s="11">
        <v>8.33</v>
      </c>
      <c r="L33" s="11">
        <v>8.33</v>
      </c>
      <c r="M33" s="13">
        <v>8.33</v>
      </c>
      <c r="N33" s="13">
        <v>8.26</v>
      </c>
      <c r="O33" s="13">
        <v>8.11</v>
      </c>
      <c r="P33" s="13">
        <v>7.9600000000000009</v>
      </c>
      <c r="Q33" s="11">
        <v>7.76</v>
      </c>
      <c r="R33" s="11">
        <v>7.5600000000000005</v>
      </c>
      <c r="S33" s="11">
        <v>7.26</v>
      </c>
      <c r="T33" s="11">
        <v>6.91</v>
      </c>
      <c r="U33" s="11">
        <v>6.51</v>
      </c>
      <c r="V33" s="226">
        <v>6.06</v>
      </c>
      <c r="W33" s="11">
        <v>5.56</v>
      </c>
      <c r="X33" s="14"/>
      <c r="Y33" s="15">
        <v>6.2</v>
      </c>
      <c r="Z33" s="15">
        <v>100</v>
      </c>
      <c r="AA33" s="15">
        <v>100</v>
      </c>
      <c r="AB33" s="15">
        <v>100</v>
      </c>
      <c r="AC33" s="15">
        <v>100</v>
      </c>
      <c r="AD33" s="15">
        <v>100</v>
      </c>
      <c r="AE33" s="15">
        <v>100</v>
      </c>
      <c r="AF33" s="15">
        <v>99</v>
      </c>
      <c r="AG33" s="15">
        <v>95</v>
      </c>
      <c r="AH33" s="15">
        <v>91</v>
      </c>
      <c r="AI33" s="15">
        <v>87</v>
      </c>
      <c r="AJ33" s="15">
        <v>100</v>
      </c>
      <c r="AK33" s="15">
        <v>98</v>
      </c>
      <c r="AL33" s="15">
        <v>94</v>
      </c>
      <c r="AM33" s="15">
        <v>90</v>
      </c>
      <c r="AN33" s="15">
        <v>86</v>
      </c>
      <c r="AO33" s="15">
        <v>82</v>
      </c>
      <c r="AP33" s="15">
        <v>78</v>
      </c>
      <c r="AQ33" s="15">
        <v>75</v>
      </c>
      <c r="AR33" s="15">
        <v>71</v>
      </c>
      <c r="AS33" s="15">
        <v>91.89</v>
      </c>
    </row>
    <row r="34" spans="1:45" ht="16.5" thickBot="1" x14ac:dyDescent="0.3">
      <c r="A34" s="10">
        <v>0.36</v>
      </c>
      <c r="B34" s="11">
        <v>7.85</v>
      </c>
      <c r="C34" s="11">
        <v>8.33</v>
      </c>
      <c r="D34" s="11">
        <v>8.33</v>
      </c>
      <c r="E34" s="11">
        <v>8.33</v>
      </c>
      <c r="F34" s="11">
        <v>8.33</v>
      </c>
      <c r="G34" s="12">
        <v>8.33</v>
      </c>
      <c r="H34" s="11">
        <v>8.33</v>
      </c>
      <c r="I34" s="11">
        <v>8.33</v>
      </c>
      <c r="J34" s="11">
        <v>8.33</v>
      </c>
      <c r="K34" s="11">
        <v>8.33</v>
      </c>
      <c r="L34" s="11">
        <v>8.33</v>
      </c>
      <c r="M34" s="13">
        <v>8.33</v>
      </c>
      <c r="N34" s="13">
        <v>8.3000000000000007</v>
      </c>
      <c r="O34" s="13">
        <v>8.15</v>
      </c>
      <c r="P34" s="13">
        <v>8</v>
      </c>
      <c r="Q34" s="11">
        <v>7.8000000000000007</v>
      </c>
      <c r="R34" s="11">
        <v>7.6</v>
      </c>
      <c r="S34" s="11">
        <v>7.3000000000000007</v>
      </c>
      <c r="T34" s="11">
        <v>6.95</v>
      </c>
      <c r="U34" s="11">
        <v>6.55</v>
      </c>
      <c r="V34" s="226">
        <v>6.1</v>
      </c>
      <c r="W34" s="11">
        <v>5.6</v>
      </c>
      <c r="X34" s="14"/>
      <c r="Y34" s="15">
        <v>6.1</v>
      </c>
      <c r="Z34" s="15">
        <v>100</v>
      </c>
      <c r="AA34" s="15">
        <v>100</v>
      </c>
      <c r="AB34" s="15">
        <v>100</v>
      </c>
      <c r="AC34" s="15">
        <v>100</v>
      </c>
      <c r="AD34" s="15">
        <v>100</v>
      </c>
      <c r="AE34" s="15">
        <v>100</v>
      </c>
      <c r="AF34" s="15">
        <v>99</v>
      </c>
      <c r="AG34" s="15">
        <v>95</v>
      </c>
      <c r="AH34" s="15">
        <v>91</v>
      </c>
      <c r="AI34" s="15">
        <v>86</v>
      </c>
      <c r="AJ34" s="15">
        <v>100</v>
      </c>
      <c r="AK34" s="15">
        <v>98</v>
      </c>
      <c r="AL34" s="15">
        <v>93</v>
      </c>
      <c r="AM34" s="15">
        <v>89</v>
      </c>
      <c r="AN34" s="15">
        <v>86</v>
      </c>
      <c r="AO34" s="15">
        <v>81</v>
      </c>
      <c r="AP34" s="15">
        <v>78</v>
      </c>
      <c r="AQ34" s="15">
        <v>74</v>
      </c>
      <c r="AR34" s="15">
        <v>70</v>
      </c>
      <c r="AS34" s="15">
        <v>91.58</v>
      </c>
    </row>
    <row r="35" spans="1:45" ht="16.5" thickBot="1" x14ac:dyDescent="0.3">
      <c r="A35" s="10">
        <v>0.37</v>
      </c>
      <c r="B35" s="11">
        <v>7.8800000000000008</v>
      </c>
      <c r="C35" s="11">
        <v>8.33</v>
      </c>
      <c r="D35" s="11">
        <v>8.33</v>
      </c>
      <c r="E35" s="11">
        <v>8.33</v>
      </c>
      <c r="F35" s="11">
        <v>8.33</v>
      </c>
      <c r="G35" s="12">
        <v>8.33</v>
      </c>
      <c r="H35" s="11">
        <v>8.33</v>
      </c>
      <c r="I35" s="11">
        <v>8.33</v>
      </c>
      <c r="J35" s="11">
        <v>8.33</v>
      </c>
      <c r="K35" s="11">
        <v>8.33</v>
      </c>
      <c r="L35" s="11">
        <v>8.33</v>
      </c>
      <c r="M35" s="13">
        <v>8.33</v>
      </c>
      <c r="N35" s="13">
        <v>8.33</v>
      </c>
      <c r="O35" s="13">
        <v>8.18</v>
      </c>
      <c r="P35" s="13">
        <v>8.0299999999999994</v>
      </c>
      <c r="Q35" s="11">
        <v>7.83</v>
      </c>
      <c r="R35" s="11">
        <v>7.6300000000000008</v>
      </c>
      <c r="S35" s="11">
        <v>7.33</v>
      </c>
      <c r="T35" s="11">
        <v>6.98</v>
      </c>
      <c r="U35" s="11">
        <v>6.58</v>
      </c>
      <c r="V35" s="226">
        <v>6.13</v>
      </c>
      <c r="W35" s="11">
        <v>5.63</v>
      </c>
      <c r="X35" s="14"/>
      <c r="Y35" s="15">
        <v>6</v>
      </c>
      <c r="Z35" s="15">
        <v>100</v>
      </c>
      <c r="AA35" s="15">
        <v>100</v>
      </c>
      <c r="AB35" s="15">
        <v>100</v>
      </c>
      <c r="AC35" s="15">
        <v>100</v>
      </c>
      <c r="AD35" s="15">
        <v>100</v>
      </c>
      <c r="AE35" s="15">
        <v>100</v>
      </c>
      <c r="AF35" s="15">
        <v>98</v>
      </c>
      <c r="AG35" s="15">
        <v>94</v>
      </c>
      <c r="AH35" s="15">
        <v>90</v>
      </c>
      <c r="AI35" s="15">
        <v>86</v>
      </c>
      <c r="AJ35" s="15">
        <v>100</v>
      </c>
      <c r="AK35" s="15">
        <v>97</v>
      </c>
      <c r="AL35" s="15">
        <v>93</v>
      </c>
      <c r="AM35" s="15">
        <v>89</v>
      </c>
      <c r="AN35" s="15">
        <v>85</v>
      </c>
      <c r="AO35" s="15">
        <v>81</v>
      </c>
      <c r="AP35" s="15">
        <v>77</v>
      </c>
      <c r="AQ35" s="15">
        <v>73</v>
      </c>
      <c r="AR35" s="15">
        <v>69</v>
      </c>
      <c r="AS35" s="15">
        <v>91.16</v>
      </c>
    </row>
    <row r="36" spans="1:45" ht="16.5" thickBot="1" x14ac:dyDescent="0.3">
      <c r="A36" s="10">
        <v>0.38</v>
      </c>
      <c r="B36" s="11">
        <v>7.92</v>
      </c>
      <c r="C36" s="11">
        <v>8.33</v>
      </c>
      <c r="D36" s="11">
        <v>8.33</v>
      </c>
      <c r="E36" s="11">
        <v>8.33</v>
      </c>
      <c r="F36" s="11">
        <v>8.33</v>
      </c>
      <c r="G36" s="12">
        <v>8.33</v>
      </c>
      <c r="H36" s="11">
        <v>8.33</v>
      </c>
      <c r="I36" s="11">
        <v>8.33</v>
      </c>
      <c r="J36" s="11">
        <v>8.33</v>
      </c>
      <c r="K36" s="11">
        <v>8.33</v>
      </c>
      <c r="L36" s="11">
        <v>8.33</v>
      </c>
      <c r="M36" s="13">
        <v>8.33</v>
      </c>
      <c r="N36" s="13">
        <v>8.33</v>
      </c>
      <c r="O36" s="13">
        <v>8.2200000000000006</v>
      </c>
      <c r="P36" s="13">
        <v>8.07</v>
      </c>
      <c r="Q36" s="11">
        <v>7.8699999999999992</v>
      </c>
      <c r="R36" s="11">
        <v>7.67</v>
      </c>
      <c r="S36" s="11">
        <v>7.3699999999999992</v>
      </c>
      <c r="T36" s="11">
        <v>7.02</v>
      </c>
      <c r="U36" s="11">
        <v>6.62</v>
      </c>
      <c r="V36" s="226">
        <v>6.17</v>
      </c>
      <c r="W36" s="11">
        <v>5.67</v>
      </c>
      <c r="X36" s="14"/>
      <c r="Y36" s="15">
        <v>5.9</v>
      </c>
      <c r="Z36" s="15">
        <v>100</v>
      </c>
      <c r="AA36" s="15">
        <v>100</v>
      </c>
      <c r="AB36" s="15">
        <v>100</v>
      </c>
      <c r="AC36" s="15">
        <v>100</v>
      </c>
      <c r="AD36" s="15">
        <v>100</v>
      </c>
      <c r="AE36" s="15">
        <v>100</v>
      </c>
      <c r="AF36" s="15">
        <v>98</v>
      </c>
      <c r="AG36" s="15">
        <v>94</v>
      </c>
      <c r="AH36" s="15">
        <v>90</v>
      </c>
      <c r="AI36" s="15">
        <v>86</v>
      </c>
      <c r="AJ36" s="15">
        <v>100</v>
      </c>
      <c r="AK36" s="15">
        <v>96</v>
      </c>
      <c r="AL36" s="15">
        <v>92</v>
      </c>
      <c r="AM36" s="15">
        <v>88</v>
      </c>
      <c r="AN36" s="15">
        <v>84</v>
      </c>
      <c r="AO36" s="15">
        <v>80</v>
      </c>
      <c r="AP36" s="15">
        <v>76</v>
      </c>
      <c r="AQ36" s="15">
        <v>72</v>
      </c>
      <c r="AR36" s="15">
        <v>68</v>
      </c>
      <c r="AS36" s="15">
        <v>90.74</v>
      </c>
    </row>
    <row r="37" spans="1:45" ht="16.5" thickBot="1" x14ac:dyDescent="0.3">
      <c r="A37" s="10">
        <v>0.39</v>
      </c>
      <c r="B37" s="11">
        <v>7.9499999999999993</v>
      </c>
      <c r="C37" s="11">
        <v>8.33</v>
      </c>
      <c r="D37" s="11">
        <v>8.33</v>
      </c>
      <c r="E37" s="11">
        <v>8.33</v>
      </c>
      <c r="F37" s="11">
        <v>8.33</v>
      </c>
      <c r="G37" s="12">
        <v>8.33</v>
      </c>
      <c r="H37" s="11">
        <v>8.33</v>
      </c>
      <c r="I37" s="11">
        <v>8.33</v>
      </c>
      <c r="J37" s="11">
        <v>8.33</v>
      </c>
      <c r="K37" s="11">
        <v>8.33</v>
      </c>
      <c r="L37" s="11">
        <v>8.33</v>
      </c>
      <c r="M37" s="13">
        <v>8.33</v>
      </c>
      <c r="N37" s="13">
        <v>8.33</v>
      </c>
      <c r="O37" s="13">
        <v>8.25</v>
      </c>
      <c r="P37" s="13">
        <v>8.1</v>
      </c>
      <c r="Q37" s="11">
        <v>7.9</v>
      </c>
      <c r="R37" s="11">
        <v>7.6999999999999993</v>
      </c>
      <c r="S37" s="11">
        <v>7.4</v>
      </c>
      <c r="T37" s="11">
        <v>7.0500000000000007</v>
      </c>
      <c r="U37" s="11">
        <v>6.65</v>
      </c>
      <c r="V37" s="226">
        <v>6.2</v>
      </c>
      <c r="W37" s="11">
        <v>5.7</v>
      </c>
      <c r="X37" s="14"/>
      <c r="Y37" s="15">
        <v>5.8</v>
      </c>
      <c r="Z37" s="15">
        <v>100</v>
      </c>
      <c r="AA37" s="15">
        <v>100</v>
      </c>
      <c r="AB37" s="15">
        <v>100</v>
      </c>
      <c r="AC37" s="15">
        <v>100</v>
      </c>
      <c r="AD37" s="15">
        <v>100</v>
      </c>
      <c r="AE37" s="15">
        <v>100</v>
      </c>
      <c r="AF37" s="15">
        <v>97</v>
      </c>
      <c r="AG37" s="15">
        <v>93</v>
      </c>
      <c r="AH37" s="15">
        <v>89</v>
      </c>
      <c r="AI37" s="15">
        <v>85</v>
      </c>
      <c r="AJ37" s="15">
        <v>100</v>
      </c>
      <c r="AK37" s="15">
        <v>96</v>
      </c>
      <c r="AL37" s="15">
        <v>91</v>
      </c>
      <c r="AM37" s="15">
        <v>88</v>
      </c>
      <c r="AN37" s="15">
        <v>84</v>
      </c>
      <c r="AO37" s="15">
        <v>79</v>
      </c>
      <c r="AP37" s="15">
        <v>76</v>
      </c>
      <c r="AQ37" s="15">
        <v>71</v>
      </c>
      <c r="AR37" s="15">
        <v>67</v>
      </c>
      <c r="AS37" s="15">
        <v>90.32</v>
      </c>
    </row>
    <row r="38" spans="1:45" ht="16.5" thickBot="1" x14ac:dyDescent="0.3">
      <c r="A38" s="10">
        <v>0.4</v>
      </c>
      <c r="B38" s="11">
        <v>7.98</v>
      </c>
      <c r="C38" s="11">
        <v>8.33</v>
      </c>
      <c r="D38" s="11">
        <v>8.33</v>
      </c>
      <c r="E38" s="11">
        <v>8.33</v>
      </c>
      <c r="F38" s="11">
        <v>8.33</v>
      </c>
      <c r="G38" s="12">
        <v>8.33</v>
      </c>
      <c r="H38" s="11">
        <v>8.33</v>
      </c>
      <c r="I38" s="11">
        <v>8.33</v>
      </c>
      <c r="J38" s="11">
        <v>8.33</v>
      </c>
      <c r="K38" s="11">
        <v>8.33</v>
      </c>
      <c r="L38" s="11">
        <v>8.33</v>
      </c>
      <c r="M38" s="13">
        <v>8.33</v>
      </c>
      <c r="N38" s="13">
        <v>8.33</v>
      </c>
      <c r="O38" s="13">
        <v>8.2799999999999994</v>
      </c>
      <c r="P38" s="13">
        <v>8.1300000000000008</v>
      </c>
      <c r="Q38" s="11">
        <v>7.93</v>
      </c>
      <c r="R38" s="11">
        <v>7.73</v>
      </c>
      <c r="S38" s="11">
        <v>7.43</v>
      </c>
      <c r="T38" s="11">
        <v>7.08</v>
      </c>
      <c r="U38" s="11">
        <v>6.68</v>
      </c>
      <c r="V38" s="226">
        <v>6.23</v>
      </c>
      <c r="W38" s="11">
        <v>5.73</v>
      </c>
      <c r="X38" s="14"/>
      <c r="Y38" s="15">
        <v>5.7</v>
      </c>
      <c r="Z38" s="15">
        <v>100</v>
      </c>
      <c r="AA38" s="15">
        <v>100</v>
      </c>
      <c r="AB38" s="15">
        <v>100</v>
      </c>
      <c r="AC38" s="15">
        <v>100</v>
      </c>
      <c r="AD38" s="15">
        <v>100</v>
      </c>
      <c r="AE38" s="15">
        <v>100</v>
      </c>
      <c r="AF38" s="15">
        <v>97</v>
      </c>
      <c r="AG38" s="15">
        <v>93</v>
      </c>
      <c r="AH38" s="15">
        <v>88</v>
      </c>
      <c r="AI38" s="15">
        <v>85</v>
      </c>
      <c r="AJ38" s="15">
        <v>99</v>
      </c>
      <c r="AK38" s="15">
        <v>95</v>
      </c>
      <c r="AL38" s="15">
        <v>90</v>
      </c>
      <c r="AM38" s="15">
        <v>87</v>
      </c>
      <c r="AN38" s="15">
        <v>83</v>
      </c>
      <c r="AO38" s="15">
        <v>78</v>
      </c>
      <c r="AP38" s="15">
        <v>75</v>
      </c>
      <c r="AQ38" s="15">
        <v>70</v>
      </c>
      <c r="AR38" s="15">
        <v>66</v>
      </c>
      <c r="AS38" s="15">
        <v>89.79</v>
      </c>
    </row>
    <row r="39" spans="1:45" ht="16.5" thickBot="1" x14ac:dyDescent="0.3">
      <c r="A39" s="23">
        <v>0.41</v>
      </c>
      <c r="B39" s="11">
        <v>8.01</v>
      </c>
      <c r="C39" s="11">
        <v>8.33</v>
      </c>
      <c r="D39" s="11">
        <v>8.33</v>
      </c>
      <c r="E39" s="11">
        <v>8.33</v>
      </c>
      <c r="F39" s="11">
        <v>8.33</v>
      </c>
      <c r="G39" s="12">
        <v>8.33</v>
      </c>
      <c r="H39" s="11">
        <v>8.33</v>
      </c>
      <c r="I39" s="11">
        <v>8.33</v>
      </c>
      <c r="J39" s="11">
        <v>8.33</v>
      </c>
      <c r="K39" s="11">
        <v>8.33</v>
      </c>
      <c r="L39" s="11">
        <v>8.33</v>
      </c>
      <c r="M39" s="13">
        <v>8.33</v>
      </c>
      <c r="N39" s="13">
        <v>8.33</v>
      </c>
      <c r="O39" s="13">
        <v>8.31</v>
      </c>
      <c r="P39" s="13">
        <v>8.16</v>
      </c>
      <c r="Q39" s="11">
        <v>7.9600000000000009</v>
      </c>
      <c r="R39" s="11">
        <v>7.76</v>
      </c>
      <c r="S39" s="11">
        <v>7.4600000000000009</v>
      </c>
      <c r="T39" s="11">
        <v>7.1099999999999994</v>
      </c>
      <c r="U39" s="11">
        <v>6.71</v>
      </c>
      <c r="V39" s="11">
        <v>6.26</v>
      </c>
      <c r="W39" s="11">
        <v>5.76</v>
      </c>
      <c r="X39" s="14"/>
      <c r="Y39" s="15">
        <v>5.6</v>
      </c>
      <c r="Z39" s="15">
        <v>100</v>
      </c>
      <c r="AA39" s="15">
        <v>100</v>
      </c>
      <c r="AB39" s="15">
        <v>100</v>
      </c>
      <c r="AC39" s="15">
        <v>100</v>
      </c>
      <c r="AD39" s="15">
        <v>100</v>
      </c>
      <c r="AE39" s="15">
        <v>100</v>
      </c>
      <c r="AF39" s="15">
        <v>97</v>
      </c>
      <c r="AG39" s="15">
        <v>93</v>
      </c>
      <c r="AH39" s="15">
        <v>88</v>
      </c>
      <c r="AI39" s="15">
        <v>84</v>
      </c>
      <c r="AJ39" s="15">
        <v>99</v>
      </c>
      <c r="AK39" s="15">
        <v>95</v>
      </c>
      <c r="AL39" s="15">
        <v>90</v>
      </c>
      <c r="AM39" s="15">
        <v>86</v>
      </c>
      <c r="AN39" s="15">
        <v>82</v>
      </c>
      <c r="AO39" s="15">
        <v>78</v>
      </c>
      <c r="AP39" s="15">
        <v>74</v>
      </c>
      <c r="AQ39" s="15">
        <v>69</v>
      </c>
      <c r="AR39" s="15">
        <v>65</v>
      </c>
      <c r="AS39" s="15">
        <v>89.47</v>
      </c>
    </row>
    <row r="40" spans="1:45" ht="16.5" thickBot="1" x14ac:dyDescent="0.3">
      <c r="A40" s="23">
        <v>0.42</v>
      </c>
      <c r="B40" s="11">
        <v>8.0299999999999994</v>
      </c>
      <c r="C40" s="11">
        <v>8.33</v>
      </c>
      <c r="D40" s="11">
        <v>8.33</v>
      </c>
      <c r="E40" s="11">
        <v>8.33</v>
      </c>
      <c r="F40" s="11">
        <v>8.33</v>
      </c>
      <c r="G40" s="12">
        <v>8.33</v>
      </c>
      <c r="H40" s="11">
        <v>8.33</v>
      </c>
      <c r="I40" s="11">
        <v>8.33</v>
      </c>
      <c r="J40" s="11">
        <v>8.33</v>
      </c>
      <c r="K40" s="11">
        <v>8.33</v>
      </c>
      <c r="L40" s="11">
        <v>8.33</v>
      </c>
      <c r="M40" s="13">
        <v>8.33</v>
      </c>
      <c r="N40" s="13">
        <v>8.33</v>
      </c>
      <c r="O40" s="13">
        <v>8.33</v>
      </c>
      <c r="P40" s="13">
        <v>8.18</v>
      </c>
      <c r="Q40" s="11">
        <v>7.98</v>
      </c>
      <c r="R40" s="11">
        <v>7.7799999999999994</v>
      </c>
      <c r="S40" s="11">
        <v>7.48</v>
      </c>
      <c r="T40" s="11">
        <v>7.1300000000000008</v>
      </c>
      <c r="U40" s="11">
        <v>6.73</v>
      </c>
      <c r="V40" s="11">
        <v>6.28</v>
      </c>
      <c r="W40" s="11">
        <v>5.78</v>
      </c>
      <c r="X40" s="14"/>
      <c r="Y40" s="15">
        <v>5.5</v>
      </c>
      <c r="Z40" s="15">
        <v>100</v>
      </c>
      <c r="AA40" s="15">
        <v>100</v>
      </c>
      <c r="AB40" s="15">
        <v>100</v>
      </c>
      <c r="AC40" s="15">
        <v>100</v>
      </c>
      <c r="AD40" s="15">
        <v>100</v>
      </c>
      <c r="AE40" s="15">
        <v>100</v>
      </c>
      <c r="AF40" s="15">
        <v>96</v>
      </c>
      <c r="AG40" s="15">
        <v>92</v>
      </c>
      <c r="AH40" s="15">
        <v>87</v>
      </c>
      <c r="AI40" s="15">
        <v>83</v>
      </c>
      <c r="AJ40" s="15">
        <v>98</v>
      </c>
      <c r="AK40" s="15">
        <v>94</v>
      </c>
      <c r="AL40" s="15">
        <v>89</v>
      </c>
      <c r="AM40" s="15">
        <v>85</v>
      </c>
      <c r="AN40" s="15">
        <v>81</v>
      </c>
      <c r="AO40" s="15">
        <v>77</v>
      </c>
      <c r="AP40" s="15">
        <v>73</v>
      </c>
      <c r="AQ40" s="15">
        <v>68</v>
      </c>
      <c r="AR40" s="15">
        <v>64</v>
      </c>
      <c r="AS40" s="15">
        <v>88.79</v>
      </c>
    </row>
    <row r="41" spans="1:45" ht="16.5" thickBot="1" x14ac:dyDescent="0.3">
      <c r="A41" s="23">
        <v>0.43</v>
      </c>
      <c r="B41" s="11">
        <v>8.0500000000000007</v>
      </c>
      <c r="C41" s="11">
        <v>8.33</v>
      </c>
      <c r="D41" s="11">
        <v>8.33</v>
      </c>
      <c r="E41" s="11">
        <v>8.33</v>
      </c>
      <c r="F41" s="11">
        <v>8.33</v>
      </c>
      <c r="G41" s="12">
        <v>8.33</v>
      </c>
      <c r="H41" s="11">
        <v>8.33</v>
      </c>
      <c r="I41" s="11">
        <v>8.33</v>
      </c>
      <c r="J41" s="11">
        <v>8.33</v>
      </c>
      <c r="K41" s="11">
        <v>8.33</v>
      </c>
      <c r="L41" s="11">
        <v>8.33</v>
      </c>
      <c r="M41" s="13">
        <v>8.33</v>
      </c>
      <c r="N41" s="13">
        <v>8.33</v>
      </c>
      <c r="O41" s="13">
        <v>8.33</v>
      </c>
      <c r="P41" s="13">
        <v>8.1999999999999993</v>
      </c>
      <c r="Q41" s="11">
        <v>8</v>
      </c>
      <c r="R41" s="11">
        <v>7.8000000000000007</v>
      </c>
      <c r="S41" s="11">
        <v>7.5</v>
      </c>
      <c r="T41" s="11">
        <v>7.15</v>
      </c>
      <c r="U41" s="11">
        <v>6.75</v>
      </c>
      <c r="V41" s="11">
        <v>6.3</v>
      </c>
      <c r="W41" s="11">
        <v>5.8</v>
      </c>
      <c r="X41" s="14"/>
      <c r="Y41" s="15">
        <v>5.4</v>
      </c>
      <c r="Z41" s="15">
        <v>100</v>
      </c>
      <c r="AA41" s="15">
        <v>100</v>
      </c>
      <c r="AB41" s="15">
        <v>100</v>
      </c>
      <c r="AC41" s="15">
        <v>100</v>
      </c>
      <c r="AD41" s="15">
        <v>100</v>
      </c>
      <c r="AE41" s="15">
        <v>99</v>
      </c>
      <c r="AF41" s="15">
        <v>95</v>
      </c>
      <c r="AG41" s="15">
        <v>91</v>
      </c>
      <c r="AH41" s="15">
        <v>87</v>
      </c>
      <c r="AI41" s="15">
        <v>82</v>
      </c>
      <c r="AJ41" s="15">
        <v>97</v>
      </c>
      <c r="AK41" s="15">
        <v>93</v>
      </c>
      <c r="AL41" s="15">
        <v>88</v>
      </c>
      <c r="AM41" s="15">
        <v>84</v>
      </c>
      <c r="AN41" s="15">
        <v>80</v>
      </c>
      <c r="AO41" s="15">
        <v>76</v>
      </c>
      <c r="AP41" s="15">
        <v>72</v>
      </c>
      <c r="AQ41" s="15">
        <v>67</v>
      </c>
      <c r="AR41" s="15">
        <v>63</v>
      </c>
      <c r="AS41" s="15">
        <v>88.11</v>
      </c>
    </row>
    <row r="42" spans="1:45" ht="16.5" thickBot="1" x14ac:dyDescent="0.3">
      <c r="A42" s="23">
        <v>0.44</v>
      </c>
      <c r="B42" s="11">
        <v>8.08</v>
      </c>
      <c r="C42" s="11">
        <v>8.33</v>
      </c>
      <c r="D42" s="11">
        <v>8.33</v>
      </c>
      <c r="E42" s="11">
        <v>8.33</v>
      </c>
      <c r="F42" s="11">
        <v>8.33</v>
      </c>
      <c r="G42" s="12">
        <v>8.33</v>
      </c>
      <c r="H42" s="11">
        <v>8.33</v>
      </c>
      <c r="I42" s="11">
        <v>8.33</v>
      </c>
      <c r="J42" s="11">
        <v>8.33</v>
      </c>
      <c r="K42" s="11">
        <v>8.33</v>
      </c>
      <c r="L42" s="11">
        <v>8.33</v>
      </c>
      <c r="M42" s="13">
        <v>8.33</v>
      </c>
      <c r="N42" s="13">
        <v>8.33</v>
      </c>
      <c r="O42" s="13">
        <v>8.33</v>
      </c>
      <c r="P42" s="13">
        <v>8.23</v>
      </c>
      <c r="Q42" s="11">
        <v>8.0299999999999994</v>
      </c>
      <c r="R42" s="11">
        <v>7.83</v>
      </c>
      <c r="S42" s="11">
        <v>7.5299999999999994</v>
      </c>
      <c r="T42" s="11">
        <v>7.18</v>
      </c>
      <c r="U42" s="11">
        <v>6.78</v>
      </c>
      <c r="V42" s="11">
        <v>6.33</v>
      </c>
      <c r="W42" s="11">
        <v>5.83</v>
      </c>
      <c r="X42" s="14"/>
      <c r="Y42" s="15">
        <v>5.3</v>
      </c>
      <c r="Z42" s="15">
        <v>100</v>
      </c>
      <c r="AA42" s="15">
        <v>100</v>
      </c>
      <c r="AB42" s="15">
        <v>100</v>
      </c>
      <c r="AC42" s="15">
        <v>100</v>
      </c>
      <c r="AD42" s="15">
        <v>100</v>
      </c>
      <c r="AE42" s="15">
        <v>99</v>
      </c>
      <c r="AF42" s="15">
        <v>95</v>
      </c>
      <c r="AG42" s="15">
        <v>91</v>
      </c>
      <c r="AH42" s="15">
        <v>86</v>
      </c>
      <c r="AI42" s="15">
        <v>82</v>
      </c>
      <c r="AJ42" s="15">
        <v>97</v>
      </c>
      <c r="AK42" s="15">
        <v>92</v>
      </c>
      <c r="AL42" s="15">
        <v>88</v>
      </c>
      <c r="AM42" s="15">
        <v>84</v>
      </c>
      <c r="AN42" s="15">
        <v>80</v>
      </c>
      <c r="AO42" s="15">
        <v>75</v>
      </c>
      <c r="AP42" s="15">
        <v>71</v>
      </c>
      <c r="AQ42" s="15">
        <v>67</v>
      </c>
      <c r="AR42" s="15">
        <v>62</v>
      </c>
      <c r="AS42" s="15">
        <v>87.84</v>
      </c>
    </row>
    <row r="43" spans="1:45" ht="16.5" thickBot="1" x14ac:dyDescent="0.3">
      <c r="A43" s="23">
        <v>0.45</v>
      </c>
      <c r="B43" s="11">
        <v>8.1</v>
      </c>
      <c r="C43" s="11">
        <v>8.33</v>
      </c>
      <c r="D43" s="11">
        <v>8.33</v>
      </c>
      <c r="E43" s="11">
        <v>8.33</v>
      </c>
      <c r="F43" s="11">
        <v>8.33</v>
      </c>
      <c r="G43" s="12">
        <v>8.33</v>
      </c>
      <c r="H43" s="11">
        <v>8.33</v>
      </c>
      <c r="I43" s="11">
        <v>8.33</v>
      </c>
      <c r="J43" s="11">
        <v>8.33</v>
      </c>
      <c r="K43" s="11">
        <v>8.33</v>
      </c>
      <c r="L43" s="11">
        <v>8.33</v>
      </c>
      <c r="M43" s="13">
        <v>8.33</v>
      </c>
      <c r="N43" s="13">
        <v>8.33</v>
      </c>
      <c r="O43" s="13">
        <v>8.33</v>
      </c>
      <c r="P43" s="13">
        <v>8.25</v>
      </c>
      <c r="Q43" s="11">
        <v>8.0500000000000007</v>
      </c>
      <c r="R43" s="11">
        <v>7.85</v>
      </c>
      <c r="S43" s="11">
        <v>7.5500000000000007</v>
      </c>
      <c r="T43" s="11">
        <v>7.1999999999999993</v>
      </c>
      <c r="U43" s="11">
        <v>6.8</v>
      </c>
      <c r="V43" s="11">
        <v>6.35</v>
      </c>
      <c r="W43" s="11">
        <v>5.85</v>
      </c>
      <c r="X43" s="14"/>
      <c r="Y43" s="15">
        <v>5.2</v>
      </c>
      <c r="Z43" s="15">
        <v>100</v>
      </c>
      <c r="AA43" s="15">
        <v>100</v>
      </c>
      <c r="AB43" s="15">
        <v>100</v>
      </c>
      <c r="AC43" s="15">
        <v>100</v>
      </c>
      <c r="AD43" s="15">
        <v>100</v>
      </c>
      <c r="AE43" s="15">
        <v>99</v>
      </c>
      <c r="AF43" s="15">
        <v>94</v>
      </c>
      <c r="AG43" s="15">
        <v>90</v>
      </c>
      <c r="AH43" s="15">
        <v>86</v>
      </c>
      <c r="AI43" s="15">
        <v>81</v>
      </c>
      <c r="AJ43" s="15">
        <v>96</v>
      </c>
      <c r="AK43" s="15">
        <v>91</v>
      </c>
      <c r="AL43" s="15">
        <v>87</v>
      </c>
      <c r="AM43" s="15">
        <v>83</v>
      </c>
      <c r="AN43" s="15">
        <v>78</v>
      </c>
      <c r="AO43" s="15">
        <v>74</v>
      </c>
      <c r="AP43" s="15">
        <v>70</v>
      </c>
      <c r="AQ43" s="15">
        <v>66</v>
      </c>
      <c r="AR43" s="15">
        <v>61</v>
      </c>
      <c r="AS43" s="15">
        <v>87.16</v>
      </c>
    </row>
    <row r="44" spans="1:45" ht="16.5" thickBot="1" x14ac:dyDescent="0.3">
      <c r="A44" s="23">
        <v>0.46</v>
      </c>
      <c r="B44" s="11">
        <v>8.11</v>
      </c>
      <c r="C44" s="11">
        <v>8.33</v>
      </c>
      <c r="D44" s="11">
        <v>8.33</v>
      </c>
      <c r="E44" s="11">
        <v>8.33</v>
      </c>
      <c r="F44" s="11">
        <v>8.33</v>
      </c>
      <c r="G44" s="12">
        <v>8.33</v>
      </c>
      <c r="H44" s="11">
        <v>8.33</v>
      </c>
      <c r="I44" s="11">
        <v>8.33</v>
      </c>
      <c r="J44" s="11">
        <v>8.33</v>
      </c>
      <c r="K44" s="11">
        <v>8.33</v>
      </c>
      <c r="L44" s="11">
        <v>8.33</v>
      </c>
      <c r="M44" s="13">
        <v>8.33</v>
      </c>
      <c r="N44" s="13">
        <v>8.33</v>
      </c>
      <c r="O44" s="13">
        <v>8.33</v>
      </c>
      <c r="P44" s="13">
        <v>8.26</v>
      </c>
      <c r="Q44" s="11">
        <v>8.06</v>
      </c>
      <c r="R44" s="11">
        <v>7.8599999999999994</v>
      </c>
      <c r="S44" s="11">
        <v>7.5600000000000005</v>
      </c>
      <c r="T44" s="11">
        <v>7.2100000000000009</v>
      </c>
      <c r="U44" s="11">
        <v>6.81</v>
      </c>
      <c r="V44" s="11">
        <v>6.36</v>
      </c>
      <c r="W44" s="11">
        <v>5.86</v>
      </c>
      <c r="X44" s="14"/>
      <c r="Y44" s="15">
        <v>5.0999999999999996</v>
      </c>
      <c r="Z44" s="15">
        <v>100</v>
      </c>
      <c r="AA44" s="15">
        <v>100</v>
      </c>
      <c r="AB44" s="15">
        <v>100</v>
      </c>
      <c r="AC44" s="15">
        <v>100</v>
      </c>
      <c r="AD44" s="15">
        <v>100</v>
      </c>
      <c r="AE44" s="15">
        <v>98</v>
      </c>
      <c r="AF44" s="15">
        <v>94</v>
      </c>
      <c r="AG44" s="15">
        <v>89</v>
      </c>
      <c r="AH44" s="15">
        <v>85</v>
      </c>
      <c r="AI44" s="15">
        <v>81</v>
      </c>
      <c r="AJ44" s="15">
        <v>95</v>
      </c>
      <c r="AK44" s="15">
        <v>91</v>
      </c>
      <c r="AL44" s="15">
        <v>86</v>
      </c>
      <c r="AM44" s="15">
        <v>82</v>
      </c>
      <c r="AN44" s="15">
        <v>78</v>
      </c>
      <c r="AO44" s="15">
        <v>73</v>
      </c>
      <c r="AP44" s="15">
        <v>69</v>
      </c>
      <c r="AQ44" s="15">
        <v>64</v>
      </c>
      <c r="AR44" s="15">
        <v>60</v>
      </c>
      <c r="AS44" s="15">
        <v>86.58</v>
      </c>
    </row>
    <row r="45" spans="1:45" ht="16.5" thickBot="1" x14ac:dyDescent="0.3">
      <c r="A45" s="23">
        <v>0.47</v>
      </c>
      <c r="B45" s="11">
        <v>8.1300000000000008</v>
      </c>
      <c r="C45" s="11">
        <v>8.33</v>
      </c>
      <c r="D45" s="11">
        <v>8.33</v>
      </c>
      <c r="E45" s="11">
        <v>8.33</v>
      </c>
      <c r="F45" s="11">
        <v>8.33</v>
      </c>
      <c r="G45" s="12">
        <v>8.33</v>
      </c>
      <c r="H45" s="11">
        <v>8.33</v>
      </c>
      <c r="I45" s="11">
        <v>8.33</v>
      </c>
      <c r="J45" s="11">
        <v>8.33</v>
      </c>
      <c r="K45" s="11">
        <v>8.33</v>
      </c>
      <c r="L45" s="11">
        <v>8.33</v>
      </c>
      <c r="M45" s="13">
        <v>8.33</v>
      </c>
      <c r="N45" s="13">
        <v>8.33</v>
      </c>
      <c r="O45" s="13">
        <v>8.33</v>
      </c>
      <c r="P45" s="13">
        <v>8.2799999999999994</v>
      </c>
      <c r="Q45" s="11">
        <v>8.08</v>
      </c>
      <c r="R45" s="11">
        <v>7.8800000000000008</v>
      </c>
      <c r="S45" s="11">
        <v>7.58</v>
      </c>
      <c r="T45" s="11">
        <v>7.23</v>
      </c>
      <c r="U45" s="11">
        <v>6.83</v>
      </c>
      <c r="V45" s="11">
        <v>6.38</v>
      </c>
      <c r="W45" s="11">
        <v>5.88</v>
      </c>
      <c r="X45" s="14"/>
      <c r="Y45" s="15">
        <v>5</v>
      </c>
      <c r="Z45" s="15">
        <v>100</v>
      </c>
      <c r="AA45" s="15">
        <v>100</v>
      </c>
      <c r="AB45" s="15">
        <v>100</v>
      </c>
      <c r="AC45" s="15">
        <v>100</v>
      </c>
      <c r="AD45" s="15">
        <v>100</v>
      </c>
      <c r="AE45" s="15">
        <v>97</v>
      </c>
      <c r="AF45" s="15">
        <v>93</v>
      </c>
      <c r="AG45" s="15">
        <v>89</v>
      </c>
      <c r="AH45" s="15">
        <v>84</v>
      </c>
      <c r="AI45" s="15">
        <v>80</v>
      </c>
      <c r="AJ45" s="15">
        <v>95</v>
      </c>
      <c r="AK45" s="15">
        <v>90</v>
      </c>
      <c r="AL45" s="15">
        <v>85</v>
      </c>
      <c r="AM45" s="15">
        <v>81</v>
      </c>
      <c r="AN45" s="15">
        <v>77</v>
      </c>
      <c r="AO45" s="15">
        <v>72</v>
      </c>
      <c r="AP45" s="15">
        <v>68</v>
      </c>
      <c r="AQ45" s="15">
        <v>63</v>
      </c>
      <c r="AR45" s="15">
        <v>59</v>
      </c>
      <c r="AS45" s="15">
        <v>85.95</v>
      </c>
    </row>
    <row r="46" spans="1:45" x14ac:dyDescent="0.25">
      <c r="A46" s="23">
        <v>0.48</v>
      </c>
      <c r="B46" s="11">
        <v>8.15</v>
      </c>
      <c r="C46" s="11">
        <v>8.33</v>
      </c>
      <c r="D46" s="11">
        <v>8.33</v>
      </c>
      <c r="E46" s="11">
        <v>8.33</v>
      </c>
      <c r="F46" s="11">
        <v>8.33</v>
      </c>
      <c r="G46" s="12">
        <v>8.33</v>
      </c>
      <c r="H46" s="11">
        <v>8.33</v>
      </c>
      <c r="I46" s="11">
        <v>8.33</v>
      </c>
      <c r="J46" s="11">
        <v>8.33</v>
      </c>
      <c r="K46" s="11">
        <v>8.33</v>
      </c>
      <c r="L46" s="11">
        <v>8.33</v>
      </c>
      <c r="M46" s="13">
        <v>8.33</v>
      </c>
      <c r="N46" s="13">
        <v>8.33</v>
      </c>
      <c r="O46" s="13">
        <v>8.33</v>
      </c>
      <c r="P46" s="13">
        <v>8.3000000000000007</v>
      </c>
      <c r="Q46" s="11">
        <v>8.1</v>
      </c>
      <c r="R46" s="11">
        <v>7.9</v>
      </c>
      <c r="S46" s="11">
        <v>7.6</v>
      </c>
      <c r="T46" s="11">
        <v>7.25</v>
      </c>
      <c r="U46" s="11">
        <v>6.85</v>
      </c>
      <c r="V46" s="11">
        <v>6.4</v>
      </c>
      <c r="W46" s="11">
        <v>5.9</v>
      </c>
      <c r="X46" s="14"/>
    </row>
    <row r="47" spans="1:45" x14ac:dyDescent="0.25">
      <c r="A47" s="23">
        <v>0.49</v>
      </c>
      <c r="B47" s="11">
        <v>8.16</v>
      </c>
      <c r="C47" s="11">
        <v>8.33</v>
      </c>
      <c r="D47" s="11">
        <v>8.33</v>
      </c>
      <c r="E47" s="11">
        <v>8.33</v>
      </c>
      <c r="F47" s="11">
        <v>8.33</v>
      </c>
      <c r="G47" s="12">
        <v>8.33</v>
      </c>
      <c r="H47" s="11">
        <v>8.33</v>
      </c>
      <c r="I47" s="11">
        <v>8.33</v>
      </c>
      <c r="J47" s="11">
        <v>8.33</v>
      </c>
      <c r="K47" s="11">
        <v>8.33</v>
      </c>
      <c r="L47" s="11">
        <v>8.33</v>
      </c>
      <c r="M47" s="13">
        <v>8.33</v>
      </c>
      <c r="N47" s="13">
        <v>8.33</v>
      </c>
      <c r="O47" s="13">
        <v>8.33</v>
      </c>
      <c r="P47" s="13">
        <v>8.31</v>
      </c>
      <c r="Q47" s="11">
        <v>8.11</v>
      </c>
      <c r="R47" s="11">
        <v>7.91</v>
      </c>
      <c r="S47" s="11">
        <v>7.6099999999999994</v>
      </c>
      <c r="T47" s="11">
        <v>7.26</v>
      </c>
      <c r="U47" s="11">
        <v>6.86</v>
      </c>
      <c r="V47" s="11">
        <v>6.41</v>
      </c>
      <c r="W47" s="11">
        <v>5.91</v>
      </c>
      <c r="X47" s="14"/>
    </row>
    <row r="48" spans="1:45" x14ac:dyDescent="0.25">
      <c r="A48" s="23">
        <v>0.5</v>
      </c>
      <c r="B48" s="11">
        <v>8.18</v>
      </c>
      <c r="C48" s="11">
        <v>8.33</v>
      </c>
      <c r="D48" s="11">
        <v>8.33</v>
      </c>
      <c r="E48" s="11">
        <v>8.33</v>
      </c>
      <c r="F48" s="11">
        <v>8.33</v>
      </c>
      <c r="G48" s="12">
        <v>8.33</v>
      </c>
      <c r="H48" s="11">
        <v>8.33</v>
      </c>
      <c r="I48" s="11">
        <v>8.33</v>
      </c>
      <c r="J48" s="11">
        <v>8.33</v>
      </c>
      <c r="K48" s="11">
        <v>8.33</v>
      </c>
      <c r="L48" s="11">
        <v>8.33</v>
      </c>
      <c r="M48" s="13">
        <v>8.33</v>
      </c>
      <c r="N48" s="13">
        <v>8.33</v>
      </c>
      <c r="O48" s="13">
        <v>8.33</v>
      </c>
      <c r="P48" s="13">
        <v>8.33</v>
      </c>
      <c r="Q48" s="11">
        <v>8.1300000000000008</v>
      </c>
      <c r="R48" s="11">
        <v>7.93</v>
      </c>
      <c r="S48" s="11">
        <v>7.63</v>
      </c>
      <c r="T48" s="11">
        <v>7.2799999999999994</v>
      </c>
      <c r="U48" s="11">
        <v>6.88</v>
      </c>
      <c r="V48" s="11">
        <v>6.43</v>
      </c>
      <c r="W48" s="11">
        <v>5.93</v>
      </c>
      <c r="X48" s="14"/>
    </row>
    <row r="49" spans="1:24" x14ac:dyDescent="0.25">
      <c r="A49" s="24"/>
      <c r="B49" s="24"/>
      <c r="C49" s="24"/>
      <c r="D49" s="24"/>
      <c r="E49" s="24"/>
      <c r="F49" s="24"/>
    </row>
    <row r="50" spans="1:24" x14ac:dyDescent="0.25">
      <c r="A50" s="1" t="s">
        <v>6</v>
      </c>
      <c r="B50" s="24"/>
      <c r="C50" s="24"/>
      <c r="D50" s="24"/>
      <c r="E50" s="24"/>
      <c r="F50" s="24"/>
      <c r="G50" s="24"/>
      <c r="I50" s="24"/>
      <c r="J50" s="24"/>
      <c r="K50" s="24"/>
      <c r="L50" s="24"/>
      <c r="M50" s="24"/>
      <c r="N50" s="24"/>
      <c r="O50" s="24"/>
      <c r="P50" s="24"/>
      <c r="Q50" s="24"/>
      <c r="R50" s="24"/>
      <c r="S50" s="24"/>
      <c r="T50" s="24"/>
      <c r="U50" s="24"/>
      <c r="V50" s="24"/>
      <c r="W50" s="24"/>
      <c r="X50" s="27"/>
    </row>
    <row r="51" spans="1:24" x14ac:dyDescent="0.25">
      <c r="A51" s="1" t="s">
        <v>7</v>
      </c>
      <c r="B51" s="24"/>
      <c r="C51" s="24"/>
      <c r="D51" s="24"/>
      <c r="E51" s="24"/>
      <c r="F51" s="24"/>
      <c r="G51" s="24"/>
      <c r="I51" s="24"/>
      <c r="J51" s="24"/>
      <c r="K51" s="24"/>
      <c r="L51" s="24"/>
      <c r="M51" s="24"/>
      <c r="N51" s="24"/>
      <c r="O51" s="24"/>
      <c r="P51" s="24"/>
      <c r="Q51" s="24"/>
      <c r="R51" s="24"/>
      <c r="S51" s="24"/>
      <c r="T51" s="24"/>
      <c r="U51" s="24"/>
      <c r="V51" s="24"/>
      <c r="W51" s="24"/>
      <c r="X51" s="27"/>
    </row>
    <row r="52" spans="1:24" x14ac:dyDescent="0.25">
      <c r="A52" s="1" t="s">
        <v>8</v>
      </c>
      <c r="B52" s="24"/>
      <c r="C52" s="24"/>
      <c r="D52" s="24"/>
      <c r="E52" s="24"/>
      <c r="F52" s="24"/>
      <c r="G52" s="24"/>
      <c r="I52" s="24"/>
      <c r="J52" s="24"/>
      <c r="K52" s="24"/>
      <c r="L52" s="24"/>
      <c r="M52" s="24"/>
      <c r="N52" s="24"/>
      <c r="O52" s="24"/>
      <c r="P52" s="24"/>
      <c r="Q52" s="24"/>
      <c r="R52" s="24"/>
      <c r="S52" s="24"/>
      <c r="T52" s="24"/>
      <c r="U52" s="24"/>
      <c r="V52" s="24"/>
      <c r="W52" s="24"/>
      <c r="X52" s="27"/>
    </row>
    <row r="53" spans="1:24" x14ac:dyDescent="0.25">
      <c r="A53" s="24"/>
      <c r="B53" s="24"/>
      <c r="C53" s="24"/>
      <c r="D53" s="24"/>
      <c r="E53" s="24"/>
      <c r="F53" s="24"/>
      <c r="G53" s="24"/>
      <c r="I53" s="24"/>
      <c r="J53" s="24"/>
      <c r="K53" s="24"/>
      <c r="L53" s="24"/>
      <c r="M53" s="24"/>
      <c r="N53" s="24"/>
      <c r="O53" s="24"/>
      <c r="P53" s="24"/>
      <c r="Q53" s="24"/>
      <c r="R53" s="24"/>
      <c r="S53" s="24"/>
      <c r="T53" s="24"/>
      <c r="U53" s="24"/>
      <c r="V53" s="24"/>
      <c r="W53" s="24"/>
      <c r="X53" s="27"/>
    </row>
    <row r="54" spans="1:24" x14ac:dyDescent="0.25">
      <c r="A54" s="24"/>
      <c r="B54" s="24"/>
      <c r="C54" s="24"/>
      <c r="D54" s="24"/>
      <c r="E54" s="24"/>
      <c r="F54" s="24"/>
      <c r="G54" s="24"/>
      <c r="I54" s="24"/>
      <c r="J54" s="24"/>
      <c r="K54" s="24"/>
      <c r="L54" s="24"/>
      <c r="M54" s="24"/>
      <c r="N54" s="24"/>
      <c r="O54" s="24"/>
      <c r="P54" s="24"/>
      <c r="Q54" s="24"/>
      <c r="R54" s="24"/>
      <c r="S54" s="24"/>
      <c r="T54" s="24"/>
      <c r="U54" s="24"/>
      <c r="V54" s="24"/>
      <c r="W54" s="24"/>
      <c r="X54" s="27"/>
    </row>
    <row r="55" spans="1:24" x14ac:dyDescent="0.25">
      <c r="A55" s="24"/>
      <c r="B55" s="24"/>
      <c r="C55" s="24"/>
      <c r="D55" s="24"/>
      <c r="E55" s="24"/>
      <c r="F55" s="24"/>
      <c r="G55" s="24"/>
      <c r="I55" s="24"/>
      <c r="J55" s="24"/>
      <c r="K55" s="24"/>
      <c r="L55" s="24"/>
      <c r="M55" s="24"/>
      <c r="N55" s="24"/>
      <c r="O55" s="24"/>
      <c r="P55" s="24"/>
      <c r="Q55" s="24"/>
      <c r="R55" s="24"/>
      <c r="S55" s="24"/>
      <c r="T55" s="24"/>
      <c r="U55" s="24"/>
      <c r="V55" s="24"/>
      <c r="W55" s="24"/>
      <c r="X55" s="27"/>
    </row>
    <row r="56" spans="1:24" x14ac:dyDescent="0.25">
      <c r="A56" s="28" t="s">
        <v>9</v>
      </c>
      <c r="B56" s="24"/>
      <c r="C56" s="24"/>
      <c r="D56" s="24"/>
      <c r="E56" s="24"/>
      <c r="F56" s="24"/>
    </row>
    <row r="57" spans="1:24" x14ac:dyDescent="0.25">
      <c r="A57" s="24"/>
      <c r="B57" s="24"/>
      <c r="C57" s="24"/>
      <c r="D57" s="24"/>
      <c r="E57" s="24"/>
      <c r="F57" s="24"/>
    </row>
    <row r="58" spans="1:24" x14ac:dyDescent="0.25">
      <c r="A58" s="29" t="s">
        <v>10</v>
      </c>
      <c r="B58" s="29" t="s">
        <v>11</v>
      </c>
      <c r="C58" s="29" t="s">
        <v>12</v>
      </c>
      <c r="D58" s="29" t="s">
        <v>13</v>
      </c>
      <c r="E58" s="29" t="s">
        <v>14</v>
      </c>
      <c r="F58" s="29" t="s">
        <v>15</v>
      </c>
      <c r="H58" s="25" t="s">
        <v>16</v>
      </c>
    </row>
    <row r="59" spans="1:24" ht="23.25" x14ac:dyDescent="0.25">
      <c r="A59" s="30">
        <v>17</v>
      </c>
      <c r="B59" s="271" t="s">
        <v>17</v>
      </c>
      <c r="C59" s="31" t="s">
        <v>18</v>
      </c>
      <c r="D59" s="272" t="s">
        <v>19</v>
      </c>
      <c r="E59" s="272" t="s">
        <v>19</v>
      </c>
      <c r="F59" s="32" t="s">
        <v>20</v>
      </c>
      <c r="H59" s="33" t="s">
        <v>21</v>
      </c>
    </row>
    <row r="60" spans="1:24" ht="23.25" x14ac:dyDescent="0.25">
      <c r="A60" s="34">
        <v>18</v>
      </c>
      <c r="B60" s="271"/>
      <c r="C60" s="31" t="s">
        <v>22</v>
      </c>
      <c r="D60" s="272"/>
      <c r="E60" s="272"/>
      <c r="F60" s="32" t="s">
        <v>23</v>
      </c>
      <c r="H60" s="25" t="s">
        <v>24</v>
      </c>
    </row>
    <row r="61" spans="1:24" x14ac:dyDescent="0.25">
      <c r="A61" s="30">
        <v>19</v>
      </c>
      <c r="B61" s="271"/>
      <c r="C61" s="35"/>
      <c r="D61" s="272"/>
      <c r="E61" s="272"/>
      <c r="F61" s="36"/>
      <c r="H61" s="25" t="s">
        <v>25</v>
      </c>
      <c r="I61" s="24"/>
    </row>
    <row r="62" spans="1:24" x14ac:dyDescent="0.25">
      <c r="A62" s="34">
        <v>20</v>
      </c>
      <c r="B62" s="271"/>
      <c r="C62" s="32" t="s">
        <v>19</v>
      </c>
      <c r="D62" s="273" t="s">
        <v>20</v>
      </c>
      <c r="E62" s="32" t="s">
        <v>20</v>
      </c>
      <c r="F62" s="36"/>
      <c r="H62" s="25" t="s">
        <v>26</v>
      </c>
    </row>
    <row r="63" spans="1:24" ht="23.25" x14ac:dyDescent="0.25">
      <c r="A63" s="30">
        <v>21</v>
      </c>
      <c r="B63" s="274" t="s">
        <v>18</v>
      </c>
      <c r="C63" s="32" t="s">
        <v>27</v>
      </c>
      <c r="D63" s="273"/>
      <c r="E63" s="32" t="s">
        <v>23</v>
      </c>
      <c r="F63" s="36"/>
      <c r="H63" s="25" t="s">
        <v>28</v>
      </c>
    </row>
    <row r="64" spans="1:24" x14ac:dyDescent="0.25">
      <c r="A64" s="34">
        <v>22</v>
      </c>
      <c r="B64" s="274"/>
      <c r="C64" s="36"/>
      <c r="D64" s="273"/>
      <c r="E64" s="36"/>
      <c r="F64" s="36"/>
      <c r="H64" s="25" t="s">
        <v>29</v>
      </c>
    </row>
    <row r="65" spans="1:8" x14ac:dyDescent="0.25">
      <c r="A65" s="30">
        <v>23</v>
      </c>
      <c r="B65" s="274"/>
      <c r="C65" s="36"/>
      <c r="D65" s="273"/>
      <c r="E65" s="36"/>
      <c r="F65" s="36"/>
    </row>
    <row r="66" spans="1:8" x14ac:dyDescent="0.25">
      <c r="A66" s="34">
        <v>24</v>
      </c>
      <c r="B66" s="274"/>
      <c r="C66" s="36"/>
      <c r="D66" s="273"/>
      <c r="E66" s="36"/>
      <c r="F66" s="36"/>
      <c r="H66" s="25" t="s">
        <v>30</v>
      </c>
    </row>
    <row r="67" spans="1:8" x14ac:dyDescent="0.25">
      <c r="A67" s="30">
        <v>25</v>
      </c>
      <c r="B67" s="274"/>
      <c r="C67" s="36"/>
      <c r="D67" s="272" t="s">
        <v>19</v>
      </c>
      <c r="E67" s="36"/>
      <c r="F67" s="36"/>
      <c r="H67" s="25" t="s">
        <v>31</v>
      </c>
    </row>
    <row r="68" spans="1:8" x14ac:dyDescent="0.25">
      <c r="A68" s="34">
        <v>26</v>
      </c>
      <c r="B68" s="274"/>
      <c r="C68" s="272" t="s">
        <v>19</v>
      </c>
      <c r="D68" s="272"/>
      <c r="E68" s="36"/>
      <c r="F68" s="36"/>
    </row>
    <row r="69" spans="1:8" x14ac:dyDescent="0.25">
      <c r="A69" s="30">
        <v>27</v>
      </c>
      <c r="B69" s="271" t="s">
        <v>17</v>
      </c>
      <c r="C69" s="272"/>
      <c r="D69" s="272"/>
      <c r="E69" s="36"/>
      <c r="F69" s="36"/>
    </row>
    <row r="70" spans="1:8" x14ac:dyDescent="0.25">
      <c r="A70" s="34">
        <v>28</v>
      </c>
      <c r="B70" s="271"/>
      <c r="C70" s="274" t="s">
        <v>18</v>
      </c>
      <c r="D70" s="272"/>
      <c r="E70" s="36"/>
      <c r="F70" s="36"/>
      <c r="H70" s="25" t="s">
        <v>32</v>
      </c>
    </row>
    <row r="71" spans="1:8" x14ac:dyDescent="0.25">
      <c r="A71" s="30">
        <v>29</v>
      </c>
      <c r="B71" s="271"/>
      <c r="C71" s="274"/>
      <c r="D71" s="272"/>
      <c r="E71" s="36"/>
      <c r="F71" s="36"/>
    </row>
    <row r="72" spans="1:8" x14ac:dyDescent="0.25">
      <c r="A72" s="34">
        <v>30</v>
      </c>
      <c r="B72" s="271"/>
      <c r="C72" s="274"/>
      <c r="D72" s="274" t="s">
        <v>18</v>
      </c>
      <c r="E72" s="36"/>
      <c r="F72" s="36"/>
      <c r="H72" s="25" t="s">
        <v>33</v>
      </c>
    </row>
    <row r="73" spans="1:8" x14ac:dyDescent="0.25">
      <c r="A73" s="30">
        <v>31</v>
      </c>
      <c r="B73" s="271"/>
      <c r="C73" s="274"/>
      <c r="D73" s="274"/>
      <c r="E73" s="32" t="s">
        <v>19</v>
      </c>
      <c r="F73" s="36"/>
    </row>
    <row r="74" spans="1:8" x14ac:dyDescent="0.25">
      <c r="A74" s="34">
        <v>32</v>
      </c>
      <c r="B74" s="271"/>
      <c r="C74" s="274"/>
      <c r="D74" s="274"/>
      <c r="E74" s="32" t="s">
        <v>27</v>
      </c>
      <c r="F74" s="36"/>
      <c r="H74" s="25" t="s">
        <v>34</v>
      </c>
    </row>
    <row r="75" spans="1:8" ht="23.25" x14ac:dyDescent="0.25">
      <c r="A75" s="30">
        <v>33</v>
      </c>
      <c r="B75" s="271"/>
      <c r="C75" s="271" t="s">
        <v>17</v>
      </c>
      <c r="D75" s="274"/>
      <c r="E75" s="31" t="s">
        <v>18</v>
      </c>
      <c r="F75" s="31" t="s">
        <v>18</v>
      </c>
    </row>
    <row r="76" spans="1:8" x14ac:dyDescent="0.25">
      <c r="A76" s="34">
        <v>34</v>
      </c>
      <c r="B76" s="275" t="s">
        <v>35</v>
      </c>
      <c r="C76" s="271"/>
      <c r="D76" s="274"/>
      <c r="E76" s="31" t="s">
        <v>22</v>
      </c>
      <c r="F76" s="31" t="s">
        <v>22</v>
      </c>
      <c r="H76" s="25" t="s">
        <v>36</v>
      </c>
    </row>
    <row r="77" spans="1:8" x14ac:dyDescent="0.25">
      <c r="A77" s="30">
        <v>35</v>
      </c>
      <c r="B77" s="275"/>
      <c r="C77" s="275" t="s">
        <v>35</v>
      </c>
      <c r="D77" s="271" t="s">
        <v>17</v>
      </c>
      <c r="E77" s="271" t="s">
        <v>17</v>
      </c>
      <c r="F77" s="35"/>
    </row>
    <row r="78" spans="1:8" ht="23.25" x14ac:dyDescent="0.25">
      <c r="A78" s="34">
        <v>36</v>
      </c>
      <c r="B78" s="275"/>
      <c r="C78" s="275"/>
      <c r="D78" s="271"/>
      <c r="E78" s="271"/>
      <c r="F78" s="37" t="s">
        <v>17</v>
      </c>
      <c r="H78" s="25" t="s">
        <v>37</v>
      </c>
    </row>
    <row r="79" spans="1:8" x14ac:dyDescent="0.25">
      <c r="A79" s="270" t="s">
        <v>38</v>
      </c>
      <c r="B79" s="270"/>
      <c r="C79" s="270"/>
      <c r="D79" s="270"/>
      <c r="E79" s="270"/>
      <c r="F79" s="270"/>
    </row>
    <row r="80" spans="1:8" x14ac:dyDescent="0.25">
      <c r="A80" s="24"/>
      <c r="B80" s="24"/>
      <c r="C80" s="24"/>
      <c r="D80" s="24"/>
      <c r="E80" s="24"/>
      <c r="F80" s="24"/>
      <c r="H80" s="25" t="s">
        <v>39</v>
      </c>
    </row>
    <row r="81" spans="1:24" x14ac:dyDescent="0.25">
      <c r="A81" s="24"/>
      <c r="B81" s="24"/>
      <c r="C81" s="24"/>
      <c r="D81" s="24"/>
      <c r="E81" s="24"/>
      <c r="F81" s="24"/>
    </row>
    <row r="82" spans="1:24" x14ac:dyDescent="0.25">
      <c r="A82" s="24"/>
      <c r="B82" s="24"/>
      <c r="C82" s="24"/>
      <c r="D82" s="24"/>
      <c r="E82" s="24"/>
      <c r="F82" s="24"/>
      <c r="H82" s="25" t="s">
        <v>40</v>
      </c>
    </row>
    <row r="83" spans="1:24" x14ac:dyDescent="0.25">
      <c r="A83" s="24"/>
      <c r="B83" s="24"/>
      <c r="C83" s="24"/>
      <c r="D83" s="24"/>
      <c r="E83" s="24"/>
      <c r="F83" s="24"/>
    </row>
    <row r="84" spans="1:24" x14ac:dyDescent="0.25">
      <c r="A84" t="s">
        <v>41</v>
      </c>
      <c r="B84" s="24"/>
      <c r="C84" s="24"/>
      <c r="D84" s="24"/>
      <c r="E84" s="24"/>
      <c r="F84" s="24"/>
    </row>
    <row r="85" spans="1:24" x14ac:dyDescent="0.25">
      <c r="A85" t="s">
        <v>42</v>
      </c>
      <c r="B85" s="24"/>
      <c r="C85" s="24"/>
      <c r="D85" s="24"/>
      <c r="E85" s="24"/>
      <c r="F85" s="24"/>
    </row>
    <row r="86" spans="1:24" x14ac:dyDescent="0.25">
      <c r="A86" s="24" t="s">
        <v>43</v>
      </c>
      <c r="B86" s="24"/>
      <c r="C86" s="24"/>
      <c r="D86" s="24"/>
      <c r="E86" s="24"/>
      <c r="F86" s="24"/>
    </row>
    <row r="87" spans="1:24" x14ac:dyDescent="0.25">
      <c r="A87" s="24"/>
      <c r="B87" s="24"/>
      <c r="C87" s="24"/>
      <c r="D87" s="24"/>
      <c r="E87" s="24"/>
      <c r="F87" s="24"/>
      <c r="G87" s="24"/>
      <c r="I87" s="24"/>
      <c r="J87" s="24"/>
      <c r="K87" s="24"/>
      <c r="L87" s="24"/>
      <c r="M87" s="24"/>
      <c r="N87" s="24"/>
      <c r="O87" s="24"/>
      <c r="P87" s="24"/>
      <c r="Q87" s="24"/>
      <c r="R87" s="24"/>
      <c r="S87" s="24"/>
      <c r="T87" s="24"/>
      <c r="U87" s="24"/>
      <c r="V87" s="24"/>
      <c r="W87" s="24"/>
      <c r="X87" s="27"/>
    </row>
    <row r="88" spans="1:24" x14ac:dyDescent="0.25">
      <c r="A88" s="24"/>
      <c r="B88" s="24"/>
      <c r="C88" s="24"/>
      <c r="D88" s="24"/>
      <c r="E88" s="24"/>
      <c r="F88" s="24"/>
      <c r="G88" s="24"/>
      <c r="I88" s="24"/>
      <c r="J88" s="24"/>
      <c r="K88" s="24"/>
      <c r="L88" s="24"/>
      <c r="M88" s="24"/>
      <c r="N88" s="24"/>
      <c r="O88" s="24"/>
      <c r="P88" s="24"/>
      <c r="Q88" s="24"/>
      <c r="R88" s="24"/>
      <c r="S88" s="24"/>
      <c r="T88" s="24"/>
      <c r="U88" s="24"/>
      <c r="V88" s="24"/>
      <c r="W88" s="24"/>
      <c r="X88" s="27"/>
    </row>
    <row r="89" spans="1:24" x14ac:dyDescent="0.25">
      <c r="A89" s="24"/>
      <c r="B89" s="24"/>
      <c r="C89" s="24"/>
      <c r="D89" s="24"/>
      <c r="E89" s="24"/>
      <c r="F89" s="24"/>
      <c r="G89" s="24"/>
      <c r="I89" s="24"/>
      <c r="J89" s="24"/>
      <c r="K89" s="24"/>
      <c r="L89" s="24"/>
      <c r="M89" s="24"/>
      <c r="N89" s="24"/>
      <c r="O89" s="24"/>
      <c r="P89" s="24"/>
      <c r="Q89" s="24"/>
      <c r="R89" s="24"/>
      <c r="S89" s="24"/>
      <c r="T89" s="24"/>
      <c r="U89" s="24"/>
      <c r="V89" s="24"/>
      <c r="W89" s="24"/>
      <c r="X89" s="27"/>
    </row>
    <row r="90" spans="1:24" x14ac:dyDescent="0.25">
      <c r="A90" s="24"/>
      <c r="B90" s="24"/>
      <c r="C90" s="24"/>
      <c r="D90" s="24"/>
      <c r="E90" s="24"/>
      <c r="F90" s="24"/>
      <c r="G90" s="24"/>
      <c r="I90" s="24"/>
      <c r="J90" s="24"/>
      <c r="K90" s="24"/>
      <c r="L90" s="24"/>
      <c r="M90" s="24"/>
      <c r="N90" s="24"/>
      <c r="O90" s="24"/>
      <c r="P90" s="24"/>
      <c r="Q90" s="24"/>
      <c r="R90" s="24"/>
      <c r="S90" s="24"/>
      <c r="T90" s="24"/>
      <c r="U90" s="24"/>
      <c r="V90" s="24"/>
      <c r="W90" s="24"/>
      <c r="X90" s="27"/>
    </row>
    <row r="91" spans="1:24" x14ac:dyDescent="0.25">
      <c r="A91" s="24"/>
      <c r="B91" s="24"/>
      <c r="C91" s="24"/>
      <c r="D91" s="24"/>
      <c r="E91" s="24"/>
      <c r="F91" s="24"/>
      <c r="G91" s="24"/>
      <c r="I91" s="24"/>
      <c r="J91" s="24"/>
      <c r="K91" s="24"/>
      <c r="L91" s="24"/>
      <c r="M91" s="24"/>
      <c r="N91" s="24"/>
      <c r="O91" s="24"/>
      <c r="P91" s="24"/>
      <c r="Q91" s="24"/>
      <c r="R91" s="24"/>
      <c r="S91" s="24"/>
      <c r="T91" s="24"/>
      <c r="U91" s="24"/>
      <c r="V91" s="24"/>
      <c r="W91" s="24"/>
      <c r="X91" s="27"/>
    </row>
    <row r="92" spans="1:24" x14ac:dyDescent="0.25">
      <c r="A92" s="24"/>
      <c r="B92" s="24"/>
      <c r="C92" s="24"/>
      <c r="D92" s="24"/>
      <c r="E92" s="24"/>
      <c r="F92" s="24"/>
      <c r="G92" s="24"/>
      <c r="I92" s="24"/>
      <c r="J92" s="24"/>
      <c r="K92" s="24"/>
      <c r="L92" s="24"/>
      <c r="M92" s="24"/>
      <c r="N92" s="24"/>
      <c r="O92" s="24"/>
      <c r="P92" s="24"/>
      <c r="Q92" s="24"/>
      <c r="R92" s="24"/>
      <c r="S92" s="24"/>
      <c r="T92" s="24"/>
      <c r="U92" s="24"/>
      <c r="V92" s="24"/>
      <c r="W92" s="24"/>
      <c r="X92" s="27"/>
    </row>
    <row r="93" spans="1:24" x14ac:dyDescent="0.25">
      <c r="A93" s="24"/>
      <c r="B93" s="24"/>
      <c r="C93" s="24"/>
      <c r="D93" s="24"/>
      <c r="E93" s="24"/>
      <c r="F93" s="24"/>
      <c r="G93" s="24"/>
      <c r="I93" s="24"/>
      <c r="J93" s="24"/>
      <c r="K93" s="24"/>
      <c r="L93" s="24"/>
      <c r="M93" s="24"/>
      <c r="N93" s="24"/>
      <c r="O93" s="24"/>
      <c r="P93" s="24"/>
      <c r="Q93" s="24"/>
      <c r="R93" s="24"/>
      <c r="S93" s="24"/>
      <c r="T93" s="24"/>
      <c r="U93" s="24"/>
      <c r="V93" s="24"/>
      <c r="W93" s="24"/>
      <c r="X93" s="27"/>
    </row>
    <row r="94" spans="1:24" x14ac:dyDescent="0.25">
      <c r="A94" s="24"/>
      <c r="B94" s="24"/>
      <c r="C94" s="24"/>
      <c r="D94" s="24"/>
      <c r="E94" s="24"/>
      <c r="F94" s="24"/>
      <c r="G94" s="24"/>
      <c r="I94" s="24"/>
      <c r="J94" s="24"/>
      <c r="K94" s="24"/>
      <c r="L94" s="24"/>
      <c r="M94" s="24"/>
      <c r="N94" s="24"/>
      <c r="O94" s="24"/>
      <c r="P94" s="24"/>
      <c r="Q94" s="24"/>
      <c r="R94" s="24"/>
      <c r="S94" s="24"/>
      <c r="T94" s="24"/>
      <c r="U94" s="24"/>
      <c r="V94" s="24"/>
      <c r="W94" s="24"/>
      <c r="X94" s="27"/>
    </row>
    <row r="95" spans="1:24" x14ac:dyDescent="0.25">
      <c r="A95" s="24"/>
      <c r="B95" s="24"/>
      <c r="C95" s="24"/>
      <c r="D95" s="24"/>
      <c r="E95" s="24"/>
      <c r="F95" s="24"/>
      <c r="G95" s="24"/>
      <c r="I95" s="24"/>
      <c r="J95" s="24"/>
      <c r="K95" s="24"/>
      <c r="L95" s="24"/>
      <c r="M95" s="24"/>
      <c r="N95" s="24"/>
      <c r="O95" s="24"/>
      <c r="P95" s="24"/>
      <c r="Q95" s="24"/>
      <c r="R95" s="24"/>
      <c r="S95" s="24"/>
      <c r="T95" s="24"/>
      <c r="U95" s="24"/>
      <c r="V95" s="24"/>
      <c r="W95" s="24"/>
      <c r="X95" s="27"/>
    </row>
    <row r="96" spans="1:24" x14ac:dyDescent="0.25">
      <c r="A96" s="24"/>
      <c r="B96" s="24"/>
      <c r="C96" s="24"/>
      <c r="D96" s="24"/>
      <c r="E96" s="24"/>
      <c r="F96" s="24"/>
      <c r="G96" s="24"/>
      <c r="I96" s="24"/>
      <c r="J96" s="24"/>
      <c r="K96" s="24"/>
      <c r="L96" s="24"/>
      <c r="M96" s="24"/>
      <c r="N96" s="24"/>
      <c r="O96" s="24"/>
      <c r="P96" s="24"/>
      <c r="Q96" s="24"/>
      <c r="R96" s="24"/>
      <c r="S96" s="24"/>
      <c r="T96" s="24"/>
      <c r="U96" s="24"/>
      <c r="V96" s="24"/>
      <c r="W96" s="24"/>
      <c r="X96" s="27"/>
    </row>
    <row r="97" spans="1:24" x14ac:dyDescent="0.25">
      <c r="A97" s="24"/>
      <c r="B97" s="24"/>
      <c r="C97" s="24"/>
      <c r="D97" s="24"/>
      <c r="E97" s="24"/>
      <c r="F97" s="24"/>
      <c r="G97" s="24"/>
      <c r="I97" s="24"/>
      <c r="J97" s="24"/>
      <c r="K97" s="24"/>
      <c r="L97" s="24"/>
      <c r="M97" s="24"/>
      <c r="N97" s="24"/>
      <c r="O97" s="24"/>
      <c r="P97" s="24"/>
      <c r="Q97" s="24"/>
      <c r="R97" s="24"/>
      <c r="S97" s="24"/>
      <c r="T97" s="24"/>
      <c r="U97" s="24"/>
      <c r="V97" s="24"/>
      <c r="W97" s="24"/>
      <c r="X97" s="27"/>
    </row>
    <row r="98" spans="1:24" x14ac:dyDescent="0.25">
      <c r="A98" s="24"/>
      <c r="B98" s="24"/>
      <c r="C98" s="24"/>
      <c r="D98" s="24"/>
      <c r="E98" s="24"/>
      <c r="F98" s="24"/>
      <c r="G98" s="24"/>
      <c r="I98" s="24"/>
      <c r="J98" s="24"/>
      <c r="K98" s="24"/>
      <c r="L98" s="24"/>
      <c r="M98" s="24"/>
      <c r="N98" s="24"/>
      <c r="O98" s="24"/>
      <c r="P98" s="24"/>
      <c r="Q98" s="24"/>
      <c r="R98" s="24"/>
      <c r="S98" s="24"/>
      <c r="T98" s="24"/>
      <c r="U98" s="24"/>
      <c r="V98" s="24"/>
      <c r="W98" s="24"/>
      <c r="X98" s="27"/>
    </row>
    <row r="99" spans="1:24" x14ac:dyDescent="0.25">
      <c r="A99" s="24"/>
      <c r="B99" s="24"/>
      <c r="C99" s="24"/>
      <c r="D99" s="24"/>
      <c r="E99" s="24"/>
      <c r="F99" s="24"/>
      <c r="G99" s="24"/>
      <c r="I99" s="24"/>
      <c r="J99" s="24"/>
      <c r="K99" s="24"/>
      <c r="L99" s="24"/>
      <c r="M99" s="24"/>
      <c r="N99" s="24"/>
      <c r="O99" s="24"/>
      <c r="P99" s="24"/>
      <c r="Q99" s="24"/>
      <c r="R99" s="24"/>
      <c r="S99" s="24"/>
      <c r="T99" s="24"/>
      <c r="U99" s="24"/>
      <c r="V99" s="24"/>
      <c r="W99" s="24"/>
      <c r="X99" s="27"/>
    </row>
    <row r="100" spans="1:24" x14ac:dyDescent="0.25">
      <c r="A100" s="24"/>
      <c r="B100" s="24"/>
      <c r="C100" s="24"/>
      <c r="D100" s="24"/>
      <c r="E100" s="24"/>
      <c r="F100" s="24"/>
      <c r="G100" s="24"/>
      <c r="I100" s="24"/>
      <c r="J100" s="24"/>
      <c r="K100" s="24"/>
      <c r="L100" s="24"/>
      <c r="M100" s="24"/>
      <c r="N100" s="24"/>
      <c r="O100" s="24"/>
      <c r="P100" s="24"/>
      <c r="Q100" s="24"/>
      <c r="R100" s="24"/>
      <c r="S100" s="24"/>
      <c r="T100" s="24"/>
      <c r="U100" s="24"/>
      <c r="V100" s="24"/>
      <c r="W100" s="24"/>
      <c r="X100" s="27"/>
    </row>
    <row r="101" spans="1:24" x14ac:dyDescent="0.25">
      <c r="A101" s="24"/>
      <c r="B101" s="24"/>
      <c r="C101" s="24"/>
      <c r="D101" s="24"/>
      <c r="E101" s="24"/>
      <c r="F101" s="24"/>
      <c r="G101" s="24"/>
      <c r="I101" s="24"/>
      <c r="J101" s="24"/>
      <c r="K101" s="24"/>
      <c r="L101" s="24"/>
      <c r="M101" s="24"/>
      <c r="N101" s="24"/>
      <c r="O101" s="24"/>
      <c r="P101" s="24"/>
      <c r="Q101" s="24"/>
      <c r="R101" s="24"/>
      <c r="S101" s="24"/>
      <c r="T101" s="24"/>
      <c r="U101" s="24"/>
      <c r="V101" s="24"/>
      <c r="W101" s="24"/>
      <c r="X101" s="27"/>
    </row>
    <row r="102" spans="1:24" x14ac:dyDescent="0.25">
      <c r="A102" s="24"/>
      <c r="B102" s="24"/>
      <c r="C102" s="24"/>
      <c r="D102" s="24"/>
      <c r="E102" s="24"/>
      <c r="F102" s="24"/>
      <c r="G102" s="24"/>
      <c r="I102" s="24"/>
      <c r="J102" s="24"/>
      <c r="K102" s="24"/>
      <c r="L102" s="24"/>
      <c r="M102" s="24"/>
      <c r="N102" s="24"/>
      <c r="O102" s="24"/>
      <c r="P102" s="24"/>
      <c r="Q102" s="24"/>
      <c r="R102" s="24"/>
      <c r="S102" s="24"/>
      <c r="T102" s="24"/>
      <c r="U102" s="24"/>
      <c r="V102" s="24"/>
      <c r="W102" s="24"/>
      <c r="X102" s="27"/>
    </row>
    <row r="103" spans="1:24" x14ac:dyDescent="0.25">
      <c r="A103" s="24"/>
      <c r="B103" s="24"/>
      <c r="C103" s="24"/>
      <c r="D103" s="24"/>
      <c r="E103" s="24"/>
      <c r="F103" s="24"/>
      <c r="G103" s="24"/>
      <c r="I103" s="24"/>
      <c r="J103" s="24"/>
      <c r="K103" s="24"/>
      <c r="L103" s="24"/>
      <c r="M103" s="24"/>
      <c r="N103" s="24"/>
      <c r="O103" s="24"/>
      <c r="P103" s="24"/>
      <c r="Q103" s="24"/>
      <c r="R103" s="24"/>
      <c r="S103" s="24"/>
      <c r="T103" s="24"/>
      <c r="U103" s="24"/>
      <c r="V103" s="24"/>
      <c r="W103" s="24"/>
      <c r="X103" s="27"/>
    </row>
    <row r="104" spans="1:24" x14ac:dyDescent="0.25">
      <c r="A104" s="24"/>
      <c r="B104" s="24"/>
      <c r="C104" s="24"/>
      <c r="D104" s="24"/>
      <c r="E104" s="24"/>
      <c r="F104" s="24"/>
      <c r="G104" s="24"/>
      <c r="I104" s="24"/>
      <c r="J104" s="24"/>
      <c r="K104" s="24"/>
      <c r="L104" s="24"/>
      <c r="M104" s="24"/>
      <c r="N104" s="24"/>
      <c r="O104" s="24"/>
      <c r="P104" s="24"/>
      <c r="Q104" s="24"/>
      <c r="R104" s="24"/>
      <c r="S104" s="24"/>
      <c r="T104" s="24"/>
      <c r="U104" s="24"/>
      <c r="V104" s="24"/>
      <c r="W104" s="24"/>
      <c r="X104" s="27"/>
    </row>
    <row r="105" spans="1:24" x14ac:dyDescent="0.25">
      <c r="A105" s="24"/>
      <c r="B105" s="24"/>
      <c r="C105" s="24"/>
      <c r="D105" s="24"/>
      <c r="E105" s="24"/>
      <c r="F105" s="24"/>
      <c r="G105" s="24"/>
      <c r="I105" s="24"/>
      <c r="J105" s="24"/>
      <c r="K105" s="24"/>
      <c r="L105" s="24"/>
      <c r="M105" s="24"/>
      <c r="N105" s="24"/>
      <c r="O105" s="24"/>
      <c r="P105" s="24"/>
      <c r="Q105" s="24"/>
      <c r="R105" s="24"/>
      <c r="S105" s="24"/>
      <c r="T105" s="24"/>
      <c r="U105" s="24"/>
      <c r="V105" s="24"/>
      <c r="W105" s="24"/>
      <c r="X105" s="27"/>
    </row>
    <row r="106" spans="1:24" x14ac:dyDescent="0.25">
      <c r="A106" s="24"/>
      <c r="B106" s="24"/>
      <c r="C106" s="24"/>
      <c r="D106" s="24"/>
      <c r="E106" s="24"/>
      <c r="F106" s="24"/>
      <c r="G106" s="24"/>
      <c r="I106" s="24"/>
      <c r="J106" s="24"/>
      <c r="K106" s="24"/>
      <c r="L106" s="24"/>
      <c r="M106" s="24"/>
      <c r="N106" s="24"/>
      <c r="O106" s="24"/>
      <c r="P106" s="24"/>
      <c r="Q106" s="24"/>
      <c r="R106" s="24"/>
      <c r="S106" s="24"/>
      <c r="T106" s="24"/>
      <c r="U106" s="24"/>
      <c r="V106" s="24"/>
      <c r="W106" s="24"/>
      <c r="X106" s="27"/>
    </row>
    <row r="107" spans="1:24" x14ac:dyDescent="0.25">
      <c r="A107" s="24"/>
      <c r="B107" s="24"/>
      <c r="C107" s="24"/>
      <c r="D107" s="24"/>
      <c r="E107" s="24"/>
      <c r="F107" s="24"/>
      <c r="G107" s="24"/>
      <c r="I107" s="24"/>
      <c r="J107" s="24"/>
      <c r="K107" s="24"/>
      <c r="L107" s="24"/>
      <c r="M107" s="24"/>
      <c r="N107" s="24"/>
      <c r="O107" s="24"/>
      <c r="P107" s="24"/>
      <c r="Q107" s="24"/>
      <c r="R107" s="24"/>
      <c r="S107" s="24"/>
      <c r="T107" s="24"/>
      <c r="U107" s="24"/>
      <c r="V107" s="24"/>
      <c r="W107" s="24"/>
      <c r="X107" s="27"/>
    </row>
    <row r="108" spans="1:24" x14ac:dyDescent="0.25">
      <c r="A108" s="24"/>
      <c r="B108" s="24"/>
      <c r="C108" s="24"/>
      <c r="D108" s="24"/>
      <c r="E108" s="24"/>
      <c r="F108" s="24"/>
      <c r="G108" s="24"/>
      <c r="I108" s="24"/>
      <c r="J108" s="24"/>
      <c r="K108" s="24"/>
      <c r="L108" s="24"/>
      <c r="M108" s="24"/>
      <c r="N108" s="24"/>
      <c r="O108" s="24"/>
      <c r="P108" s="24"/>
      <c r="Q108" s="24"/>
      <c r="R108" s="24"/>
      <c r="S108" s="24"/>
      <c r="T108" s="24"/>
      <c r="U108" s="24"/>
      <c r="V108" s="24"/>
      <c r="W108" s="24"/>
      <c r="X108" s="27"/>
    </row>
    <row r="109" spans="1:24" x14ac:dyDescent="0.25">
      <c r="A109" s="24"/>
      <c r="B109" s="24"/>
      <c r="C109" s="24"/>
      <c r="D109" s="24"/>
      <c r="E109" s="24"/>
      <c r="F109" s="24"/>
      <c r="G109" s="24"/>
      <c r="I109" s="24"/>
      <c r="J109" s="24"/>
      <c r="K109" s="24"/>
      <c r="L109" s="24"/>
      <c r="M109" s="24"/>
      <c r="N109" s="24"/>
      <c r="O109" s="24"/>
      <c r="P109" s="24"/>
      <c r="Q109" s="24"/>
      <c r="R109" s="24"/>
      <c r="S109" s="24"/>
      <c r="T109" s="24"/>
      <c r="U109" s="24"/>
      <c r="V109" s="24"/>
      <c r="W109" s="24"/>
      <c r="X109" s="27"/>
    </row>
    <row r="110" spans="1:24" x14ac:dyDescent="0.25">
      <c r="A110" s="24"/>
      <c r="B110" s="24"/>
      <c r="C110" s="24"/>
      <c r="D110" s="24"/>
      <c r="E110" s="24"/>
      <c r="F110" s="24"/>
      <c r="G110" s="24"/>
      <c r="I110" s="24"/>
      <c r="J110" s="24"/>
      <c r="K110" s="24"/>
      <c r="L110" s="24"/>
      <c r="M110" s="24"/>
      <c r="N110" s="24"/>
      <c r="O110" s="24"/>
      <c r="P110" s="24"/>
      <c r="Q110" s="24"/>
      <c r="R110" s="24"/>
      <c r="S110" s="24"/>
      <c r="T110" s="24"/>
      <c r="U110" s="24"/>
      <c r="V110" s="24"/>
      <c r="W110" s="24"/>
      <c r="X110" s="27"/>
    </row>
    <row r="111" spans="1:24" x14ac:dyDescent="0.25">
      <c r="A111" s="24"/>
      <c r="B111" s="24"/>
      <c r="C111" s="24"/>
      <c r="D111" s="24"/>
      <c r="E111" s="24"/>
      <c r="F111" s="24"/>
      <c r="G111" s="24"/>
      <c r="I111" s="24"/>
      <c r="J111" s="24"/>
      <c r="K111" s="24"/>
      <c r="L111" s="24"/>
      <c r="M111" s="24"/>
      <c r="N111" s="24"/>
      <c r="O111" s="24"/>
      <c r="P111" s="24"/>
      <c r="Q111" s="24"/>
      <c r="R111" s="24"/>
      <c r="S111" s="24"/>
      <c r="T111" s="24"/>
      <c r="U111" s="24"/>
      <c r="V111" s="24"/>
      <c r="W111" s="24"/>
      <c r="X111" s="27"/>
    </row>
    <row r="112" spans="1:24" x14ac:dyDescent="0.25">
      <c r="A112" s="24"/>
      <c r="B112" s="24"/>
      <c r="C112" s="24"/>
      <c r="D112" s="24"/>
      <c r="E112" s="24"/>
      <c r="F112" s="24"/>
      <c r="G112" s="24"/>
      <c r="I112" s="24"/>
      <c r="J112" s="24"/>
      <c r="K112" s="24"/>
      <c r="L112" s="24"/>
      <c r="M112" s="24"/>
      <c r="N112" s="24"/>
      <c r="O112" s="24"/>
      <c r="P112" s="24"/>
      <c r="Q112" s="24"/>
      <c r="R112" s="24"/>
      <c r="S112" s="24"/>
      <c r="T112" s="24"/>
      <c r="U112" s="24"/>
      <c r="V112" s="24"/>
      <c r="W112" s="24"/>
      <c r="X112" s="27"/>
    </row>
    <row r="113" spans="1:24" x14ac:dyDescent="0.25">
      <c r="A113" s="24"/>
      <c r="B113" s="24"/>
      <c r="C113" s="24"/>
      <c r="D113" s="24"/>
      <c r="E113" s="24"/>
      <c r="F113" s="24"/>
      <c r="G113" s="24"/>
      <c r="I113" s="24"/>
      <c r="J113" s="24"/>
      <c r="K113" s="24"/>
      <c r="L113" s="24"/>
      <c r="M113" s="24"/>
      <c r="N113" s="24"/>
      <c r="O113" s="24"/>
      <c r="P113" s="24"/>
      <c r="Q113" s="24"/>
      <c r="R113" s="24"/>
      <c r="S113" s="24"/>
      <c r="T113" s="24"/>
      <c r="U113" s="24"/>
      <c r="V113" s="24"/>
      <c r="W113" s="24"/>
      <c r="X113" s="27"/>
    </row>
    <row r="114" spans="1:24" x14ac:dyDescent="0.25">
      <c r="A114" s="24"/>
      <c r="B114" s="24"/>
      <c r="C114" s="24"/>
      <c r="D114" s="24"/>
      <c r="E114" s="24"/>
      <c r="F114" s="24"/>
      <c r="G114" s="24"/>
      <c r="I114" s="24"/>
      <c r="J114" s="24"/>
      <c r="K114" s="24"/>
      <c r="L114" s="24"/>
      <c r="M114" s="24"/>
      <c r="N114" s="24"/>
      <c r="O114" s="24"/>
      <c r="P114" s="24"/>
      <c r="Q114" s="24"/>
      <c r="R114" s="24"/>
      <c r="S114" s="24"/>
      <c r="T114" s="24"/>
      <c r="U114" s="24"/>
      <c r="V114" s="24"/>
      <c r="W114" s="24"/>
      <c r="X114" s="27"/>
    </row>
    <row r="115" spans="1:24" x14ac:dyDescent="0.25">
      <c r="A115" s="24"/>
      <c r="B115" s="24"/>
      <c r="C115" s="24"/>
      <c r="D115" s="24"/>
      <c r="E115" s="24"/>
      <c r="F115" s="24"/>
      <c r="G115" s="24"/>
      <c r="I115" s="24"/>
      <c r="J115" s="24"/>
      <c r="K115" s="24"/>
      <c r="L115" s="24"/>
      <c r="M115" s="24"/>
      <c r="N115" s="24"/>
      <c r="O115" s="24"/>
      <c r="P115" s="24"/>
      <c r="Q115" s="24"/>
      <c r="R115" s="24"/>
      <c r="S115" s="24"/>
      <c r="T115" s="24"/>
      <c r="U115" s="24"/>
      <c r="V115" s="24"/>
      <c r="W115" s="24"/>
      <c r="X115" s="27"/>
    </row>
    <row r="116" spans="1:24" x14ac:dyDescent="0.25">
      <c r="A116" s="24"/>
      <c r="B116" s="24"/>
      <c r="C116" s="24"/>
      <c r="D116" s="24"/>
      <c r="E116" s="24"/>
      <c r="F116" s="24"/>
      <c r="G116" s="24"/>
      <c r="I116" s="24"/>
      <c r="J116" s="24"/>
      <c r="K116" s="24"/>
      <c r="L116" s="24"/>
      <c r="M116" s="24"/>
      <c r="N116" s="24"/>
      <c r="O116" s="24"/>
      <c r="P116" s="24"/>
      <c r="Q116" s="24"/>
      <c r="R116" s="24"/>
      <c r="S116" s="24"/>
      <c r="T116" s="24"/>
      <c r="U116" s="24"/>
      <c r="V116" s="24"/>
      <c r="W116" s="24"/>
      <c r="X116" s="27"/>
    </row>
    <row r="117" spans="1:24" x14ac:dyDescent="0.25">
      <c r="A117" s="24"/>
      <c r="B117" s="24"/>
      <c r="C117" s="24"/>
      <c r="D117" s="24"/>
      <c r="E117" s="24"/>
      <c r="F117" s="24"/>
      <c r="G117" s="24"/>
      <c r="I117" s="24"/>
      <c r="J117" s="24"/>
      <c r="K117" s="24"/>
      <c r="L117" s="24"/>
      <c r="M117" s="24"/>
      <c r="N117" s="24"/>
      <c r="O117" s="24"/>
      <c r="P117" s="24"/>
      <c r="Q117" s="24"/>
      <c r="R117" s="24"/>
      <c r="S117" s="24"/>
      <c r="T117" s="24"/>
      <c r="U117" s="24"/>
      <c r="V117" s="24"/>
      <c r="W117" s="24"/>
      <c r="X117" s="27"/>
    </row>
    <row r="118" spans="1:24" x14ac:dyDescent="0.25">
      <c r="A118" s="24"/>
      <c r="B118" s="24"/>
      <c r="C118" s="24"/>
      <c r="D118" s="24"/>
      <c r="E118" s="24"/>
      <c r="F118" s="24"/>
      <c r="G118" s="24"/>
      <c r="I118" s="24"/>
      <c r="J118" s="24"/>
      <c r="K118" s="24"/>
      <c r="L118" s="24"/>
      <c r="M118" s="24"/>
      <c r="N118" s="24"/>
      <c r="O118" s="24"/>
      <c r="P118" s="24"/>
      <c r="Q118" s="24"/>
      <c r="R118" s="24"/>
      <c r="S118" s="24"/>
      <c r="T118" s="24"/>
      <c r="U118" s="24"/>
      <c r="V118" s="24"/>
      <c r="W118" s="24"/>
      <c r="X118" s="27"/>
    </row>
    <row r="119" spans="1:24" x14ac:dyDescent="0.25">
      <c r="A119" s="24"/>
      <c r="B119" s="24"/>
      <c r="C119" s="24"/>
      <c r="D119" s="24"/>
      <c r="E119" s="24"/>
      <c r="F119" s="24"/>
      <c r="G119" s="24"/>
      <c r="I119" s="24"/>
      <c r="J119" s="24"/>
      <c r="K119" s="24"/>
      <c r="L119" s="24"/>
      <c r="M119" s="24"/>
      <c r="N119" s="24"/>
      <c r="O119" s="24"/>
      <c r="P119" s="24"/>
      <c r="Q119" s="24"/>
      <c r="R119" s="24"/>
      <c r="S119" s="24"/>
      <c r="T119" s="24"/>
      <c r="U119" s="24"/>
      <c r="V119" s="24"/>
      <c r="W119" s="24"/>
      <c r="X119" s="27"/>
    </row>
    <row r="120" spans="1:24" x14ac:dyDescent="0.25">
      <c r="A120" s="24"/>
      <c r="B120" s="24"/>
      <c r="C120" s="24"/>
      <c r="D120" s="24"/>
      <c r="E120" s="24"/>
      <c r="F120" s="24"/>
      <c r="G120" s="24"/>
      <c r="I120" s="24"/>
      <c r="J120" s="24"/>
      <c r="K120" s="24"/>
      <c r="L120" s="24"/>
      <c r="M120" s="24"/>
      <c r="N120" s="24"/>
      <c r="O120" s="24"/>
      <c r="P120" s="24"/>
      <c r="Q120" s="24"/>
      <c r="R120" s="24"/>
      <c r="S120" s="24"/>
      <c r="T120" s="24"/>
      <c r="U120" s="24"/>
      <c r="V120" s="24"/>
      <c r="W120" s="24"/>
      <c r="X120" s="27"/>
    </row>
    <row r="121" spans="1:24" x14ac:dyDescent="0.25">
      <c r="A121" s="24"/>
      <c r="B121" s="24"/>
      <c r="C121" s="24"/>
      <c r="D121" s="24"/>
      <c r="E121" s="24"/>
      <c r="F121" s="24"/>
      <c r="G121" s="24"/>
      <c r="I121" s="24"/>
      <c r="J121" s="24"/>
      <c r="K121" s="24"/>
      <c r="L121" s="24"/>
      <c r="M121" s="24"/>
      <c r="N121" s="24"/>
      <c r="O121" s="24"/>
      <c r="P121" s="24"/>
      <c r="Q121" s="24"/>
      <c r="R121" s="24"/>
      <c r="S121" s="24"/>
      <c r="T121" s="24"/>
      <c r="U121" s="24"/>
      <c r="V121" s="24"/>
      <c r="W121" s="24"/>
      <c r="X121" s="27"/>
    </row>
    <row r="122" spans="1:24" x14ac:dyDescent="0.25">
      <c r="A122" s="24"/>
      <c r="B122" s="24"/>
      <c r="C122" s="24"/>
      <c r="D122" s="24"/>
      <c r="E122" s="24"/>
      <c r="F122" s="24"/>
      <c r="G122" s="24"/>
      <c r="I122" s="24"/>
      <c r="J122" s="24"/>
      <c r="K122" s="24"/>
      <c r="L122" s="24"/>
      <c r="M122" s="24"/>
      <c r="N122" s="24"/>
      <c r="O122" s="24"/>
      <c r="P122" s="24"/>
      <c r="Q122" s="24"/>
      <c r="R122" s="24"/>
      <c r="S122" s="24"/>
      <c r="T122" s="24"/>
      <c r="U122" s="24"/>
      <c r="V122" s="24"/>
      <c r="W122" s="24"/>
      <c r="X122" s="27"/>
    </row>
    <row r="123" spans="1:24" x14ac:dyDescent="0.25">
      <c r="A123" s="24"/>
      <c r="B123" s="24"/>
      <c r="C123" s="24"/>
      <c r="D123" s="24"/>
      <c r="E123" s="24"/>
      <c r="F123" s="24"/>
      <c r="G123" s="24"/>
      <c r="I123" s="24"/>
      <c r="J123" s="24"/>
      <c r="K123" s="24"/>
      <c r="L123" s="24"/>
      <c r="M123" s="24"/>
      <c r="N123" s="24"/>
      <c r="O123" s="24"/>
      <c r="P123" s="24"/>
      <c r="Q123" s="24"/>
      <c r="R123" s="24"/>
      <c r="S123" s="24"/>
      <c r="T123" s="24"/>
      <c r="U123" s="24"/>
      <c r="V123" s="24"/>
      <c r="W123" s="24"/>
      <c r="X123" s="27"/>
    </row>
    <row r="124" spans="1:24" x14ac:dyDescent="0.25">
      <c r="A124" s="24"/>
      <c r="B124" s="24"/>
      <c r="C124" s="24"/>
      <c r="D124" s="24"/>
      <c r="E124" s="24"/>
      <c r="F124" s="24"/>
      <c r="G124" s="24"/>
      <c r="I124" s="24"/>
      <c r="J124" s="24"/>
      <c r="K124" s="24"/>
      <c r="L124" s="24"/>
      <c r="M124" s="24"/>
      <c r="N124" s="24"/>
      <c r="O124" s="24"/>
      <c r="P124" s="24"/>
      <c r="Q124" s="24"/>
      <c r="R124" s="24"/>
      <c r="S124" s="24"/>
      <c r="T124" s="24"/>
      <c r="U124" s="24"/>
      <c r="V124" s="24"/>
      <c r="W124" s="24"/>
      <c r="X124" s="27"/>
    </row>
    <row r="125" spans="1:24" x14ac:dyDescent="0.25">
      <c r="A125" s="24"/>
      <c r="B125" s="24"/>
      <c r="C125" s="24"/>
      <c r="D125" s="24"/>
      <c r="E125" s="24"/>
      <c r="F125" s="24"/>
    </row>
    <row r="126" spans="1:24" x14ac:dyDescent="0.25">
      <c r="A126" s="24"/>
      <c r="B126" s="24"/>
      <c r="C126" s="24"/>
      <c r="D126" s="24"/>
      <c r="E126" s="24"/>
      <c r="F126" s="24"/>
    </row>
    <row r="127" spans="1:24" x14ac:dyDescent="0.25">
      <c r="A127" s="24"/>
      <c r="B127" s="24"/>
      <c r="C127" s="24"/>
      <c r="D127" s="24"/>
      <c r="E127" s="24"/>
      <c r="F127" s="24"/>
    </row>
  </sheetData>
  <mergeCells count="16">
    <mergeCell ref="A79:F79"/>
    <mergeCell ref="B59:B62"/>
    <mergeCell ref="D59:D61"/>
    <mergeCell ref="E59:E61"/>
    <mergeCell ref="D62:D66"/>
    <mergeCell ref="B63:B68"/>
    <mergeCell ref="D67:D71"/>
    <mergeCell ref="C68:C69"/>
    <mergeCell ref="B69:B75"/>
    <mergeCell ref="C70:C74"/>
    <mergeCell ref="D72:D76"/>
    <mergeCell ref="C75:C76"/>
    <mergeCell ref="B76:B78"/>
    <mergeCell ref="C77:C78"/>
    <mergeCell ref="D77:D78"/>
    <mergeCell ref="E77:E78"/>
  </mergeCells>
  <conditionalFormatting sqref="Z5:AS45">
    <cfRule type="colorScale" priority="3">
      <colorScale>
        <cfvo type="min"/>
        <cfvo type="percentile" val="50"/>
        <cfvo type="max"/>
        <color rgb="FFF8696B"/>
        <color rgb="FFFFEB84"/>
        <color rgb="FF63BE7B"/>
      </colorScale>
    </cfRule>
  </conditionalFormatting>
  <conditionalFormatting sqref="B3:W48">
    <cfRule type="cellIs" dxfId="27" priority="1" operator="greaterThan">
      <formula>6.99</formula>
    </cfRule>
    <cfRule type="cellIs" dxfId="26" priority="2" operator="lessThan">
      <formula>4.6</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5308E-7421-403A-BFE6-292551B102E4}">
  <sheetPr>
    <tabColor theme="2" tint="-9.9978637043366805E-2"/>
  </sheetPr>
  <dimension ref="A1:Q70"/>
  <sheetViews>
    <sheetView workbookViewId="0">
      <selection activeCell="C2" sqref="C2"/>
    </sheetView>
  </sheetViews>
  <sheetFormatPr baseColWidth="10" defaultRowHeight="15" x14ac:dyDescent="0.25"/>
  <cols>
    <col min="1" max="1" width="26.140625" customWidth="1"/>
    <col min="3" max="3" width="29.28515625" bestFit="1" customWidth="1"/>
    <col min="5" max="5" width="37" bestFit="1" customWidth="1"/>
    <col min="6" max="6" width="7.5703125" bestFit="1" customWidth="1"/>
    <col min="7" max="7" width="7.140625" bestFit="1" customWidth="1"/>
    <col min="12" max="12" width="7.5703125" bestFit="1" customWidth="1"/>
    <col min="13" max="13" width="7.140625" bestFit="1" customWidth="1"/>
    <col min="16" max="16" width="7.140625" bestFit="1" customWidth="1"/>
  </cols>
  <sheetData>
    <row r="1" spans="1:17" ht="18.75" x14ac:dyDescent="0.3">
      <c r="A1" s="78" t="s">
        <v>232</v>
      </c>
      <c r="C1" s="78" t="s">
        <v>233</v>
      </c>
      <c r="F1" s="303" t="s">
        <v>234</v>
      </c>
      <c r="G1" s="303"/>
      <c r="H1" s="303" t="s">
        <v>235</v>
      </c>
      <c r="I1" s="303"/>
      <c r="J1" s="303" t="s">
        <v>236</v>
      </c>
      <c r="K1" s="303"/>
      <c r="L1" s="303" t="s">
        <v>237</v>
      </c>
      <c r="M1" s="303"/>
      <c r="N1" s="303" t="s">
        <v>238</v>
      </c>
      <c r="O1" s="303"/>
    </row>
    <row r="2" spans="1:17" ht="19.5" thickBot="1" x14ac:dyDescent="0.35">
      <c r="F2" s="79" t="s">
        <v>239</v>
      </c>
      <c r="G2" s="79" t="s">
        <v>240</v>
      </c>
      <c r="H2" s="304"/>
      <c r="I2" s="305"/>
      <c r="J2" s="304"/>
      <c r="K2" s="305"/>
      <c r="L2" s="79" t="s">
        <v>239</v>
      </c>
      <c r="M2" s="79" t="s">
        <v>240</v>
      </c>
      <c r="N2" s="304"/>
      <c r="O2" s="305"/>
    </row>
    <row r="3" spans="1:17" x14ac:dyDescent="0.25">
      <c r="A3" t="s">
        <v>241</v>
      </c>
      <c r="C3" t="s">
        <v>242</v>
      </c>
      <c r="E3" s="80" t="s">
        <v>243</v>
      </c>
      <c r="F3" s="297">
        <v>0.64709000000000005</v>
      </c>
      <c r="G3" s="297"/>
      <c r="H3" s="297">
        <v>0.97192999999999996</v>
      </c>
      <c r="I3" s="297"/>
      <c r="J3" s="81"/>
      <c r="K3" s="81"/>
      <c r="L3" s="81"/>
      <c r="M3" s="81"/>
      <c r="N3" s="81"/>
      <c r="O3" s="82"/>
      <c r="P3" s="83">
        <f>F3+H3+H4+F4</f>
        <v>2.2834299999999996</v>
      </c>
      <c r="Q3" s="83"/>
    </row>
    <row r="4" spans="1:17" ht="15.75" thickBot="1" x14ac:dyDescent="0.3">
      <c r="A4" t="s">
        <v>244</v>
      </c>
      <c r="C4" t="s">
        <v>245</v>
      </c>
      <c r="E4" s="84" t="s">
        <v>246</v>
      </c>
      <c r="F4" s="302">
        <v>0.26545000000000002</v>
      </c>
      <c r="G4" s="302"/>
      <c r="H4" s="302">
        <v>0.39895999999999998</v>
      </c>
      <c r="I4" s="302"/>
      <c r="J4" s="85"/>
      <c r="K4" s="85"/>
      <c r="L4" s="85"/>
      <c r="M4" s="85"/>
      <c r="N4" s="85"/>
      <c r="O4" s="86"/>
      <c r="P4" s="83"/>
      <c r="Q4" s="83"/>
    </row>
    <row r="5" spans="1:17" x14ac:dyDescent="0.25">
      <c r="A5" t="s">
        <v>247</v>
      </c>
      <c r="C5" t="s">
        <v>247</v>
      </c>
      <c r="E5" s="80" t="s">
        <v>248</v>
      </c>
      <c r="F5" s="81">
        <v>0.50017999999999996</v>
      </c>
      <c r="G5" s="81">
        <v>0.25008999999999998</v>
      </c>
      <c r="H5" s="297">
        <v>1</v>
      </c>
      <c r="I5" s="297"/>
      <c r="J5" s="81"/>
      <c r="K5" s="81"/>
      <c r="L5" s="81"/>
      <c r="M5" s="81"/>
      <c r="N5" s="81"/>
      <c r="O5" s="82"/>
      <c r="P5" s="83">
        <f>F5+G5+H5+J6</f>
        <v>2.02515</v>
      </c>
      <c r="Q5" s="83"/>
    </row>
    <row r="6" spans="1:17" ht="15.75" thickBot="1" x14ac:dyDescent="0.3">
      <c r="E6" s="84" t="s">
        <v>249</v>
      </c>
      <c r="F6" s="85"/>
      <c r="G6" s="85"/>
      <c r="H6" s="85"/>
      <c r="I6" s="85"/>
      <c r="J6" s="302">
        <v>0.27488000000000001</v>
      </c>
      <c r="K6" s="302"/>
      <c r="L6" s="85"/>
      <c r="M6" s="85"/>
      <c r="N6" s="85"/>
      <c r="O6" s="86"/>
      <c r="P6" s="83"/>
      <c r="Q6" s="83"/>
    </row>
    <row r="7" spans="1:17" ht="18.75" x14ac:dyDescent="0.3">
      <c r="A7" t="s">
        <v>250</v>
      </c>
      <c r="C7" s="78" t="s">
        <v>251</v>
      </c>
      <c r="E7" s="80" t="s">
        <v>252</v>
      </c>
      <c r="F7" s="81">
        <v>0.35504999999999998</v>
      </c>
      <c r="G7" s="81">
        <v>0.17752000000000001</v>
      </c>
      <c r="H7" s="297">
        <v>0.72296000000000005</v>
      </c>
      <c r="I7" s="297"/>
      <c r="J7" s="81"/>
      <c r="K7" s="81"/>
      <c r="L7" s="81"/>
      <c r="M7" s="81"/>
      <c r="N7" s="81"/>
      <c r="O7" s="82"/>
      <c r="P7" s="83">
        <f>F7+G7+H7+J8</f>
        <v>1.6189</v>
      </c>
    </row>
    <row r="8" spans="1:17" ht="15.75" thickBot="1" x14ac:dyDescent="0.3">
      <c r="A8" t="s">
        <v>253</v>
      </c>
      <c r="E8" s="84" t="s">
        <v>254</v>
      </c>
      <c r="F8" s="85"/>
      <c r="G8" s="85"/>
      <c r="H8" s="85"/>
      <c r="I8" s="85"/>
      <c r="J8" s="302">
        <v>0.36337000000000003</v>
      </c>
      <c r="K8" s="302"/>
      <c r="L8" s="85"/>
      <c r="M8" s="85"/>
      <c r="N8" s="85"/>
      <c r="O8" s="86"/>
      <c r="P8" s="83"/>
    </row>
    <row r="9" spans="1:17" x14ac:dyDescent="0.25">
      <c r="C9" t="s">
        <v>242</v>
      </c>
      <c r="E9" s="80" t="s">
        <v>255</v>
      </c>
      <c r="F9" s="81">
        <v>0.65615999999999997</v>
      </c>
      <c r="G9" s="81"/>
      <c r="H9" s="297">
        <v>0.78437000000000001</v>
      </c>
      <c r="I9" s="297"/>
      <c r="J9" s="81"/>
      <c r="K9" s="81"/>
      <c r="L9" s="81"/>
      <c r="M9" s="81"/>
      <c r="N9" s="81"/>
      <c r="O9" s="82"/>
      <c r="P9" s="83">
        <f>F9+H9+J10+L11</f>
        <v>1.8734299999999999</v>
      </c>
    </row>
    <row r="10" spans="1:17" x14ac:dyDescent="0.25">
      <c r="A10" t="s">
        <v>256</v>
      </c>
      <c r="C10" t="s">
        <v>245</v>
      </c>
      <c r="E10" s="87" t="s">
        <v>257</v>
      </c>
      <c r="F10" s="88"/>
      <c r="G10" s="88"/>
      <c r="H10" s="88"/>
      <c r="I10" s="88"/>
      <c r="J10" s="301">
        <v>0.1464</v>
      </c>
      <c r="K10" s="301"/>
      <c r="L10" s="88"/>
      <c r="M10" s="88"/>
      <c r="N10" s="88"/>
      <c r="O10" s="89"/>
      <c r="P10" s="83"/>
    </row>
    <row r="11" spans="1:17" ht="15.75" thickBot="1" x14ac:dyDescent="0.3">
      <c r="A11" t="s">
        <v>258</v>
      </c>
      <c r="C11" t="s">
        <v>247</v>
      </c>
      <c r="E11" s="84" t="s">
        <v>259</v>
      </c>
      <c r="F11" s="85"/>
      <c r="G11" s="85"/>
      <c r="H11" s="85"/>
      <c r="I11" s="85"/>
      <c r="J11" s="90"/>
      <c r="K11" s="90"/>
      <c r="L11" s="85">
        <v>0.28649999999999998</v>
      </c>
      <c r="M11" s="85"/>
      <c r="N11" s="85"/>
      <c r="O11" s="86"/>
      <c r="P11" s="83"/>
    </row>
    <row r="12" spans="1:17" x14ac:dyDescent="0.25">
      <c r="E12" s="80" t="s">
        <v>260</v>
      </c>
      <c r="F12" s="297">
        <v>0.42514999999999997</v>
      </c>
      <c r="G12" s="297"/>
      <c r="H12" s="297">
        <v>0.85</v>
      </c>
      <c r="I12" s="297"/>
      <c r="J12" s="81"/>
      <c r="K12" s="81"/>
      <c r="L12" s="81"/>
      <c r="M12" s="81"/>
      <c r="N12" s="81"/>
      <c r="O12" s="82"/>
      <c r="P12" s="83">
        <f>F12+H12+J13</f>
        <v>1.5087999999999999</v>
      </c>
    </row>
    <row r="13" spans="1:17" ht="19.5" thickBot="1" x14ac:dyDescent="0.35">
      <c r="A13" s="78" t="s">
        <v>261</v>
      </c>
      <c r="C13" s="91" t="s">
        <v>262</v>
      </c>
      <c r="E13" s="84" t="s">
        <v>263</v>
      </c>
      <c r="F13" s="85"/>
      <c r="G13" s="85"/>
      <c r="H13" s="85"/>
      <c r="I13" s="85"/>
      <c r="J13" s="302">
        <v>0.23365</v>
      </c>
      <c r="K13" s="302"/>
      <c r="L13" s="85"/>
      <c r="M13" s="85"/>
      <c r="N13" s="85"/>
      <c r="O13" s="86"/>
      <c r="P13" s="83"/>
    </row>
    <row r="14" spans="1:17" x14ac:dyDescent="0.25">
      <c r="C14" s="91" t="s">
        <v>264</v>
      </c>
      <c r="E14" s="80" t="s">
        <v>265</v>
      </c>
      <c r="F14" s="81">
        <v>1</v>
      </c>
      <c r="G14" s="92"/>
      <c r="H14" s="297">
        <v>0.51382000000000005</v>
      </c>
      <c r="I14" s="297"/>
      <c r="J14" s="81"/>
      <c r="K14" s="81"/>
      <c r="L14" s="81"/>
      <c r="M14" s="81"/>
      <c r="N14" s="81"/>
      <c r="O14" s="82"/>
      <c r="P14" s="83">
        <f>F14+H14+J15+L16</f>
        <v>1.88497</v>
      </c>
      <c r="Q14" s="83"/>
    </row>
    <row r="15" spans="1:17" x14ac:dyDescent="0.25">
      <c r="A15" t="s">
        <v>241</v>
      </c>
      <c r="C15" s="91" t="s">
        <v>266</v>
      </c>
      <c r="E15" s="87" t="s">
        <v>267</v>
      </c>
      <c r="F15" s="88"/>
      <c r="G15" s="88"/>
      <c r="H15" s="88"/>
      <c r="I15" s="88"/>
      <c r="J15" s="301">
        <v>4.3869999999999999E-2</v>
      </c>
      <c r="K15" s="301"/>
      <c r="L15" s="88"/>
      <c r="M15" s="88"/>
      <c r="N15" s="88"/>
      <c r="O15" s="89"/>
      <c r="P15" s="83"/>
      <c r="Q15" s="83"/>
    </row>
    <row r="16" spans="1:17" ht="15.75" thickBot="1" x14ac:dyDescent="0.3">
      <c r="A16" t="s">
        <v>244</v>
      </c>
      <c r="C16" s="91" t="s">
        <v>268</v>
      </c>
      <c r="E16" s="84" t="s">
        <v>269</v>
      </c>
      <c r="F16" s="85"/>
      <c r="G16" s="85"/>
      <c r="H16" s="85"/>
      <c r="I16" s="85"/>
      <c r="J16" s="90"/>
      <c r="K16" s="90"/>
      <c r="L16" s="85">
        <v>0.32728000000000002</v>
      </c>
      <c r="M16" s="85"/>
      <c r="N16" s="85"/>
      <c r="O16" s="86"/>
      <c r="P16" s="83"/>
      <c r="Q16" s="83"/>
    </row>
    <row r="17" spans="1:16" x14ac:dyDescent="0.25">
      <c r="A17" t="s">
        <v>247</v>
      </c>
      <c r="C17" s="91" t="s">
        <v>270</v>
      </c>
      <c r="E17" s="80" t="s">
        <v>271</v>
      </c>
      <c r="F17" s="81">
        <v>0.91232999999999997</v>
      </c>
      <c r="G17" s="92"/>
      <c r="H17" s="297">
        <v>0.46146999999999999</v>
      </c>
      <c r="I17" s="297"/>
      <c r="J17" s="81"/>
      <c r="K17" s="81"/>
      <c r="L17" s="81"/>
      <c r="M17" s="81"/>
      <c r="N17" s="81"/>
      <c r="O17" s="82"/>
      <c r="P17" s="83">
        <f>F17+H17+J18+L19</f>
        <v>2.0396200000000002</v>
      </c>
    </row>
    <row r="18" spans="1:16" x14ac:dyDescent="0.25">
      <c r="A18" t="s">
        <v>256</v>
      </c>
      <c r="C18" s="91" t="s">
        <v>272</v>
      </c>
      <c r="E18" s="87" t="s">
        <v>273</v>
      </c>
      <c r="F18" s="88"/>
      <c r="G18" s="88"/>
      <c r="H18" s="88"/>
      <c r="I18" s="88"/>
      <c r="J18" s="301">
        <v>0.15035999999999999</v>
      </c>
      <c r="K18" s="301"/>
      <c r="L18" s="88"/>
      <c r="M18" s="88"/>
      <c r="N18" s="88"/>
      <c r="O18" s="89"/>
      <c r="P18" s="83"/>
    </row>
    <row r="19" spans="1:16" ht="15.75" thickBot="1" x14ac:dyDescent="0.3">
      <c r="A19" t="s">
        <v>258</v>
      </c>
      <c r="C19" s="91" t="s">
        <v>274</v>
      </c>
      <c r="E19" s="84" t="s">
        <v>275</v>
      </c>
      <c r="F19" s="85"/>
      <c r="G19" s="85"/>
      <c r="H19" s="85"/>
      <c r="I19" s="85"/>
      <c r="J19" s="90"/>
      <c r="K19" s="90"/>
      <c r="L19" s="85">
        <v>0.51546000000000003</v>
      </c>
      <c r="M19" s="85"/>
      <c r="N19" s="85"/>
      <c r="O19" s="86"/>
      <c r="P19" s="83"/>
    </row>
    <row r="20" spans="1:16" x14ac:dyDescent="0.25">
      <c r="C20" s="91" t="s">
        <v>276</v>
      </c>
      <c r="E20" s="80" t="s">
        <v>277</v>
      </c>
      <c r="F20" s="81">
        <v>0.69059999999999999</v>
      </c>
      <c r="G20" s="92"/>
      <c r="H20" s="297">
        <v>0.38878000000000001</v>
      </c>
      <c r="I20" s="297"/>
      <c r="J20" s="81"/>
      <c r="K20" s="81"/>
      <c r="L20" s="81"/>
      <c r="M20" s="81"/>
      <c r="N20" s="81"/>
      <c r="O20" s="82"/>
      <c r="P20" s="83">
        <f>F20+H20+J21+L22</f>
        <v>1.9173399999999998</v>
      </c>
    </row>
    <row r="21" spans="1:16" ht="18.75" x14ac:dyDescent="0.3">
      <c r="A21" s="78" t="s">
        <v>236</v>
      </c>
      <c r="C21" s="91" t="s">
        <v>278</v>
      </c>
      <c r="E21" s="87" t="s">
        <v>279</v>
      </c>
      <c r="F21" s="88"/>
      <c r="G21" s="88"/>
      <c r="H21" s="88"/>
      <c r="I21" s="88"/>
      <c r="J21" s="301">
        <v>0.2099</v>
      </c>
      <c r="K21" s="301"/>
      <c r="L21" s="88"/>
      <c r="M21" s="88"/>
      <c r="N21" s="88"/>
      <c r="O21" s="89"/>
      <c r="P21" s="83"/>
    </row>
    <row r="22" spans="1:16" ht="15.75" thickBot="1" x14ac:dyDescent="0.3">
      <c r="C22" s="91" t="s">
        <v>280</v>
      </c>
      <c r="E22" s="84" t="s">
        <v>281</v>
      </c>
      <c r="F22" s="85"/>
      <c r="G22" s="85"/>
      <c r="H22" s="85"/>
      <c r="I22" s="85"/>
      <c r="J22" s="90"/>
      <c r="K22" s="90"/>
      <c r="L22" s="85">
        <v>0.62805999999999995</v>
      </c>
      <c r="M22" s="85"/>
      <c r="N22" s="85"/>
      <c r="O22" s="86"/>
      <c r="P22" s="83"/>
    </row>
    <row r="23" spans="1:16" x14ac:dyDescent="0.25">
      <c r="A23" t="s">
        <v>282</v>
      </c>
      <c r="C23" s="91" t="s">
        <v>283</v>
      </c>
      <c r="E23" s="80" t="s">
        <v>284</v>
      </c>
      <c r="F23" s="81">
        <v>0.68315000000000003</v>
      </c>
      <c r="G23" s="92"/>
      <c r="H23" s="297">
        <v>0.70006000000000002</v>
      </c>
      <c r="I23" s="297"/>
      <c r="J23" s="81"/>
      <c r="K23" s="81"/>
      <c r="L23" s="81"/>
      <c r="M23" s="81"/>
      <c r="N23" s="81"/>
      <c r="O23" s="82"/>
      <c r="P23" s="83">
        <f>F23+H23+J24+L25</f>
        <v>1.85917</v>
      </c>
    </row>
    <row r="24" spans="1:16" x14ac:dyDescent="0.25">
      <c r="A24" t="s">
        <v>285</v>
      </c>
      <c r="C24" s="91" t="s">
        <v>286</v>
      </c>
      <c r="E24" s="87" t="s">
        <v>287</v>
      </c>
      <c r="F24" s="88"/>
      <c r="G24" s="88"/>
      <c r="H24" s="88"/>
      <c r="I24" s="88"/>
      <c r="J24" s="301">
        <v>0.152</v>
      </c>
      <c r="K24" s="301"/>
      <c r="L24" s="88"/>
      <c r="M24" s="88"/>
      <c r="N24" s="88"/>
      <c r="O24" s="89"/>
      <c r="P24" s="83"/>
    </row>
    <row r="25" spans="1:16" ht="15.75" thickBot="1" x14ac:dyDescent="0.3">
      <c r="A25" t="s">
        <v>288</v>
      </c>
      <c r="C25" s="91" t="s">
        <v>289</v>
      </c>
      <c r="E25" s="84" t="s">
        <v>290</v>
      </c>
      <c r="F25" s="85"/>
      <c r="G25" s="85"/>
      <c r="H25" s="85"/>
      <c r="I25" s="85"/>
      <c r="J25" s="90"/>
      <c r="K25" s="90"/>
      <c r="L25" s="85">
        <v>0.32396000000000003</v>
      </c>
      <c r="M25" s="85"/>
      <c r="N25" s="85"/>
      <c r="O25" s="86"/>
      <c r="P25" s="83"/>
    </row>
    <row r="26" spans="1:16" x14ac:dyDescent="0.25">
      <c r="C26" s="91" t="s">
        <v>291</v>
      </c>
      <c r="E26" s="80" t="s">
        <v>292</v>
      </c>
      <c r="F26" s="81">
        <v>0.18545</v>
      </c>
      <c r="G26" s="81">
        <v>9.2719999999999997E-2</v>
      </c>
      <c r="H26" s="297">
        <v>0.42459999999999998</v>
      </c>
      <c r="I26" s="297"/>
      <c r="J26" s="81"/>
      <c r="K26" s="81"/>
      <c r="L26" s="81"/>
      <c r="M26" s="81"/>
      <c r="N26" s="290"/>
      <c r="O26" s="292"/>
      <c r="P26" s="83">
        <f>F26+G26+H26+J27+L28+M28+N28</f>
        <v>2.4103300000000001</v>
      </c>
    </row>
    <row r="27" spans="1:16" x14ac:dyDescent="0.25">
      <c r="A27" t="s">
        <v>293</v>
      </c>
      <c r="C27" s="91" t="s">
        <v>294</v>
      </c>
      <c r="E27" s="87" t="s">
        <v>295</v>
      </c>
      <c r="F27" s="88"/>
      <c r="G27" s="88"/>
      <c r="H27" s="88"/>
      <c r="I27" s="88"/>
      <c r="J27" s="301">
        <v>1</v>
      </c>
      <c r="K27" s="301"/>
      <c r="L27" s="88"/>
      <c r="M27" s="88"/>
      <c r="N27" s="293"/>
      <c r="O27" s="294"/>
      <c r="P27" s="83"/>
    </row>
    <row r="28" spans="1:16" ht="15.75" thickBot="1" x14ac:dyDescent="0.3">
      <c r="A28" t="s">
        <v>296</v>
      </c>
      <c r="C28" s="91" t="s">
        <v>297</v>
      </c>
      <c r="E28" s="84" t="s">
        <v>298</v>
      </c>
      <c r="F28" s="85"/>
      <c r="G28" s="85"/>
      <c r="H28" s="85"/>
      <c r="I28" s="85"/>
      <c r="J28" s="90"/>
      <c r="K28" s="90"/>
      <c r="L28" s="85">
        <v>0.24451999999999999</v>
      </c>
      <c r="M28" s="85">
        <v>0.1226</v>
      </c>
      <c r="N28" s="295">
        <v>0.34044000000000002</v>
      </c>
      <c r="O28" s="296"/>
      <c r="P28" s="83"/>
    </row>
    <row r="29" spans="1:16" x14ac:dyDescent="0.25">
      <c r="C29" s="91" t="s">
        <v>299</v>
      </c>
      <c r="E29" s="80" t="s">
        <v>300</v>
      </c>
      <c r="F29" s="81">
        <v>0.27438000000000001</v>
      </c>
      <c r="G29" s="81">
        <v>0.13719000000000001</v>
      </c>
      <c r="H29" s="297">
        <v>0.62792999999999999</v>
      </c>
      <c r="I29" s="297"/>
      <c r="J29" s="81"/>
      <c r="K29" s="81"/>
      <c r="L29" s="81"/>
      <c r="M29" s="81"/>
      <c r="N29" s="290"/>
      <c r="O29" s="292"/>
      <c r="P29" s="83">
        <f>F29+G29+H29+L30+M30+N30+J33</f>
        <v>2.4474499999999999</v>
      </c>
    </row>
    <row r="30" spans="1:16" ht="15.75" thickBot="1" x14ac:dyDescent="0.3">
      <c r="A30" t="s">
        <v>301</v>
      </c>
      <c r="C30" s="91" t="s">
        <v>302</v>
      </c>
      <c r="E30" s="84" t="s">
        <v>303</v>
      </c>
      <c r="F30" s="85"/>
      <c r="G30" s="85"/>
      <c r="H30" s="90"/>
      <c r="I30" s="90"/>
      <c r="J30" s="85"/>
      <c r="K30" s="85"/>
      <c r="L30" s="85">
        <v>0.14949999999999999</v>
      </c>
      <c r="M30" s="85">
        <v>7.3999999999999996E-2</v>
      </c>
      <c r="N30" s="295">
        <v>0.23748</v>
      </c>
      <c r="O30" s="296"/>
      <c r="P30" s="83"/>
    </row>
    <row r="31" spans="1:16" x14ac:dyDescent="0.25">
      <c r="C31" s="91" t="s">
        <v>304</v>
      </c>
      <c r="E31" s="80" t="s">
        <v>305</v>
      </c>
      <c r="F31" s="81">
        <v>0.11212</v>
      </c>
      <c r="G31" s="81">
        <v>5.6059999999999999E-2</v>
      </c>
      <c r="H31" s="297">
        <v>0.23462</v>
      </c>
      <c r="I31" s="297"/>
      <c r="J31" s="81"/>
      <c r="K31" s="81"/>
      <c r="L31" s="81"/>
      <c r="M31" s="81"/>
      <c r="N31" s="290"/>
      <c r="O31" s="292"/>
      <c r="P31" s="83">
        <f>F31+G31+H31+L32+M32+N32+J33</f>
        <v>2.2090299999999998</v>
      </c>
    </row>
    <row r="32" spans="1:16" ht="15.75" thickBot="1" x14ac:dyDescent="0.3">
      <c r="C32" s="91" t="s">
        <v>306</v>
      </c>
      <c r="E32" s="84" t="s">
        <v>307</v>
      </c>
      <c r="F32" s="85"/>
      <c r="G32" s="85"/>
      <c r="H32" s="90"/>
      <c r="I32" s="90"/>
      <c r="J32" s="85"/>
      <c r="K32" s="85"/>
      <c r="L32" s="85">
        <v>0.23788000000000001</v>
      </c>
      <c r="M32" s="85">
        <v>0.11894</v>
      </c>
      <c r="N32" s="295">
        <v>0.50244</v>
      </c>
      <c r="O32" s="296"/>
      <c r="P32" s="83"/>
    </row>
    <row r="33" spans="1:16" ht="15.75" thickBot="1" x14ac:dyDescent="0.3">
      <c r="C33" s="91" t="s">
        <v>308</v>
      </c>
      <c r="E33" s="93" t="s">
        <v>309</v>
      </c>
      <c r="F33" s="94"/>
      <c r="G33" s="94"/>
      <c r="H33" s="94"/>
      <c r="I33" s="94"/>
      <c r="J33" s="298">
        <v>0.94696999999999998</v>
      </c>
      <c r="K33" s="298"/>
      <c r="L33" s="94"/>
      <c r="M33" s="94"/>
      <c r="N33" s="299"/>
      <c r="O33" s="300"/>
      <c r="P33" s="83"/>
    </row>
    <row r="34" spans="1:16" x14ac:dyDescent="0.25">
      <c r="E34" s="80" t="s">
        <v>310</v>
      </c>
      <c r="F34" s="297">
        <v>0.15762999999999999</v>
      </c>
      <c r="G34" s="297"/>
      <c r="H34" s="297">
        <v>0.36070000000000002</v>
      </c>
      <c r="I34" s="297"/>
      <c r="J34" s="81"/>
      <c r="K34" s="81"/>
      <c r="L34" s="81"/>
      <c r="M34" s="81"/>
      <c r="N34" s="290"/>
      <c r="O34" s="292"/>
      <c r="P34" s="83">
        <f>F34+H34+J35+L36+N36</f>
        <v>1.8655399999999998</v>
      </c>
    </row>
    <row r="35" spans="1:16" x14ac:dyDescent="0.25">
      <c r="E35" s="87" t="s">
        <v>311</v>
      </c>
      <c r="F35" s="88"/>
      <c r="G35" s="88"/>
      <c r="H35" s="88"/>
      <c r="I35" s="88"/>
      <c r="J35" s="301">
        <v>0.85</v>
      </c>
      <c r="K35" s="301"/>
      <c r="L35" s="88"/>
      <c r="M35" s="88"/>
      <c r="N35" s="293"/>
      <c r="O35" s="294"/>
      <c r="P35" s="83"/>
    </row>
    <row r="36" spans="1:16" ht="15.75" thickBot="1" x14ac:dyDescent="0.3">
      <c r="A36" s="38" t="s">
        <v>312</v>
      </c>
      <c r="E36" s="84" t="s">
        <v>313</v>
      </c>
      <c r="F36" s="85"/>
      <c r="G36" s="85"/>
      <c r="H36" s="85"/>
      <c r="I36" s="85"/>
      <c r="J36" s="90"/>
      <c r="K36" s="90"/>
      <c r="L36" s="85">
        <v>0.20784</v>
      </c>
      <c r="M36" s="85"/>
      <c r="N36" s="295">
        <v>0.28937000000000002</v>
      </c>
      <c r="O36" s="296"/>
      <c r="P36" s="83"/>
    </row>
    <row r="37" spans="1:16" x14ac:dyDescent="0.25">
      <c r="A37" t="s">
        <v>314</v>
      </c>
      <c r="E37" s="80" t="s">
        <v>315</v>
      </c>
      <c r="F37" s="297">
        <v>0.20368</v>
      </c>
      <c r="G37" s="297"/>
      <c r="H37" s="297">
        <v>0.33767000000000003</v>
      </c>
      <c r="I37" s="297"/>
      <c r="J37" s="81"/>
      <c r="K37" s="81"/>
      <c r="L37" s="81"/>
      <c r="M37" s="81"/>
      <c r="N37" s="290"/>
      <c r="O37" s="292"/>
      <c r="P37" s="83">
        <f>F37+H37+J38+L39+L40+N40</f>
        <v>2.5172699999999999</v>
      </c>
    </row>
    <row r="38" spans="1:16" x14ac:dyDescent="0.25">
      <c r="A38" t="s">
        <v>316</v>
      </c>
      <c r="E38" s="87" t="s">
        <v>317</v>
      </c>
      <c r="F38" s="88"/>
      <c r="G38" s="88"/>
      <c r="H38" s="88"/>
      <c r="I38" s="88"/>
      <c r="J38" s="301">
        <v>0.89815999999999996</v>
      </c>
      <c r="K38" s="301"/>
      <c r="L38" s="88"/>
      <c r="M38" s="88"/>
      <c r="N38" s="293"/>
      <c r="O38" s="294"/>
      <c r="P38" s="83"/>
    </row>
    <row r="39" spans="1:16" x14ac:dyDescent="0.25">
      <c r="A39" t="s">
        <v>318</v>
      </c>
      <c r="E39" s="87" t="s">
        <v>319</v>
      </c>
      <c r="F39" s="88"/>
      <c r="G39" s="88"/>
      <c r="H39" s="88"/>
      <c r="I39" s="88"/>
      <c r="J39" s="95"/>
      <c r="K39" s="95"/>
      <c r="L39" s="88">
        <v>0.57364000000000004</v>
      </c>
      <c r="M39" s="88"/>
      <c r="N39" s="293"/>
      <c r="O39" s="294"/>
      <c r="P39" s="83"/>
    </row>
    <row r="40" spans="1:16" ht="15.75" thickBot="1" x14ac:dyDescent="0.3">
      <c r="A40" t="s">
        <v>320</v>
      </c>
      <c r="E40" s="84" t="s">
        <v>321</v>
      </c>
      <c r="F40" s="85"/>
      <c r="G40" s="85"/>
      <c r="H40" s="85"/>
      <c r="I40" s="85"/>
      <c r="J40" s="90"/>
      <c r="K40" s="90"/>
      <c r="L40" s="85">
        <v>0.26422000000000001</v>
      </c>
      <c r="M40" s="85"/>
      <c r="N40" s="295">
        <v>0.2399</v>
      </c>
      <c r="O40" s="296"/>
      <c r="P40" s="83"/>
    </row>
    <row r="41" spans="1:16" x14ac:dyDescent="0.25">
      <c r="E41" s="80" t="s">
        <v>322</v>
      </c>
      <c r="F41" s="81">
        <v>0.34708</v>
      </c>
      <c r="G41" s="92"/>
      <c r="H41" s="297">
        <v>0.20830000000000001</v>
      </c>
      <c r="I41" s="297"/>
      <c r="J41" s="81"/>
      <c r="K41" s="81"/>
      <c r="L41" s="81"/>
      <c r="M41" s="81"/>
      <c r="N41" s="290"/>
      <c r="O41" s="292"/>
      <c r="P41" s="83">
        <f>F41+H41+J42+L43+L44+N44</f>
        <v>2.29189</v>
      </c>
    </row>
    <row r="42" spans="1:16" x14ac:dyDescent="0.25">
      <c r="E42" s="87" t="s">
        <v>323</v>
      </c>
      <c r="F42" s="88"/>
      <c r="G42" s="88"/>
      <c r="H42" s="88"/>
      <c r="I42" s="88"/>
      <c r="J42" s="301">
        <v>0.52559999999999996</v>
      </c>
      <c r="K42" s="301"/>
      <c r="L42" s="88"/>
      <c r="M42" s="88"/>
      <c r="N42" s="293"/>
      <c r="O42" s="294"/>
      <c r="P42" s="83"/>
    </row>
    <row r="43" spans="1:16" x14ac:dyDescent="0.25">
      <c r="A43" s="38"/>
      <c r="E43" s="87" t="s">
        <v>324</v>
      </c>
      <c r="F43" s="88"/>
      <c r="G43" s="88"/>
      <c r="H43" s="88"/>
      <c r="I43" s="88"/>
      <c r="J43" s="95"/>
      <c r="K43" s="95"/>
      <c r="L43" s="88">
        <v>0.84328000000000003</v>
      </c>
      <c r="M43" s="88"/>
      <c r="N43" s="293"/>
      <c r="O43" s="294"/>
      <c r="P43" s="83"/>
    </row>
    <row r="44" spans="1:16" ht="15.75" thickBot="1" x14ac:dyDescent="0.3">
      <c r="A44" s="38" t="s">
        <v>325</v>
      </c>
      <c r="E44" s="84" t="s">
        <v>326</v>
      </c>
      <c r="F44" s="85"/>
      <c r="G44" s="85"/>
      <c r="H44" s="85"/>
      <c r="I44" s="85"/>
      <c r="J44" s="90"/>
      <c r="K44" s="90"/>
      <c r="L44" s="85">
        <v>0.23543</v>
      </c>
      <c r="M44" s="85"/>
      <c r="N44" s="295">
        <v>0.13220000000000001</v>
      </c>
      <c r="O44" s="296"/>
      <c r="P44" s="83"/>
    </row>
    <row r="45" spans="1:16" x14ac:dyDescent="0.25">
      <c r="A45" t="s">
        <v>327</v>
      </c>
      <c r="E45" s="80" t="s">
        <v>328</v>
      </c>
      <c r="F45" s="81">
        <v>0.47361999999999999</v>
      </c>
      <c r="G45" s="92"/>
      <c r="H45" s="297">
        <v>0.28101999999999999</v>
      </c>
      <c r="I45" s="297"/>
      <c r="J45" s="81"/>
      <c r="K45" s="81"/>
      <c r="L45" s="81"/>
      <c r="M45" s="81"/>
      <c r="N45" s="290"/>
      <c r="O45" s="292"/>
      <c r="P45" s="83">
        <f>F45+H45+L46+L47+N47+J51</f>
        <v>2.2079800000000001</v>
      </c>
    </row>
    <row r="46" spans="1:16" x14ac:dyDescent="0.25">
      <c r="E46" s="87" t="s">
        <v>329</v>
      </c>
      <c r="F46" s="88"/>
      <c r="G46" s="96"/>
      <c r="H46" s="95"/>
      <c r="I46" s="95"/>
      <c r="J46" s="88"/>
      <c r="K46" s="88"/>
      <c r="L46" s="88">
        <v>0.71950000000000003</v>
      </c>
      <c r="M46" s="88"/>
      <c r="N46" s="293"/>
      <c r="O46" s="294"/>
      <c r="P46" s="83"/>
    </row>
    <row r="47" spans="1:16" ht="15.75" thickBot="1" x14ac:dyDescent="0.3">
      <c r="A47" t="s">
        <v>330</v>
      </c>
      <c r="E47" s="84" t="s">
        <v>331</v>
      </c>
      <c r="F47" s="85"/>
      <c r="G47" s="97"/>
      <c r="H47" s="90"/>
      <c r="I47" s="90"/>
      <c r="J47" s="85"/>
      <c r="K47" s="85"/>
      <c r="L47" s="85">
        <v>0.20451</v>
      </c>
      <c r="M47" s="85"/>
      <c r="N47" s="295">
        <v>9.1600000000000001E-2</v>
      </c>
      <c r="O47" s="296"/>
      <c r="P47" s="83"/>
    </row>
    <row r="48" spans="1:16" x14ac:dyDescent="0.25">
      <c r="A48" t="s">
        <v>332</v>
      </c>
      <c r="E48" s="80" t="s">
        <v>333</v>
      </c>
      <c r="F48" s="81">
        <v>0.17321</v>
      </c>
      <c r="G48" s="92"/>
      <c r="H48" s="297">
        <v>9.2929999999999999E-2</v>
      </c>
      <c r="I48" s="297"/>
      <c r="J48" s="81"/>
      <c r="K48" s="81"/>
      <c r="L48" s="81"/>
      <c r="M48" s="81"/>
      <c r="N48" s="290"/>
      <c r="O48" s="292"/>
      <c r="P48" s="83">
        <f>F48+H48+L49+L50+N50+J51</f>
        <v>2.12704</v>
      </c>
    </row>
    <row r="49" spans="1:17" x14ac:dyDescent="0.25">
      <c r="A49" t="s">
        <v>334</v>
      </c>
      <c r="E49" s="87" t="s">
        <v>335</v>
      </c>
      <c r="F49" s="88"/>
      <c r="G49" s="96"/>
      <c r="H49" s="95"/>
      <c r="I49" s="95"/>
      <c r="J49" s="88"/>
      <c r="K49" s="88"/>
      <c r="L49" s="88">
        <v>1</v>
      </c>
      <c r="M49" s="88"/>
      <c r="N49" s="293"/>
      <c r="O49" s="294"/>
      <c r="P49" s="83"/>
    </row>
    <row r="50" spans="1:17" ht="15.75" thickBot="1" x14ac:dyDescent="0.3">
      <c r="A50" t="s">
        <v>336</v>
      </c>
      <c r="C50" s="91" t="s">
        <v>262</v>
      </c>
      <c r="E50" s="84" t="s">
        <v>337</v>
      </c>
      <c r="F50" s="85"/>
      <c r="G50" s="97"/>
      <c r="H50" s="90"/>
      <c r="I50" s="90"/>
      <c r="J50" s="85"/>
      <c r="K50" s="85"/>
      <c r="L50" s="85">
        <v>0.26967000000000002</v>
      </c>
      <c r="M50" s="85"/>
      <c r="N50" s="295">
        <v>0.1535</v>
      </c>
      <c r="O50" s="296"/>
      <c r="P50" s="83"/>
    </row>
    <row r="51" spans="1:17" ht="15.75" thickBot="1" x14ac:dyDescent="0.3">
      <c r="C51" s="91" t="s">
        <v>264</v>
      </c>
      <c r="E51" s="93" t="s">
        <v>338</v>
      </c>
      <c r="F51" s="94"/>
      <c r="G51" s="94"/>
      <c r="H51" s="94"/>
      <c r="I51" s="94"/>
      <c r="J51" s="298">
        <v>0.43773000000000001</v>
      </c>
      <c r="K51" s="298"/>
      <c r="L51" s="94"/>
      <c r="M51" s="94"/>
      <c r="N51" s="299"/>
      <c r="O51" s="300"/>
      <c r="P51" s="83"/>
    </row>
    <row r="52" spans="1:17" x14ac:dyDescent="0.25">
      <c r="A52" t="s">
        <v>339</v>
      </c>
      <c r="C52" s="91" t="s">
        <v>266</v>
      </c>
      <c r="E52" s="80" t="s">
        <v>340</v>
      </c>
      <c r="F52" s="81">
        <v>0.28996</v>
      </c>
      <c r="G52" s="92"/>
      <c r="H52" s="297">
        <v>0.25344</v>
      </c>
      <c r="I52" s="297"/>
      <c r="J52" s="81"/>
      <c r="K52" s="81"/>
      <c r="L52" s="81"/>
      <c r="M52" s="81"/>
      <c r="N52" s="290"/>
      <c r="O52" s="292"/>
      <c r="P52" s="83">
        <f>F52+H52+J53+L54+L55+N55</f>
        <v>2.0821799999999997</v>
      </c>
    </row>
    <row r="53" spans="1:17" x14ac:dyDescent="0.25">
      <c r="A53" t="s">
        <v>341</v>
      </c>
      <c r="C53" s="91" t="s">
        <v>268</v>
      </c>
      <c r="E53" s="87" t="s">
        <v>342</v>
      </c>
      <c r="F53" s="88"/>
      <c r="G53" s="88"/>
      <c r="H53" s="88"/>
      <c r="I53" s="88"/>
      <c r="J53" s="301">
        <v>0.65949000000000002</v>
      </c>
      <c r="K53" s="301"/>
      <c r="L53" s="88"/>
      <c r="M53" s="88"/>
      <c r="N53" s="293"/>
      <c r="O53" s="294"/>
      <c r="P53" s="83"/>
    </row>
    <row r="54" spans="1:17" x14ac:dyDescent="0.25">
      <c r="A54" t="s">
        <v>343</v>
      </c>
      <c r="C54" s="91" t="s">
        <v>270</v>
      </c>
      <c r="E54" s="87" t="s">
        <v>344</v>
      </c>
      <c r="F54" s="88"/>
      <c r="G54" s="88"/>
      <c r="H54" s="88"/>
      <c r="I54" s="88"/>
      <c r="J54" s="95"/>
      <c r="K54" s="95"/>
      <c r="L54" s="88">
        <v>0.56411</v>
      </c>
      <c r="M54" s="88"/>
      <c r="N54" s="293"/>
      <c r="O54" s="294"/>
      <c r="P54" s="83"/>
    </row>
    <row r="55" spans="1:17" ht="15.75" thickBot="1" x14ac:dyDescent="0.3">
      <c r="A55" t="s">
        <v>345</v>
      </c>
      <c r="C55" s="91" t="s">
        <v>272</v>
      </c>
      <c r="E55" s="84" t="s">
        <v>346</v>
      </c>
      <c r="F55" s="85"/>
      <c r="G55" s="85"/>
      <c r="H55" s="85"/>
      <c r="I55" s="85"/>
      <c r="J55" s="90"/>
      <c r="K55" s="90"/>
      <c r="L55" s="85">
        <v>0.14326</v>
      </c>
      <c r="M55" s="85"/>
      <c r="N55" s="295">
        <v>0.17191999999999999</v>
      </c>
      <c r="O55" s="296"/>
      <c r="P55" s="83"/>
    </row>
    <row r="56" spans="1:17" x14ac:dyDescent="0.25">
      <c r="A56" t="s">
        <v>347</v>
      </c>
      <c r="C56" s="91" t="s">
        <v>274</v>
      </c>
      <c r="E56" s="80" t="s">
        <v>348</v>
      </c>
      <c r="F56" s="81"/>
      <c r="G56" s="81"/>
      <c r="H56" s="81"/>
      <c r="I56" s="81"/>
      <c r="J56" s="98"/>
      <c r="K56" s="98"/>
      <c r="L56" s="81">
        <v>0.19162000000000001</v>
      </c>
      <c r="M56" s="81"/>
      <c r="N56" s="290"/>
      <c r="O56" s="292"/>
      <c r="P56" s="83">
        <f>L56+L57+L58+L59+N58+N59</f>
        <v>2.1837599999999999</v>
      </c>
    </row>
    <row r="57" spans="1:17" x14ac:dyDescent="0.25">
      <c r="C57" s="91" t="s">
        <v>276</v>
      </c>
      <c r="E57" s="87" t="s">
        <v>349</v>
      </c>
      <c r="F57" s="88"/>
      <c r="G57" s="88"/>
      <c r="H57" s="88"/>
      <c r="I57" s="88"/>
      <c r="J57" s="95"/>
      <c r="K57" s="95"/>
      <c r="L57" s="88">
        <v>0.49523</v>
      </c>
      <c r="M57" s="88"/>
      <c r="N57" s="293"/>
      <c r="O57" s="294"/>
      <c r="P57" s="83"/>
    </row>
    <row r="58" spans="1:17" x14ac:dyDescent="0.25">
      <c r="C58" s="91" t="s">
        <v>278</v>
      </c>
      <c r="E58" s="87" t="s">
        <v>350</v>
      </c>
      <c r="F58" s="88"/>
      <c r="G58" s="88"/>
      <c r="H58" s="88"/>
      <c r="I58" s="88"/>
      <c r="J58" s="95"/>
      <c r="K58" s="95"/>
      <c r="L58" s="88">
        <v>0.47439999999999999</v>
      </c>
      <c r="M58" s="88"/>
      <c r="N58" s="293">
        <v>0.60697000000000001</v>
      </c>
      <c r="O58" s="294"/>
      <c r="P58" s="83"/>
    </row>
    <row r="59" spans="1:17" ht="15.75" thickBot="1" x14ac:dyDescent="0.3">
      <c r="C59" s="91" t="s">
        <v>280</v>
      </c>
      <c r="E59" s="84" t="s">
        <v>351</v>
      </c>
      <c r="F59" s="85"/>
      <c r="G59" s="85"/>
      <c r="H59" s="85"/>
      <c r="I59" s="85"/>
      <c r="J59" s="90"/>
      <c r="K59" s="90"/>
      <c r="L59" s="85">
        <v>0.16774</v>
      </c>
      <c r="M59" s="85"/>
      <c r="N59" s="295">
        <v>0.24779999999999999</v>
      </c>
      <c r="O59" s="296"/>
      <c r="P59" s="83"/>
    </row>
    <row r="60" spans="1:17" x14ac:dyDescent="0.25">
      <c r="C60" s="91" t="s">
        <v>283</v>
      </c>
      <c r="E60" s="80" t="s">
        <v>352</v>
      </c>
      <c r="F60" s="81"/>
      <c r="G60" s="81"/>
      <c r="H60" s="81"/>
      <c r="I60" s="81"/>
      <c r="J60" s="290">
        <v>0.45617999999999997</v>
      </c>
      <c r="K60" s="291"/>
      <c r="L60" s="81"/>
      <c r="M60" s="81"/>
      <c r="N60" s="290"/>
      <c r="O60" s="292"/>
      <c r="P60" s="83">
        <f>J60+L62+N62+L63+L64+N64</f>
        <v>2.0612399999999997</v>
      </c>
    </row>
    <row r="61" spans="1:17" x14ac:dyDescent="0.25">
      <c r="C61" s="91" t="s">
        <v>286</v>
      </c>
      <c r="E61" s="87" t="s">
        <v>353</v>
      </c>
      <c r="F61" s="88"/>
      <c r="G61" s="88"/>
      <c r="H61" s="88"/>
      <c r="I61" s="88"/>
      <c r="J61" s="88"/>
      <c r="K61" s="88"/>
      <c r="L61" s="88">
        <v>0.28649999999999998</v>
      </c>
      <c r="M61" s="88"/>
      <c r="N61" s="293">
        <v>0.80176999999999998</v>
      </c>
      <c r="O61" s="294"/>
      <c r="P61" s="83">
        <f>J60+L61+N61+L63+L64+N64</f>
        <v>2.4324300000000001</v>
      </c>
      <c r="Q61" t="s">
        <v>354</v>
      </c>
    </row>
    <row r="62" spans="1:17" x14ac:dyDescent="0.25">
      <c r="C62" s="91" t="s">
        <v>289</v>
      </c>
      <c r="E62" s="87" t="s">
        <v>355</v>
      </c>
      <c r="F62" s="88"/>
      <c r="G62" s="88"/>
      <c r="H62" s="88"/>
      <c r="I62" s="88"/>
      <c r="J62" s="88"/>
      <c r="K62" s="88"/>
      <c r="L62" s="88">
        <v>0.20932000000000001</v>
      </c>
      <c r="M62" s="88"/>
      <c r="N62" s="293">
        <v>0.50775999999999999</v>
      </c>
      <c r="O62" s="294"/>
      <c r="P62" s="83"/>
    </row>
    <row r="63" spans="1:17" x14ac:dyDescent="0.25">
      <c r="C63" s="91" t="s">
        <v>291</v>
      </c>
      <c r="E63" s="87" t="s">
        <v>356</v>
      </c>
      <c r="F63" s="88"/>
      <c r="G63" s="88"/>
      <c r="H63" s="88"/>
      <c r="I63" s="88"/>
      <c r="J63" s="88"/>
      <c r="K63" s="88"/>
      <c r="L63" s="88">
        <v>0.14599000000000001</v>
      </c>
      <c r="M63" s="88"/>
      <c r="N63" s="293"/>
      <c r="O63" s="294"/>
      <c r="P63" s="83"/>
    </row>
    <row r="64" spans="1:17" ht="15.75" thickBot="1" x14ac:dyDescent="0.3">
      <c r="C64" s="91" t="s">
        <v>294</v>
      </c>
      <c r="E64" s="84" t="s">
        <v>357</v>
      </c>
      <c r="F64" s="85"/>
      <c r="G64" s="85"/>
      <c r="H64" s="85"/>
      <c r="I64" s="85"/>
      <c r="J64" s="85"/>
      <c r="K64" s="85"/>
      <c r="L64" s="85">
        <v>0.12414</v>
      </c>
      <c r="M64" s="85"/>
      <c r="N64" s="295">
        <v>0.61785000000000001</v>
      </c>
      <c r="O64" s="296"/>
      <c r="P64" s="83"/>
    </row>
    <row r="65" spans="3:17" x14ac:dyDescent="0.25">
      <c r="C65" s="91" t="s">
        <v>297</v>
      </c>
      <c r="E65" s="80" t="s">
        <v>358</v>
      </c>
      <c r="F65" s="81"/>
      <c r="G65" s="81"/>
      <c r="H65" s="81"/>
      <c r="I65" s="81"/>
      <c r="J65" s="81"/>
      <c r="K65" s="81"/>
      <c r="L65" s="81">
        <v>0.23763000000000001</v>
      </c>
      <c r="M65" s="81"/>
      <c r="N65" s="290">
        <v>1</v>
      </c>
      <c r="O65" s="292"/>
      <c r="P65" s="83">
        <f>L65+N65+L66+L67+N67</f>
        <v>1.8703959999999999</v>
      </c>
      <c r="Q65" s="83"/>
    </row>
    <row r="66" spans="3:17" x14ac:dyDescent="0.25">
      <c r="C66" s="91" t="s">
        <v>299</v>
      </c>
      <c r="E66" s="87" t="s">
        <v>359</v>
      </c>
      <c r="F66" s="88"/>
      <c r="G66" s="88"/>
      <c r="H66" s="88"/>
      <c r="I66" s="88"/>
      <c r="J66" s="88"/>
      <c r="K66" s="88"/>
      <c r="L66" s="88">
        <v>0.17316000000000001</v>
      </c>
      <c r="M66" s="88"/>
      <c r="N66" s="293"/>
      <c r="O66" s="294"/>
      <c r="P66" s="83"/>
      <c r="Q66" s="83"/>
    </row>
    <row r="67" spans="3:17" ht="15.75" thickBot="1" x14ac:dyDescent="0.3">
      <c r="C67" s="91" t="s">
        <v>302</v>
      </c>
      <c r="E67" s="84" t="s">
        <v>360</v>
      </c>
      <c r="F67" s="85"/>
      <c r="G67" s="85"/>
      <c r="H67" s="85"/>
      <c r="I67" s="85"/>
      <c r="J67" s="85"/>
      <c r="K67" s="85"/>
      <c r="L67" s="85">
        <v>0.12317</v>
      </c>
      <c r="M67" s="85"/>
      <c r="N67" s="295">
        <v>0.33643600000000001</v>
      </c>
      <c r="O67" s="296"/>
      <c r="P67" s="83"/>
      <c r="Q67" s="83"/>
    </row>
    <row r="68" spans="3:17" x14ac:dyDescent="0.25">
      <c r="C68" s="91" t="s">
        <v>304</v>
      </c>
      <c r="E68" s="80" t="s">
        <v>361</v>
      </c>
      <c r="F68" s="81"/>
      <c r="G68" s="81"/>
      <c r="H68" s="81"/>
      <c r="I68" s="81"/>
      <c r="J68" s="81"/>
      <c r="K68" s="81"/>
      <c r="L68" s="81">
        <v>0.20199</v>
      </c>
      <c r="M68" s="81"/>
      <c r="N68" s="290">
        <v>0.85</v>
      </c>
      <c r="O68" s="292"/>
      <c r="P68" s="83">
        <f>L68+N68+L69+L70+N70</f>
        <v>1.6197900000000001</v>
      </c>
    </row>
    <row r="69" spans="3:17" x14ac:dyDescent="0.25">
      <c r="C69" s="91" t="s">
        <v>306</v>
      </c>
      <c r="E69" s="87" t="s">
        <v>362</v>
      </c>
      <c r="F69" s="88"/>
      <c r="G69" s="88"/>
      <c r="H69" s="88"/>
      <c r="I69" s="88"/>
      <c r="J69" s="88"/>
      <c r="K69" s="88"/>
      <c r="L69" s="88">
        <v>0.17718999999999999</v>
      </c>
      <c r="M69" s="88"/>
      <c r="N69" s="293"/>
      <c r="O69" s="294"/>
      <c r="P69" s="83"/>
    </row>
    <row r="70" spans="3:17" ht="15.75" thickBot="1" x14ac:dyDescent="0.3">
      <c r="C70" s="91" t="s">
        <v>308</v>
      </c>
      <c r="E70" s="99" t="s">
        <v>363</v>
      </c>
      <c r="F70" s="100"/>
      <c r="G70" s="100"/>
      <c r="H70" s="100"/>
      <c r="I70" s="100"/>
      <c r="J70" s="100"/>
      <c r="K70" s="100"/>
      <c r="L70" s="100">
        <v>0.1047</v>
      </c>
      <c r="M70" s="100"/>
      <c r="N70" s="288">
        <v>0.28591</v>
      </c>
      <c r="O70" s="289"/>
      <c r="P70" s="83"/>
    </row>
  </sheetData>
  <mergeCells count="93">
    <mergeCell ref="N1:O1"/>
    <mergeCell ref="H2:I2"/>
    <mergeCell ref="J2:K2"/>
    <mergeCell ref="N2:O2"/>
    <mergeCell ref="J6:K6"/>
    <mergeCell ref="F1:G1"/>
    <mergeCell ref="H1:I1"/>
    <mergeCell ref="J1:K1"/>
    <mergeCell ref="L1:M1"/>
    <mergeCell ref="F3:G3"/>
    <mergeCell ref="H3:I3"/>
    <mergeCell ref="F4:G4"/>
    <mergeCell ref="H4:I4"/>
    <mergeCell ref="H5:I5"/>
    <mergeCell ref="H7:I7"/>
    <mergeCell ref="J8:K8"/>
    <mergeCell ref="H9:I9"/>
    <mergeCell ref="J10:K10"/>
    <mergeCell ref="F12:G12"/>
    <mergeCell ref="H12:I12"/>
    <mergeCell ref="J27:K27"/>
    <mergeCell ref="N27:O27"/>
    <mergeCell ref="J13:K13"/>
    <mergeCell ref="H14:I14"/>
    <mergeCell ref="J15:K15"/>
    <mergeCell ref="H17:I17"/>
    <mergeCell ref="J18:K18"/>
    <mergeCell ref="H20:I20"/>
    <mergeCell ref="J21:K21"/>
    <mergeCell ref="H23:I23"/>
    <mergeCell ref="J24:K24"/>
    <mergeCell ref="H26:I26"/>
    <mergeCell ref="N26:O26"/>
    <mergeCell ref="N28:O28"/>
    <mergeCell ref="H29:I29"/>
    <mergeCell ref="N29:O29"/>
    <mergeCell ref="N30:O30"/>
    <mergeCell ref="H31:I31"/>
    <mergeCell ref="N31:O31"/>
    <mergeCell ref="N32:O32"/>
    <mergeCell ref="J33:K33"/>
    <mergeCell ref="N33:O33"/>
    <mergeCell ref="F34:G34"/>
    <mergeCell ref="H34:I34"/>
    <mergeCell ref="N34:O34"/>
    <mergeCell ref="J35:K35"/>
    <mergeCell ref="N35:O35"/>
    <mergeCell ref="N36:O36"/>
    <mergeCell ref="F37:G37"/>
    <mergeCell ref="H37:I37"/>
    <mergeCell ref="N37:O37"/>
    <mergeCell ref="N47:O47"/>
    <mergeCell ref="H45:I45"/>
    <mergeCell ref="N45:O45"/>
    <mergeCell ref="J38:K38"/>
    <mergeCell ref="N38:O38"/>
    <mergeCell ref="N39:O39"/>
    <mergeCell ref="N40:O40"/>
    <mergeCell ref="H41:I41"/>
    <mergeCell ref="N41:O41"/>
    <mergeCell ref="J42:K42"/>
    <mergeCell ref="N42:O42"/>
    <mergeCell ref="N43:O43"/>
    <mergeCell ref="N44:O44"/>
    <mergeCell ref="N46:O46"/>
    <mergeCell ref="H48:I48"/>
    <mergeCell ref="N48:O48"/>
    <mergeCell ref="N49:O49"/>
    <mergeCell ref="N59:O59"/>
    <mergeCell ref="J51:K51"/>
    <mergeCell ref="N51:O51"/>
    <mergeCell ref="H52:I52"/>
    <mergeCell ref="N52:O52"/>
    <mergeCell ref="J53:K53"/>
    <mergeCell ref="N53:O53"/>
    <mergeCell ref="N54:O54"/>
    <mergeCell ref="N55:O55"/>
    <mergeCell ref="N56:O56"/>
    <mergeCell ref="N57:O57"/>
    <mergeCell ref="N58:O58"/>
    <mergeCell ref="N50:O50"/>
    <mergeCell ref="N70:O70"/>
    <mergeCell ref="J60:K60"/>
    <mergeCell ref="N60:O60"/>
    <mergeCell ref="N61:O61"/>
    <mergeCell ref="N62:O62"/>
    <mergeCell ref="N63:O63"/>
    <mergeCell ref="N64:O64"/>
    <mergeCell ref="N65:O65"/>
    <mergeCell ref="N66:O66"/>
    <mergeCell ref="N67:O67"/>
    <mergeCell ref="N68:O68"/>
    <mergeCell ref="N69:O69"/>
  </mergeCells>
  <conditionalFormatting sqref="F3:O70">
    <cfRule type="cellIs" dxfId="25" priority="1" operator="between">
      <formula>0.15</formula>
      <formula>0.3</formula>
    </cfRule>
    <cfRule type="cellIs" dxfId="24" priority="2" operator="between">
      <formula>0.3</formula>
      <formula>0.6</formula>
    </cfRule>
    <cfRule type="cellIs" dxfId="23" priority="3" operator="greaterThan">
      <formula>0.6</formula>
    </cfRule>
    <cfRule type="cellIs" dxfId="22" priority="4" operator="lessThan">
      <formula>0.15</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1369E-2A2C-4705-8A45-03D9B90BC96C}">
  <sheetPr>
    <tabColor theme="2" tint="-9.9978637043366805E-2"/>
  </sheetPr>
  <dimension ref="A1:AR95"/>
  <sheetViews>
    <sheetView topLeftCell="A42" zoomScale="80" zoomScaleNormal="80" workbookViewId="0">
      <selection activeCell="J83" sqref="J83"/>
    </sheetView>
  </sheetViews>
  <sheetFormatPr baseColWidth="10" defaultRowHeight="15" x14ac:dyDescent="0.25"/>
  <cols>
    <col min="1" max="1" width="7.5703125" bestFit="1" customWidth="1"/>
    <col min="2" max="2" width="7.140625" bestFit="1" customWidth="1"/>
    <col min="7" max="7" width="7.5703125" bestFit="1" customWidth="1"/>
    <col min="8" max="8" width="7.140625" bestFit="1" customWidth="1"/>
    <col min="11" max="11" width="37" bestFit="1" customWidth="1"/>
    <col min="12" max="12" width="7.5703125" bestFit="1" customWidth="1"/>
    <col min="13" max="13" width="7.140625" bestFit="1" customWidth="1"/>
    <col min="18" max="18" width="7.5703125" bestFit="1" customWidth="1"/>
    <col min="19" max="19" width="7.140625" bestFit="1" customWidth="1"/>
  </cols>
  <sheetData>
    <row r="1" spans="1:44" ht="18.75" x14ac:dyDescent="0.3">
      <c r="A1" s="307">
        <v>0.34</v>
      </c>
      <c r="B1" s="308"/>
      <c r="C1" s="307">
        <v>0.245</v>
      </c>
      <c r="D1" s="308"/>
      <c r="E1" s="307">
        <v>0.125</v>
      </c>
      <c r="F1" s="308"/>
      <c r="G1" s="307">
        <v>0.29099999999999998</v>
      </c>
      <c r="H1" s="308"/>
      <c r="I1" s="307">
        <v>0.19</v>
      </c>
      <c r="J1" s="308"/>
      <c r="L1" s="307">
        <v>0.34</v>
      </c>
      <c r="M1" s="308"/>
      <c r="N1" s="307">
        <v>0.245</v>
      </c>
      <c r="O1" s="308"/>
      <c r="P1" s="307">
        <v>0.125</v>
      </c>
      <c r="Q1" s="308"/>
      <c r="R1" s="307">
        <f>0.291*86/100</f>
        <v>0.25025999999999998</v>
      </c>
      <c r="S1" s="308"/>
      <c r="T1" s="307">
        <v>0.19</v>
      </c>
      <c r="U1" s="308"/>
      <c r="W1" s="306" t="s">
        <v>232</v>
      </c>
      <c r="X1" s="306"/>
      <c r="AC1" s="306" t="s">
        <v>233</v>
      </c>
      <c r="AD1" s="306"/>
    </row>
    <row r="2" spans="1:44" ht="18.75" x14ac:dyDescent="0.3">
      <c r="A2" s="303" t="s">
        <v>234</v>
      </c>
      <c r="B2" s="303"/>
      <c r="C2" s="303" t="s">
        <v>235</v>
      </c>
      <c r="D2" s="303"/>
      <c r="E2" s="303" t="s">
        <v>236</v>
      </c>
      <c r="F2" s="303"/>
      <c r="G2" s="303" t="s">
        <v>237</v>
      </c>
      <c r="H2" s="303"/>
      <c r="I2" s="303" t="s">
        <v>238</v>
      </c>
      <c r="J2" s="303"/>
      <c r="L2" s="303" t="s">
        <v>234</v>
      </c>
      <c r="M2" s="303"/>
      <c r="N2" s="303" t="s">
        <v>235</v>
      </c>
      <c r="O2" s="303"/>
      <c r="P2" s="303" t="s">
        <v>236</v>
      </c>
      <c r="Q2" s="303"/>
      <c r="R2" s="303" t="s">
        <v>237</v>
      </c>
      <c r="S2" s="303"/>
      <c r="T2" s="303" t="s">
        <v>238</v>
      </c>
      <c r="U2" s="303"/>
    </row>
    <row r="3" spans="1:44" ht="19.5" thickBot="1" x14ac:dyDescent="0.35">
      <c r="A3" s="79" t="s">
        <v>239</v>
      </c>
      <c r="B3" s="79" t="s">
        <v>240</v>
      </c>
      <c r="C3" s="304"/>
      <c r="D3" s="305"/>
      <c r="E3" s="304"/>
      <c r="F3" s="305"/>
      <c r="G3" s="79" t="s">
        <v>239</v>
      </c>
      <c r="H3" s="79" t="s">
        <v>240</v>
      </c>
      <c r="I3" s="304"/>
      <c r="J3" s="305"/>
      <c r="L3" s="79" t="s">
        <v>239</v>
      </c>
      <c r="M3" s="79" t="s">
        <v>240</v>
      </c>
      <c r="N3" s="304"/>
      <c r="O3" s="305"/>
      <c r="P3" s="304"/>
      <c r="Q3" s="305"/>
      <c r="R3" s="79" t="s">
        <v>239</v>
      </c>
      <c r="S3" s="79" t="s">
        <v>240</v>
      </c>
      <c r="T3" s="304"/>
      <c r="U3" s="305"/>
      <c r="W3" t="s">
        <v>241</v>
      </c>
      <c r="AC3" t="s">
        <v>242</v>
      </c>
    </row>
    <row r="4" spans="1:44" x14ac:dyDescent="0.25">
      <c r="A4" s="297">
        <v>0.64709000000000005</v>
      </c>
      <c r="B4" s="297"/>
      <c r="C4" s="297">
        <v>0.97192999999999996</v>
      </c>
      <c r="D4" s="297"/>
      <c r="E4" s="81"/>
      <c r="F4" s="81"/>
      <c r="G4" s="81"/>
      <c r="H4" s="81"/>
      <c r="I4" s="81"/>
      <c r="J4" s="82"/>
      <c r="K4" s="80" t="s">
        <v>243</v>
      </c>
      <c r="L4" s="297">
        <v>0.64709000000000005</v>
      </c>
      <c r="M4" s="297"/>
      <c r="N4" s="297">
        <v>0.97192999999999996</v>
      </c>
      <c r="O4" s="297"/>
      <c r="P4" s="81"/>
      <c r="Q4" s="81"/>
      <c r="R4" s="81"/>
      <c r="S4" s="81"/>
      <c r="T4" s="81"/>
      <c r="U4" s="82"/>
      <c r="W4" t="s">
        <v>244</v>
      </c>
      <c r="AC4" t="s">
        <v>245</v>
      </c>
      <c r="AR4">
        <v>105</v>
      </c>
    </row>
    <row r="5" spans="1:44" ht="15.75" thickBot="1" x14ac:dyDescent="0.3">
      <c r="A5" s="302">
        <v>0.26545000000000002</v>
      </c>
      <c r="B5" s="302"/>
      <c r="C5" s="302">
        <v>0.39895999999999998</v>
      </c>
      <c r="D5" s="302"/>
      <c r="E5" s="85"/>
      <c r="F5" s="85"/>
      <c r="G5" s="85"/>
      <c r="H5" s="85"/>
      <c r="I5" s="85"/>
      <c r="J5" s="86"/>
      <c r="K5" s="84" t="s">
        <v>246</v>
      </c>
      <c r="L5" s="302">
        <v>0.26545000000000002</v>
      </c>
      <c r="M5" s="302"/>
      <c r="N5" s="302">
        <v>0.39895999999999998</v>
      </c>
      <c r="O5" s="302"/>
      <c r="P5" s="85"/>
      <c r="Q5" s="85"/>
      <c r="R5" s="85"/>
      <c r="S5" s="85"/>
      <c r="T5" s="85"/>
      <c r="U5" s="86"/>
      <c r="W5" t="s">
        <v>247</v>
      </c>
      <c r="AC5" t="s">
        <v>247</v>
      </c>
      <c r="AR5">
        <v>120</v>
      </c>
    </row>
    <row r="6" spans="1:44" x14ac:dyDescent="0.25">
      <c r="A6" s="81">
        <v>0.50017999999999996</v>
      </c>
      <c r="B6" s="81">
        <v>0.25008999999999998</v>
      </c>
      <c r="C6" s="297">
        <v>1</v>
      </c>
      <c r="D6" s="297"/>
      <c r="E6" s="81"/>
      <c r="F6" s="81"/>
      <c r="G6" s="81"/>
      <c r="H6" s="81"/>
      <c r="I6" s="81"/>
      <c r="J6" s="82"/>
      <c r="K6" s="80" t="s">
        <v>248</v>
      </c>
      <c r="L6" s="81">
        <v>0.50017999999999996</v>
      </c>
      <c r="M6" s="81">
        <v>0.25008999999999998</v>
      </c>
      <c r="N6" s="297">
        <v>1</v>
      </c>
      <c r="O6" s="297"/>
      <c r="P6" s="81"/>
      <c r="Q6" s="81"/>
      <c r="R6" s="81"/>
      <c r="S6" s="81"/>
      <c r="T6" s="81"/>
      <c r="U6" s="82"/>
    </row>
    <row r="7" spans="1:44" ht="15.75" thickBot="1" x14ac:dyDescent="0.3">
      <c r="A7" s="85"/>
      <c r="B7" s="85"/>
      <c r="C7" s="85"/>
      <c r="D7" s="85"/>
      <c r="E7" s="302">
        <v>0.27488000000000001</v>
      </c>
      <c r="F7" s="302"/>
      <c r="G7" s="85"/>
      <c r="H7" s="85"/>
      <c r="I7" s="85"/>
      <c r="J7" s="86"/>
      <c r="K7" s="84" t="s">
        <v>249</v>
      </c>
      <c r="L7" s="85"/>
      <c r="M7" s="85"/>
      <c r="N7" s="85"/>
      <c r="O7" s="85"/>
      <c r="P7" s="302">
        <v>0.27488000000000001</v>
      </c>
      <c r="Q7" s="302"/>
      <c r="R7" s="85"/>
      <c r="S7" s="85"/>
      <c r="T7" s="85"/>
      <c r="U7" s="86"/>
      <c r="W7" t="s">
        <v>250</v>
      </c>
      <c r="AC7" t="s">
        <v>371</v>
      </c>
    </row>
    <row r="8" spans="1:44" x14ac:dyDescent="0.25">
      <c r="A8" s="81">
        <v>0.35504999999999998</v>
      </c>
      <c r="B8" s="81">
        <v>0.17752000000000001</v>
      </c>
      <c r="C8" s="297">
        <v>0.72296000000000005</v>
      </c>
      <c r="D8" s="297"/>
      <c r="E8" s="81"/>
      <c r="F8" s="81"/>
      <c r="G8" s="81"/>
      <c r="H8" s="81"/>
      <c r="I8" s="81"/>
      <c r="J8" s="82"/>
      <c r="K8" s="80" t="s">
        <v>252</v>
      </c>
      <c r="L8" s="81">
        <v>0.35504999999999998</v>
      </c>
      <c r="M8" s="81">
        <v>0.17752000000000001</v>
      </c>
      <c r="N8" s="297">
        <v>0.72296000000000005</v>
      </c>
      <c r="O8" s="297"/>
      <c r="P8" s="81"/>
      <c r="Q8" s="81"/>
      <c r="R8" s="81"/>
      <c r="S8" s="81"/>
      <c r="T8" s="81"/>
      <c r="U8" s="82"/>
      <c r="W8" t="s">
        <v>253</v>
      </c>
    </row>
    <row r="9" spans="1:44" ht="15.75" thickBot="1" x14ac:dyDescent="0.3">
      <c r="A9" s="85"/>
      <c r="B9" s="85"/>
      <c r="C9" s="85"/>
      <c r="D9" s="85"/>
      <c r="E9" s="302">
        <v>0.36337000000000003</v>
      </c>
      <c r="F9" s="302"/>
      <c r="G9" s="85"/>
      <c r="H9" s="85"/>
      <c r="I9" s="85"/>
      <c r="J9" s="86"/>
      <c r="K9" s="84" t="s">
        <v>254</v>
      </c>
      <c r="L9" s="85"/>
      <c r="M9" s="85"/>
      <c r="N9" s="85"/>
      <c r="O9" s="85"/>
      <c r="P9" s="302">
        <f>36.337%*1.21</f>
        <v>0.4396777</v>
      </c>
      <c r="Q9" s="302"/>
      <c r="R9" s="85"/>
      <c r="S9" s="85"/>
      <c r="T9" s="85"/>
      <c r="U9" s="86"/>
      <c r="AC9" t="s">
        <v>372</v>
      </c>
    </row>
    <row r="10" spans="1:44" x14ac:dyDescent="0.25">
      <c r="A10" s="81">
        <v>0.65615999999999997</v>
      </c>
      <c r="B10" s="81"/>
      <c r="C10" s="297">
        <v>0.78437000000000001</v>
      </c>
      <c r="D10" s="297"/>
      <c r="E10" s="81"/>
      <c r="F10" s="81"/>
      <c r="G10" s="81"/>
      <c r="H10" s="81"/>
      <c r="I10" s="81"/>
      <c r="J10" s="82"/>
      <c r="K10" s="80" t="s">
        <v>255</v>
      </c>
      <c r="L10" s="81">
        <f>65.616%*1.06</f>
        <v>0.69552959999999997</v>
      </c>
      <c r="M10" s="81"/>
      <c r="N10" s="297">
        <f>78.437%*(1-0.09)</f>
        <v>0.71377670000000004</v>
      </c>
      <c r="O10" s="297"/>
      <c r="P10" s="81"/>
      <c r="Q10" s="81"/>
      <c r="R10" s="81"/>
      <c r="S10" s="81"/>
      <c r="T10" s="81"/>
      <c r="U10" s="82"/>
      <c r="W10" t="s">
        <v>373</v>
      </c>
    </row>
    <row r="11" spans="1:44" x14ac:dyDescent="0.25">
      <c r="A11" s="88"/>
      <c r="B11" s="88"/>
      <c r="C11" s="88"/>
      <c r="D11" s="88"/>
      <c r="E11" s="301">
        <v>0.1464</v>
      </c>
      <c r="F11" s="301"/>
      <c r="G11" s="88"/>
      <c r="H11" s="88"/>
      <c r="I11" s="88"/>
      <c r="J11" s="89"/>
      <c r="K11" s="87" t="s">
        <v>257</v>
      </c>
      <c r="L11" s="88"/>
      <c r="M11" s="88"/>
      <c r="N11" s="88"/>
      <c r="O11" s="88"/>
      <c r="P11" s="301">
        <v>0.1464</v>
      </c>
      <c r="Q11" s="301"/>
      <c r="R11" s="88"/>
      <c r="S11" s="88"/>
      <c r="T11" s="88"/>
      <c r="U11" s="89"/>
      <c r="AC11" t="s">
        <v>374</v>
      </c>
    </row>
    <row r="12" spans="1:44" ht="15.75" thickBot="1" x14ac:dyDescent="0.3">
      <c r="A12" s="85"/>
      <c r="B12" s="85"/>
      <c r="C12" s="85"/>
      <c r="D12" s="85"/>
      <c r="E12" s="90"/>
      <c r="F12" s="90"/>
      <c r="G12" s="85">
        <v>0.28649999999999998</v>
      </c>
      <c r="H12" s="85"/>
      <c r="I12" s="85"/>
      <c r="J12" s="86"/>
      <c r="K12" s="84" t="s">
        <v>259</v>
      </c>
      <c r="L12" s="85"/>
      <c r="M12" s="85"/>
      <c r="N12" s="85"/>
      <c r="O12" s="85"/>
      <c r="P12" s="90"/>
      <c r="Q12" s="90"/>
      <c r="R12" s="85">
        <v>0.33313953488372089</v>
      </c>
      <c r="S12" s="85"/>
      <c r="T12" s="85"/>
      <c r="U12" s="86"/>
      <c r="W12" t="s">
        <v>375</v>
      </c>
      <c r="AC12" t="s">
        <v>376</v>
      </c>
    </row>
    <row r="13" spans="1:44" x14ac:dyDescent="0.25">
      <c r="A13" s="297">
        <v>0.42514999999999997</v>
      </c>
      <c r="B13" s="297"/>
      <c r="C13" s="297">
        <v>0.85</v>
      </c>
      <c r="D13" s="297"/>
      <c r="E13" s="81"/>
      <c r="F13" s="81"/>
      <c r="G13" s="81"/>
      <c r="H13" s="81"/>
      <c r="I13" s="81"/>
      <c r="J13" s="82"/>
      <c r="K13" s="80" t="s">
        <v>260</v>
      </c>
      <c r="L13" s="297">
        <v>0.42514999999999997</v>
      </c>
      <c r="M13" s="297"/>
      <c r="N13" s="297">
        <v>0.85</v>
      </c>
      <c r="O13" s="297"/>
      <c r="P13" s="81"/>
      <c r="Q13" s="81"/>
      <c r="R13" s="81"/>
      <c r="S13" s="81"/>
      <c r="T13" s="81"/>
      <c r="U13" s="82"/>
      <c r="W13" t="s">
        <v>377</v>
      </c>
      <c r="AC13" t="s">
        <v>378</v>
      </c>
      <c r="AI13" s="114"/>
      <c r="AJ13" s="114" t="s">
        <v>379</v>
      </c>
      <c r="AK13" s="114" t="s">
        <v>380</v>
      </c>
      <c r="AL13" s="114" t="s">
        <v>379</v>
      </c>
      <c r="AM13" s="114" t="s">
        <v>380</v>
      </c>
      <c r="AN13" s="114"/>
    </row>
    <row r="14" spans="1:44" ht="15.75" thickBot="1" x14ac:dyDescent="0.3">
      <c r="A14" s="85"/>
      <c r="B14" s="85"/>
      <c r="C14" s="85"/>
      <c r="D14" s="85"/>
      <c r="E14" s="302">
        <v>0.23365</v>
      </c>
      <c r="F14" s="302"/>
      <c r="G14" s="85"/>
      <c r="H14" s="85"/>
      <c r="I14" s="85"/>
      <c r="J14" s="86"/>
      <c r="K14" s="84" t="s">
        <v>263</v>
      </c>
      <c r="L14" s="85"/>
      <c r="M14" s="85"/>
      <c r="N14" s="85"/>
      <c r="O14" s="85"/>
      <c r="P14" s="302">
        <v>0.23365</v>
      </c>
      <c r="Q14" s="302"/>
      <c r="R14" s="85"/>
      <c r="S14" s="85"/>
      <c r="T14" s="85"/>
      <c r="U14" s="86"/>
      <c r="W14" t="s">
        <v>381</v>
      </c>
      <c r="AC14" t="s">
        <v>382</v>
      </c>
      <c r="AI14" s="115" t="s">
        <v>383</v>
      </c>
      <c r="AJ14" s="116">
        <v>1.05</v>
      </c>
      <c r="AK14" s="116">
        <v>1.05</v>
      </c>
      <c r="AL14" s="117">
        <f t="shared" ref="AL14:AM16" si="0">AJ14-100%</f>
        <v>5.0000000000000044E-2</v>
      </c>
      <c r="AM14" s="117">
        <f t="shared" si="0"/>
        <v>5.0000000000000044E-2</v>
      </c>
      <c r="AN14" s="117">
        <f>AM14+AL14</f>
        <v>0.10000000000000009</v>
      </c>
    </row>
    <row r="15" spans="1:44" x14ac:dyDescent="0.25">
      <c r="A15" s="81">
        <v>1</v>
      </c>
      <c r="B15" s="92"/>
      <c r="C15" s="297">
        <v>0.51382000000000005</v>
      </c>
      <c r="D15" s="297"/>
      <c r="E15" s="81"/>
      <c r="F15" s="81"/>
      <c r="G15" s="81"/>
      <c r="H15" s="81"/>
      <c r="I15" s="81"/>
      <c r="J15" s="82"/>
      <c r="K15" s="80" t="s">
        <v>265</v>
      </c>
      <c r="L15" s="81">
        <v>1</v>
      </c>
      <c r="M15" s="92"/>
      <c r="N15" s="297">
        <v>0.51382000000000005</v>
      </c>
      <c r="O15" s="297"/>
      <c r="P15" s="81"/>
      <c r="Q15" s="81"/>
      <c r="R15" s="81"/>
      <c r="S15" s="81"/>
      <c r="T15" s="81"/>
      <c r="U15" s="82"/>
      <c r="W15" t="s">
        <v>384</v>
      </c>
      <c r="AC15" t="s">
        <v>385</v>
      </c>
      <c r="AI15" s="118" t="s">
        <v>379</v>
      </c>
      <c r="AJ15" s="119">
        <v>1.2</v>
      </c>
      <c r="AK15" s="119">
        <v>0.92430000000000001</v>
      </c>
      <c r="AL15" s="120">
        <f t="shared" si="0"/>
        <v>0.19999999999999996</v>
      </c>
      <c r="AM15" s="120">
        <f t="shared" si="0"/>
        <v>-7.569999999999999E-2</v>
      </c>
      <c r="AN15" s="120">
        <f>AM15+AL15</f>
        <v>0.12429999999999997</v>
      </c>
      <c r="AP15" s="121">
        <f>(AJ15-AJ14)/AJ14</f>
        <v>0.14285714285714277</v>
      </c>
      <c r="AQ15" s="121">
        <f>(AK15-AK14)/AK14</f>
        <v>-0.11971428571428575</v>
      </c>
    </row>
    <row r="16" spans="1:44" x14ac:dyDescent="0.25">
      <c r="A16" s="88"/>
      <c r="B16" s="88"/>
      <c r="C16" s="88"/>
      <c r="D16" s="88"/>
      <c r="E16" s="301">
        <v>4.3869999999999999E-2</v>
      </c>
      <c r="F16" s="301"/>
      <c r="G16" s="88"/>
      <c r="H16" s="88"/>
      <c r="I16" s="88"/>
      <c r="J16" s="89"/>
      <c r="K16" s="87" t="s">
        <v>267</v>
      </c>
      <c r="L16" s="88"/>
      <c r="M16" s="88"/>
      <c r="N16" s="88"/>
      <c r="O16" s="88"/>
      <c r="P16" s="301">
        <v>4.3869999999999999E-2</v>
      </c>
      <c r="Q16" s="301"/>
      <c r="R16" s="88"/>
      <c r="S16" s="88"/>
      <c r="T16" s="88"/>
      <c r="U16" s="89"/>
      <c r="W16" t="s">
        <v>386</v>
      </c>
      <c r="AC16" t="s">
        <v>387</v>
      </c>
      <c r="AI16" s="122" t="s">
        <v>388</v>
      </c>
      <c r="AJ16" s="123">
        <v>0.92957000000000001</v>
      </c>
      <c r="AK16" s="123">
        <v>1.1337999999999999</v>
      </c>
      <c r="AL16" s="124">
        <f t="shared" si="0"/>
        <v>-7.0429999999999993E-2</v>
      </c>
      <c r="AM16" s="124">
        <f t="shared" si="0"/>
        <v>0.13379999999999992</v>
      </c>
      <c r="AN16" s="124">
        <f>AM16+AL16</f>
        <v>6.3369999999999926E-2</v>
      </c>
      <c r="AP16" s="121">
        <f>(AJ16-AJ14)/AJ14</f>
        <v>-0.11469523809523813</v>
      </c>
      <c r="AQ16" s="121">
        <f>(AK16-AK14)/AK14</f>
        <v>7.9809523809523691E-2</v>
      </c>
    </row>
    <row r="17" spans="1:39" ht="15.75" thickBot="1" x14ac:dyDescent="0.3">
      <c r="A17" s="85"/>
      <c r="B17" s="85"/>
      <c r="C17" s="85"/>
      <c r="D17" s="85"/>
      <c r="E17" s="90"/>
      <c r="F17" s="90"/>
      <c r="G17" s="85">
        <v>0.32728000000000002</v>
      </c>
      <c r="H17" s="85"/>
      <c r="I17" s="85"/>
      <c r="J17" s="86"/>
      <c r="K17" s="84" t="s">
        <v>269</v>
      </c>
      <c r="L17" s="85"/>
      <c r="M17" s="85"/>
      <c r="N17" s="85"/>
      <c r="O17" s="85"/>
      <c r="P17" s="90"/>
      <c r="Q17" s="90"/>
      <c r="R17" s="85">
        <v>0.38055813953488377</v>
      </c>
      <c r="S17" s="85"/>
      <c r="T17" s="85"/>
      <c r="U17" s="86"/>
      <c r="W17" t="s">
        <v>389</v>
      </c>
      <c r="AC17" t="s">
        <v>390</v>
      </c>
    </row>
    <row r="18" spans="1:39" x14ac:dyDescent="0.25">
      <c r="A18" s="81">
        <v>0.91232999999999997</v>
      </c>
      <c r="B18" s="92"/>
      <c r="C18" s="297">
        <v>0.46146999999999999</v>
      </c>
      <c r="D18" s="297"/>
      <c r="E18" s="81"/>
      <c r="F18" s="81"/>
      <c r="G18" s="81"/>
      <c r="H18" s="81"/>
      <c r="I18" s="81"/>
      <c r="J18" s="82"/>
      <c r="K18" s="80" t="s">
        <v>271</v>
      </c>
      <c r="L18" s="81">
        <v>0.91232999999999997</v>
      </c>
      <c r="M18" s="92"/>
      <c r="N18" s="297">
        <f>46.147%*(1-0.08)</f>
        <v>0.4245524</v>
      </c>
      <c r="O18" s="297"/>
      <c r="P18" s="81"/>
      <c r="Q18" s="81"/>
      <c r="R18" s="81"/>
      <c r="S18" s="81"/>
      <c r="T18" s="81"/>
      <c r="U18" s="82"/>
      <c r="W18" t="s">
        <v>391</v>
      </c>
      <c r="AC18" t="s">
        <v>392</v>
      </c>
    </row>
    <row r="19" spans="1:39" x14ac:dyDescent="0.25">
      <c r="A19" s="88"/>
      <c r="B19" s="88"/>
      <c r="C19" s="88"/>
      <c r="D19" s="88"/>
      <c r="E19" s="301">
        <v>0.15035999999999999</v>
      </c>
      <c r="F19" s="301"/>
      <c r="G19" s="88"/>
      <c r="H19" s="88"/>
      <c r="I19" s="88"/>
      <c r="J19" s="89"/>
      <c r="K19" s="87" t="s">
        <v>273</v>
      </c>
      <c r="L19" s="88"/>
      <c r="M19" s="88"/>
      <c r="N19" s="88"/>
      <c r="O19" s="88"/>
      <c r="P19" s="301">
        <v>0.15035999999999999</v>
      </c>
      <c r="Q19" s="301"/>
      <c r="R19" s="88"/>
      <c r="S19" s="88"/>
      <c r="T19" s="88"/>
      <c r="U19" s="89"/>
      <c r="W19" t="s">
        <v>393</v>
      </c>
      <c r="AC19" t="s">
        <v>394</v>
      </c>
      <c r="AL19" s="121">
        <f>(1.05-1.2)/1.2</f>
        <v>-0.12499999999999993</v>
      </c>
      <c r="AM19" s="121">
        <f>(1.05-0.925)/0.925</f>
        <v>0.13513513513513511</v>
      </c>
    </row>
    <row r="20" spans="1:39" ht="15.75" thickBot="1" x14ac:dyDescent="0.3">
      <c r="A20" s="85"/>
      <c r="B20" s="85"/>
      <c r="C20" s="85"/>
      <c r="D20" s="85"/>
      <c r="E20" s="90"/>
      <c r="F20" s="90"/>
      <c r="G20" s="85">
        <v>0.51546000000000003</v>
      </c>
      <c r="H20" s="85"/>
      <c r="I20" s="85"/>
      <c r="J20" s="86"/>
      <c r="K20" s="84" t="s">
        <v>275</v>
      </c>
      <c r="L20" s="85"/>
      <c r="M20" s="85"/>
      <c r="N20" s="85"/>
      <c r="O20" s="85"/>
      <c r="P20" s="90"/>
      <c r="Q20" s="90"/>
      <c r="R20" s="85">
        <v>0.59937209302325589</v>
      </c>
      <c r="S20" s="85"/>
      <c r="T20" s="85"/>
      <c r="U20" s="86"/>
      <c r="W20" t="s">
        <v>395</v>
      </c>
      <c r="AC20" t="s">
        <v>396</v>
      </c>
      <c r="AJ20" s="72"/>
      <c r="AK20" s="72"/>
      <c r="AL20" s="121">
        <f>(0.93-1.2)/1.2</f>
        <v>-0.22499999999999992</v>
      </c>
      <c r="AM20" s="121">
        <f>(1.135-0.925)/0.925</f>
        <v>0.22702702702702698</v>
      </c>
    </row>
    <row r="21" spans="1:39" x14ac:dyDescent="0.25">
      <c r="A21" s="81">
        <v>0.69059999999999999</v>
      </c>
      <c r="B21" s="92"/>
      <c r="C21" s="297">
        <v>0.38878000000000001</v>
      </c>
      <c r="D21" s="297"/>
      <c r="E21" s="81"/>
      <c r="F21" s="81"/>
      <c r="G21" s="81"/>
      <c r="H21" s="81"/>
      <c r="I21" s="81"/>
      <c r="J21" s="82"/>
      <c r="K21" s="80" t="s">
        <v>277</v>
      </c>
      <c r="L21" s="81">
        <v>0.69059999999999999</v>
      </c>
      <c r="M21" s="92"/>
      <c r="N21" s="297">
        <v>0.38878000000000001</v>
      </c>
      <c r="O21" s="297"/>
      <c r="P21" s="81"/>
      <c r="Q21" s="81"/>
      <c r="R21" s="81"/>
      <c r="S21" s="81"/>
      <c r="T21" s="81"/>
      <c r="U21" s="82"/>
      <c r="W21" t="s">
        <v>397</v>
      </c>
      <c r="AC21" t="s">
        <v>398</v>
      </c>
      <c r="AI21" t="s">
        <v>399</v>
      </c>
    </row>
    <row r="22" spans="1:39" x14ac:dyDescent="0.25">
      <c r="A22" s="88"/>
      <c r="B22" s="88"/>
      <c r="C22" s="88"/>
      <c r="D22" s="88"/>
      <c r="E22" s="301">
        <v>0.2099</v>
      </c>
      <c r="F22" s="301"/>
      <c r="G22" s="88"/>
      <c r="H22" s="88"/>
      <c r="I22" s="88"/>
      <c r="J22" s="89"/>
      <c r="K22" s="87" t="s">
        <v>279</v>
      </c>
      <c r="L22" s="88"/>
      <c r="M22" s="88"/>
      <c r="N22" s="88"/>
      <c r="O22" s="88"/>
      <c r="P22" s="301">
        <v>0.2099</v>
      </c>
      <c r="Q22" s="301"/>
      <c r="R22" s="88"/>
      <c r="S22" s="88"/>
      <c r="T22" s="88"/>
      <c r="U22" s="89"/>
      <c r="W22" t="s">
        <v>400</v>
      </c>
      <c r="AC22" t="s">
        <v>401</v>
      </c>
      <c r="AI22" s="1" t="s">
        <v>402</v>
      </c>
      <c r="AK22" s="76"/>
      <c r="AL22" s="76"/>
      <c r="AM22" s="76"/>
    </row>
    <row r="23" spans="1:39" ht="15.75" thickBot="1" x14ac:dyDescent="0.3">
      <c r="A23" s="85"/>
      <c r="B23" s="85"/>
      <c r="C23" s="85"/>
      <c r="D23" s="85"/>
      <c r="E23" s="90"/>
      <c r="F23" s="90"/>
      <c r="G23" s="85">
        <v>0.62805999999999995</v>
      </c>
      <c r="H23" s="85"/>
      <c r="I23" s="85"/>
      <c r="J23" s="86"/>
      <c r="K23" s="84" t="s">
        <v>281</v>
      </c>
      <c r="L23" s="85"/>
      <c r="M23" s="85"/>
      <c r="N23" s="85"/>
      <c r="O23" s="85"/>
      <c r="P23" s="90"/>
      <c r="Q23" s="90"/>
      <c r="R23" s="85">
        <v>0.7303023255813953</v>
      </c>
      <c r="S23" s="85"/>
      <c r="T23" s="85"/>
      <c r="U23" s="86"/>
      <c r="W23" t="s">
        <v>403</v>
      </c>
      <c r="AC23" t="s">
        <v>404</v>
      </c>
      <c r="AI23" s="1" t="s">
        <v>405</v>
      </c>
      <c r="AK23" s="76"/>
      <c r="AL23" s="76"/>
      <c r="AM23" s="76"/>
    </row>
    <row r="24" spans="1:39" x14ac:dyDescent="0.25">
      <c r="A24" s="81">
        <v>0.68315000000000003</v>
      </c>
      <c r="B24" s="92"/>
      <c r="C24" s="297">
        <v>0.70006000000000002</v>
      </c>
      <c r="D24" s="297"/>
      <c r="E24" s="81"/>
      <c r="F24" s="81"/>
      <c r="G24" s="81"/>
      <c r="H24" s="81"/>
      <c r="I24" s="81"/>
      <c r="J24" s="82"/>
      <c r="K24" s="80" t="s">
        <v>284</v>
      </c>
      <c r="L24" s="81">
        <v>0.68315000000000003</v>
      </c>
      <c r="M24" s="92"/>
      <c r="N24" s="297">
        <v>0.70006000000000002</v>
      </c>
      <c r="O24" s="297"/>
      <c r="P24" s="81"/>
      <c r="Q24" s="81"/>
      <c r="R24" s="81"/>
      <c r="S24" s="81"/>
      <c r="T24" s="81"/>
      <c r="U24" s="82"/>
      <c r="W24" t="s">
        <v>406</v>
      </c>
      <c r="AC24" t="s">
        <v>407</v>
      </c>
      <c r="AI24" s="1" t="s">
        <v>408</v>
      </c>
      <c r="AK24" s="76"/>
      <c r="AL24" s="76"/>
      <c r="AM24" s="76"/>
    </row>
    <row r="25" spans="1:39" x14ac:dyDescent="0.25">
      <c r="A25" s="88"/>
      <c r="B25" s="88"/>
      <c r="C25" s="88"/>
      <c r="D25" s="88"/>
      <c r="E25" s="301">
        <v>0.152</v>
      </c>
      <c r="F25" s="301"/>
      <c r="G25" s="88"/>
      <c r="H25" s="88"/>
      <c r="I25" s="88"/>
      <c r="J25" s="89"/>
      <c r="K25" s="87" t="s">
        <v>287</v>
      </c>
      <c r="L25" s="88"/>
      <c r="M25" s="88"/>
      <c r="N25" s="88"/>
      <c r="O25" s="88"/>
      <c r="P25" s="301">
        <v>0.152</v>
      </c>
      <c r="Q25" s="301"/>
      <c r="R25" s="88"/>
      <c r="S25" s="88"/>
      <c r="T25" s="88"/>
      <c r="U25" s="89"/>
      <c r="W25" t="s">
        <v>409</v>
      </c>
      <c r="AC25" t="s">
        <v>410</v>
      </c>
      <c r="AI25" s="1" t="s">
        <v>411</v>
      </c>
      <c r="AK25" s="76"/>
      <c r="AL25" s="76"/>
      <c r="AM25" s="76"/>
    </row>
    <row r="26" spans="1:39" ht="15.75" thickBot="1" x14ac:dyDescent="0.3">
      <c r="A26" s="85"/>
      <c r="B26" s="85"/>
      <c r="C26" s="85"/>
      <c r="D26" s="85"/>
      <c r="E26" s="90"/>
      <c r="F26" s="90"/>
      <c r="G26" s="85">
        <v>0.32396000000000003</v>
      </c>
      <c r="H26" s="85"/>
      <c r="I26" s="85"/>
      <c r="J26" s="86"/>
      <c r="K26" s="84" t="s">
        <v>290</v>
      </c>
      <c r="L26" s="85"/>
      <c r="M26" s="85"/>
      <c r="N26" s="85"/>
      <c r="O26" s="85"/>
      <c r="P26" s="90"/>
      <c r="Q26" s="90"/>
      <c r="R26" s="85">
        <v>0.37669767441860463</v>
      </c>
      <c r="S26" s="85"/>
      <c r="T26" s="85"/>
      <c r="U26" s="86"/>
      <c r="W26" t="s">
        <v>412</v>
      </c>
      <c r="AC26" t="s">
        <v>413</v>
      </c>
      <c r="AI26" s="1" t="s">
        <v>414</v>
      </c>
    </row>
    <row r="27" spans="1:39" x14ac:dyDescent="0.25">
      <c r="A27" s="81">
        <v>0.18545</v>
      </c>
      <c r="B27" s="81">
        <v>9.2719999999999997E-2</v>
      </c>
      <c r="C27" s="297">
        <v>0.42459999999999998</v>
      </c>
      <c r="D27" s="297"/>
      <c r="E27" s="81"/>
      <c r="F27" s="81"/>
      <c r="G27" s="81"/>
      <c r="H27" s="81"/>
      <c r="I27" s="290"/>
      <c r="J27" s="292"/>
      <c r="K27" s="80" t="s">
        <v>292</v>
      </c>
      <c r="L27" s="81">
        <v>0.18545</v>
      </c>
      <c r="M27" s="81">
        <v>9.2719999999999997E-2</v>
      </c>
      <c r="N27" s="297">
        <v>0.42459999999999998</v>
      </c>
      <c r="O27" s="297"/>
      <c r="P27" s="81"/>
      <c r="Q27" s="81"/>
      <c r="R27" s="81"/>
      <c r="S27" s="81"/>
      <c r="T27" s="290"/>
      <c r="U27" s="292"/>
      <c r="W27" t="s">
        <v>415</v>
      </c>
      <c r="AC27" t="s">
        <v>416</v>
      </c>
      <c r="AI27" s="1" t="s">
        <v>417</v>
      </c>
    </row>
    <row r="28" spans="1:39" x14ac:dyDescent="0.25">
      <c r="A28" s="88"/>
      <c r="B28" s="88"/>
      <c r="C28" s="88"/>
      <c r="D28" s="88"/>
      <c r="E28" s="301">
        <v>1</v>
      </c>
      <c r="F28" s="301"/>
      <c r="G28" s="88"/>
      <c r="H28" s="88"/>
      <c r="I28" s="293"/>
      <c r="J28" s="294"/>
      <c r="K28" s="87" t="s">
        <v>295</v>
      </c>
      <c r="L28" s="88"/>
      <c r="M28" s="88"/>
      <c r="N28" s="88"/>
      <c r="O28" s="88"/>
      <c r="P28" s="301">
        <v>1</v>
      </c>
      <c r="Q28" s="301"/>
      <c r="R28" s="88"/>
      <c r="S28" s="88"/>
      <c r="T28" s="293"/>
      <c r="U28" s="294"/>
      <c r="W28" t="s">
        <v>418</v>
      </c>
      <c r="AC28" t="s">
        <v>419</v>
      </c>
    </row>
    <row r="29" spans="1:39" x14ac:dyDescent="0.25">
      <c r="A29" s="85"/>
      <c r="B29" s="85"/>
      <c r="C29" s="85"/>
      <c r="D29" s="85"/>
      <c r="E29" s="90"/>
      <c r="F29" s="90"/>
      <c r="G29" s="85"/>
      <c r="H29" s="85"/>
      <c r="I29" s="101"/>
      <c r="J29" s="102"/>
      <c r="K29" s="87" t="s">
        <v>364</v>
      </c>
      <c r="L29" s="85"/>
      <c r="M29" s="85"/>
      <c r="N29" s="85"/>
      <c r="O29" s="85"/>
      <c r="P29" s="90"/>
      <c r="Q29" s="90"/>
      <c r="R29" s="85"/>
      <c r="S29" s="85"/>
      <c r="T29" s="295">
        <v>0.21</v>
      </c>
      <c r="U29" s="296"/>
      <c r="W29" t="s">
        <v>420</v>
      </c>
      <c r="AC29" t="s">
        <v>421</v>
      </c>
    </row>
    <row r="30" spans="1:39" ht="15.75" thickBot="1" x14ac:dyDescent="0.3">
      <c r="A30" s="85"/>
      <c r="B30" s="85"/>
      <c r="C30" s="85"/>
      <c r="D30" s="85"/>
      <c r="E30" s="90"/>
      <c r="F30" s="90"/>
      <c r="G30" s="85">
        <v>0.24451999999999999</v>
      </c>
      <c r="H30" s="85">
        <v>0.1226</v>
      </c>
      <c r="I30" s="295">
        <v>0.34044000000000002</v>
      </c>
      <c r="J30" s="296"/>
      <c r="K30" s="84" t="s">
        <v>298</v>
      </c>
      <c r="L30" s="85"/>
      <c r="M30" s="85"/>
      <c r="N30" s="85"/>
      <c r="O30" s="85"/>
      <c r="P30" s="90"/>
      <c r="Q30" s="90"/>
      <c r="R30" s="85">
        <v>0.2843255813953488</v>
      </c>
      <c r="S30" s="85">
        <v>0.14255813953488372</v>
      </c>
      <c r="T30" s="295">
        <f>34.044%*1.05</f>
        <v>0.357462</v>
      </c>
      <c r="U30" s="296"/>
      <c r="W30" t="s">
        <v>422</v>
      </c>
      <c r="AC30" t="s">
        <v>423</v>
      </c>
      <c r="AJ30" s="125" t="s">
        <v>424</v>
      </c>
      <c r="AK30" s="125" t="s">
        <v>425</v>
      </c>
    </row>
    <row r="31" spans="1:39" x14ac:dyDescent="0.25">
      <c r="A31" s="81">
        <v>0.27438000000000001</v>
      </c>
      <c r="B31" s="81">
        <v>0.13719000000000001</v>
      </c>
      <c r="C31" s="297">
        <v>0.62792999999999999</v>
      </c>
      <c r="D31" s="297"/>
      <c r="E31" s="81"/>
      <c r="F31" s="81"/>
      <c r="G31" s="81"/>
      <c r="H31" s="81"/>
      <c r="I31" s="290"/>
      <c r="J31" s="292"/>
      <c r="K31" s="80" t="s">
        <v>300</v>
      </c>
      <c r="L31" s="81">
        <v>0.27438000000000001</v>
      </c>
      <c r="M31" s="81">
        <v>0.13719000000000001</v>
      </c>
      <c r="N31" s="297">
        <v>0.62792999999999999</v>
      </c>
      <c r="O31" s="297"/>
      <c r="P31" s="81"/>
      <c r="Q31" s="81"/>
      <c r="R31" s="81"/>
      <c r="S31" s="81"/>
      <c r="T31" s="290"/>
      <c r="U31" s="292"/>
      <c r="W31" t="s">
        <v>426</v>
      </c>
      <c r="AC31" t="s">
        <v>427</v>
      </c>
      <c r="AJ31" s="125" t="s">
        <v>428</v>
      </c>
      <c r="AK31" s="125" t="s">
        <v>429</v>
      </c>
    </row>
    <row r="32" spans="1:39" x14ac:dyDescent="0.25">
      <c r="A32" s="103"/>
      <c r="B32" s="103"/>
      <c r="C32" s="104"/>
      <c r="D32" s="104"/>
      <c r="E32" s="103"/>
      <c r="F32" s="103"/>
      <c r="G32" s="103"/>
      <c r="H32" s="103"/>
      <c r="I32" s="105"/>
      <c r="J32" s="106"/>
      <c r="K32" s="107" t="s">
        <v>365</v>
      </c>
      <c r="L32" s="103"/>
      <c r="M32" s="103"/>
      <c r="N32" s="104"/>
      <c r="O32" s="104"/>
      <c r="P32" s="103"/>
      <c r="Q32" s="103"/>
      <c r="R32" s="103"/>
      <c r="S32" s="103"/>
      <c r="T32" s="295">
        <v>0.12</v>
      </c>
      <c r="U32" s="296"/>
      <c r="W32" t="s">
        <v>430</v>
      </c>
      <c r="AC32" t="s">
        <v>431</v>
      </c>
      <c r="AJ32" s="125" t="s">
        <v>432</v>
      </c>
      <c r="AK32" s="125" t="s">
        <v>433</v>
      </c>
    </row>
    <row r="33" spans="1:37" ht="15.75" thickBot="1" x14ac:dyDescent="0.3">
      <c r="A33" s="85"/>
      <c r="B33" s="85"/>
      <c r="C33" s="90"/>
      <c r="D33" s="90"/>
      <c r="E33" s="85"/>
      <c r="F33" s="85"/>
      <c r="G33" s="85">
        <v>0.14949999999999999</v>
      </c>
      <c r="H33" s="85">
        <v>7.3999999999999996E-2</v>
      </c>
      <c r="I33" s="295">
        <v>0.23748</v>
      </c>
      <c r="J33" s="296"/>
      <c r="K33" s="84" t="s">
        <v>303</v>
      </c>
      <c r="L33" s="85"/>
      <c r="M33" s="85"/>
      <c r="N33" s="90"/>
      <c r="O33" s="90"/>
      <c r="P33" s="85"/>
      <c r="Q33" s="85"/>
      <c r="R33" s="85">
        <v>0.13906976744186045</v>
      </c>
      <c r="S33" s="85">
        <v>6.8837209302325592E-2</v>
      </c>
      <c r="T33" s="295">
        <f>23.748%*0.8</f>
        <v>0.18998400000000004</v>
      </c>
      <c r="U33" s="296"/>
      <c r="W33" t="s">
        <v>434</v>
      </c>
      <c r="AC33" t="s">
        <v>435</v>
      </c>
      <c r="AJ33" s="125" t="s">
        <v>436</v>
      </c>
      <c r="AK33" s="125" t="s">
        <v>437</v>
      </c>
    </row>
    <row r="34" spans="1:37" x14ac:dyDescent="0.25">
      <c r="A34" s="81">
        <v>0.11212</v>
      </c>
      <c r="B34" s="81">
        <v>5.6059999999999999E-2</v>
      </c>
      <c r="C34" s="297">
        <v>0.23462</v>
      </c>
      <c r="D34" s="297"/>
      <c r="E34" s="81"/>
      <c r="F34" s="81"/>
      <c r="G34" s="81"/>
      <c r="H34" s="81"/>
      <c r="I34" s="290"/>
      <c r="J34" s="292"/>
      <c r="K34" s="80" t="s">
        <v>305</v>
      </c>
      <c r="L34" s="81">
        <f>11.212%*0.75</f>
        <v>8.4089999999999998E-2</v>
      </c>
      <c r="M34" s="81">
        <f>5.606%*0.75</f>
        <v>4.2044999999999999E-2</v>
      </c>
      <c r="N34" s="297">
        <f>23.462%*0.75</f>
        <v>0.17596499999999998</v>
      </c>
      <c r="O34" s="297"/>
      <c r="P34" s="81"/>
      <c r="Q34" s="81"/>
      <c r="R34" s="81"/>
      <c r="S34" s="81"/>
      <c r="T34" s="290"/>
      <c r="U34" s="292"/>
      <c r="W34" t="s">
        <v>438</v>
      </c>
      <c r="AC34" t="s">
        <v>439</v>
      </c>
      <c r="AJ34" s="125" t="s">
        <v>440</v>
      </c>
      <c r="AK34" s="125" t="s">
        <v>441</v>
      </c>
    </row>
    <row r="35" spans="1:37" x14ac:dyDescent="0.25">
      <c r="A35" s="103"/>
      <c r="B35" s="103"/>
      <c r="C35" s="104"/>
      <c r="D35" s="104"/>
      <c r="E35" s="103"/>
      <c r="F35" s="103"/>
      <c r="G35" s="103"/>
      <c r="H35" s="103"/>
      <c r="I35" s="105"/>
      <c r="J35" s="106"/>
      <c r="K35" s="107" t="s">
        <v>366</v>
      </c>
      <c r="L35" s="103"/>
      <c r="M35" s="103"/>
      <c r="N35" s="104"/>
      <c r="O35" s="104"/>
      <c r="P35" s="103"/>
      <c r="Q35" s="103"/>
      <c r="R35" s="103"/>
      <c r="S35" s="103"/>
      <c r="T35" s="295">
        <v>0.31</v>
      </c>
      <c r="U35" s="296"/>
      <c r="W35" t="s">
        <v>442</v>
      </c>
      <c r="AC35" t="s">
        <v>443</v>
      </c>
    </row>
    <row r="36" spans="1:37" ht="15.75" thickBot="1" x14ac:dyDescent="0.3">
      <c r="A36" s="85"/>
      <c r="B36" s="85"/>
      <c r="C36" s="90"/>
      <c r="D36" s="90"/>
      <c r="E36" s="85"/>
      <c r="F36" s="85"/>
      <c r="G36" s="85">
        <v>0.23788000000000001</v>
      </c>
      <c r="H36" s="85">
        <v>0.11894</v>
      </c>
      <c r="I36" s="295">
        <v>0.50244</v>
      </c>
      <c r="J36" s="296"/>
      <c r="K36" s="84" t="s">
        <v>307</v>
      </c>
      <c r="L36" s="85"/>
      <c r="M36" s="85"/>
      <c r="N36" s="90"/>
      <c r="O36" s="90"/>
      <c r="P36" s="85"/>
      <c r="Q36" s="85"/>
      <c r="R36" s="85">
        <v>0.2766046511627907</v>
      </c>
      <c r="S36" s="85">
        <v>0.13830232558139535</v>
      </c>
      <c r="T36" s="295">
        <f>50.244%*1.05</f>
        <v>0.52756199999999998</v>
      </c>
      <c r="U36" s="296"/>
      <c r="AC36" t="s">
        <v>444</v>
      </c>
    </row>
    <row r="37" spans="1:37" ht="19.5" thickBot="1" x14ac:dyDescent="0.35">
      <c r="A37" s="94"/>
      <c r="B37" s="94"/>
      <c r="C37" s="94"/>
      <c r="D37" s="94"/>
      <c r="E37" s="298">
        <v>0.94696999999999998</v>
      </c>
      <c r="F37" s="298"/>
      <c r="G37" s="94"/>
      <c r="H37" s="94"/>
      <c r="I37" s="299"/>
      <c r="J37" s="300"/>
      <c r="K37" s="93" t="s">
        <v>309</v>
      </c>
      <c r="L37" s="94"/>
      <c r="M37" s="94"/>
      <c r="N37" s="94"/>
      <c r="O37" s="94"/>
      <c r="P37" s="298">
        <v>0.94696999999999998</v>
      </c>
      <c r="Q37" s="298"/>
      <c r="R37" s="94"/>
      <c r="S37" s="94"/>
      <c r="T37" s="299"/>
      <c r="U37" s="300"/>
      <c r="W37" s="306" t="s">
        <v>261</v>
      </c>
      <c r="X37" s="306"/>
      <c r="AC37" t="s">
        <v>445</v>
      </c>
    </row>
    <row r="38" spans="1:37" x14ac:dyDescent="0.25">
      <c r="A38" s="297">
        <v>0.15762999999999999</v>
      </c>
      <c r="B38" s="297"/>
      <c r="C38" s="297">
        <v>0.36070000000000002</v>
      </c>
      <c r="D38" s="297"/>
      <c r="E38" s="81"/>
      <c r="F38" s="81"/>
      <c r="G38" s="81"/>
      <c r="H38" s="81"/>
      <c r="I38" s="290"/>
      <c r="J38" s="292"/>
      <c r="K38" s="80" t="s">
        <v>310</v>
      </c>
      <c r="L38" s="297">
        <v>0.15762999999999999</v>
      </c>
      <c r="M38" s="297"/>
      <c r="N38" s="297">
        <v>0.36070000000000002</v>
      </c>
      <c r="O38" s="297"/>
      <c r="P38" s="81"/>
      <c r="Q38" s="81"/>
      <c r="R38" s="81"/>
      <c r="S38" s="81"/>
      <c r="T38" s="290"/>
      <c r="U38" s="292"/>
      <c r="AC38" t="s">
        <v>446</v>
      </c>
    </row>
    <row r="39" spans="1:37" x14ac:dyDescent="0.25">
      <c r="A39" s="88"/>
      <c r="B39" s="88"/>
      <c r="C39" s="88"/>
      <c r="D39" s="88"/>
      <c r="E39" s="301">
        <v>0.85</v>
      </c>
      <c r="F39" s="301"/>
      <c r="G39" s="88"/>
      <c r="H39" s="88"/>
      <c r="I39" s="293"/>
      <c r="J39" s="294"/>
      <c r="K39" s="87" t="s">
        <v>311</v>
      </c>
      <c r="L39" s="88"/>
      <c r="M39" s="88"/>
      <c r="N39" s="88"/>
      <c r="O39" s="88"/>
      <c r="P39" s="301">
        <v>0.85</v>
      </c>
      <c r="Q39" s="301"/>
      <c r="R39" s="88"/>
      <c r="S39" s="88"/>
      <c r="T39" s="293"/>
      <c r="U39" s="294"/>
      <c r="W39" t="s">
        <v>241</v>
      </c>
      <c r="AC39" t="s">
        <v>447</v>
      </c>
    </row>
    <row r="40" spans="1:37" ht="15.75" thickBot="1" x14ac:dyDescent="0.3">
      <c r="A40" s="85"/>
      <c r="B40" s="85"/>
      <c r="C40" s="85"/>
      <c r="D40" s="85"/>
      <c r="E40" s="90"/>
      <c r="F40" s="90"/>
      <c r="G40" s="85">
        <v>0.20784</v>
      </c>
      <c r="H40" s="85"/>
      <c r="I40" s="295">
        <v>0.28937000000000002</v>
      </c>
      <c r="J40" s="296"/>
      <c r="K40" s="84" t="s">
        <v>313</v>
      </c>
      <c r="L40" s="85"/>
      <c r="M40" s="85"/>
      <c r="N40" s="85"/>
      <c r="O40" s="85"/>
      <c r="P40" s="90"/>
      <c r="Q40" s="90"/>
      <c r="R40" s="85">
        <v>0.24167441860465114</v>
      </c>
      <c r="S40" s="85"/>
      <c r="T40" s="295">
        <v>0.28937000000000002</v>
      </c>
      <c r="U40" s="296"/>
      <c r="W40" t="s">
        <v>244</v>
      </c>
      <c r="AC40" t="s">
        <v>448</v>
      </c>
    </row>
    <row r="41" spans="1:37" x14ac:dyDescent="0.25">
      <c r="A41" s="297">
        <v>0.20368</v>
      </c>
      <c r="B41" s="297"/>
      <c r="C41" s="297">
        <v>0.33767000000000003</v>
      </c>
      <c r="D41" s="297"/>
      <c r="E41" s="81"/>
      <c r="F41" s="81"/>
      <c r="G41" s="81"/>
      <c r="H41" s="81"/>
      <c r="I41" s="290"/>
      <c r="J41" s="292"/>
      <c r="K41" s="80" t="s">
        <v>315</v>
      </c>
      <c r="L41" s="297">
        <v>0.20368</v>
      </c>
      <c r="M41" s="297"/>
      <c r="N41" s="297">
        <v>0.33767000000000003</v>
      </c>
      <c r="O41" s="297"/>
      <c r="P41" s="81"/>
      <c r="Q41" s="81"/>
      <c r="R41" s="81"/>
      <c r="S41" s="81"/>
      <c r="T41" s="290"/>
      <c r="U41" s="292"/>
      <c r="W41" t="s">
        <v>247</v>
      </c>
      <c r="AC41" t="s">
        <v>449</v>
      </c>
    </row>
    <row r="42" spans="1:37" x14ac:dyDescent="0.25">
      <c r="A42" s="88"/>
      <c r="B42" s="88"/>
      <c r="C42" s="88"/>
      <c r="D42" s="88"/>
      <c r="E42" s="301">
        <v>0.89815999999999996</v>
      </c>
      <c r="F42" s="301"/>
      <c r="G42" s="88"/>
      <c r="H42" s="88"/>
      <c r="I42" s="293"/>
      <c r="J42" s="294"/>
      <c r="K42" s="87" t="s">
        <v>317</v>
      </c>
      <c r="L42" s="88"/>
      <c r="M42" s="88"/>
      <c r="N42" s="88"/>
      <c r="O42" s="88"/>
      <c r="P42" s="301">
        <v>0.89815999999999996</v>
      </c>
      <c r="Q42" s="301"/>
      <c r="R42" s="88"/>
      <c r="S42" s="88"/>
      <c r="T42" s="293"/>
      <c r="U42" s="294"/>
      <c r="AC42" t="s">
        <v>450</v>
      </c>
    </row>
    <row r="43" spans="1:37" x14ac:dyDescent="0.25">
      <c r="A43" s="88"/>
      <c r="B43" s="88"/>
      <c r="C43" s="88"/>
      <c r="D43" s="88"/>
      <c r="E43" s="95"/>
      <c r="F43" s="95"/>
      <c r="G43" s="88">
        <v>0.57364000000000004</v>
      </c>
      <c r="H43" s="88"/>
      <c r="I43" s="293"/>
      <c r="J43" s="294"/>
      <c r="K43" s="87" t="s">
        <v>319</v>
      </c>
      <c r="L43" s="88"/>
      <c r="M43" s="88"/>
      <c r="N43" s="88"/>
      <c r="O43" s="88"/>
      <c r="P43" s="95"/>
      <c r="Q43" s="95"/>
      <c r="R43" s="88">
        <v>0.6670232558139535</v>
      </c>
      <c r="S43" s="88"/>
      <c r="T43" s="293"/>
      <c r="U43" s="294"/>
      <c r="W43" t="s">
        <v>256</v>
      </c>
      <c r="AC43" t="s">
        <v>451</v>
      </c>
    </row>
    <row r="44" spans="1:37" ht="15.75" thickBot="1" x14ac:dyDescent="0.3">
      <c r="A44" s="85"/>
      <c r="B44" s="85"/>
      <c r="C44" s="85"/>
      <c r="D44" s="85"/>
      <c r="E44" s="90"/>
      <c r="F44" s="90"/>
      <c r="G44" s="85">
        <v>0.26422000000000001</v>
      </c>
      <c r="H44" s="85"/>
      <c r="I44" s="295">
        <v>0.2399</v>
      </c>
      <c r="J44" s="296"/>
      <c r="K44" s="84" t="s">
        <v>321</v>
      </c>
      <c r="L44" s="85"/>
      <c r="M44" s="85"/>
      <c r="N44" s="85"/>
      <c r="O44" s="85"/>
      <c r="P44" s="90"/>
      <c r="Q44" s="90"/>
      <c r="R44" s="85">
        <v>0.30723255813953487</v>
      </c>
      <c r="S44" s="85"/>
      <c r="T44" s="295">
        <f>23.99%*1.06</f>
        <v>0.25429399999999996</v>
      </c>
      <c r="U44" s="296"/>
      <c r="W44" t="s">
        <v>258</v>
      </c>
      <c r="AC44" t="s">
        <v>452</v>
      </c>
    </row>
    <row r="45" spans="1:37" x14ac:dyDescent="0.25">
      <c r="A45" s="81">
        <v>0.34708</v>
      </c>
      <c r="B45" s="92"/>
      <c r="C45" s="297">
        <v>0.20830000000000001</v>
      </c>
      <c r="D45" s="297"/>
      <c r="E45" s="81"/>
      <c r="F45" s="81"/>
      <c r="G45" s="81"/>
      <c r="H45" s="81"/>
      <c r="I45" s="290"/>
      <c r="J45" s="292"/>
      <c r="K45" s="80" t="s">
        <v>322</v>
      </c>
      <c r="L45" s="81">
        <v>0.34708</v>
      </c>
      <c r="M45" s="92"/>
      <c r="N45" s="297">
        <v>0.20830000000000001</v>
      </c>
      <c r="O45" s="297"/>
      <c r="P45" s="81"/>
      <c r="Q45" s="81"/>
      <c r="R45" s="81"/>
      <c r="S45" s="81"/>
      <c r="T45" s="290"/>
      <c r="U45" s="292"/>
      <c r="AC45" t="s">
        <v>453</v>
      </c>
    </row>
    <row r="46" spans="1:37" x14ac:dyDescent="0.25">
      <c r="A46" s="88"/>
      <c r="B46" s="88"/>
      <c r="C46" s="88"/>
      <c r="D46" s="88"/>
      <c r="E46" s="301">
        <v>0.52559999999999996</v>
      </c>
      <c r="F46" s="301"/>
      <c r="G46" s="88"/>
      <c r="H46" s="88"/>
      <c r="I46" s="293"/>
      <c r="J46" s="294"/>
      <c r="K46" s="87" t="s">
        <v>323</v>
      </c>
      <c r="L46" s="88"/>
      <c r="M46" s="88"/>
      <c r="N46" s="88"/>
      <c r="O46" s="88"/>
      <c r="P46" s="301">
        <v>0.52559999999999996</v>
      </c>
      <c r="Q46" s="301"/>
      <c r="R46" s="88"/>
      <c r="S46" s="88"/>
      <c r="T46" s="293"/>
      <c r="U46" s="294"/>
      <c r="W46" t="s">
        <v>373</v>
      </c>
      <c r="AC46" t="s">
        <v>454</v>
      </c>
    </row>
    <row r="47" spans="1:37" x14ac:dyDescent="0.25">
      <c r="A47" s="88"/>
      <c r="B47" s="88"/>
      <c r="C47" s="88"/>
      <c r="D47" s="88"/>
      <c r="E47" s="95"/>
      <c r="F47" s="95"/>
      <c r="G47" s="88">
        <v>0.84328000000000003</v>
      </c>
      <c r="H47" s="88"/>
      <c r="I47" s="293"/>
      <c r="J47" s="294"/>
      <c r="K47" s="87" t="s">
        <v>324</v>
      </c>
      <c r="L47" s="88"/>
      <c r="M47" s="88"/>
      <c r="N47" s="88"/>
      <c r="O47" s="88"/>
      <c r="P47" s="95"/>
      <c r="Q47" s="95"/>
      <c r="R47" s="88">
        <v>0.85308558139534874</v>
      </c>
      <c r="S47" s="88"/>
      <c r="T47" s="293"/>
      <c r="U47" s="294"/>
    </row>
    <row r="48" spans="1:37" ht="15.75" thickBot="1" x14ac:dyDescent="0.3">
      <c r="A48" s="85"/>
      <c r="B48" s="85"/>
      <c r="C48" s="85"/>
      <c r="D48" s="85"/>
      <c r="E48" s="90"/>
      <c r="F48" s="90"/>
      <c r="G48" s="85">
        <v>0.23543</v>
      </c>
      <c r="H48" s="85"/>
      <c r="I48" s="295">
        <v>0.13220000000000001</v>
      </c>
      <c r="J48" s="296"/>
      <c r="K48" s="84" t="s">
        <v>326</v>
      </c>
      <c r="L48" s="85"/>
      <c r="M48" s="85"/>
      <c r="N48" s="85"/>
      <c r="O48" s="85"/>
      <c r="P48" s="90"/>
      <c r="Q48" s="90"/>
      <c r="R48" s="85">
        <v>0.27375581395348836</v>
      </c>
      <c r="S48" s="85"/>
      <c r="T48" s="295">
        <f>13.22%*1.16</f>
        <v>0.15335200000000002</v>
      </c>
      <c r="U48" s="296"/>
      <c r="W48" t="s">
        <v>455</v>
      </c>
      <c r="AC48" t="s">
        <v>456</v>
      </c>
    </row>
    <row r="49" spans="1:30" ht="15.75" thickBot="1" x14ac:dyDescent="0.3">
      <c r="A49" s="94"/>
      <c r="B49" s="94"/>
      <c r="C49" s="94"/>
      <c r="D49" s="94"/>
      <c r="E49" s="298">
        <v>0.43773000000000001</v>
      </c>
      <c r="F49" s="298"/>
      <c r="G49" s="94"/>
      <c r="H49" s="94"/>
      <c r="I49" s="299"/>
      <c r="J49" s="300"/>
      <c r="K49" s="93" t="s">
        <v>367</v>
      </c>
      <c r="L49" s="94"/>
      <c r="M49" s="94"/>
      <c r="N49" s="94"/>
      <c r="O49" s="94"/>
      <c r="P49" s="298">
        <v>0.43773000000000001</v>
      </c>
      <c r="Q49" s="298"/>
      <c r="R49" s="94"/>
      <c r="S49" s="94"/>
      <c r="T49" s="299"/>
      <c r="U49" s="300"/>
      <c r="V49" s="40"/>
      <c r="W49" t="s">
        <v>457</v>
      </c>
    </row>
    <row r="50" spans="1:30" ht="18.75" x14ac:dyDescent="0.3">
      <c r="A50" s="81">
        <v>0.47361999999999999</v>
      </c>
      <c r="B50" s="92"/>
      <c r="C50" s="297">
        <v>0.28101999999999999</v>
      </c>
      <c r="D50" s="297"/>
      <c r="E50" s="81"/>
      <c r="F50" s="81"/>
      <c r="G50" s="81"/>
      <c r="H50" s="81"/>
      <c r="I50" s="290"/>
      <c r="J50" s="292"/>
      <c r="K50" s="80" t="s">
        <v>328</v>
      </c>
      <c r="L50" s="81">
        <v>0.47361999999999999</v>
      </c>
      <c r="M50" s="92"/>
      <c r="N50" s="297">
        <v>0.28101999999999999</v>
      </c>
      <c r="O50" s="297"/>
      <c r="P50" s="81"/>
      <c r="Q50" s="81"/>
      <c r="R50" s="81"/>
      <c r="S50" s="81"/>
      <c r="T50" s="290"/>
      <c r="U50" s="292"/>
      <c r="W50" t="s">
        <v>458</v>
      </c>
      <c r="AC50" s="306" t="s">
        <v>251</v>
      </c>
      <c r="AD50" s="306"/>
    </row>
    <row r="51" spans="1:30" x14ac:dyDescent="0.25">
      <c r="A51" s="88"/>
      <c r="B51" s="96"/>
      <c r="C51" s="95"/>
      <c r="D51" s="95"/>
      <c r="E51" s="88"/>
      <c r="F51" s="88"/>
      <c r="G51" s="88">
        <v>0.71950000000000003</v>
      </c>
      <c r="H51" s="88"/>
      <c r="I51" s="293"/>
      <c r="J51" s="294"/>
      <c r="K51" s="87" t="s">
        <v>329</v>
      </c>
      <c r="L51" s="88"/>
      <c r="M51" s="96"/>
      <c r="N51" s="95"/>
      <c r="O51" s="95"/>
      <c r="P51" s="88"/>
      <c r="Q51" s="88"/>
      <c r="R51" s="88">
        <v>0.66930232558139535</v>
      </c>
      <c r="S51" s="88"/>
      <c r="T51" s="293"/>
      <c r="U51" s="294"/>
      <c r="W51" t="s">
        <v>459</v>
      </c>
    </row>
    <row r="52" spans="1:30" ht="15.75" thickBot="1" x14ac:dyDescent="0.3">
      <c r="A52" s="85"/>
      <c r="B52" s="97"/>
      <c r="C52" s="90"/>
      <c r="D52" s="90"/>
      <c r="E52" s="85"/>
      <c r="F52" s="85"/>
      <c r="G52" s="85">
        <v>0.20451</v>
      </c>
      <c r="H52" s="85"/>
      <c r="I52" s="295">
        <v>9.1600000000000001E-2</v>
      </c>
      <c r="J52" s="296"/>
      <c r="K52" s="84" t="s">
        <v>331</v>
      </c>
      <c r="L52" s="85"/>
      <c r="M52" s="97"/>
      <c r="N52" s="90"/>
      <c r="O52" s="90"/>
      <c r="P52" s="85"/>
      <c r="Q52" s="85"/>
      <c r="R52" s="85">
        <v>0.23780232558139536</v>
      </c>
      <c r="S52" s="85"/>
      <c r="T52" s="295">
        <v>9.1600000000000001E-2</v>
      </c>
      <c r="U52" s="296"/>
      <c r="W52" t="s">
        <v>460</v>
      </c>
      <c r="AC52" t="s">
        <v>242</v>
      </c>
    </row>
    <row r="53" spans="1:30" x14ac:dyDescent="0.25">
      <c r="A53" s="81">
        <v>0.17321</v>
      </c>
      <c r="B53" s="92"/>
      <c r="C53" s="297">
        <v>9.2929999999999999E-2</v>
      </c>
      <c r="D53" s="297"/>
      <c r="E53" s="81"/>
      <c r="F53" s="81"/>
      <c r="G53" s="81"/>
      <c r="H53" s="81"/>
      <c r="I53" s="290"/>
      <c r="J53" s="292"/>
      <c r="K53" s="80" t="s">
        <v>333</v>
      </c>
      <c r="L53" s="81">
        <v>0.17321</v>
      </c>
      <c r="M53" s="92"/>
      <c r="N53" s="297">
        <f>9.293%*0.8</f>
        <v>7.4344000000000007E-2</v>
      </c>
      <c r="O53" s="297"/>
      <c r="P53" s="81"/>
      <c r="Q53" s="81"/>
      <c r="R53" s="81"/>
      <c r="S53" s="81"/>
      <c r="T53" s="290"/>
      <c r="U53" s="292"/>
      <c r="W53" t="s">
        <v>461</v>
      </c>
      <c r="AC53" t="s">
        <v>245</v>
      </c>
    </row>
    <row r="54" spans="1:30" x14ac:dyDescent="0.25">
      <c r="A54" s="88"/>
      <c r="B54" s="96"/>
      <c r="C54" s="95"/>
      <c r="D54" s="95"/>
      <c r="E54" s="88"/>
      <c r="F54" s="88"/>
      <c r="G54" s="88">
        <v>1</v>
      </c>
      <c r="H54" s="88"/>
      <c r="I54" s="293"/>
      <c r="J54" s="294"/>
      <c r="K54" s="87" t="s">
        <v>335</v>
      </c>
      <c r="L54" s="88"/>
      <c r="M54" s="96"/>
      <c r="N54" s="95"/>
      <c r="O54" s="95"/>
      <c r="P54" s="88"/>
      <c r="Q54" s="88"/>
      <c r="R54" s="88">
        <v>1</v>
      </c>
      <c r="S54" s="88"/>
      <c r="T54" s="293"/>
      <c r="U54" s="294"/>
      <c r="W54" t="s">
        <v>462</v>
      </c>
      <c r="AC54" t="s">
        <v>247</v>
      </c>
    </row>
    <row r="55" spans="1:30" ht="15.75" thickBot="1" x14ac:dyDescent="0.3">
      <c r="A55" s="85"/>
      <c r="B55" s="97"/>
      <c r="C55" s="90"/>
      <c r="D55" s="90"/>
      <c r="E55" s="85"/>
      <c r="F55" s="85"/>
      <c r="G55" s="85">
        <v>0.26967000000000002</v>
      </c>
      <c r="H55" s="85"/>
      <c r="I55" s="295">
        <v>0.1535</v>
      </c>
      <c r="J55" s="296"/>
      <c r="K55" s="84" t="s">
        <v>337</v>
      </c>
      <c r="L55" s="85"/>
      <c r="M55" s="97"/>
      <c r="N55" s="90"/>
      <c r="O55" s="90"/>
      <c r="P55" s="85"/>
      <c r="Q55" s="85"/>
      <c r="R55" s="85">
        <v>0.31356976744186049</v>
      </c>
      <c r="S55" s="85"/>
      <c r="T55" s="295">
        <v>0.1535</v>
      </c>
      <c r="U55" s="296"/>
      <c r="V55" s="40"/>
      <c r="W55" t="s">
        <v>463</v>
      </c>
    </row>
    <row r="56" spans="1:30" ht="15.75" thickBot="1" x14ac:dyDescent="0.3">
      <c r="A56" s="94"/>
      <c r="B56" s="94"/>
      <c r="C56" s="94"/>
      <c r="D56" s="94"/>
      <c r="E56" s="298">
        <v>0.43773000000000001</v>
      </c>
      <c r="F56" s="298"/>
      <c r="G56" s="94"/>
      <c r="H56" s="94"/>
      <c r="I56" s="299"/>
      <c r="J56" s="300"/>
      <c r="K56" s="93" t="s">
        <v>368</v>
      </c>
      <c r="L56" s="94"/>
      <c r="M56" s="94"/>
      <c r="N56" s="94"/>
      <c r="O56" s="94"/>
      <c r="P56" s="298">
        <f>43.773%*0.8</f>
        <v>0.35018400000000005</v>
      </c>
      <c r="Q56" s="298"/>
      <c r="R56" s="94"/>
      <c r="S56" s="94"/>
      <c r="T56" s="299"/>
      <c r="U56" s="300"/>
      <c r="V56" s="40"/>
      <c r="W56" t="s">
        <v>464</v>
      </c>
      <c r="AC56" t="s">
        <v>465</v>
      </c>
    </row>
    <row r="57" spans="1:30" x14ac:dyDescent="0.25">
      <c r="A57" s="81">
        <v>0.28996</v>
      </c>
      <c r="B57" s="92"/>
      <c r="C57" s="297">
        <v>0.25344</v>
      </c>
      <c r="D57" s="297"/>
      <c r="E57" s="81"/>
      <c r="F57" s="81"/>
      <c r="G57" s="81"/>
      <c r="H57" s="81"/>
      <c r="I57" s="290"/>
      <c r="J57" s="292"/>
      <c r="K57" s="80" t="s">
        <v>340</v>
      </c>
      <c r="L57" s="81">
        <v>0.28996</v>
      </c>
      <c r="M57" s="92"/>
      <c r="N57" s="297">
        <v>0.25344</v>
      </c>
      <c r="O57" s="297"/>
      <c r="P57" s="81"/>
      <c r="Q57" s="81"/>
      <c r="R57" s="81"/>
      <c r="S57" s="81"/>
      <c r="T57" s="290"/>
      <c r="U57" s="292"/>
      <c r="V57" s="40"/>
      <c r="W57" t="s">
        <v>466</v>
      </c>
    </row>
    <row r="58" spans="1:30" x14ac:dyDescent="0.25">
      <c r="A58" s="88"/>
      <c r="B58" s="88"/>
      <c r="C58" s="88"/>
      <c r="D58" s="88"/>
      <c r="E58" s="301">
        <v>0.65949000000000002</v>
      </c>
      <c r="F58" s="301"/>
      <c r="G58" s="88"/>
      <c r="H58" s="88"/>
      <c r="I58" s="293"/>
      <c r="J58" s="294"/>
      <c r="K58" s="87" t="s">
        <v>342</v>
      </c>
      <c r="L58" s="88"/>
      <c r="M58" s="88"/>
      <c r="N58" s="88"/>
      <c r="O58" s="88"/>
      <c r="P58" s="301">
        <f>65.949%*1.1</f>
        <v>0.72543900000000006</v>
      </c>
      <c r="Q58" s="301"/>
      <c r="R58" s="88"/>
      <c r="S58" s="88"/>
      <c r="T58" s="293"/>
      <c r="U58" s="294"/>
      <c r="V58" s="40"/>
      <c r="W58" t="s">
        <v>467</v>
      </c>
      <c r="AC58" t="s">
        <v>372</v>
      </c>
    </row>
    <row r="59" spans="1:30" x14ac:dyDescent="0.25">
      <c r="A59" s="88"/>
      <c r="B59" s="88"/>
      <c r="C59" s="88"/>
      <c r="D59" s="88"/>
      <c r="E59" s="95"/>
      <c r="F59" s="95"/>
      <c r="G59" s="88">
        <v>0.56411</v>
      </c>
      <c r="H59" s="88"/>
      <c r="I59" s="293"/>
      <c r="J59" s="294"/>
      <c r="K59" s="87" t="s">
        <v>344</v>
      </c>
      <c r="L59" s="88"/>
      <c r="M59" s="88"/>
      <c r="N59" s="88"/>
      <c r="O59" s="88"/>
      <c r="P59" s="95"/>
      <c r="Q59" s="95"/>
      <c r="R59" s="88">
        <v>0.70185779069767451</v>
      </c>
      <c r="S59" s="88"/>
      <c r="T59" s="293"/>
      <c r="U59" s="294"/>
      <c r="V59" s="40"/>
      <c r="W59" t="s">
        <v>468</v>
      </c>
    </row>
    <row r="60" spans="1:30" ht="15.75" thickBot="1" x14ac:dyDescent="0.3">
      <c r="A60" s="85"/>
      <c r="B60" s="85"/>
      <c r="C60" s="85"/>
      <c r="D60" s="85"/>
      <c r="E60" s="90"/>
      <c r="F60" s="90"/>
      <c r="G60" s="85">
        <v>0.14326</v>
      </c>
      <c r="H60" s="85"/>
      <c r="I60" s="295">
        <v>0.17191999999999999</v>
      </c>
      <c r="J60" s="296"/>
      <c r="K60" s="84" t="s">
        <v>346</v>
      </c>
      <c r="L60" s="85"/>
      <c r="M60" s="85"/>
      <c r="N60" s="85"/>
      <c r="O60" s="85"/>
      <c r="P60" s="90"/>
      <c r="Q60" s="90"/>
      <c r="R60" s="85">
        <v>0.2082267441860465</v>
      </c>
      <c r="S60" s="85"/>
      <c r="T60" s="295">
        <f>17.192%</f>
        <v>0.17191999999999999</v>
      </c>
      <c r="U60" s="296"/>
      <c r="V60" s="40"/>
      <c r="W60" t="s">
        <v>469</v>
      </c>
      <c r="AC60" t="s">
        <v>470</v>
      </c>
    </row>
    <row r="61" spans="1:30" x14ac:dyDescent="0.25">
      <c r="A61" s="81"/>
      <c r="B61" s="81"/>
      <c r="C61" s="81"/>
      <c r="D61" s="81"/>
      <c r="E61" s="98"/>
      <c r="F61" s="98"/>
      <c r="G61" s="81">
        <v>0.19162000000000001</v>
      </c>
      <c r="H61" s="81"/>
      <c r="I61" s="290"/>
      <c r="J61" s="292"/>
      <c r="K61" s="80" t="s">
        <v>348</v>
      </c>
      <c r="L61" s="81"/>
      <c r="M61" s="81"/>
      <c r="N61" s="81"/>
      <c r="O61" s="81"/>
      <c r="P61" s="98"/>
      <c r="Q61" s="98"/>
      <c r="R61" s="81">
        <v>0.22281395348837213</v>
      </c>
      <c r="S61" s="81"/>
      <c r="T61" s="290"/>
      <c r="U61" s="292"/>
      <c r="V61" s="40"/>
      <c r="W61" t="s">
        <v>471</v>
      </c>
      <c r="AC61" t="s">
        <v>472</v>
      </c>
    </row>
    <row r="62" spans="1:30" ht="15.75" thickBot="1" x14ac:dyDescent="0.3">
      <c r="A62" s="88"/>
      <c r="B62" s="88"/>
      <c r="C62" s="88"/>
      <c r="D62" s="88"/>
      <c r="E62" s="95"/>
      <c r="F62" s="95"/>
      <c r="G62" s="88">
        <v>0.49523</v>
      </c>
      <c r="H62" s="88"/>
      <c r="I62" s="293"/>
      <c r="J62" s="294"/>
      <c r="K62" s="87" t="s">
        <v>349</v>
      </c>
      <c r="L62" s="88"/>
      <c r="M62" s="88"/>
      <c r="N62" s="88"/>
      <c r="O62" s="88"/>
      <c r="P62" s="95"/>
      <c r="Q62" s="95"/>
      <c r="R62" s="88">
        <v>0.57584883720930236</v>
      </c>
      <c r="S62" s="88"/>
      <c r="T62" s="293"/>
      <c r="U62" s="294"/>
      <c r="V62" s="40"/>
      <c r="W62" t="s">
        <v>473</v>
      </c>
      <c r="AC62" t="s">
        <v>474</v>
      </c>
    </row>
    <row r="63" spans="1:30" x14ac:dyDescent="0.25">
      <c r="A63" s="88"/>
      <c r="B63" s="88"/>
      <c r="C63" s="88"/>
      <c r="D63" s="88"/>
      <c r="E63" s="95"/>
      <c r="F63" s="95"/>
      <c r="G63" s="88"/>
      <c r="H63" s="88"/>
      <c r="I63" s="108"/>
      <c r="J63" s="109"/>
      <c r="K63" s="87" t="s">
        <v>369</v>
      </c>
      <c r="L63" s="88"/>
      <c r="M63" s="88"/>
      <c r="N63" s="88"/>
      <c r="O63" s="88"/>
      <c r="P63" s="290">
        <v>0.15</v>
      </c>
      <c r="Q63" s="291"/>
      <c r="R63" s="88"/>
      <c r="S63" s="88"/>
      <c r="T63" s="108"/>
      <c r="U63" s="109"/>
      <c r="V63" s="40"/>
      <c r="W63" t="s">
        <v>475</v>
      </c>
      <c r="AC63" t="s">
        <v>476</v>
      </c>
    </row>
    <row r="64" spans="1:30" x14ac:dyDescent="0.25">
      <c r="A64" s="88"/>
      <c r="B64" s="88"/>
      <c r="C64" s="88"/>
      <c r="D64" s="88"/>
      <c r="E64" s="95"/>
      <c r="F64" s="95"/>
      <c r="G64" s="88">
        <v>0.47439999999999999</v>
      </c>
      <c r="H64" s="88"/>
      <c r="I64" s="293">
        <v>0.60697000000000001</v>
      </c>
      <c r="J64" s="294"/>
      <c r="K64" s="87" t="s">
        <v>350</v>
      </c>
      <c r="L64" s="88"/>
      <c r="M64" s="88"/>
      <c r="N64" s="88"/>
      <c r="O64" s="88"/>
      <c r="P64" s="95"/>
      <c r="Q64" s="95"/>
      <c r="R64" s="88">
        <v>0.55162790697674413</v>
      </c>
      <c r="S64" s="88"/>
      <c r="T64" s="293">
        <v>0.60697000000000001</v>
      </c>
      <c r="U64" s="294"/>
      <c r="V64" s="40"/>
      <c r="W64" t="s">
        <v>477</v>
      </c>
      <c r="AC64" t="s">
        <v>478</v>
      </c>
    </row>
    <row r="65" spans="1:29" ht="15.75" thickBot="1" x14ac:dyDescent="0.3">
      <c r="A65" s="85"/>
      <c r="B65" s="85"/>
      <c r="C65" s="85"/>
      <c r="D65" s="85"/>
      <c r="E65" s="90"/>
      <c r="F65" s="90"/>
      <c r="G65" s="85">
        <v>0.16774</v>
      </c>
      <c r="H65" s="85"/>
      <c r="I65" s="295">
        <v>0.24779999999999999</v>
      </c>
      <c r="J65" s="296"/>
      <c r="K65" s="84" t="s">
        <v>351</v>
      </c>
      <c r="L65" s="85"/>
      <c r="M65" s="85"/>
      <c r="N65" s="85"/>
      <c r="O65" s="85"/>
      <c r="P65" s="90"/>
      <c r="Q65" s="90"/>
      <c r="R65" s="85">
        <v>0.19504651162790698</v>
      </c>
      <c r="S65" s="85"/>
      <c r="T65" s="295">
        <v>0.24779999999999999</v>
      </c>
      <c r="U65" s="296"/>
      <c r="V65" s="40"/>
      <c r="W65" t="s">
        <v>479</v>
      </c>
      <c r="AC65" t="s">
        <v>480</v>
      </c>
    </row>
    <row r="66" spans="1:29" x14ac:dyDescent="0.25">
      <c r="A66" s="81"/>
      <c r="B66" s="81"/>
      <c r="C66" s="81"/>
      <c r="D66" s="81"/>
      <c r="E66" s="290">
        <v>0.45617999999999997</v>
      </c>
      <c r="F66" s="291"/>
      <c r="G66" s="81"/>
      <c r="H66" s="81"/>
      <c r="I66" s="290"/>
      <c r="J66" s="292"/>
      <c r="K66" s="80" t="s">
        <v>352</v>
      </c>
      <c r="L66" s="81"/>
      <c r="M66" s="81"/>
      <c r="N66" s="81"/>
      <c r="O66" s="81"/>
      <c r="P66" s="290">
        <v>0.45617999999999997</v>
      </c>
      <c r="Q66" s="291"/>
      <c r="R66" s="81"/>
      <c r="S66" s="81"/>
      <c r="T66" s="290"/>
      <c r="U66" s="292"/>
      <c r="V66" s="40"/>
      <c r="W66" t="s">
        <v>481</v>
      </c>
      <c r="AC66" t="s">
        <v>482</v>
      </c>
    </row>
    <row r="67" spans="1:29" x14ac:dyDescent="0.25">
      <c r="A67" s="88"/>
      <c r="B67" s="88"/>
      <c r="C67" s="88"/>
      <c r="D67" s="88"/>
      <c r="E67" s="88"/>
      <c r="F67" s="88"/>
      <c r="G67" s="88">
        <v>0.28649999999999998</v>
      </c>
      <c r="H67" s="88"/>
      <c r="I67" s="293">
        <v>0.80176999999999998</v>
      </c>
      <c r="J67" s="294"/>
      <c r="K67" s="87" t="s">
        <v>353</v>
      </c>
      <c r="L67" s="88"/>
      <c r="M67" s="88"/>
      <c r="N67" s="88"/>
      <c r="O67" s="88"/>
      <c r="P67" s="88"/>
      <c r="Q67" s="88"/>
      <c r="R67" s="88">
        <v>0.33313953488372089</v>
      </c>
      <c r="S67" s="88"/>
      <c r="T67" s="293">
        <v>0.50800000000000001</v>
      </c>
      <c r="U67" s="294"/>
      <c r="V67" s="40"/>
      <c r="AC67" t="s">
        <v>483</v>
      </c>
    </row>
    <row r="68" spans="1:29" x14ac:dyDescent="0.25">
      <c r="A68" s="88"/>
      <c r="B68" s="88"/>
      <c r="C68" s="88"/>
      <c r="D68" s="88"/>
      <c r="E68" s="88"/>
      <c r="F68" s="88"/>
      <c r="G68" s="88">
        <v>0.20932000000000001</v>
      </c>
      <c r="H68" s="88"/>
      <c r="I68" s="293">
        <v>0.50775999999999999</v>
      </c>
      <c r="J68" s="294"/>
      <c r="K68" s="87" t="s">
        <v>355</v>
      </c>
      <c r="L68" s="88"/>
      <c r="M68" s="88"/>
      <c r="N68" s="88"/>
      <c r="O68" s="88"/>
      <c r="P68" s="88"/>
      <c r="Q68" s="88"/>
      <c r="R68" s="88">
        <v>0.24339534883720934</v>
      </c>
      <c r="S68" s="88"/>
      <c r="T68" s="293">
        <v>0.50775999999999999</v>
      </c>
      <c r="U68" s="294"/>
      <c r="V68" s="40"/>
      <c r="AC68" t="s">
        <v>484</v>
      </c>
    </row>
    <row r="69" spans="1:29" ht="18.75" x14ac:dyDescent="0.3">
      <c r="A69" s="88"/>
      <c r="B69" s="88"/>
      <c r="C69" s="88"/>
      <c r="D69" s="88"/>
      <c r="E69" s="88"/>
      <c r="F69" s="88"/>
      <c r="G69" s="88">
        <v>0.14599000000000001</v>
      </c>
      <c r="H69" s="88"/>
      <c r="I69" s="293"/>
      <c r="J69" s="294"/>
      <c r="K69" s="87" t="s">
        <v>356</v>
      </c>
      <c r="L69" s="88"/>
      <c r="M69" s="88"/>
      <c r="N69" s="88"/>
      <c r="O69" s="88"/>
      <c r="P69" s="88"/>
      <c r="Q69" s="88"/>
      <c r="R69" s="88">
        <v>0.16975581395348838</v>
      </c>
      <c r="S69" s="88"/>
      <c r="T69" s="293"/>
      <c r="U69" s="294"/>
      <c r="V69" s="40"/>
      <c r="W69" s="306" t="s">
        <v>236</v>
      </c>
      <c r="X69" s="306"/>
      <c r="AC69" t="s">
        <v>485</v>
      </c>
    </row>
    <row r="70" spans="1:29" ht="15.75" thickBot="1" x14ac:dyDescent="0.3">
      <c r="A70" s="85"/>
      <c r="B70" s="85"/>
      <c r="C70" s="85"/>
      <c r="D70" s="85"/>
      <c r="E70" s="85"/>
      <c r="F70" s="85"/>
      <c r="G70" s="85">
        <v>0.12414</v>
      </c>
      <c r="H70" s="85"/>
      <c r="I70" s="295">
        <v>0.61785000000000001</v>
      </c>
      <c r="J70" s="296"/>
      <c r="K70" s="84" t="s">
        <v>357</v>
      </c>
      <c r="L70" s="85"/>
      <c r="M70" s="85"/>
      <c r="N70" s="85"/>
      <c r="O70" s="85"/>
      <c r="P70" s="85"/>
      <c r="Q70" s="85"/>
      <c r="R70" s="85">
        <v>0.14434883720930233</v>
      </c>
      <c r="S70" s="85"/>
      <c r="T70" s="295">
        <v>0.61785000000000001</v>
      </c>
      <c r="U70" s="296"/>
      <c r="V70" s="40"/>
      <c r="AC70" t="s">
        <v>486</v>
      </c>
    </row>
    <row r="71" spans="1:29" ht="15.75" thickBot="1" x14ac:dyDescent="0.3">
      <c r="A71" s="81"/>
      <c r="B71" s="81"/>
      <c r="C71" s="81"/>
      <c r="D71" s="81"/>
      <c r="E71" s="81"/>
      <c r="F71" s="81"/>
      <c r="G71" s="81">
        <v>0.23763000000000001</v>
      </c>
      <c r="H71" s="81"/>
      <c r="I71" s="290">
        <v>1</v>
      </c>
      <c r="J71" s="292"/>
      <c r="K71" s="80" t="s">
        <v>358</v>
      </c>
      <c r="L71" s="81"/>
      <c r="M71" s="81"/>
      <c r="N71" s="81"/>
      <c r="O71" s="81"/>
      <c r="P71" s="81"/>
      <c r="Q71" s="81"/>
      <c r="R71" s="81">
        <v>0.27631395348837212</v>
      </c>
      <c r="S71" s="81"/>
      <c r="T71" s="290">
        <v>1</v>
      </c>
      <c r="U71" s="292"/>
      <c r="V71" s="40"/>
      <c r="W71" t="s">
        <v>282</v>
      </c>
      <c r="AC71" t="s">
        <v>487</v>
      </c>
    </row>
    <row r="72" spans="1:29" x14ac:dyDescent="0.25">
      <c r="A72" s="110"/>
      <c r="B72" s="110"/>
      <c r="C72" s="110"/>
      <c r="D72" s="110"/>
      <c r="E72" s="110"/>
      <c r="F72" s="110"/>
      <c r="G72" s="110"/>
      <c r="H72" s="110"/>
      <c r="I72" s="111"/>
      <c r="J72" s="112"/>
      <c r="K72" s="113" t="s">
        <v>370</v>
      </c>
      <c r="L72" s="110"/>
      <c r="M72" s="110"/>
      <c r="N72" s="110"/>
      <c r="O72" s="110"/>
      <c r="P72" s="290">
        <v>0.25</v>
      </c>
      <c r="Q72" s="291"/>
      <c r="R72" s="110"/>
      <c r="S72" s="110"/>
      <c r="T72" s="111"/>
      <c r="U72" s="112"/>
      <c r="V72" s="40"/>
      <c r="W72" t="s">
        <v>285</v>
      </c>
      <c r="AC72" t="s">
        <v>488</v>
      </c>
    </row>
    <row r="73" spans="1:29" x14ac:dyDescent="0.25">
      <c r="A73" s="88"/>
      <c r="B73" s="88"/>
      <c r="C73" s="88"/>
      <c r="D73" s="88"/>
      <c r="E73" s="88"/>
      <c r="F73" s="88"/>
      <c r="G73" s="88">
        <v>0.17316000000000001</v>
      </c>
      <c r="H73" s="88"/>
      <c r="I73" s="293"/>
      <c r="J73" s="294"/>
      <c r="K73" s="87" t="s">
        <v>359</v>
      </c>
      <c r="L73" s="88"/>
      <c r="M73" s="88"/>
      <c r="N73" s="88"/>
      <c r="O73" s="88"/>
      <c r="P73" s="88"/>
      <c r="Q73" s="88"/>
      <c r="R73" s="88">
        <v>0.20134883720930236</v>
      </c>
      <c r="S73" s="88"/>
      <c r="T73" s="293"/>
      <c r="U73" s="294"/>
      <c r="V73" s="40"/>
      <c r="W73" t="s">
        <v>288</v>
      </c>
      <c r="AC73" t="s">
        <v>489</v>
      </c>
    </row>
    <row r="74" spans="1:29" ht="15.75" thickBot="1" x14ac:dyDescent="0.3">
      <c r="A74" s="85"/>
      <c r="B74" s="85"/>
      <c r="C74" s="85"/>
      <c r="D74" s="85"/>
      <c r="E74" s="85"/>
      <c r="F74" s="85"/>
      <c r="G74" s="85">
        <v>0.12317</v>
      </c>
      <c r="H74" s="85"/>
      <c r="I74" s="295">
        <v>0.33643600000000001</v>
      </c>
      <c r="J74" s="296"/>
      <c r="K74" s="84" t="s">
        <v>360</v>
      </c>
      <c r="L74" s="85"/>
      <c r="M74" s="85"/>
      <c r="N74" s="85"/>
      <c r="O74" s="85"/>
      <c r="P74" s="85"/>
      <c r="Q74" s="85"/>
      <c r="R74" s="85">
        <v>0.14322093023255814</v>
      </c>
      <c r="S74" s="85"/>
      <c r="T74" s="295">
        <v>0.33643600000000001</v>
      </c>
      <c r="U74" s="296"/>
      <c r="V74" s="40"/>
      <c r="AC74" t="s">
        <v>490</v>
      </c>
    </row>
    <row r="75" spans="1:29" x14ac:dyDescent="0.25">
      <c r="A75" s="81"/>
      <c r="B75" s="81"/>
      <c r="C75" s="81"/>
      <c r="D75" s="81"/>
      <c r="E75" s="81"/>
      <c r="F75" s="81"/>
      <c r="G75" s="81">
        <v>0.20199</v>
      </c>
      <c r="H75" s="81"/>
      <c r="I75" s="290">
        <v>0.85</v>
      </c>
      <c r="J75" s="292"/>
      <c r="K75" s="80" t="s">
        <v>361</v>
      </c>
      <c r="L75" s="81"/>
      <c r="M75" s="81"/>
      <c r="N75" s="81"/>
      <c r="O75" s="81"/>
      <c r="P75" s="81"/>
      <c r="Q75" s="81"/>
      <c r="R75" s="81">
        <v>0.23487209302325585</v>
      </c>
      <c r="S75" s="81"/>
      <c r="T75" s="290">
        <v>0.85</v>
      </c>
      <c r="U75" s="292"/>
      <c r="V75" s="40"/>
      <c r="W75" t="s">
        <v>293</v>
      </c>
      <c r="AC75" t="s">
        <v>491</v>
      </c>
    </row>
    <row r="76" spans="1:29" x14ac:dyDescent="0.25">
      <c r="A76" s="88"/>
      <c r="B76" s="88"/>
      <c r="C76" s="88"/>
      <c r="D76" s="88"/>
      <c r="E76" s="88"/>
      <c r="F76" s="88"/>
      <c r="G76" s="88">
        <v>0.17718999999999999</v>
      </c>
      <c r="H76" s="88"/>
      <c r="I76" s="293"/>
      <c r="J76" s="294"/>
      <c r="K76" s="87" t="s">
        <v>362</v>
      </c>
      <c r="L76" s="88"/>
      <c r="M76" s="88"/>
      <c r="N76" s="88"/>
      <c r="O76" s="88"/>
      <c r="P76" s="88"/>
      <c r="Q76" s="88"/>
      <c r="R76" s="88">
        <v>0.20603488372093021</v>
      </c>
      <c r="S76" s="88"/>
      <c r="T76" s="293"/>
      <c r="U76" s="294"/>
      <c r="V76" s="40"/>
      <c r="W76" t="s">
        <v>296</v>
      </c>
      <c r="AC76" t="s">
        <v>492</v>
      </c>
    </row>
    <row r="77" spans="1:29" ht="15.75" thickBot="1" x14ac:dyDescent="0.3">
      <c r="A77" s="100"/>
      <c r="B77" s="100"/>
      <c r="C77" s="100"/>
      <c r="D77" s="100"/>
      <c r="E77" s="100"/>
      <c r="F77" s="100"/>
      <c r="G77" s="100">
        <v>0.1047</v>
      </c>
      <c r="H77" s="100"/>
      <c r="I77" s="288">
        <v>0.28591</v>
      </c>
      <c r="J77" s="289"/>
      <c r="K77" s="99" t="s">
        <v>363</v>
      </c>
      <c r="L77" s="100"/>
      <c r="M77" s="100"/>
      <c r="N77" s="100"/>
      <c r="O77" s="100"/>
      <c r="P77" s="100"/>
      <c r="Q77" s="100"/>
      <c r="R77" s="100">
        <v>0.12174418604651163</v>
      </c>
      <c r="S77" s="100"/>
      <c r="T77" s="288">
        <v>0.28591</v>
      </c>
      <c r="U77" s="289"/>
      <c r="V77" s="40"/>
      <c r="AC77" t="s">
        <v>493</v>
      </c>
    </row>
    <row r="78" spans="1:29" x14ac:dyDescent="0.25">
      <c r="L78" s="40"/>
      <c r="M78" s="40"/>
      <c r="N78" s="40"/>
      <c r="O78" s="40"/>
      <c r="W78" t="s">
        <v>373</v>
      </c>
    </row>
    <row r="80" spans="1:29" x14ac:dyDescent="0.25">
      <c r="W80" t="s">
        <v>494</v>
      </c>
      <c r="AC80" t="s">
        <v>495</v>
      </c>
    </row>
    <row r="81" spans="23:27" x14ac:dyDescent="0.25">
      <c r="W81" t="s">
        <v>496</v>
      </c>
    </row>
    <row r="82" spans="23:27" x14ac:dyDescent="0.25">
      <c r="W82" t="s">
        <v>497</v>
      </c>
    </row>
    <row r="83" spans="23:27" x14ac:dyDescent="0.25">
      <c r="W83" t="s">
        <v>498</v>
      </c>
    </row>
    <row r="84" spans="23:27" x14ac:dyDescent="0.25">
      <c r="W84" t="s">
        <v>499</v>
      </c>
    </row>
    <row r="85" spans="23:27" x14ac:dyDescent="0.25">
      <c r="W85" t="s">
        <v>500</v>
      </c>
    </row>
    <row r="86" spans="23:27" x14ac:dyDescent="0.25">
      <c r="W86" t="s">
        <v>501</v>
      </c>
    </row>
    <row r="87" spans="23:27" x14ac:dyDescent="0.25">
      <c r="W87" t="s">
        <v>502</v>
      </c>
    </row>
    <row r="88" spans="23:27" x14ac:dyDescent="0.25">
      <c r="W88" t="s">
        <v>503</v>
      </c>
    </row>
    <row r="89" spans="23:27" x14ac:dyDescent="0.25">
      <c r="W89" t="s">
        <v>504</v>
      </c>
      <c r="AA89" s="75"/>
    </row>
    <row r="90" spans="23:27" x14ac:dyDescent="0.25">
      <c r="W90" t="s">
        <v>505</v>
      </c>
    </row>
    <row r="91" spans="23:27" x14ac:dyDescent="0.25">
      <c r="W91" t="s">
        <v>506</v>
      </c>
    </row>
    <row r="92" spans="23:27" x14ac:dyDescent="0.25">
      <c r="W92" t="s">
        <v>507</v>
      </c>
    </row>
    <row r="93" spans="23:27" x14ac:dyDescent="0.25">
      <c r="W93" t="s">
        <v>508</v>
      </c>
    </row>
    <row r="94" spans="23:27" x14ac:dyDescent="0.25">
      <c r="W94" t="s">
        <v>509</v>
      </c>
    </row>
    <row r="95" spans="23:27" x14ac:dyDescent="0.25">
      <c r="W95" t="s">
        <v>510</v>
      </c>
    </row>
  </sheetData>
  <mergeCells count="210">
    <mergeCell ref="N1:O1"/>
    <mergeCell ref="P1:Q1"/>
    <mergeCell ref="R1:S1"/>
    <mergeCell ref="T1:U1"/>
    <mergeCell ref="A2:B2"/>
    <mergeCell ref="C2:D2"/>
    <mergeCell ref="E2:F2"/>
    <mergeCell ref="G2:H2"/>
    <mergeCell ref="I2:J2"/>
    <mergeCell ref="L2:M2"/>
    <mergeCell ref="A1:B1"/>
    <mergeCell ref="C1:D1"/>
    <mergeCell ref="E1:F1"/>
    <mergeCell ref="G1:H1"/>
    <mergeCell ref="I1:J1"/>
    <mergeCell ref="L1:M1"/>
    <mergeCell ref="N2:O2"/>
    <mergeCell ref="P2:Q2"/>
    <mergeCell ref="R2:S2"/>
    <mergeCell ref="T2:U2"/>
    <mergeCell ref="C3:D3"/>
    <mergeCell ref="E3:F3"/>
    <mergeCell ref="I3:J3"/>
    <mergeCell ref="N3:O3"/>
    <mergeCell ref="P3:Q3"/>
    <mergeCell ref="T3:U3"/>
    <mergeCell ref="C6:D6"/>
    <mergeCell ref="N6:O6"/>
    <mergeCell ref="E7:F7"/>
    <mergeCell ref="P7:Q7"/>
    <mergeCell ref="C8:D8"/>
    <mergeCell ref="N8:O8"/>
    <mergeCell ref="A4:B4"/>
    <mergeCell ref="C4:D4"/>
    <mergeCell ref="L4:M4"/>
    <mergeCell ref="N4:O4"/>
    <mergeCell ref="A5:B5"/>
    <mergeCell ref="C5:D5"/>
    <mergeCell ref="L5:M5"/>
    <mergeCell ref="N5:O5"/>
    <mergeCell ref="A13:B13"/>
    <mergeCell ref="C13:D13"/>
    <mergeCell ref="L13:M13"/>
    <mergeCell ref="N13:O13"/>
    <mergeCell ref="E14:F14"/>
    <mergeCell ref="P14:Q14"/>
    <mergeCell ref="E9:F9"/>
    <mergeCell ref="P9:Q9"/>
    <mergeCell ref="C10:D10"/>
    <mergeCell ref="N10:O10"/>
    <mergeCell ref="E11:F11"/>
    <mergeCell ref="P11:Q11"/>
    <mergeCell ref="E19:F19"/>
    <mergeCell ref="P19:Q19"/>
    <mergeCell ref="C21:D21"/>
    <mergeCell ref="N21:O21"/>
    <mergeCell ref="E22:F22"/>
    <mergeCell ref="P22:Q22"/>
    <mergeCell ref="C15:D15"/>
    <mergeCell ref="N15:O15"/>
    <mergeCell ref="E16:F16"/>
    <mergeCell ref="P16:Q16"/>
    <mergeCell ref="C18:D18"/>
    <mergeCell ref="N18:O18"/>
    <mergeCell ref="T27:U27"/>
    <mergeCell ref="E28:F28"/>
    <mergeCell ref="I28:J28"/>
    <mergeCell ref="P28:Q28"/>
    <mergeCell ref="T28:U28"/>
    <mergeCell ref="T29:U29"/>
    <mergeCell ref="C24:D24"/>
    <mergeCell ref="N24:O24"/>
    <mergeCell ref="E25:F25"/>
    <mergeCell ref="P25:Q25"/>
    <mergeCell ref="C27:D27"/>
    <mergeCell ref="I27:J27"/>
    <mergeCell ref="N27:O27"/>
    <mergeCell ref="T32:U32"/>
    <mergeCell ref="I33:J33"/>
    <mergeCell ref="T33:U33"/>
    <mergeCell ref="C34:D34"/>
    <mergeCell ref="I34:J34"/>
    <mergeCell ref="N34:O34"/>
    <mergeCell ref="T34:U34"/>
    <mergeCell ref="I30:J30"/>
    <mergeCell ref="T30:U30"/>
    <mergeCell ref="C31:D31"/>
    <mergeCell ref="I31:J31"/>
    <mergeCell ref="N31:O31"/>
    <mergeCell ref="T31:U31"/>
    <mergeCell ref="A38:B38"/>
    <mergeCell ref="C38:D38"/>
    <mergeCell ref="I38:J38"/>
    <mergeCell ref="L38:M38"/>
    <mergeCell ref="N38:O38"/>
    <mergeCell ref="T38:U38"/>
    <mergeCell ref="T35:U35"/>
    <mergeCell ref="I36:J36"/>
    <mergeCell ref="T36:U36"/>
    <mergeCell ref="E37:F37"/>
    <mergeCell ref="I37:J37"/>
    <mergeCell ref="P37:Q37"/>
    <mergeCell ref="T37:U37"/>
    <mergeCell ref="A41:B41"/>
    <mergeCell ref="C41:D41"/>
    <mergeCell ref="I41:J41"/>
    <mergeCell ref="L41:M41"/>
    <mergeCell ref="N41:O41"/>
    <mergeCell ref="T41:U41"/>
    <mergeCell ref="E39:F39"/>
    <mergeCell ref="I39:J39"/>
    <mergeCell ref="P39:Q39"/>
    <mergeCell ref="T39:U39"/>
    <mergeCell ref="I40:J40"/>
    <mergeCell ref="T40:U40"/>
    <mergeCell ref="I44:J44"/>
    <mergeCell ref="T44:U44"/>
    <mergeCell ref="C45:D45"/>
    <mergeCell ref="I45:J45"/>
    <mergeCell ref="N45:O45"/>
    <mergeCell ref="T45:U45"/>
    <mergeCell ref="E42:F42"/>
    <mergeCell ref="I42:J42"/>
    <mergeCell ref="P42:Q42"/>
    <mergeCell ref="T42:U42"/>
    <mergeCell ref="I43:J43"/>
    <mergeCell ref="T43:U43"/>
    <mergeCell ref="T48:U48"/>
    <mergeCell ref="E49:F49"/>
    <mergeCell ref="I49:J49"/>
    <mergeCell ref="P49:Q49"/>
    <mergeCell ref="T49:U49"/>
    <mergeCell ref="E46:F46"/>
    <mergeCell ref="I46:J46"/>
    <mergeCell ref="P46:Q46"/>
    <mergeCell ref="T46:U46"/>
    <mergeCell ref="I47:J47"/>
    <mergeCell ref="T47:U47"/>
    <mergeCell ref="C53:D53"/>
    <mergeCell ref="I53:J53"/>
    <mergeCell ref="N53:O53"/>
    <mergeCell ref="T53:U53"/>
    <mergeCell ref="C50:D50"/>
    <mergeCell ref="I50:J50"/>
    <mergeCell ref="N50:O50"/>
    <mergeCell ref="T50:U50"/>
    <mergeCell ref="I51:J51"/>
    <mergeCell ref="T51:U51"/>
    <mergeCell ref="C57:D57"/>
    <mergeCell ref="I57:J57"/>
    <mergeCell ref="N57:O57"/>
    <mergeCell ref="T57:U57"/>
    <mergeCell ref="E58:F58"/>
    <mergeCell ref="I58:J58"/>
    <mergeCell ref="P58:Q58"/>
    <mergeCell ref="T58:U58"/>
    <mergeCell ref="I54:J54"/>
    <mergeCell ref="T54:U54"/>
    <mergeCell ref="I55:J55"/>
    <mergeCell ref="T55:U55"/>
    <mergeCell ref="E56:F56"/>
    <mergeCell ref="I56:J56"/>
    <mergeCell ref="P56:Q56"/>
    <mergeCell ref="T56:U56"/>
    <mergeCell ref="E66:F66"/>
    <mergeCell ref="I66:J66"/>
    <mergeCell ref="P66:Q66"/>
    <mergeCell ref="T66:U66"/>
    <mergeCell ref="I67:J67"/>
    <mergeCell ref="T67:U67"/>
    <mergeCell ref="I62:J62"/>
    <mergeCell ref="T62:U62"/>
    <mergeCell ref="P63:Q63"/>
    <mergeCell ref="I64:J64"/>
    <mergeCell ref="T64:U64"/>
    <mergeCell ref="I65:J65"/>
    <mergeCell ref="T65:U65"/>
    <mergeCell ref="I77:J77"/>
    <mergeCell ref="T77:U77"/>
    <mergeCell ref="I71:J71"/>
    <mergeCell ref="T71:U71"/>
    <mergeCell ref="P72:Q72"/>
    <mergeCell ref="I73:J73"/>
    <mergeCell ref="T73:U73"/>
    <mergeCell ref="I74:J74"/>
    <mergeCell ref="T74:U74"/>
    <mergeCell ref="W1:X1"/>
    <mergeCell ref="AC1:AD1"/>
    <mergeCell ref="W37:X37"/>
    <mergeCell ref="AC50:AD50"/>
    <mergeCell ref="W69:X69"/>
    <mergeCell ref="I75:J75"/>
    <mergeCell ref="T75:U75"/>
    <mergeCell ref="I76:J76"/>
    <mergeCell ref="T76:U76"/>
    <mergeCell ref="I68:J68"/>
    <mergeCell ref="T68:U68"/>
    <mergeCell ref="I69:J69"/>
    <mergeCell ref="T69:U69"/>
    <mergeCell ref="I70:J70"/>
    <mergeCell ref="T70:U70"/>
    <mergeCell ref="I59:J59"/>
    <mergeCell ref="T59:U59"/>
    <mergeCell ref="I60:J60"/>
    <mergeCell ref="T60:U60"/>
    <mergeCell ref="I61:J61"/>
    <mergeCell ref="T61:U61"/>
    <mergeCell ref="I52:J52"/>
    <mergeCell ref="T52:U52"/>
    <mergeCell ref="I48:J48"/>
  </mergeCells>
  <conditionalFormatting sqref="A4:J48 A50:J77">
    <cfRule type="cellIs" dxfId="21" priority="13" operator="between">
      <formula>0.15</formula>
      <formula>0.3</formula>
    </cfRule>
    <cfRule type="cellIs" dxfId="20" priority="14" operator="between">
      <formula>0.3</formula>
      <formula>0.6</formula>
    </cfRule>
    <cfRule type="cellIs" dxfId="19" priority="15" operator="greaterThan">
      <formula>0.6</formula>
    </cfRule>
    <cfRule type="cellIs" dxfId="18" priority="16" operator="lessThan">
      <formula>0.15</formula>
    </cfRule>
  </conditionalFormatting>
  <conditionalFormatting sqref="L4:U48 L50:U77">
    <cfRule type="cellIs" dxfId="17" priority="9" operator="between">
      <formula>0.15</formula>
      <formula>0.3</formula>
    </cfRule>
    <cfRule type="cellIs" dxfId="16" priority="10" operator="between">
      <formula>0.3</formula>
      <formula>0.6</formula>
    </cfRule>
    <cfRule type="cellIs" dxfId="15" priority="11" operator="greaterThan">
      <formula>0.6</formula>
    </cfRule>
    <cfRule type="cellIs" dxfId="14" priority="12" operator="lessThan">
      <formula>0.15</formula>
    </cfRule>
  </conditionalFormatting>
  <conditionalFormatting sqref="A49:J49">
    <cfRule type="cellIs" dxfId="13" priority="5" operator="between">
      <formula>0.15</formula>
      <formula>0.3</formula>
    </cfRule>
    <cfRule type="cellIs" dxfId="12" priority="6" operator="between">
      <formula>0.3</formula>
      <formula>0.6</formula>
    </cfRule>
    <cfRule type="cellIs" dxfId="11" priority="7" operator="greaterThan">
      <formula>0.6</formula>
    </cfRule>
    <cfRule type="cellIs" dxfId="10" priority="8" operator="lessThan">
      <formula>0.15</formula>
    </cfRule>
  </conditionalFormatting>
  <conditionalFormatting sqref="L49:U49">
    <cfRule type="cellIs" dxfId="9" priority="1" operator="between">
      <formula>0.15</formula>
      <formula>0.3</formula>
    </cfRule>
    <cfRule type="cellIs" dxfId="8" priority="2" operator="between">
      <formula>0.3</formula>
      <formula>0.6</formula>
    </cfRule>
    <cfRule type="cellIs" dxfId="7" priority="3" operator="greaterThan">
      <formula>0.6</formula>
    </cfRule>
    <cfRule type="cellIs" dxfId="6" priority="4" operator="lessThan">
      <formula>0.15</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EA9E8-356C-43F6-819C-A89E83AA286B}">
  <sheetPr>
    <tabColor theme="5" tint="0.79998168889431442"/>
  </sheetPr>
  <dimension ref="A1:Q97"/>
  <sheetViews>
    <sheetView zoomScale="80" zoomScaleNormal="80" workbookViewId="0">
      <selection activeCell="A11" sqref="A11"/>
    </sheetView>
  </sheetViews>
  <sheetFormatPr baseColWidth="10" defaultRowHeight="15" x14ac:dyDescent="0.25"/>
  <cols>
    <col min="1" max="1" width="8.140625" customWidth="1"/>
    <col min="2" max="2" width="34.42578125" bestFit="1" customWidth="1"/>
    <col min="3" max="3" width="5" bestFit="1" customWidth="1"/>
    <col min="4" max="4" width="8.28515625" bestFit="1" customWidth="1"/>
    <col min="7" max="7" width="5.85546875" bestFit="1" customWidth="1"/>
    <col min="8" max="8" width="34.42578125" bestFit="1" customWidth="1"/>
    <col min="9" max="9" width="8.28515625" bestFit="1" customWidth="1"/>
    <col min="10" max="10" width="6.140625" bestFit="1" customWidth="1"/>
    <col min="11" max="12" width="5" bestFit="1" customWidth="1"/>
    <col min="13" max="13" width="12" bestFit="1" customWidth="1"/>
    <col min="14" max="14" width="9" bestFit="1" customWidth="1"/>
    <col min="15" max="15" width="10" bestFit="1" customWidth="1"/>
    <col min="17" max="17" width="245.5703125" bestFit="1" customWidth="1"/>
  </cols>
  <sheetData>
    <row r="1" spans="1:15" x14ac:dyDescent="0.25">
      <c r="A1" t="s">
        <v>511</v>
      </c>
      <c r="M1" s="38"/>
      <c r="N1" s="38"/>
    </row>
    <row r="2" spans="1:15" x14ac:dyDescent="0.25">
      <c r="A2" s="126" t="s">
        <v>512</v>
      </c>
      <c r="N2" s="127" t="s">
        <v>513</v>
      </c>
      <c r="O2" s="127" t="s">
        <v>514</v>
      </c>
    </row>
    <row r="3" spans="1:15" x14ac:dyDescent="0.25">
      <c r="K3" s="128">
        <v>3.17</v>
      </c>
      <c r="L3">
        <v>0</v>
      </c>
      <c r="M3">
        <f t="shared" ref="M3:M23" si="0">L3^$K$3</f>
        <v>0</v>
      </c>
      <c r="N3" s="129">
        <v>0</v>
      </c>
      <c r="O3" s="127">
        <f>M3*10/2</f>
        <v>0</v>
      </c>
    </row>
    <row r="4" spans="1:15" x14ac:dyDescent="0.25">
      <c r="B4" s="309" t="s">
        <v>515</v>
      </c>
      <c r="C4" s="309"/>
      <c r="D4" s="130" t="s">
        <v>516</v>
      </c>
      <c r="G4" s="309" t="s">
        <v>517</v>
      </c>
      <c r="H4" s="309"/>
      <c r="I4" s="130" t="s">
        <v>516</v>
      </c>
      <c r="L4">
        <v>0.05</v>
      </c>
      <c r="M4">
        <f t="shared" si="0"/>
        <v>7.5116425567310291E-5</v>
      </c>
      <c r="N4" s="131">
        <v>2.5000000000000001E-2</v>
      </c>
      <c r="O4" s="132">
        <f t="shared" ref="O4:O43" si="1">M4*10/2</f>
        <v>3.7558212783655147E-4</v>
      </c>
    </row>
    <row r="5" spans="1:15" ht="18.75" x14ac:dyDescent="0.3">
      <c r="B5" s="133" t="s">
        <v>518</v>
      </c>
      <c r="C5" s="134">
        <v>9.24</v>
      </c>
      <c r="D5" s="135">
        <f>(C5)/(C5+C6)</f>
        <v>0.60629921259842523</v>
      </c>
      <c r="G5" s="133" t="s">
        <v>518</v>
      </c>
      <c r="H5" s="134">
        <v>9</v>
      </c>
      <c r="I5" s="135">
        <f>(H5)/(H5+H6)</f>
        <v>0.59055118110236215</v>
      </c>
      <c r="J5" s="121">
        <f>(I5+D5)/2</f>
        <v>0.59842519685039375</v>
      </c>
      <c r="L5">
        <v>0.1</v>
      </c>
      <c r="M5">
        <f t="shared" si="0"/>
        <v>6.760829753919824E-4</v>
      </c>
      <c r="N5" s="129">
        <v>0.05</v>
      </c>
      <c r="O5" s="132">
        <f t="shared" si="1"/>
        <v>3.3804148769599118E-3</v>
      </c>
    </row>
    <row r="6" spans="1:15" ht="18.75" x14ac:dyDescent="0.3">
      <c r="B6" s="133" t="s">
        <v>519</v>
      </c>
      <c r="C6" s="134">
        <v>6</v>
      </c>
      <c r="D6" s="136">
        <f>1-D5</f>
        <v>0.39370078740157477</v>
      </c>
      <c r="G6" s="133" t="s">
        <v>519</v>
      </c>
      <c r="H6" s="134">
        <v>6.24</v>
      </c>
      <c r="I6" s="136">
        <f>1-I5</f>
        <v>0.40944881889763785</v>
      </c>
      <c r="L6">
        <v>0.15</v>
      </c>
      <c r="M6">
        <f t="shared" si="0"/>
        <v>2.4446083520705164E-3</v>
      </c>
      <c r="N6" s="129">
        <v>7.4999999999999997E-2</v>
      </c>
      <c r="O6" s="132">
        <f t="shared" si="1"/>
        <v>1.2223041760352582E-2</v>
      </c>
    </row>
    <row r="7" spans="1:15" x14ac:dyDescent="0.25">
      <c r="L7">
        <v>0.2</v>
      </c>
      <c r="M7">
        <f t="shared" si="0"/>
        <v>6.0850631025472397E-3</v>
      </c>
      <c r="N7" s="131">
        <v>0.1</v>
      </c>
      <c r="O7" s="132">
        <f t="shared" si="1"/>
        <v>3.0425315512736199E-2</v>
      </c>
    </row>
    <row r="8" spans="1:15" x14ac:dyDescent="0.25">
      <c r="L8">
        <v>0.25</v>
      </c>
      <c r="M8">
        <f t="shared" si="0"/>
        <v>1.2344395497865269E-2</v>
      </c>
      <c r="N8" s="129">
        <v>0.125</v>
      </c>
      <c r="O8" s="132">
        <f t="shared" si="1"/>
        <v>6.1721977489326348E-2</v>
      </c>
    </row>
    <row r="9" spans="1:15" x14ac:dyDescent="0.25">
      <c r="B9" s="91" t="s">
        <v>520</v>
      </c>
      <c r="H9" s="91" t="s">
        <v>520</v>
      </c>
      <c r="L9">
        <v>0.3</v>
      </c>
      <c r="M9">
        <f t="shared" si="0"/>
        <v>2.2002618945904492E-2</v>
      </c>
      <c r="N9" s="129">
        <v>0.15</v>
      </c>
      <c r="O9" s="132">
        <f t="shared" si="1"/>
        <v>0.11001309472952246</v>
      </c>
    </row>
    <row r="10" spans="1:15" x14ac:dyDescent="0.25">
      <c r="B10" s="91" t="s">
        <v>521</v>
      </c>
      <c r="H10" s="91" t="s">
        <v>521</v>
      </c>
      <c r="L10">
        <v>0.35</v>
      </c>
      <c r="M10">
        <f t="shared" si="0"/>
        <v>3.5867053500140966E-2</v>
      </c>
      <c r="N10" s="131">
        <v>0.17499999999999999</v>
      </c>
      <c r="O10" s="132">
        <f t="shared" si="1"/>
        <v>0.17933526750070483</v>
      </c>
    </row>
    <row r="11" spans="1:15" x14ac:dyDescent="0.25">
      <c r="B11" s="91" t="s">
        <v>522</v>
      </c>
      <c r="H11" s="91" t="s">
        <v>522</v>
      </c>
      <c r="L11">
        <v>0.4</v>
      </c>
      <c r="M11">
        <f t="shared" si="0"/>
        <v>5.476841498710066E-2</v>
      </c>
      <c r="N11" s="129">
        <v>0.2</v>
      </c>
      <c r="O11" s="132">
        <f t="shared" si="1"/>
        <v>0.27384207493550328</v>
      </c>
    </row>
    <row r="12" spans="1:15" x14ac:dyDescent="0.25">
      <c r="B12" s="91" t="s">
        <v>523</v>
      </c>
      <c r="E12" s="75"/>
      <c r="F12" s="75"/>
      <c r="H12" s="91" t="s">
        <v>523</v>
      </c>
      <c r="L12">
        <v>0.45</v>
      </c>
      <c r="M12">
        <f t="shared" si="0"/>
        <v>7.9557965516581536E-2</v>
      </c>
      <c r="N12" s="129">
        <v>0.22500000000000001</v>
      </c>
      <c r="O12" s="132">
        <f t="shared" si="1"/>
        <v>0.39778982758290771</v>
      </c>
    </row>
    <row r="13" spans="1:15" x14ac:dyDescent="0.25">
      <c r="B13" s="91" t="s">
        <v>524</v>
      </c>
      <c r="F13" s="75"/>
      <c r="H13" s="91" t="s">
        <v>524</v>
      </c>
      <c r="L13">
        <v>0.5</v>
      </c>
      <c r="M13">
        <f t="shared" si="0"/>
        <v>0.11110533514582129</v>
      </c>
      <c r="N13" s="131">
        <v>0.25</v>
      </c>
      <c r="O13" s="132">
        <f t="shared" si="1"/>
        <v>0.55552667572910641</v>
      </c>
    </row>
    <row r="14" spans="1:15" x14ac:dyDescent="0.25">
      <c r="B14" s="91" t="s">
        <v>525</v>
      </c>
      <c r="F14" s="75"/>
      <c r="H14" s="91" t="s">
        <v>525</v>
      </c>
      <c r="L14">
        <v>0.55000000000000004</v>
      </c>
      <c r="M14">
        <f t="shared" si="0"/>
        <v>0.15029679711525923</v>
      </c>
      <c r="N14" s="129">
        <v>0.27500000000000002</v>
      </c>
      <c r="O14" s="132">
        <f t="shared" si="1"/>
        <v>0.75148398557629614</v>
      </c>
    </row>
    <row r="15" spans="1:15" x14ac:dyDescent="0.25">
      <c r="B15" s="91" t="s">
        <v>526</v>
      </c>
      <c r="F15" s="75"/>
      <c r="H15" s="91" t="s">
        <v>526</v>
      </c>
      <c r="L15">
        <v>0.6</v>
      </c>
      <c r="M15">
        <f t="shared" si="0"/>
        <v>0.19803386504371684</v>
      </c>
      <c r="N15" s="137">
        <v>0.3</v>
      </c>
      <c r="O15" s="138">
        <f t="shared" si="1"/>
        <v>0.99016932521858414</v>
      </c>
    </row>
    <row r="16" spans="1:15" x14ac:dyDescent="0.25">
      <c r="B16" s="91" t="s">
        <v>527</v>
      </c>
      <c r="F16" s="75"/>
      <c r="H16" s="91" t="s">
        <v>527</v>
      </c>
      <c r="L16">
        <v>0.65</v>
      </c>
      <c r="M16">
        <f t="shared" si="0"/>
        <v>0.25523212749091545</v>
      </c>
      <c r="N16" s="139">
        <v>0.32500000000000001</v>
      </c>
      <c r="O16" s="138">
        <f t="shared" si="1"/>
        <v>1.2761606374545773</v>
      </c>
    </row>
    <row r="17" spans="2:15" x14ac:dyDescent="0.25">
      <c r="B17" s="91" t="s">
        <v>528</v>
      </c>
      <c r="F17" s="75"/>
      <c r="H17" s="91" t="s">
        <v>528</v>
      </c>
      <c r="L17">
        <v>0.7</v>
      </c>
      <c r="M17">
        <f t="shared" si="0"/>
        <v>0.32282026288896842</v>
      </c>
      <c r="N17" s="137">
        <v>0.35</v>
      </c>
      <c r="O17" s="138">
        <f t="shared" si="1"/>
        <v>1.6141013144448422</v>
      </c>
    </row>
    <row r="18" spans="2:15" x14ac:dyDescent="0.25">
      <c r="B18" s="91" t="s">
        <v>529</v>
      </c>
      <c r="F18" s="75"/>
      <c r="H18" s="91" t="s">
        <v>529</v>
      </c>
      <c r="L18">
        <v>0.75</v>
      </c>
      <c r="M18">
        <f t="shared" si="0"/>
        <v>0.40173919495546268</v>
      </c>
      <c r="N18" s="137">
        <v>0.375</v>
      </c>
      <c r="O18" s="138">
        <f t="shared" si="1"/>
        <v>2.0086959747773134</v>
      </c>
    </row>
    <row r="19" spans="2:15" x14ac:dyDescent="0.25">
      <c r="B19" s="91" t="s">
        <v>530</v>
      </c>
      <c r="F19" s="75"/>
      <c r="H19" s="91" t="s">
        <v>530</v>
      </c>
      <c r="L19">
        <v>0.8</v>
      </c>
      <c r="M19">
        <f t="shared" si="0"/>
        <v>0.49294135979356263</v>
      </c>
      <c r="N19" s="139">
        <v>0.4</v>
      </c>
      <c r="O19" s="138">
        <f t="shared" si="1"/>
        <v>2.4647067989678133</v>
      </c>
    </row>
    <row r="20" spans="2:15" x14ac:dyDescent="0.25">
      <c r="B20" s="91" t="s">
        <v>531</v>
      </c>
      <c r="F20" s="75"/>
      <c r="H20" s="91" t="s">
        <v>531</v>
      </c>
      <c r="L20">
        <v>0.85</v>
      </c>
      <c r="M20">
        <f t="shared" si="0"/>
        <v>0.59739006334454892</v>
      </c>
      <c r="N20" s="137">
        <v>0.42499999999999999</v>
      </c>
      <c r="O20" s="138">
        <f t="shared" si="1"/>
        <v>2.9869503167227447</v>
      </c>
    </row>
    <row r="21" spans="2:15" x14ac:dyDescent="0.25">
      <c r="B21" s="91" t="s">
        <v>532</v>
      </c>
      <c r="F21" s="75"/>
      <c r="H21" s="91" t="s">
        <v>532</v>
      </c>
      <c r="L21">
        <v>0.9</v>
      </c>
      <c r="M21">
        <f t="shared" si="0"/>
        <v>0.71605891303207836</v>
      </c>
      <c r="N21" s="137">
        <v>0.45</v>
      </c>
      <c r="O21" s="138">
        <f t="shared" si="1"/>
        <v>3.5802945651603917</v>
      </c>
    </row>
    <row r="22" spans="2:15" x14ac:dyDescent="0.25">
      <c r="B22" s="91" t="s">
        <v>533</v>
      </c>
      <c r="F22" s="75"/>
      <c r="H22" s="91" t="s">
        <v>533</v>
      </c>
      <c r="L22">
        <v>0.95</v>
      </c>
      <c r="M22">
        <f t="shared" si="0"/>
        <v>0.84993131112139264</v>
      </c>
      <c r="N22" s="139">
        <v>0.47499999999999998</v>
      </c>
      <c r="O22" s="138">
        <f t="shared" si="1"/>
        <v>4.249656555606963</v>
      </c>
    </row>
    <row r="23" spans="2:15" x14ac:dyDescent="0.25">
      <c r="B23" s="91" t="s">
        <v>534</v>
      </c>
      <c r="F23" s="75"/>
      <c r="H23" s="91" t="s">
        <v>534</v>
      </c>
      <c r="L23">
        <v>1</v>
      </c>
      <c r="M23">
        <f t="shared" si="0"/>
        <v>1</v>
      </c>
      <c r="N23" s="137">
        <v>0.5</v>
      </c>
      <c r="O23" s="138">
        <f t="shared" si="1"/>
        <v>5</v>
      </c>
    </row>
    <row r="24" spans="2:15" x14ac:dyDescent="0.25">
      <c r="B24" s="91" t="s">
        <v>535</v>
      </c>
      <c r="F24" s="75"/>
      <c r="H24" s="91" t="s">
        <v>535</v>
      </c>
      <c r="L24">
        <v>0.95</v>
      </c>
      <c r="M24">
        <f>2-M22</f>
        <v>1.1500686888786074</v>
      </c>
      <c r="N24" s="137">
        <v>0.52500000000000002</v>
      </c>
      <c r="O24" s="138">
        <f t="shared" si="1"/>
        <v>5.750343444393037</v>
      </c>
    </row>
    <row r="25" spans="2:15" x14ac:dyDescent="0.25">
      <c r="B25" s="91" t="s">
        <v>536</v>
      </c>
      <c r="F25" s="75"/>
      <c r="H25" s="91" t="s">
        <v>536</v>
      </c>
      <c r="L25">
        <v>0.9</v>
      </c>
      <c r="M25">
        <f>2-M21</f>
        <v>1.2839410869679218</v>
      </c>
      <c r="N25" s="139">
        <v>0.55000000000000004</v>
      </c>
      <c r="O25" s="138">
        <f t="shared" si="1"/>
        <v>6.4197054348396083</v>
      </c>
    </row>
    <row r="26" spans="2:15" x14ac:dyDescent="0.25">
      <c r="B26" s="91" t="s">
        <v>537</v>
      </c>
      <c r="F26" s="75"/>
      <c r="H26" s="91" t="s">
        <v>537</v>
      </c>
      <c r="L26">
        <v>0.85</v>
      </c>
      <c r="M26">
        <f>2-M20</f>
        <v>1.402609936655451</v>
      </c>
      <c r="N26" s="137">
        <v>0.57499999999999996</v>
      </c>
      <c r="O26" s="138">
        <f t="shared" si="1"/>
        <v>7.0130496832772549</v>
      </c>
    </row>
    <row r="27" spans="2:15" x14ac:dyDescent="0.25">
      <c r="B27" s="91" t="s">
        <v>538</v>
      </c>
      <c r="F27" s="75"/>
      <c r="H27" s="91" t="s">
        <v>538</v>
      </c>
      <c r="L27">
        <v>0.8</v>
      </c>
      <c r="M27">
        <f>2-M19</f>
        <v>1.5070586402064374</v>
      </c>
      <c r="N27" s="137">
        <v>0.6</v>
      </c>
      <c r="O27" s="138">
        <f t="shared" si="1"/>
        <v>7.5352932010321876</v>
      </c>
    </row>
    <row r="28" spans="2:15" x14ac:dyDescent="0.25">
      <c r="B28" s="91" t="s">
        <v>539</v>
      </c>
      <c r="F28" s="75"/>
      <c r="H28" s="91" t="s">
        <v>539</v>
      </c>
      <c r="L28">
        <v>0.75</v>
      </c>
      <c r="M28">
        <f>2-M18</f>
        <v>1.5982608050445373</v>
      </c>
      <c r="N28" s="139">
        <v>0.625</v>
      </c>
      <c r="O28" s="138">
        <f t="shared" si="1"/>
        <v>7.9913040252226866</v>
      </c>
    </row>
    <row r="29" spans="2:15" x14ac:dyDescent="0.25">
      <c r="B29" s="91" t="s">
        <v>540</v>
      </c>
      <c r="F29" s="75"/>
      <c r="H29" s="91" t="s">
        <v>540</v>
      </c>
      <c r="L29">
        <v>0.7</v>
      </c>
      <c r="M29">
        <f>2-M17</f>
        <v>1.6771797371110315</v>
      </c>
      <c r="N29" s="137">
        <v>0.65</v>
      </c>
      <c r="O29" s="138">
        <f t="shared" si="1"/>
        <v>8.3858986855551585</v>
      </c>
    </row>
    <row r="30" spans="2:15" x14ac:dyDescent="0.25">
      <c r="F30" s="75"/>
      <c r="L30">
        <v>0.65</v>
      </c>
      <c r="M30">
        <f>2-M16</f>
        <v>1.7447678725090845</v>
      </c>
      <c r="N30" s="137">
        <v>0.67500000000000004</v>
      </c>
      <c r="O30" s="138">
        <f t="shared" si="1"/>
        <v>8.7238393625454229</v>
      </c>
    </row>
    <row r="31" spans="2:15" x14ac:dyDescent="0.25">
      <c r="F31" s="75"/>
      <c r="L31">
        <v>0.6</v>
      </c>
      <c r="M31">
        <f>2-M15</f>
        <v>1.8019661349562832</v>
      </c>
      <c r="N31" s="139">
        <v>0.7</v>
      </c>
      <c r="O31" s="138">
        <f t="shared" si="1"/>
        <v>9.0098306747814156</v>
      </c>
    </row>
    <row r="32" spans="2:15" x14ac:dyDescent="0.25">
      <c r="B32" t="s">
        <v>236</v>
      </c>
      <c r="F32" s="75"/>
      <c r="H32" t="s">
        <v>373</v>
      </c>
      <c r="L32">
        <v>0.55000000000000004</v>
      </c>
      <c r="M32">
        <f>2-M14</f>
        <v>1.8497032028847409</v>
      </c>
      <c r="N32" s="129">
        <v>0.72499999999999998</v>
      </c>
      <c r="O32" s="132">
        <f t="shared" si="1"/>
        <v>9.2485160144237035</v>
      </c>
    </row>
    <row r="33" spans="2:17" x14ac:dyDescent="0.25">
      <c r="L33">
        <v>0.5</v>
      </c>
      <c r="M33">
        <f>2-M13</f>
        <v>1.8888946648541787</v>
      </c>
      <c r="N33" s="129">
        <v>0.75</v>
      </c>
      <c r="O33" s="132">
        <f t="shared" si="1"/>
        <v>9.4444733242708931</v>
      </c>
      <c r="Q33" t="s">
        <v>541</v>
      </c>
    </row>
    <row r="34" spans="2:17" x14ac:dyDescent="0.25">
      <c r="B34" t="s">
        <v>282</v>
      </c>
      <c r="H34" t="s">
        <v>494</v>
      </c>
      <c r="L34">
        <v>0.45</v>
      </c>
      <c r="M34">
        <f>2-M12</f>
        <v>1.9204420344834185</v>
      </c>
      <c r="N34" s="131">
        <v>0.77500000000000002</v>
      </c>
      <c r="O34" s="132">
        <f t="shared" si="1"/>
        <v>9.6022101724170934</v>
      </c>
    </row>
    <row r="35" spans="2:17" x14ac:dyDescent="0.25">
      <c r="B35" t="s">
        <v>285</v>
      </c>
      <c r="H35" t="s">
        <v>496</v>
      </c>
      <c r="L35">
        <v>0.39999999999999902</v>
      </c>
      <c r="M35">
        <f>2-M11</f>
        <v>1.9452315850128994</v>
      </c>
      <c r="N35" s="129">
        <v>0.8</v>
      </c>
      <c r="O35" s="132">
        <f t="shared" si="1"/>
        <v>9.7261579250644967</v>
      </c>
      <c r="Q35" t="s">
        <v>542</v>
      </c>
    </row>
    <row r="36" spans="2:17" x14ac:dyDescent="0.25">
      <c r="B36" t="s">
        <v>288</v>
      </c>
      <c r="H36" t="s">
        <v>497</v>
      </c>
      <c r="L36">
        <v>0.34999999999999898</v>
      </c>
      <c r="M36">
        <f>2-M10</f>
        <v>1.9641329464998591</v>
      </c>
      <c r="N36" s="129">
        <v>0.82499999999999996</v>
      </c>
      <c r="O36" s="132">
        <f t="shared" si="1"/>
        <v>9.8206647324992957</v>
      </c>
    </row>
    <row r="37" spans="2:17" x14ac:dyDescent="0.25">
      <c r="H37" t="s">
        <v>498</v>
      </c>
      <c r="L37">
        <v>0.29999999999999899</v>
      </c>
      <c r="M37">
        <f>2-M9</f>
        <v>1.9779973810540956</v>
      </c>
      <c r="N37" s="131">
        <v>0.85</v>
      </c>
      <c r="O37" s="132">
        <f t="shared" si="1"/>
        <v>9.8899869052704776</v>
      </c>
    </row>
    <row r="38" spans="2:17" x14ac:dyDescent="0.25">
      <c r="B38" t="s">
        <v>293</v>
      </c>
      <c r="H38" t="s">
        <v>499</v>
      </c>
      <c r="L38">
        <v>0.249999999999999</v>
      </c>
      <c r="M38">
        <f>2-M8</f>
        <v>1.9876556045021347</v>
      </c>
      <c r="N38" s="129">
        <v>0.875</v>
      </c>
      <c r="O38" s="132">
        <f t="shared" si="1"/>
        <v>9.9382780225106728</v>
      </c>
    </row>
    <row r="39" spans="2:17" x14ac:dyDescent="0.25">
      <c r="B39" t="s">
        <v>296</v>
      </c>
      <c r="H39" t="s">
        <v>500</v>
      </c>
      <c r="L39">
        <v>0.19999999999999901</v>
      </c>
      <c r="M39">
        <f>2-M7</f>
        <v>1.9939149368974527</v>
      </c>
      <c r="N39" s="129">
        <v>0.9</v>
      </c>
      <c r="O39" s="132">
        <f t="shared" si="1"/>
        <v>9.969574684487263</v>
      </c>
    </row>
    <row r="40" spans="2:17" x14ac:dyDescent="0.25">
      <c r="H40" t="s">
        <v>501</v>
      </c>
      <c r="L40">
        <v>0.149999999999999</v>
      </c>
      <c r="M40">
        <f>2-M6</f>
        <v>1.9975553916479294</v>
      </c>
      <c r="N40" s="131">
        <v>0.92500000000000004</v>
      </c>
      <c r="O40" s="132">
        <f t="shared" si="1"/>
        <v>9.9877769582396461</v>
      </c>
    </row>
    <row r="41" spans="2:17" x14ac:dyDescent="0.25">
      <c r="H41" t="s">
        <v>502</v>
      </c>
      <c r="L41">
        <v>9.9999999999999006E-2</v>
      </c>
      <c r="M41">
        <f>2-M5</f>
        <v>1.999323917024608</v>
      </c>
      <c r="N41" s="129">
        <v>0.95</v>
      </c>
      <c r="O41" s="132">
        <f t="shared" si="1"/>
        <v>9.9966195851230406</v>
      </c>
    </row>
    <row r="42" spans="2:17" x14ac:dyDescent="0.25">
      <c r="H42" t="s">
        <v>503</v>
      </c>
      <c r="L42">
        <v>4.9999999999998997E-2</v>
      </c>
      <c r="M42">
        <f>2-M4</f>
        <v>1.9999248835744328</v>
      </c>
      <c r="N42" s="129">
        <v>0.97499999999999998</v>
      </c>
      <c r="O42" s="132">
        <f t="shared" si="1"/>
        <v>9.9996244178721643</v>
      </c>
    </row>
    <row r="43" spans="2:17" x14ac:dyDescent="0.25">
      <c r="H43" t="s">
        <v>504</v>
      </c>
      <c r="L43">
        <v>0</v>
      </c>
      <c r="M43">
        <f>2-M3</f>
        <v>2</v>
      </c>
      <c r="N43" s="131">
        <v>1</v>
      </c>
      <c r="O43" s="132">
        <f t="shared" si="1"/>
        <v>10</v>
      </c>
    </row>
    <row r="44" spans="2:17" x14ac:dyDescent="0.25">
      <c r="H44" t="s">
        <v>505</v>
      </c>
      <c r="M44" s="38"/>
      <c r="N44" s="38"/>
    </row>
    <row r="45" spans="2:17" x14ac:dyDescent="0.25">
      <c r="H45" t="s">
        <v>506</v>
      </c>
      <c r="M45" s="38"/>
      <c r="N45" s="38"/>
    </row>
    <row r="46" spans="2:17" x14ac:dyDescent="0.25">
      <c r="H46" t="s">
        <v>507</v>
      </c>
      <c r="M46" s="38"/>
      <c r="N46" s="38"/>
    </row>
    <row r="47" spans="2:17" x14ac:dyDescent="0.25">
      <c r="H47" t="s">
        <v>508</v>
      </c>
      <c r="M47" s="38"/>
      <c r="N47" s="38"/>
    </row>
    <row r="48" spans="2:17" x14ac:dyDescent="0.25">
      <c r="H48" t="s">
        <v>509</v>
      </c>
      <c r="M48" s="38"/>
      <c r="N48" s="38"/>
    </row>
    <row r="49" spans="8:14" x14ac:dyDescent="0.25">
      <c r="H49" t="s">
        <v>510</v>
      </c>
      <c r="M49" s="140"/>
      <c r="N49" s="38"/>
    </row>
    <row r="50" spans="8:14" x14ac:dyDescent="0.25">
      <c r="M50" s="38"/>
      <c r="N50" s="38"/>
    </row>
    <row r="51" spans="8:14" x14ac:dyDescent="0.25">
      <c r="M51" s="38"/>
      <c r="N51" s="38"/>
    </row>
    <row r="52" spans="8:14" x14ac:dyDescent="0.25">
      <c r="M52" s="38"/>
      <c r="N52" s="38"/>
    </row>
    <row r="53" spans="8:14" x14ac:dyDescent="0.25">
      <c r="M53" s="38"/>
      <c r="N53" s="38"/>
    </row>
    <row r="54" spans="8:14" x14ac:dyDescent="0.25">
      <c r="M54" s="38"/>
      <c r="N54" s="38"/>
    </row>
    <row r="55" spans="8:14" x14ac:dyDescent="0.25">
      <c r="M55" s="38"/>
      <c r="N55" s="38"/>
    </row>
    <row r="56" spans="8:14" x14ac:dyDescent="0.25">
      <c r="M56" s="38"/>
      <c r="N56" s="38"/>
    </row>
    <row r="57" spans="8:14" x14ac:dyDescent="0.25">
      <c r="M57" s="38"/>
      <c r="N57" s="38"/>
    </row>
    <row r="58" spans="8:14" x14ac:dyDescent="0.25">
      <c r="M58" s="38"/>
      <c r="N58" s="38"/>
    </row>
    <row r="59" spans="8:14" x14ac:dyDescent="0.25">
      <c r="M59" s="38"/>
      <c r="N59" s="38"/>
    </row>
    <row r="60" spans="8:14" x14ac:dyDescent="0.25">
      <c r="M60" s="38"/>
      <c r="N60" s="38"/>
    </row>
    <row r="61" spans="8:14" x14ac:dyDescent="0.25">
      <c r="M61" s="38"/>
      <c r="N61" s="38"/>
    </row>
    <row r="62" spans="8:14" x14ac:dyDescent="0.25">
      <c r="M62" s="38"/>
      <c r="N62" s="38"/>
    </row>
    <row r="63" spans="8:14" x14ac:dyDescent="0.25">
      <c r="M63" s="38"/>
      <c r="N63" s="38"/>
    </row>
    <row r="64" spans="8:14" x14ac:dyDescent="0.25">
      <c r="M64" s="38"/>
      <c r="N64" s="38"/>
    </row>
    <row r="65" spans="13:14" x14ac:dyDescent="0.25">
      <c r="M65" s="38"/>
      <c r="N65" s="38"/>
    </row>
    <row r="66" spans="13:14" x14ac:dyDescent="0.25">
      <c r="M66" s="38"/>
      <c r="N66" s="38"/>
    </row>
    <row r="67" spans="13:14" x14ac:dyDescent="0.25">
      <c r="M67" s="38"/>
      <c r="N67" s="38"/>
    </row>
    <row r="68" spans="13:14" x14ac:dyDescent="0.25">
      <c r="M68" s="38"/>
      <c r="N68" s="38"/>
    </row>
    <row r="69" spans="13:14" x14ac:dyDescent="0.25">
      <c r="M69" s="38"/>
      <c r="N69" s="38"/>
    </row>
    <row r="70" spans="13:14" x14ac:dyDescent="0.25">
      <c r="M70" s="38"/>
      <c r="N70" s="38"/>
    </row>
    <row r="71" spans="13:14" x14ac:dyDescent="0.25">
      <c r="M71" s="38"/>
      <c r="N71" s="38"/>
    </row>
    <row r="72" spans="13:14" x14ac:dyDescent="0.25">
      <c r="M72" s="38"/>
      <c r="N72" s="38"/>
    </row>
    <row r="73" spans="13:14" x14ac:dyDescent="0.25">
      <c r="M73" s="38"/>
      <c r="N73" s="38"/>
    </row>
    <row r="74" spans="13:14" x14ac:dyDescent="0.25">
      <c r="M74" s="38"/>
      <c r="N74" s="38"/>
    </row>
    <row r="75" spans="13:14" x14ac:dyDescent="0.25">
      <c r="M75" s="38"/>
      <c r="N75" s="38"/>
    </row>
    <row r="76" spans="13:14" x14ac:dyDescent="0.25">
      <c r="M76" s="38"/>
      <c r="N76" s="38"/>
    </row>
    <row r="77" spans="13:14" x14ac:dyDescent="0.25">
      <c r="M77" s="38"/>
      <c r="N77" s="38"/>
    </row>
    <row r="78" spans="13:14" x14ac:dyDescent="0.25">
      <c r="M78" s="38"/>
      <c r="N78" s="38"/>
    </row>
    <row r="79" spans="13:14" x14ac:dyDescent="0.25">
      <c r="M79" s="38"/>
      <c r="N79" s="38"/>
    </row>
    <row r="80" spans="13:14" x14ac:dyDescent="0.25">
      <c r="M80" s="38"/>
      <c r="N80" s="38"/>
    </row>
    <row r="81" spans="13:14" x14ac:dyDescent="0.25">
      <c r="M81" s="38"/>
      <c r="N81" s="38"/>
    </row>
    <row r="82" spans="13:14" x14ac:dyDescent="0.25">
      <c r="M82" s="38"/>
      <c r="N82" s="38"/>
    </row>
    <row r="83" spans="13:14" x14ac:dyDescent="0.25">
      <c r="M83" s="38"/>
      <c r="N83" s="38"/>
    </row>
    <row r="84" spans="13:14" x14ac:dyDescent="0.25">
      <c r="M84" s="38"/>
      <c r="N84" s="38"/>
    </row>
    <row r="85" spans="13:14" x14ac:dyDescent="0.25">
      <c r="M85" s="38"/>
      <c r="N85" s="38"/>
    </row>
    <row r="86" spans="13:14" x14ac:dyDescent="0.25">
      <c r="M86" s="38"/>
      <c r="N86" s="38"/>
    </row>
    <row r="87" spans="13:14" x14ac:dyDescent="0.25">
      <c r="M87" s="38"/>
      <c r="N87" s="38"/>
    </row>
    <row r="88" spans="13:14" x14ac:dyDescent="0.25">
      <c r="M88" s="38"/>
      <c r="N88" s="38"/>
    </row>
    <row r="89" spans="13:14" x14ac:dyDescent="0.25">
      <c r="M89" s="38"/>
      <c r="N89" s="38"/>
    </row>
    <row r="90" spans="13:14" x14ac:dyDescent="0.25">
      <c r="M90" s="38"/>
      <c r="N90" s="38"/>
    </row>
    <row r="91" spans="13:14" x14ac:dyDescent="0.25">
      <c r="M91" s="38"/>
      <c r="N91" s="38"/>
    </row>
    <row r="92" spans="13:14" x14ac:dyDescent="0.25">
      <c r="M92" s="38"/>
      <c r="N92" s="38"/>
    </row>
    <row r="93" spans="13:14" x14ac:dyDescent="0.25">
      <c r="M93" s="38"/>
      <c r="N93" s="38"/>
    </row>
    <row r="94" spans="13:14" x14ac:dyDescent="0.25">
      <c r="M94" s="38"/>
      <c r="N94" s="38"/>
    </row>
    <row r="95" spans="13:14" x14ac:dyDescent="0.25">
      <c r="M95" s="38"/>
      <c r="N95" s="38"/>
    </row>
    <row r="96" spans="13:14" x14ac:dyDescent="0.25">
      <c r="M96" s="38"/>
      <c r="N96" s="38"/>
    </row>
    <row r="97" spans="13:14" x14ac:dyDescent="0.25">
      <c r="M97" s="38"/>
      <c r="N97" s="38"/>
    </row>
  </sheetData>
  <mergeCells count="2">
    <mergeCell ref="B4:C4"/>
    <mergeCell ref="G4:H4"/>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B0430-3463-4C73-885E-2BEF7EB4315A}">
  <sheetPr>
    <tabColor rgb="FF7030A0"/>
  </sheetPr>
  <dimension ref="A1:G107"/>
  <sheetViews>
    <sheetView zoomScale="80" zoomScaleNormal="80" workbookViewId="0">
      <selection activeCell="F6" sqref="F6"/>
    </sheetView>
  </sheetViews>
  <sheetFormatPr baseColWidth="10" defaultRowHeight="15" x14ac:dyDescent="0.25"/>
  <cols>
    <col min="1" max="1" width="55.7109375" customWidth="1"/>
    <col min="7" max="7" width="80.5703125" customWidth="1"/>
  </cols>
  <sheetData>
    <row r="1" spans="1:7" x14ac:dyDescent="0.25">
      <c r="A1" t="s">
        <v>679</v>
      </c>
      <c r="G1" t="s">
        <v>678</v>
      </c>
    </row>
    <row r="3" spans="1:7" x14ac:dyDescent="0.25">
      <c r="A3" t="s">
        <v>677</v>
      </c>
      <c r="G3" t="s">
        <v>676</v>
      </c>
    </row>
    <row r="5" spans="1:7" x14ac:dyDescent="0.25">
      <c r="A5" t="s">
        <v>675</v>
      </c>
      <c r="G5" t="s">
        <v>674</v>
      </c>
    </row>
    <row r="6" spans="1:7" x14ac:dyDescent="0.25">
      <c r="G6" t="s">
        <v>673</v>
      </c>
    </row>
    <row r="7" spans="1:7" x14ac:dyDescent="0.25">
      <c r="A7" t="s">
        <v>672</v>
      </c>
    </row>
    <row r="8" spans="1:7" x14ac:dyDescent="0.25">
      <c r="A8" t="s">
        <v>671</v>
      </c>
      <c r="G8" s="141" t="s">
        <v>670</v>
      </c>
    </row>
    <row r="9" spans="1:7" x14ac:dyDescent="0.25">
      <c r="G9" s="141" t="s">
        <v>669</v>
      </c>
    </row>
    <row r="10" spans="1:7" x14ac:dyDescent="0.25">
      <c r="A10" t="s">
        <v>668</v>
      </c>
    </row>
    <row r="11" spans="1:7" x14ac:dyDescent="0.25">
      <c r="A11" t="s">
        <v>667</v>
      </c>
      <c r="G11" t="s">
        <v>666</v>
      </c>
    </row>
    <row r="12" spans="1:7" x14ac:dyDescent="0.25">
      <c r="G12" t="s">
        <v>665</v>
      </c>
    </row>
    <row r="13" spans="1:7" x14ac:dyDescent="0.25">
      <c r="A13" t="s">
        <v>664</v>
      </c>
    </row>
    <row r="14" spans="1:7" x14ac:dyDescent="0.25">
      <c r="A14" t="s">
        <v>663</v>
      </c>
      <c r="G14" t="s">
        <v>662</v>
      </c>
    </row>
    <row r="15" spans="1:7" x14ac:dyDescent="0.25">
      <c r="G15" t="s">
        <v>661</v>
      </c>
    </row>
    <row r="16" spans="1:7" x14ac:dyDescent="0.25">
      <c r="A16" t="s">
        <v>660</v>
      </c>
    </row>
    <row r="17" spans="1:7" x14ac:dyDescent="0.25">
      <c r="G17" t="s">
        <v>659</v>
      </c>
    </row>
    <row r="18" spans="1:7" x14ac:dyDescent="0.25">
      <c r="A18" t="s">
        <v>658</v>
      </c>
    </row>
    <row r="19" spans="1:7" x14ac:dyDescent="0.25">
      <c r="A19" t="s">
        <v>657</v>
      </c>
      <c r="G19" t="s">
        <v>656</v>
      </c>
    </row>
    <row r="20" spans="1:7" x14ac:dyDescent="0.25">
      <c r="G20" t="s">
        <v>655</v>
      </c>
    </row>
    <row r="21" spans="1:7" x14ac:dyDescent="0.25">
      <c r="A21" t="s">
        <v>654</v>
      </c>
      <c r="G21" t="s">
        <v>653</v>
      </c>
    </row>
    <row r="22" spans="1:7" x14ac:dyDescent="0.25">
      <c r="G22" t="s">
        <v>652</v>
      </c>
    </row>
    <row r="23" spans="1:7" x14ac:dyDescent="0.25">
      <c r="A23" t="s">
        <v>651</v>
      </c>
      <c r="G23" t="s">
        <v>650</v>
      </c>
    </row>
    <row r="24" spans="1:7" x14ac:dyDescent="0.25">
      <c r="G24" t="s">
        <v>649</v>
      </c>
    </row>
    <row r="25" spans="1:7" x14ac:dyDescent="0.25">
      <c r="A25" t="s">
        <v>648</v>
      </c>
      <c r="G25" t="s">
        <v>647</v>
      </c>
    </row>
    <row r="26" spans="1:7" x14ac:dyDescent="0.25">
      <c r="A26" t="s">
        <v>646</v>
      </c>
      <c r="G26" t="s">
        <v>645</v>
      </c>
    </row>
    <row r="27" spans="1:7" x14ac:dyDescent="0.25">
      <c r="A27" t="s">
        <v>644</v>
      </c>
      <c r="G27" t="s">
        <v>643</v>
      </c>
    </row>
    <row r="28" spans="1:7" x14ac:dyDescent="0.25">
      <c r="A28" t="s">
        <v>642</v>
      </c>
      <c r="G28" t="s">
        <v>641</v>
      </c>
    </row>
    <row r="29" spans="1:7" x14ac:dyDescent="0.25">
      <c r="A29" t="s">
        <v>640</v>
      </c>
      <c r="G29" t="s">
        <v>639</v>
      </c>
    </row>
    <row r="30" spans="1:7" x14ac:dyDescent="0.25">
      <c r="A30" t="s">
        <v>638</v>
      </c>
      <c r="G30" s="141" t="s">
        <v>637</v>
      </c>
    </row>
    <row r="31" spans="1:7" x14ac:dyDescent="0.25">
      <c r="G31" s="141" t="s">
        <v>636</v>
      </c>
    </row>
    <row r="32" spans="1:7" x14ac:dyDescent="0.25">
      <c r="A32" t="s">
        <v>635</v>
      </c>
    </row>
    <row r="33" spans="1:7" x14ac:dyDescent="0.25">
      <c r="A33" t="s">
        <v>634</v>
      </c>
      <c r="G33" t="s">
        <v>633</v>
      </c>
    </row>
    <row r="34" spans="1:7" x14ac:dyDescent="0.25">
      <c r="A34" t="s">
        <v>632</v>
      </c>
      <c r="G34" t="s">
        <v>631</v>
      </c>
    </row>
    <row r="35" spans="1:7" x14ac:dyDescent="0.25">
      <c r="A35" t="s">
        <v>630</v>
      </c>
      <c r="G35" t="s">
        <v>629</v>
      </c>
    </row>
    <row r="36" spans="1:7" x14ac:dyDescent="0.25">
      <c r="A36" t="s">
        <v>628</v>
      </c>
      <c r="G36" t="s">
        <v>627</v>
      </c>
    </row>
    <row r="37" spans="1:7" x14ac:dyDescent="0.25">
      <c r="A37" t="s">
        <v>626</v>
      </c>
      <c r="G37" t="s">
        <v>625</v>
      </c>
    </row>
    <row r="38" spans="1:7" x14ac:dyDescent="0.25">
      <c r="A38" t="s">
        <v>624</v>
      </c>
      <c r="G38" t="s">
        <v>623</v>
      </c>
    </row>
    <row r="39" spans="1:7" x14ac:dyDescent="0.25">
      <c r="A39" t="s">
        <v>622</v>
      </c>
      <c r="G39" t="s">
        <v>621</v>
      </c>
    </row>
    <row r="40" spans="1:7" x14ac:dyDescent="0.25">
      <c r="A40" t="s">
        <v>620</v>
      </c>
      <c r="G40" t="s">
        <v>619</v>
      </c>
    </row>
    <row r="41" spans="1:7" x14ac:dyDescent="0.25">
      <c r="G41" t="s">
        <v>618</v>
      </c>
    </row>
    <row r="42" spans="1:7" x14ac:dyDescent="0.25">
      <c r="A42" t="s">
        <v>617</v>
      </c>
      <c r="G42" t="s">
        <v>616</v>
      </c>
    </row>
    <row r="43" spans="1:7" x14ac:dyDescent="0.25">
      <c r="A43" t="s">
        <v>615</v>
      </c>
      <c r="G43" t="s">
        <v>614</v>
      </c>
    </row>
    <row r="44" spans="1:7" x14ac:dyDescent="0.25">
      <c r="A44" t="s">
        <v>613</v>
      </c>
      <c r="G44" t="s">
        <v>612</v>
      </c>
    </row>
    <row r="45" spans="1:7" x14ac:dyDescent="0.25">
      <c r="A45" t="s">
        <v>611</v>
      </c>
      <c r="G45" t="s">
        <v>610</v>
      </c>
    </row>
    <row r="46" spans="1:7" x14ac:dyDescent="0.25">
      <c r="A46" s="141" t="s">
        <v>609</v>
      </c>
      <c r="G46" s="141" t="s">
        <v>608</v>
      </c>
    </row>
    <row r="47" spans="1:7" x14ac:dyDescent="0.25">
      <c r="G47" s="141" t="s">
        <v>607</v>
      </c>
    </row>
    <row r="48" spans="1:7" x14ac:dyDescent="0.25">
      <c r="A48" t="s">
        <v>606</v>
      </c>
      <c r="G48" s="141" t="s">
        <v>605</v>
      </c>
    </row>
    <row r="49" spans="1:7" x14ac:dyDescent="0.25">
      <c r="A49" t="s">
        <v>604</v>
      </c>
    </row>
    <row r="50" spans="1:7" x14ac:dyDescent="0.25">
      <c r="A50" t="s">
        <v>603</v>
      </c>
      <c r="G50" t="s">
        <v>602</v>
      </c>
    </row>
    <row r="51" spans="1:7" x14ac:dyDescent="0.25">
      <c r="A51" t="s">
        <v>601</v>
      </c>
    </row>
    <row r="52" spans="1:7" x14ac:dyDescent="0.25">
      <c r="A52" t="s">
        <v>600</v>
      </c>
      <c r="G52" t="s">
        <v>680</v>
      </c>
    </row>
    <row r="53" spans="1:7" x14ac:dyDescent="0.25">
      <c r="A53" t="s">
        <v>599</v>
      </c>
    </row>
    <row r="54" spans="1:7" x14ac:dyDescent="0.25">
      <c r="A54" t="s">
        <v>598</v>
      </c>
      <c r="G54" t="s">
        <v>597</v>
      </c>
    </row>
    <row r="55" spans="1:7" x14ac:dyDescent="0.25">
      <c r="A55" t="s">
        <v>596</v>
      </c>
    </row>
    <row r="56" spans="1:7" x14ac:dyDescent="0.25">
      <c r="A56" t="s">
        <v>595</v>
      </c>
      <c r="G56" t="s">
        <v>594</v>
      </c>
    </row>
    <row r="57" spans="1:7" x14ac:dyDescent="0.25">
      <c r="A57" t="s">
        <v>593</v>
      </c>
      <c r="G57" t="s">
        <v>592</v>
      </c>
    </row>
    <row r="58" spans="1:7" x14ac:dyDescent="0.25">
      <c r="A58" t="s">
        <v>591</v>
      </c>
    </row>
    <row r="59" spans="1:7" x14ac:dyDescent="0.25">
      <c r="A59" s="141" t="s">
        <v>590</v>
      </c>
      <c r="G59" t="s">
        <v>589</v>
      </c>
    </row>
    <row r="61" spans="1:7" x14ac:dyDescent="0.25">
      <c r="A61" t="s">
        <v>588</v>
      </c>
      <c r="G61" t="s">
        <v>587</v>
      </c>
    </row>
    <row r="62" spans="1:7" x14ac:dyDescent="0.25">
      <c r="A62" t="s">
        <v>586</v>
      </c>
      <c r="G62" t="s">
        <v>585</v>
      </c>
    </row>
    <row r="63" spans="1:7" x14ac:dyDescent="0.25">
      <c r="A63" t="s">
        <v>584</v>
      </c>
      <c r="G63" t="s">
        <v>583</v>
      </c>
    </row>
    <row r="64" spans="1:7" x14ac:dyDescent="0.25">
      <c r="A64" t="s">
        <v>582</v>
      </c>
      <c r="G64" t="s">
        <v>581</v>
      </c>
    </row>
    <row r="65" spans="1:7" x14ac:dyDescent="0.25">
      <c r="A65" s="141" t="s">
        <v>580</v>
      </c>
    </row>
    <row r="66" spans="1:7" x14ac:dyDescent="0.25">
      <c r="A66" s="141" t="s">
        <v>579</v>
      </c>
      <c r="G66" t="s">
        <v>578</v>
      </c>
    </row>
    <row r="67" spans="1:7" x14ac:dyDescent="0.25">
      <c r="A67" t="s">
        <v>577</v>
      </c>
      <c r="G67" t="s">
        <v>576</v>
      </c>
    </row>
    <row r="68" spans="1:7" x14ac:dyDescent="0.25">
      <c r="G68" t="s">
        <v>575</v>
      </c>
    </row>
    <row r="69" spans="1:7" x14ac:dyDescent="0.25">
      <c r="A69" t="s">
        <v>574</v>
      </c>
      <c r="G69" t="s">
        <v>573</v>
      </c>
    </row>
    <row r="70" spans="1:7" x14ac:dyDescent="0.25">
      <c r="A70" t="s">
        <v>572</v>
      </c>
      <c r="G70" t="s">
        <v>571</v>
      </c>
    </row>
    <row r="71" spans="1:7" x14ac:dyDescent="0.25">
      <c r="A71" t="s">
        <v>570</v>
      </c>
      <c r="G71" t="s">
        <v>569</v>
      </c>
    </row>
    <row r="72" spans="1:7" x14ac:dyDescent="0.25">
      <c r="A72" t="s">
        <v>568</v>
      </c>
    </row>
    <row r="73" spans="1:7" x14ac:dyDescent="0.25">
      <c r="A73" t="s">
        <v>567</v>
      </c>
      <c r="G73" t="s">
        <v>566</v>
      </c>
    </row>
    <row r="75" spans="1:7" x14ac:dyDescent="0.25">
      <c r="G75" t="s">
        <v>565</v>
      </c>
    </row>
    <row r="77" spans="1:7" x14ac:dyDescent="0.25">
      <c r="G77" t="s">
        <v>564</v>
      </c>
    </row>
    <row r="78" spans="1:7" x14ac:dyDescent="0.25">
      <c r="G78" t="s">
        <v>563</v>
      </c>
    </row>
    <row r="79" spans="1:7" x14ac:dyDescent="0.25">
      <c r="G79" t="s">
        <v>562</v>
      </c>
    </row>
    <row r="80" spans="1:7" x14ac:dyDescent="0.25">
      <c r="G80" t="s">
        <v>561</v>
      </c>
    </row>
    <row r="81" spans="7:7" x14ac:dyDescent="0.25">
      <c r="G81" s="141" t="s">
        <v>560</v>
      </c>
    </row>
    <row r="82" spans="7:7" x14ac:dyDescent="0.25">
      <c r="G82" s="141" t="s">
        <v>559</v>
      </c>
    </row>
    <row r="83" spans="7:7" x14ac:dyDescent="0.25">
      <c r="G83" s="141" t="s">
        <v>558</v>
      </c>
    </row>
    <row r="84" spans="7:7" x14ac:dyDescent="0.25">
      <c r="G84" s="141" t="s">
        <v>557</v>
      </c>
    </row>
    <row r="86" spans="7:7" x14ac:dyDescent="0.25">
      <c r="G86" s="141" t="s">
        <v>556</v>
      </c>
    </row>
    <row r="88" spans="7:7" x14ac:dyDescent="0.25">
      <c r="G88" s="141" t="s">
        <v>555</v>
      </c>
    </row>
    <row r="90" spans="7:7" x14ac:dyDescent="0.25">
      <c r="G90" t="s">
        <v>554</v>
      </c>
    </row>
    <row r="92" spans="7:7" x14ac:dyDescent="0.25">
      <c r="G92" t="s">
        <v>553</v>
      </c>
    </row>
    <row r="93" spans="7:7" x14ac:dyDescent="0.25">
      <c r="G93" t="s">
        <v>552</v>
      </c>
    </row>
    <row r="94" spans="7:7" x14ac:dyDescent="0.25">
      <c r="G94" t="s">
        <v>551</v>
      </c>
    </row>
    <row r="95" spans="7:7" x14ac:dyDescent="0.25">
      <c r="G95" t="s">
        <v>550</v>
      </c>
    </row>
    <row r="97" spans="7:7" x14ac:dyDescent="0.25">
      <c r="G97" t="s">
        <v>549</v>
      </c>
    </row>
    <row r="98" spans="7:7" x14ac:dyDescent="0.25">
      <c r="G98" t="s">
        <v>548</v>
      </c>
    </row>
    <row r="99" spans="7:7" x14ac:dyDescent="0.25">
      <c r="G99" t="s">
        <v>547</v>
      </c>
    </row>
    <row r="101" spans="7:7" x14ac:dyDescent="0.25">
      <c r="G101" t="s">
        <v>546</v>
      </c>
    </row>
    <row r="103" spans="7:7" x14ac:dyDescent="0.25">
      <c r="G103" t="s">
        <v>545</v>
      </c>
    </row>
    <row r="105" spans="7:7" x14ac:dyDescent="0.25">
      <c r="G105" t="s">
        <v>544</v>
      </c>
    </row>
    <row r="107" spans="7:7" x14ac:dyDescent="0.25">
      <c r="G107" t="s">
        <v>543</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4118B-5B75-472D-96FC-400E821346D3}">
  <sheetPr>
    <tabColor theme="4" tint="0.79998168889431442"/>
  </sheetPr>
  <dimension ref="A1:CI240"/>
  <sheetViews>
    <sheetView zoomScale="80" zoomScaleNormal="80" workbookViewId="0">
      <selection activeCell="H4" sqref="H4"/>
    </sheetView>
  </sheetViews>
  <sheetFormatPr baseColWidth="10" defaultRowHeight="15" x14ac:dyDescent="0.25"/>
  <cols>
    <col min="1" max="1" width="10.7109375" bestFit="1" customWidth="1"/>
    <col min="2" max="2" width="10.5703125" bestFit="1" customWidth="1"/>
    <col min="3" max="3" width="10.7109375" bestFit="1" customWidth="1"/>
    <col min="4" max="5" width="12.42578125" bestFit="1" customWidth="1"/>
    <col min="7" max="7" width="10.28515625" bestFit="1" customWidth="1"/>
    <col min="8" max="8" width="10.42578125" bestFit="1" customWidth="1"/>
    <col min="10" max="10" width="29.140625" bestFit="1" customWidth="1"/>
    <col min="11" max="12" width="14" bestFit="1" customWidth="1"/>
    <col min="13" max="20" width="12.5703125" bestFit="1" customWidth="1"/>
    <col min="21" max="29" width="12.28515625" bestFit="1" customWidth="1"/>
    <col min="30" max="87" width="13.7109375" bestFit="1" customWidth="1"/>
  </cols>
  <sheetData>
    <row r="1" spans="1:87" x14ac:dyDescent="0.25">
      <c r="A1" s="26"/>
      <c r="B1" s="26"/>
      <c r="C1" s="142"/>
      <c r="D1" s="142"/>
      <c r="E1" s="142"/>
      <c r="F1" s="26"/>
      <c r="G1" s="26"/>
      <c r="H1" s="26"/>
      <c r="I1" s="26"/>
      <c r="J1" s="26"/>
      <c r="K1" s="142">
        <v>1</v>
      </c>
      <c r="L1" s="142">
        <v>2</v>
      </c>
      <c r="M1" s="142">
        <v>3</v>
      </c>
      <c r="N1" s="142">
        <v>4</v>
      </c>
      <c r="O1" s="142">
        <v>5</v>
      </c>
      <c r="P1" s="142">
        <v>6</v>
      </c>
      <c r="Q1" s="142">
        <v>7</v>
      </c>
      <c r="R1" s="142">
        <v>8</v>
      </c>
      <c r="S1" s="142">
        <v>9</v>
      </c>
      <c r="T1" s="142">
        <v>10</v>
      </c>
      <c r="U1" s="142">
        <v>11</v>
      </c>
      <c r="V1" s="142">
        <v>12</v>
      </c>
      <c r="W1" s="142">
        <v>13</v>
      </c>
      <c r="X1" s="142">
        <v>14</v>
      </c>
      <c r="Y1" s="142">
        <v>15</v>
      </c>
      <c r="Z1" s="142">
        <v>16</v>
      </c>
      <c r="AA1" s="142">
        <v>17</v>
      </c>
      <c r="AB1" s="142">
        <v>18</v>
      </c>
      <c r="AC1" s="142">
        <v>19</v>
      </c>
      <c r="AD1" s="142">
        <v>20</v>
      </c>
      <c r="AE1" s="142">
        <v>21</v>
      </c>
      <c r="AF1" s="142">
        <v>22</v>
      </c>
      <c r="AG1" s="142">
        <v>23</v>
      </c>
      <c r="AH1" s="142">
        <v>24</v>
      </c>
      <c r="AI1" s="142">
        <v>25</v>
      </c>
      <c r="AJ1" s="142">
        <v>26</v>
      </c>
      <c r="AK1" s="142">
        <v>27</v>
      </c>
      <c r="AL1" s="142">
        <v>28</v>
      </c>
      <c r="AM1" s="142">
        <v>29</v>
      </c>
      <c r="AN1" s="142">
        <v>30</v>
      </c>
      <c r="AO1" s="142">
        <v>31</v>
      </c>
      <c r="AP1" s="142">
        <v>32</v>
      </c>
      <c r="AQ1" s="142">
        <v>33</v>
      </c>
      <c r="AR1" s="142">
        <v>34</v>
      </c>
      <c r="AS1" s="142">
        <v>35</v>
      </c>
      <c r="AT1" s="142">
        <v>36</v>
      </c>
      <c r="AU1" s="142">
        <v>37</v>
      </c>
      <c r="AV1" s="142">
        <v>38</v>
      </c>
      <c r="AW1" s="142">
        <v>39</v>
      </c>
      <c r="AX1" s="142">
        <v>40</v>
      </c>
      <c r="AY1" s="142">
        <v>41</v>
      </c>
      <c r="AZ1" s="142">
        <v>42</v>
      </c>
      <c r="BA1" s="142">
        <v>43</v>
      </c>
      <c r="BB1" s="142">
        <v>44</v>
      </c>
      <c r="BC1" s="142">
        <v>45</v>
      </c>
      <c r="BD1" s="142">
        <v>46</v>
      </c>
      <c r="BE1" s="142">
        <v>47</v>
      </c>
      <c r="BF1" s="142">
        <v>48</v>
      </c>
      <c r="BG1" s="142">
        <v>49</v>
      </c>
      <c r="BH1" s="142">
        <v>50</v>
      </c>
      <c r="BI1" s="142">
        <v>51</v>
      </c>
      <c r="BJ1" s="142">
        <v>52</v>
      </c>
      <c r="BK1" s="142">
        <v>53</v>
      </c>
      <c r="BL1" s="142">
        <v>54</v>
      </c>
      <c r="BM1" s="142">
        <v>55</v>
      </c>
      <c r="BN1" s="142">
        <v>56</v>
      </c>
      <c r="BO1" s="142">
        <v>57</v>
      </c>
      <c r="BP1" s="142">
        <v>58</v>
      </c>
      <c r="BQ1" s="142">
        <v>59</v>
      </c>
      <c r="BR1" s="142">
        <v>60</v>
      </c>
      <c r="BS1" s="142">
        <v>61</v>
      </c>
      <c r="BT1" s="142">
        <v>62</v>
      </c>
      <c r="BU1" s="142">
        <v>63</v>
      </c>
      <c r="BV1" s="142">
        <v>64</v>
      </c>
      <c r="BW1" s="142">
        <v>65</v>
      </c>
      <c r="BX1" s="142">
        <v>66</v>
      </c>
      <c r="BY1" s="142">
        <v>67</v>
      </c>
      <c r="BZ1" s="142">
        <v>68</v>
      </c>
      <c r="CA1" s="142">
        <v>69</v>
      </c>
      <c r="CB1" s="142">
        <v>70</v>
      </c>
      <c r="CC1" s="142">
        <v>71</v>
      </c>
      <c r="CD1" s="142">
        <v>72</v>
      </c>
      <c r="CE1" s="142">
        <v>73</v>
      </c>
      <c r="CF1" s="142">
        <v>74</v>
      </c>
      <c r="CG1" s="142">
        <v>75</v>
      </c>
      <c r="CH1" s="142">
        <v>76</v>
      </c>
      <c r="CI1" s="142">
        <v>77</v>
      </c>
    </row>
    <row r="2" spans="1:87" x14ac:dyDescent="0.25">
      <c r="A2" s="26"/>
      <c r="B2" s="26"/>
      <c r="C2" s="142"/>
      <c r="D2" s="142"/>
      <c r="E2" s="142"/>
      <c r="F2" s="26"/>
      <c r="G2" s="26"/>
      <c r="H2" s="26"/>
      <c r="I2" s="26"/>
      <c r="J2" s="26"/>
      <c r="K2" s="143" t="s">
        <v>681</v>
      </c>
      <c r="L2" s="143" t="s">
        <v>682</v>
      </c>
      <c r="M2" s="143" t="s">
        <v>683</v>
      </c>
      <c r="N2" s="143" t="s">
        <v>684</v>
      </c>
      <c r="O2" s="143" t="s">
        <v>685</v>
      </c>
      <c r="P2" s="143" t="s">
        <v>686</v>
      </c>
      <c r="Q2" s="143" t="s">
        <v>687</v>
      </c>
      <c r="R2" s="143" t="s">
        <v>688</v>
      </c>
      <c r="S2" s="143" t="s">
        <v>689</v>
      </c>
      <c r="T2" s="143" t="s">
        <v>690</v>
      </c>
      <c r="U2" s="143" t="s">
        <v>691</v>
      </c>
      <c r="V2" s="143" t="s">
        <v>692</v>
      </c>
      <c r="W2" s="143" t="s">
        <v>693</v>
      </c>
      <c r="X2" s="143" t="s">
        <v>694</v>
      </c>
      <c r="Y2" s="143" t="s">
        <v>695</v>
      </c>
      <c r="Z2" s="143" t="s">
        <v>696</v>
      </c>
      <c r="AA2" s="144" t="s">
        <v>681</v>
      </c>
      <c r="AB2" s="144" t="s">
        <v>682</v>
      </c>
      <c r="AC2" s="144" t="s">
        <v>683</v>
      </c>
      <c r="AD2" s="144" t="s">
        <v>684</v>
      </c>
      <c r="AE2" s="144" t="s">
        <v>685</v>
      </c>
      <c r="AF2" s="144" t="s">
        <v>686</v>
      </c>
      <c r="AG2" s="144" t="s">
        <v>687</v>
      </c>
      <c r="AH2" s="144" t="s">
        <v>688</v>
      </c>
      <c r="AI2" s="144" t="s">
        <v>689</v>
      </c>
      <c r="AJ2" s="144" t="s">
        <v>690</v>
      </c>
      <c r="AK2" s="144" t="s">
        <v>691</v>
      </c>
      <c r="AL2" s="144" t="s">
        <v>692</v>
      </c>
      <c r="AM2" s="144" t="s">
        <v>693</v>
      </c>
      <c r="AN2" s="144" t="s">
        <v>694</v>
      </c>
      <c r="AO2" s="144" t="s">
        <v>695</v>
      </c>
      <c r="AP2" s="144" t="s">
        <v>696</v>
      </c>
      <c r="AQ2" s="143" t="s">
        <v>681</v>
      </c>
      <c r="AR2" s="143" t="s">
        <v>682</v>
      </c>
      <c r="AS2" s="143" t="s">
        <v>683</v>
      </c>
      <c r="AT2" s="143" t="s">
        <v>684</v>
      </c>
      <c r="AU2" s="143" t="s">
        <v>685</v>
      </c>
      <c r="AV2" s="143" t="s">
        <v>686</v>
      </c>
      <c r="AW2" s="143" t="s">
        <v>687</v>
      </c>
      <c r="AX2" s="143" t="s">
        <v>688</v>
      </c>
      <c r="AY2" s="143" t="s">
        <v>689</v>
      </c>
      <c r="AZ2" s="143" t="s">
        <v>690</v>
      </c>
      <c r="BA2" s="143" t="s">
        <v>691</v>
      </c>
      <c r="BB2" s="143" t="s">
        <v>692</v>
      </c>
      <c r="BC2" s="143" t="s">
        <v>693</v>
      </c>
      <c r="BD2" s="143" t="s">
        <v>694</v>
      </c>
      <c r="BE2" s="143" t="s">
        <v>695</v>
      </c>
      <c r="BF2" s="143" t="s">
        <v>696</v>
      </c>
      <c r="BG2" s="144" t="s">
        <v>681</v>
      </c>
      <c r="BH2" s="143" t="s">
        <v>682</v>
      </c>
      <c r="BI2" s="143" t="s">
        <v>683</v>
      </c>
      <c r="BJ2" s="143" t="s">
        <v>684</v>
      </c>
      <c r="BK2" s="143" t="s">
        <v>685</v>
      </c>
      <c r="BL2" s="143" t="s">
        <v>686</v>
      </c>
      <c r="BM2" s="143" t="s">
        <v>687</v>
      </c>
      <c r="BN2" s="143" t="s">
        <v>688</v>
      </c>
      <c r="BO2" s="143" t="s">
        <v>689</v>
      </c>
      <c r="BP2" s="143" t="s">
        <v>690</v>
      </c>
      <c r="BQ2" s="143" t="s">
        <v>691</v>
      </c>
      <c r="BR2" s="143" t="s">
        <v>692</v>
      </c>
      <c r="BS2" s="143" t="s">
        <v>693</v>
      </c>
      <c r="BT2" s="143" t="s">
        <v>694</v>
      </c>
      <c r="BU2" s="143" t="s">
        <v>695</v>
      </c>
      <c r="BV2" s="143" t="s">
        <v>696</v>
      </c>
      <c r="BW2" s="143" t="s">
        <v>697</v>
      </c>
      <c r="BX2" s="143" t="s">
        <v>698</v>
      </c>
      <c r="BY2" s="143" t="s">
        <v>699</v>
      </c>
      <c r="BZ2" s="143" t="s">
        <v>700</v>
      </c>
      <c r="CA2" s="143" t="s">
        <v>701</v>
      </c>
      <c r="CB2" s="143" t="s">
        <v>702</v>
      </c>
      <c r="CC2" s="143" t="s">
        <v>703</v>
      </c>
      <c r="CD2" s="143" t="s">
        <v>704</v>
      </c>
      <c r="CE2" s="143" t="s">
        <v>705</v>
      </c>
      <c r="CF2" s="143" t="s">
        <v>706</v>
      </c>
      <c r="CG2" s="143" t="s">
        <v>707</v>
      </c>
      <c r="CH2" s="143" t="s">
        <v>708</v>
      </c>
      <c r="CI2" s="143" t="s">
        <v>709</v>
      </c>
    </row>
    <row r="3" spans="1:87" x14ac:dyDescent="0.25">
      <c r="A3" s="26"/>
      <c r="B3" s="26"/>
      <c r="C3" s="142"/>
      <c r="D3" s="142"/>
      <c r="E3" s="142"/>
      <c r="F3" s="26"/>
      <c r="G3" s="26"/>
      <c r="H3" s="26"/>
      <c r="I3" s="26"/>
      <c r="J3" s="145" t="s">
        <v>710</v>
      </c>
      <c r="K3" s="146">
        <v>1</v>
      </c>
      <c r="L3" s="146">
        <v>0</v>
      </c>
      <c r="M3" s="146">
        <v>1</v>
      </c>
      <c r="N3" s="146">
        <v>0</v>
      </c>
      <c r="O3" s="146">
        <v>1</v>
      </c>
      <c r="P3" s="146">
        <v>0</v>
      </c>
      <c r="Q3" s="146">
        <v>1</v>
      </c>
      <c r="R3" s="146">
        <v>0</v>
      </c>
      <c r="S3" s="146">
        <v>1</v>
      </c>
      <c r="T3" s="146">
        <v>0</v>
      </c>
      <c r="U3" s="146">
        <v>1</v>
      </c>
      <c r="V3" s="146">
        <v>0</v>
      </c>
      <c r="W3" s="146">
        <v>0</v>
      </c>
      <c r="X3" s="146">
        <v>0</v>
      </c>
      <c r="Y3" s="146">
        <v>1</v>
      </c>
      <c r="Z3" s="146">
        <v>0</v>
      </c>
      <c r="AA3" s="146">
        <v>1</v>
      </c>
      <c r="AB3" s="146">
        <v>0</v>
      </c>
      <c r="AC3" s="146">
        <v>1</v>
      </c>
      <c r="AD3" s="146">
        <v>0</v>
      </c>
      <c r="AE3" s="146">
        <v>1</v>
      </c>
      <c r="AF3" s="146">
        <v>0</v>
      </c>
      <c r="AG3" s="146">
        <v>1</v>
      </c>
      <c r="AH3" s="146">
        <v>0</v>
      </c>
      <c r="AI3" s="146">
        <v>1</v>
      </c>
      <c r="AJ3" s="146">
        <v>0</v>
      </c>
      <c r="AK3" s="146">
        <v>1</v>
      </c>
      <c r="AL3" s="146">
        <v>0</v>
      </c>
      <c r="AM3" s="146">
        <v>0</v>
      </c>
      <c r="AN3" s="146">
        <v>1</v>
      </c>
      <c r="AO3" s="146">
        <v>0</v>
      </c>
      <c r="AP3" s="146">
        <v>1</v>
      </c>
      <c r="AQ3" s="146">
        <v>0</v>
      </c>
      <c r="AR3" s="146">
        <v>1</v>
      </c>
      <c r="AS3" s="146">
        <v>0</v>
      </c>
      <c r="AT3" s="146">
        <v>1</v>
      </c>
      <c r="AU3" s="146">
        <v>0</v>
      </c>
      <c r="AV3" s="146">
        <v>1</v>
      </c>
      <c r="AW3" s="146">
        <v>0</v>
      </c>
      <c r="AX3" s="146">
        <v>1</v>
      </c>
      <c r="AY3" s="146">
        <v>0</v>
      </c>
      <c r="AZ3" s="146">
        <v>1</v>
      </c>
      <c r="BA3" s="146">
        <v>0</v>
      </c>
      <c r="BB3" s="146">
        <v>0</v>
      </c>
      <c r="BC3" s="146">
        <v>0</v>
      </c>
      <c r="BD3" s="146">
        <v>1</v>
      </c>
      <c r="BE3" s="146">
        <v>0</v>
      </c>
      <c r="BF3" s="146">
        <v>1</v>
      </c>
      <c r="BG3" s="146">
        <v>0</v>
      </c>
      <c r="BH3" s="146">
        <v>1</v>
      </c>
      <c r="BI3" s="146">
        <v>0</v>
      </c>
      <c r="BJ3" s="146">
        <v>1</v>
      </c>
      <c r="BK3" s="146">
        <v>0</v>
      </c>
      <c r="BL3" s="146">
        <v>1</v>
      </c>
      <c r="BM3" s="146">
        <v>0</v>
      </c>
      <c r="BN3" s="146">
        <v>1</v>
      </c>
      <c r="BO3" s="146">
        <v>0</v>
      </c>
      <c r="BP3" s="146">
        <v>1</v>
      </c>
      <c r="BQ3" s="146">
        <v>0</v>
      </c>
      <c r="BR3" s="146">
        <v>0</v>
      </c>
      <c r="BS3" s="146">
        <v>0</v>
      </c>
      <c r="BT3" s="146">
        <v>1</v>
      </c>
      <c r="BU3" s="146">
        <v>0</v>
      </c>
      <c r="BV3" s="146">
        <v>1</v>
      </c>
      <c r="BW3" s="146">
        <v>0</v>
      </c>
      <c r="BX3" s="146">
        <v>1</v>
      </c>
      <c r="BY3" s="146">
        <v>0</v>
      </c>
      <c r="BZ3" s="146">
        <v>1</v>
      </c>
      <c r="CA3" s="146">
        <v>0</v>
      </c>
      <c r="CB3" s="146">
        <v>1</v>
      </c>
      <c r="CC3" s="146">
        <v>0</v>
      </c>
      <c r="CD3" s="146">
        <v>1</v>
      </c>
      <c r="CE3" s="146">
        <v>0</v>
      </c>
      <c r="CF3" s="146">
        <v>1</v>
      </c>
      <c r="CG3" s="146">
        <v>0</v>
      </c>
      <c r="CH3" s="146">
        <v>0</v>
      </c>
      <c r="CI3" s="146">
        <v>0</v>
      </c>
    </row>
    <row r="4" spans="1:87" ht="30" x14ac:dyDescent="0.25">
      <c r="A4" s="147" t="s">
        <v>711</v>
      </c>
      <c r="B4" s="142">
        <f>B5+B6+B7+B8</f>
        <v>60965</v>
      </c>
      <c r="C4" s="148" t="s">
        <v>712</v>
      </c>
      <c r="D4" s="148" t="s">
        <v>713</v>
      </c>
      <c r="E4" s="149" t="s">
        <v>714</v>
      </c>
      <c r="F4" s="148" t="s">
        <v>715</v>
      </c>
      <c r="G4" s="148" t="s">
        <v>716</v>
      </c>
      <c r="H4" s="148" t="s">
        <v>717</v>
      </c>
      <c r="I4" s="26"/>
      <c r="J4" s="145" t="s">
        <v>718</v>
      </c>
      <c r="K4" s="146">
        <v>0</v>
      </c>
      <c r="L4" s="146">
        <v>0</v>
      </c>
      <c r="M4" s="146">
        <v>0</v>
      </c>
      <c r="N4" s="146">
        <v>0</v>
      </c>
      <c r="O4" s="146">
        <v>0</v>
      </c>
      <c r="P4" s="146">
        <v>0</v>
      </c>
      <c r="Q4" s="146">
        <v>0</v>
      </c>
      <c r="R4" s="146">
        <v>0</v>
      </c>
      <c r="S4" s="146">
        <v>0</v>
      </c>
      <c r="T4" s="146">
        <v>0</v>
      </c>
      <c r="U4" s="146">
        <v>0</v>
      </c>
      <c r="V4" s="146">
        <v>0</v>
      </c>
      <c r="W4" s="146">
        <v>0</v>
      </c>
      <c r="X4" s="146">
        <v>0</v>
      </c>
      <c r="Y4" s="146">
        <v>0</v>
      </c>
      <c r="Z4" s="146">
        <v>0</v>
      </c>
      <c r="AA4" s="146">
        <v>0</v>
      </c>
      <c r="AB4" s="146">
        <v>0</v>
      </c>
      <c r="AC4" s="146">
        <v>0</v>
      </c>
      <c r="AD4" s="146">
        <v>0</v>
      </c>
      <c r="AE4" s="146">
        <v>0</v>
      </c>
      <c r="AF4" s="146">
        <v>0</v>
      </c>
      <c r="AG4" s="146">
        <v>0</v>
      </c>
      <c r="AH4" s="146">
        <v>0</v>
      </c>
      <c r="AI4" s="146">
        <v>0</v>
      </c>
      <c r="AJ4" s="146">
        <v>0</v>
      </c>
      <c r="AK4" s="146">
        <v>0</v>
      </c>
      <c r="AL4" s="146">
        <v>0</v>
      </c>
      <c r="AM4" s="146">
        <v>0</v>
      </c>
      <c r="AN4" s="146">
        <v>0</v>
      </c>
      <c r="AO4" s="146">
        <v>0</v>
      </c>
      <c r="AP4" s="146">
        <v>0</v>
      </c>
      <c r="AQ4" s="146">
        <v>0</v>
      </c>
      <c r="AR4" s="146">
        <v>0</v>
      </c>
      <c r="AS4" s="146">
        <v>0</v>
      </c>
      <c r="AT4" s="146">
        <v>0</v>
      </c>
      <c r="AU4" s="146">
        <v>0</v>
      </c>
      <c r="AV4" s="146">
        <v>0</v>
      </c>
      <c r="AW4" s="146">
        <v>0</v>
      </c>
      <c r="AX4" s="146">
        <v>0</v>
      </c>
      <c r="AY4" s="146">
        <v>0</v>
      </c>
      <c r="AZ4" s="146">
        <v>0</v>
      </c>
      <c r="BA4" s="146">
        <v>0</v>
      </c>
      <c r="BB4" s="146">
        <v>0</v>
      </c>
      <c r="BC4" s="146">
        <v>0</v>
      </c>
      <c r="BD4" s="146">
        <v>0</v>
      </c>
      <c r="BE4" s="146">
        <v>0</v>
      </c>
      <c r="BF4" s="146">
        <v>0</v>
      </c>
      <c r="BG4" s="146">
        <v>0</v>
      </c>
      <c r="BH4" s="146">
        <v>0</v>
      </c>
      <c r="BI4" s="146">
        <v>0</v>
      </c>
      <c r="BJ4" s="146">
        <v>0</v>
      </c>
      <c r="BK4" s="146">
        <v>0</v>
      </c>
      <c r="BL4" s="146">
        <v>0</v>
      </c>
      <c r="BM4" s="146">
        <v>0</v>
      </c>
      <c r="BN4" s="146">
        <v>0</v>
      </c>
      <c r="BO4" s="146">
        <v>0</v>
      </c>
      <c r="BP4" s="146">
        <v>0</v>
      </c>
      <c r="BQ4" s="146">
        <v>0</v>
      </c>
      <c r="BR4" s="146">
        <v>0</v>
      </c>
      <c r="BS4" s="146">
        <v>0</v>
      </c>
      <c r="BT4" s="146">
        <v>0</v>
      </c>
      <c r="BU4" s="146">
        <v>0</v>
      </c>
      <c r="BV4" s="146">
        <v>0</v>
      </c>
      <c r="BW4" s="146">
        <v>0</v>
      </c>
      <c r="BX4" s="146">
        <v>0</v>
      </c>
      <c r="BY4" s="146">
        <v>0</v>
      </c>
      <c r="BZ4" s="146">
        <v>0</v>
      </c>
      <c r="CA4" s="146">
        <v>0</v>
      </c>
      <c r="CB4" s="146">
        <v>0</v>
      </c>
      <c r="CC4" s="146">
        <v>0</v>
      </c>
      <c r="CD4" s="146">
        <v>0</v>
      </c>
      <c r="CE4" s="146">
        <v>0</v>
      </c>
      <c r="CF4" s="146">
        <v>0</v>
      </c>
      <c r="CG4" s="146">
        <v>0</v>
      </c>
      <c r="CH4" s="146">
        <v>0</v>
      </c>
      <c r="CI4" s="146">
        <v>0</v>
      </c>
    </row>
    <row r="5" spans="1:87" ht="30" x14ac:dyDescent="0.25">
      <c r="A5" s="147" t="s">
        <v>719</v>
      </c>
      <c r="B5" s="150">
        <v>34888</v>
      </c>
      <c r="C5" s="151">
        <v>0.5</v>
      </c>
      <c r="D5" s="151">
        <v>45</v>
      </c>
      <c r="E5" s="151">
        <v>7</v>
      </c>
      <c r="F5" s="151">
        <v>6</v>
      </c>
      <c r="G5" s="151">
        <f>C5*B5</f>
        <v>17444</v>
      </c>
      <c r="H5" s="151">
        <f>B5*E5</f>
        <v>244216</v>
      </c>
      <c r="I5" s="26"/>
      <c r="J5" s="152" t="s">
        <v>720</v>
      </c>
      <c r="K5" s="152">
        <v>2983</v>
      </c>
      <c r="L5" s="152">
        <f>K5-12</f>
        <v>2971</v>
      </c>
      <c r="M5" s="152">
        <f t="shared" ref="M5:BG5" si="0">L5-12</f>
        <v>2959</v>
      </c>
      <c r="N5" s="152">
        <f t="shared" si="0"/>
        <v>2947</v>
      </c>
      <c r="O5" s="152">
        <f t="shared" si="0"/>
        <v>2935</v>
      </c>
      <c r="P5" s="152">
        <f t="shared" si="0"/>
        <v>2923</v>
      </c>
      <c r="Q5" s="152">
        <f t="shared" si="0"/>
        <v>2911</v>
      </c>
      <c r="R5" s="152">
        <f t="shared" si="0"/>
        <v>2899</v>
      </c>
      <c r="S5" s="152">
        <f t="shared" si="0"/>
        <v>2887</v>
      </c>
      <c r="T5" s="152">
        <f t="shared" si="0"/>
        <v>2875</v>
      </c>
      <c r="U5" s="152">
        <f t="shared" si="0"/>
        <v>2863</v>
      </c>
      <c r="V5" s="152">
        <f t="shared" si="0"/>
        <v>2851</v>
      </c>
      <c r="W5" s="152">
        <f t="shared" si="0"/>
        <v>2839</v>
      </c>
      <c r="X5" s="152">
        <f t="shared" si="0"/>
        <v>2827</v>
      </c>
      <c r="Y5" s="152">
        <f t="shared" si="0"/>
        <v>2815</v>
      </c>
      <c r="Z5" s="152">
        <f t="shared" si="0"/>
        <v>2803</v>
      </c>
      <c r="AA5" s="152">
        <f>Z5*0.9</f>
        <v>2522.7000000000003</v>
      </c>
      <c r="AB5" s="152">
        <f t="shared" si="0"/>
        <v>2510.7000000000003</v>
      </c>
      <c r="AC5" s="152">
        <f t="shared" si="0"/>
        <v>2498.7000000000003</v>
      </c>
      <c r="AD5" s="152">
        <f t="shared" si="0"/>
        <v>2486.7000000000003</v>
      </c>
      <c r="AE5" s="152">
        <f t="shared" si="0"/>
        <v>2474.7000000000003</v>
      </c>
      <c r="AF5" s="152">
        <f t="shared" si="0"/>
        <v>2462.7000000000003</v>
      </c>
      <c r="AG5" s="152">
        <f t="shared" si="0"/>
        <v>2450.7000000000003</v>
      </c>
      <c r="AH5" s="152">
        <f t="shared" si="0"/>
        <v>2438.7000000000003</v>
      </c>
      <c r="AI5" s="152">
        <f t="shared" si="0"/>
        <v>2426.7000000000003</v>
      </c>
      <c r="AJ5" s="152">
        <f t="shared" si="0"/>
        <v>2414.7000000000003</v>
      </c>
      <c r="AK5" s="152">
        <f t="shared" si="0"/>
        <v>2402.7000000000003</v>
      </c>
      <c r="AL5" s="152">
        <f t="shared" si="0"/>
        <v>2390.7000000000003</v>
      </c>
      <c r="AM5" s="152">
        <f t="shared" si="0"/>
        <v>2378.7000000000003</v>
      </c>
      <c r="AN5" s="152">
        <f t="shared" si="0"/>
        <v>2366.7000000000003</v>
      </c>
      <c r="AO5" s="152">
        <f t="shared" si="0"/>
        <v>2354.7000000000003</v>
      </c>
      <c r="AP5" s="152">
        <f t="shared" si="0"/>
        <v>2342.7000000000003</v>
      </c>
      <c r="AQ5" s="152">
        <f>AP5*0.9</f>
        <v>2108.4300000000003</v>
      </c>
      <c r="AR5" s="152">
        <f t="shared" si="0"/>
        <v>2096.4300000000003</v>
      </c>
      <c r="AS5" s="152">
        <f t="shared" si="0"/>
        <v>2084.4300000000003</v>
      </c>
      <c r="AT5" s="152">
        <f t="shared" si="0"/>
        <v>2072.4300000000003</v>
      </c>
      <c r="AU5" s="152">
        <f t="shared" si="0"/>
        <v>2060.4300000000003</v>
      </c>
      <c r="AV5" s="152">
        <f t="shared" si="0"/>
        <v>2048.4300000000003</v>
      </c>
      <c r="AW5" s="152">
        <f t="shared" si="0"/>
        <v>2036.4300000000003</v>
      </c>
      <c r="AX5" s="152">
        <f t="shared" si="0"/>
        <v>2024.4300000000003</v>
      </c>
      <c r="AY5" s="152">
        <f t="shared" si="0"/>
        <v>2012.4300000000003</v>
      </c>
      <c r="AZ5" s="152">
        <f t="shared" si="0"/>
        <v>2000.4300000000003</v>
      </c>
      <c r="BA5" s="152">
        <f t="shared" si="0"/>
        <v>1988.4300000000003</v>
      </c>
      <c r="BB5" s="152">
        <f t="shared" si="0"/>
        <v>1976.4300000000003</v>
      </c>
      <c r="BC5" s="152">
        <f t="shared" si="0"/>
        <v>1964.4300000000003</v>
      </c>
      <c r="BD5" s="152">
        <f t="shared" si="0"/>
        <v>1952.4300000000003</v>
      </c>
      <c r="BE5" s="152">
        <f t="shared" si="0"/>
        <v>1940.4300000000003</v>
      </c>
      <c r="BF5" s="152">
        <f t="shared" si="0"/>
        <v>1928.4300000000003</v>
      </c>
      <c r="BG5" s="152">
        <f t="shared" si="0"/>
        <v>1916.4300000000003</v>
      </c>
      <c r="BH5" s="152">
        <f t="shared" ref="BH5:CI5" si="1">BG5</f>
        <v>1916.4300000000003</v>
      </c>
      <c r="BI5" s="152">
        <f t="shared" si="1"/>
        <v>1916.4300000000003</v>
      </c>
      <c r="BJ5" s="152">
        <f t="shared" si="1"/>
        <v>1916.4300000000003</v>
      </c>
      <c r="BK5" s="152">
        <f t="shared" si="1"/>
        <v>1916.4300000000003</v>
      </c>
      <c r="BL5" s="152">
        <f t="shared" si="1"/>
        <v>1916.4300000000003</v>
      </c>
      <c r="BM5" s="152">
        <f t="shared" si="1"/>
        <v>1916.4300000000003</v>
      </c>
      <c r="BN5" s="152">
        <f t="shared" si="1"/>
        <v>1916.4300000000003</v>
      </c>
      <c r="BO5" s="152">
        <f t="shared" si="1"/>
        <v>1916.4300000000003</v>
      </c>
      <c r="BP5" s="152">
        <f t="shared" si="1"/>
        <v>1916.4300000000003</v>
      </c>
      <c r="BQ5" s="152">
        <f t="shared" si="1"/>
        <v>1916.4300000000003</v>
      </c>
      <c r="BR5" s="152">
        <f t="shared" si="1"/>
        <v>1916.4300000000003</v>
      </c>
      <c r="BS5" s="152">
        <f t="shared" si="1"/>
        <v>1916.4300000000003</v>
      </c>
      <c r="BT5" s="152">
        <f t="shared" si="1"/>
        <v>1916.4300000000003</v>
      </c>
      <c r="BU5" s="152">
        <f t="shared" si="1"/>
        <v>1916.4300000000003</v>
      </c>
      <c r="BV5" s="152">
        <f t="shared" si="1"/>
        <v>1916.4300000000003</v>
      </c>
      <c r="BW5" s="152">
        <f t="shared" si="1"/>
        <v>1916.4300000000003</v>
      </c>
      <c r="BX5" s="152">
        <f t="shared" si="1"/>
        <v>1916.4300000000003</v>
      </c>
      <c r="BY5" s="152">
        <f t="shared" si="1"/>
        <v>1916.4300000000003</v>
      </c>
      <c r="BZ5" s="152">
        <f t="shared" si="1"/>
        <v>1916.4300000000003</v>
      </c>
      <c r="CA5" s="152">
        <f t="shared" si="1"/>
        <v>1916.4300000000003</v>
      </c>
      <c r="CB5" s="152">
        <f t="shared" si="1"/>
        <v>1916.4300000000003</v>
      </c>
      <c r="CC5" s="152">
        <f t="shared" si="1"/>
        <v>1916.4300000000003</v>
      </c>
      <c r="CD5" s="152">
        <f t="shared" si="1"/>
        <v>1916.4300000000003</v>
      </c>
      <c r="CE5" s="152">
        <f t="shared" si="1"/>
        <v>1916.4300000000003</v>
      </c>
      <c r="CF5" s="152">
        <f t="shared" si="1"/>
        <v>1916.4300000000003</v>
      </c>
      <c r="CG5" s="152">
        <f t="shared" si="1"/>
        <v>1916.4300000000003</v>
      </c>
      <c r="CH5" s="152">
        <f t="shared" si="1"/>
        <v>1916.4300000000003</v>
      </c>
      <c r="CI5" s="152">
        <f t="shared" si="1"/>
        <v>1916.4300000000003</v>
      </c>
    </row>
    <row r="6" spans="1:87" ht="30" x14ac:dyDescent="0.25">
      <c r="A6" s="147" t="s">
        <v>721</v>
      </c>
      <c r="B6" s="150">
        <v>13391</v>
      </c>
      <c r="C6" s="151">
        <v>0.7</v>
      </c>
      <c r="D6" s="151">
        <v>75</v>
      </c>
      <c r="E6" s="151">
        <v>10</v>
      </c>
      <c r="F6" s="151">
        <v>6</v>
      </c>
      <c r="G6" s="151">
        <f t="shared" ref="G6:G8" si="2">C6*B6</f>
        <v>9373.6999999999989</v>
      </c>
      <c r="H6" s="151">
        <f t="shared" ref="H6:H8" si="3">B6*E6</f>
        <v>133910</v>
      </c>
      <c r="I6" s="26"/>
      <c r="J6" s="153" t="s">
        <v>722</v>
      </c>
      <c r="K6" s="154">
        <f>K5*$B$20</f>
        <v>25116.86</v>
      </c>
      <c r="L6" s="154">
        <f t="shared" ref="L6:BF6" si="4">L5*$B$20</f>
        <v>25015.82</v>
      </c>
      <c r="M6" s="154">
        <f t="shared" si="4"/>
        <v>24914.78</v>
      </c>
      <c r="N6" s="154">
        <f t="shared" si="4"/>
        <v>24813.74</v>
      </c>
      <c r="O6" s="154">
        <f t="shared" si="4"/>
        <v>24712.7</v>
      </c>
      <c r="P6" s="154">
        <f t="shared" si="4"/>
        <v>24611.66</v>
      </c>
      <c r="Q6" s="154">
        <f t="shared" si="4"/>
        <v>24510.62</v>
      </c>
      <c r="R6" s="154">
        <f t="shared" si="4"/>
        <v>24409.579999999998</v>
      </c>
      <c r="S6" s="154">
        <f t="shared" si="4"/>
        <v>24308.54</v>
      </c>
      <c r="T6" s="154">
        <f t="shared" si="4"/>
        <v>24207.5</v>
      </c>
      <c r="U6" s="154">
        <f t="shared" si="4"/>
        <v>24106.46</v>
      </c>
      <c r="V6" s="154">
        <f t="shared" si="4"/>
        <v>24005.42</v>
      </c>
      <c r="W6" s="154">
        <f t="shared" si="4"/>
        <v>23904.38</v>
      </c>
      <c r="X6" s="154">
        <f t="shared" si="4"/>
        <v>23803.34</v>
      </c>
      <c r="Y6" s="154">
        <f t="shared" si="4"/>
        <v>23702.3</v>
      </c>
      <c r="Z6" s="154">
        <f t="shared" si="4"/>
        <v>23601.26</v>
      </c>
      <c r="AA6" s="154">
        <f t="shared" si="4"/>
        <v>21241.134000000002</v>
      </c>
      <c r="AB6" s="154">
        <f t="shared" si="4"/>
        <v>21140.094000000001</v>
      </c>
      <c r="AC6" s="154">
        <f t="shared" si="4"/>
        <v>21039.054000000004</v>
      </c>
      <c r="AD6" s="154">
        <f t="shared" si="4"/>
        <v>20938.014000000003</v>
      </c>
      <c r="AE6" s="154">
        <f t="shared" si="4"/>
        <v>20836.974000000002</v>
      </c>
      <c r="AF6" s="154">
        <f t="shared" si="4"/>
        <v>20735.934000000001</v>
      </c>
      <c r="AG6" s="154">
        <f t="shared" si="4"/>
        <v>20634.894000000004</v>
      </c>
      <c r="AH6" s="154">
        <f t="shared" si="4"/>
        <v>20533.854000000003</v>
      </c>
      <c r="AI6" s="154">
        <f t="shared" si="4"/>
        <v>20432.814000000002</v>
      </c>
      <c r="AJ6" s="154">
        <f t="shared" si="4"/>
        <v>20331.774000000001</v>
      </c>
      <c r="AK6" s="154">
        <f t="shared" si="4"/>
        <v>20230.734</v>
      </c>
      <c r="AL6" s="154">
        <f t="shared" si="4"/>
        <v>20129.694000000003</v>
      </c>
      <c r="AM6" s="154">
        <f t="shared" si="4"/>
        <v>20028.654000000002</v>
      </c>
      <c r="AN6" s="154">
        <f t="shared" si="4"/>
        <v>19927.614000000001</v>
      </c>
      <c r="AO6" s="154">
        <f t="shared" si="4"/>
        <v>19826.574000000001</v>
      </c>
      <c r="AP6" s="154">
        <f t="shared" si="4"/>
        <v>19725.534000000003</v>
      </c>
      <c r="AQ6" s="154">
        <f t="shared" si="4"/>
        <v>17752.980600000003</v>
      </c>
      <c r="AR6" s="154">
        <f t="shared" si="4"/>
        <v>17651.940600000002</v>
      </c>
      <c r="AS6" s="154">
        <f t="shared" si="4"/>
        <v>17550.900600000001</v>
      </c>
      <c r="AT6" s="154">
        <f t="shared" si="4"/>
        <v>17449.860600000004</v>
      </c>
      <c r="AU6" s="154">
        <f t="shared" si="4"/>
        <v>17348.820600000003</v>
      </c>
      <c r="AV6" s="154">
        <f t="shared" si="4"/>
        <v>17247.780600000002</v>
      </c>
      <c r="AW6" s="154">
        <f t="shared" si="4"/>
        <v>17146.740600000001</v>
      </c>
      <c r="AX6" s="154">
        <f t="shared" si="4"/>
        <v>17045.700600000004</v>
      </c>
      <c r="AY6" s="154">
        <f t="shared" si="4"/>
        <v>16944.660600000003</v>
      </c>
      <c r="AZ6" s="154">
        <f t="shared" si="4"/>
        <v>16843.620600000002</v>
      </c>
      <c r="BA6" s="154">
        <f t="shared" si="4"/>
        <v>16742.580600000001</v>
      </c>
      <c r="BB6" s="154">
        <f t="shared" si="4"/>
        <v>16641.540600000004</v>
      </c>
      <c r="BC6" s="154">
        <f t="shared" si="4"/>
        <v>16540.500600000003</v>
      </c>
      <c r="BD6" s="154">
        <f t="shared" si="4"/>
        <v>16439.460600000002</v>
      </c>
      <c r="BE6" s="154">
        <f t="shared" si="4"/>
        <v>16338.420600000003</v>
      </c>
      <c r="BF6" s="154">
        <f t="shared" si="4"/>
        <v>16237.380600000002</v>
      </c>
      <c r="BG6" s="154">
        <f t="shared" ref="BG6:BS6" si="5">BG5*$B$14</f>
        <v>24415.318200000005</v>
      </c>
      <c r="BH6" s="154">
        <f t="shared" si="5"/>
        <v>24415.318200000005</v>
      </c>
      <c r="BI6" s="154">
        <f t="shared" si="5"/>
        <v>24415.318200000005</v>
      </c>
      <c r="BJ6" s="154">
        <f t="shared" si="5"/>
        <v>24415.318200000005</v>
      </c>
      <c r="BK6" s="154">
        <f t="shared" si="5"/>
        <v>24415.318200000005</v>
      </c>
      <c r="BL6" s="154">
        <f t="shared" si="5"/>
        <v>24415.318200000005</v>
      </c>
      <c r="BM6" s="154">
        <f t="shared" si="5"/>
        <v>24415.318200000005</v>
      </c>
      <c r="BN6" s="154">
        <f t="shared" si="5"/>
        <v>24415.318200000005</v>
      </c>
      <c r="BO6" s="154">
        <f t="shared" si="5"/>
        <v>24415.318200000005</v>
      </c>
      <c r="BP6" s="154">
        <f t="shared" si="5"/>
        <v>24415.318200000005</v>
      </c>
      <c r="BQ6" s="154">
        <f t="shared" si="5"/>
        <v>24415.318200000005</v>
      </c>
      <c r="BR6" s="154">
        <f t="shared" si="5"/>
        <v>24415.318200000005</v>
      </c>
      <c r="BS6" s="154">
        <f t="shared" si="5"/>
        <v>24415.318200000005</v>
      </c>
      <c r="BT6" s="154">
        <f>BT5*$B$14</f>
        <v>24415.318200000005</v>
      </c>
      <c r="BU6" s="154">
        <f>BU5*$B$14</f>
        <v>24415.318200000005</v>
      </c>
      <c r="BV6" s="154">
        <f>BV5*$B$14</f>
        <v>24415.318200000005</v>
      </c>
      <c r="BW6" s="154">
        <f t="shared" ref="BW6:CI6" si="6">BW5*$B$14</f>
        <v>24415.318200000005</v>
      </c>
      <c r="BX6" s="154">
        <f t="shared" si="6"/>
        <v>24415.318200000005</v>
      </c>
      <c r="BY6" s="154">
        <f t="shared" si="6"/>
        <v>24415.318200000005</v>
      </c>
      <c r="BZ6" s="154">
        <f t="shared" si="6"/>
        <v>24415.318200000005</v>
      </c>
      <c r="CA6" s="154">
        <f t="shared" si="6"/>
        <v>24415.318200000005</v>
      </c>
      <c r="CB6" s="154">
        <f t="shared" si="6"/>
        <v>24415.318200000005</v>
      </c>
      <c r="CC6" s="154">
        <f t="shared" si="6"/>
        <v>24415.318200000005</v>
      </c>
      <c r="CD6" s="154">
        <f t="shared" si="6"/>
        <v>24415.318200000005</v>
      </c>
      <c r="CE6" s="154">
        <f t="shared" si="6"/>
        <v>24415.318200000005</v>
      </c>
      <c r="CF6" s="154">
        <f t="shared" si="6"/>
        <v>24415.318200000005</v>
      </c>
      <c r="CG6" s="154">
        <f t="shared" si="6"/>
        <v>24415.318200000005</v>
      </c>
      <c r="CH6" s="154">
        <f t="shared" si="6"/>
        <v>24415.318200000005</v>
      </c>
      <c r="CI6" s="154">
        <f t="shared" si="6"/>
        <v>24415.318200000005</v>
      </c>
    </row>
    <row r="7" spans="1:87" x14ac:dyDescent="0.25">
      <c r="A7" s="147" t="s">
        <v>723</v>
      </c>
      <c r="B7" s="150">
        <v>11289</v>
      </c>
      <c r="C7" s="151">
        <v>1</v>
      </c>
      <c r="D7" s="151">
        <v>90</v>
      </c>
      <c r="E7" s="151">
        <v>19</v>
      </c>
      <c r="F7" s="151">
        <v>6</v>
      </c>
      <c r="G7" s="151">
        <f t="shared" si="2"/>
        <v>11289</v>
      </c>
      <c r="H7" s="151">
        <f t="shared" si="3"/>
        <v>214491</v>
      </c>
      <c r="I7" s="26"/>
      <c r="J7" s="153" t="s">
        <v>724</v>
      </c>
      <c r="K7" s="154">
        <f>K5*$C$20</f>
        <v>8143.59</v>
      </c>
      <c r="L7" s="154">
        <f t="shared" ref="L7:BF7" si="7">L5*$C$20</f>
        <v>8110.83</v>
      </c>
      <c r="M7" s="154">
        <f t="shared" si="7"/>
        <v>8078.07</v>
      </c>
      <c r="N7" s="154">
        <f t="shared" si="7"/>
        <v>8045.31</v>
      </c>
      <c r="O7" s="154">
        <f t="shared" si="7"/>
        <v>8012.55</v>
      </c>
      <c r="P7" s="154">
        <f t="shared" si="7"/>
        <v>7979.79</v>
      </c>
      <c r="Q7" s="154">
        <f t="shared" si="7"/>
        <v>7947.03</v>
      </c>
      <c r="R7" s="154">
        <f t="shared" si="7"/>
        <v>7914.2699999999995</v>
      </c>
      <c r="S7" s="154">
        <f t="shared" si="7"/>
        <v>7881.51</v>
      </c>
      <c r="T7" s="154">
        <f t="shared" si="7"/>
        <v>7848.75</v>
      </c>
      <c r="U7" s="154">
        <f t="shared" si="7"/>
        <v>7815.99</v>
      </c>
      <c r="V7" s="154">
        <f t="shared" si="7"/>
        <v>7783.23</v>
      </c>
      <c r="W7" s="154">
        <f t="shared" si="7"/>
        <v>7750.47</v>
      </c>
      <c r="X7" s="154">
        <f t="shared" si="7"/>
        <v>7717.71</v>
      </c>
      <c r="Y7" s="154">
        <f t="shared" si="7"/>
        <v>7684.95</v>
      </c>
      <c r="Z7" s="154">
        <f t="shared" si="7"/>
        <v>7652.19</v>
      </c>
      <c r="AA7" s="154">
        <f t="shared" si="7"/>
        <v>6886.9710000000005</v>
      </c>
      <c r="AB7" s="154">
        <f t="shared" si="7"/>
        <v>6854.2110000000011</v>
      </c>
      <c r="AC7" s="154">
        <f t="shared" si="7"/>
        <v>6821.4510000000009</v>
      </c>
      <c r="AD7" s="154">
        <f t="shared" si="7"/>
        <v>6788.6910000000007</v>
      </c>
      <c r="AE7" s="154">
        <f t="shared" si="7"/>
        <v>6755.9310000000005</v>
      </c>
      <c r="AF7" s="154">
        <f t="shared" si="7"/>
        <v>6723.1710000000003</v>
      </c>
      <c r="AG7" s="154">
        <f t="shared" si="7"/>
        <v>6690.411000000001</v>
      </c>
      <c r="AH7" s="154">
        <f t="shared" si="7"/>
        <v>6657.6510000000007</v>
      </c>
      <c r="AI7" s="154">
        <f t="shared" si="7"/>
        <v>6624.8910000000005</v>
      </c>
      <c r="AJ7" s="154">
        <f t="shared" si="7"/>
        <v>6592.1310000000003</v>
      </c>
      <c r="AK7" s="154">
        <f t="shared" si="7"/>
        <v>6559.371000000001</v>
      </c>
      <c r="AL7" s="154">
        <f t="shared" si="7"/>
        <v>6526.6110000000008</v>
      </c>
      <c r="AM7" s="154">
        <f t="shared" si="7"/>
        <v>6493.8510000000006</v>
      </c>
      <c r="AN7" s="154">
        <f t="shared" si="7"/>
        <v>6461.0910000000003</v>
      </c>
      <c r="AO7" s="154">
        <f t="shared" si="7"/>
        <v>6428.331000000001</v>
      </c>
      <c r="AP7" s="154">
        <f t="shared" si="7"/>
        <v>6395.5710000000008</v>
      </c>
      <c r="AQ7" s="154">
        <f t="shared" si="7"/>
        <v>5756.0139000000008</v>
      </c>
      <c r="AR7" s="154">
        <f t="shared" si="7"/>
        <v>5723.2539000000006</v>
      </c>
      <c r="AS7" s="154">
        <f t="shared" si="7"/>
        <v>5690.4939000000004</v>
      </c>
      <c r="AT7" s="154">
        <f t="shared" si="7"/>
        <v>5657.7339000000011</v>
      </c>
      <c r="AU7" s="154">
        <f t="shared" si="7"/>
        <v>5624.9739000000009</v>
      </c>
      <c r="AV7" s="154">
        <f t="shared" si="7"/>
        <v>5592.2139000000006</v>
      </c>
      <c r="AW7" s="154">
        <f t="shared" si="7"/>
        <v>5559.4539000000004</v>
      </c>
      <c r="AX7" s="154">
        <f t="shared" si="7"/>
        <v>5526.6939000000011</v>
      </c>
      <c r="AY7" s="154">
        <f t="shared" si="7"/>
        <v>5493.9339000000009</v>
      </c>
      <c r="AZ7" s="154">
        <f t="shared" si="7"/>
        <v>5461.1739000000007</v>
      </c>
      <c r="BA7" s="154">
        <f t="shared" si="7"/>
        <v>5428.4139000000005</v>
      </c>
      <c r="BB7" s="154">
        <f t="shared" si="7"/>
        <v>5395.6539000000012</v>
      </c>
      <c r="BC7" s="154">
        <f t="shared" si="7"/>
        <v>5362.8939000000009</v>
      </c>
      <c r="BD7" s="154">
        <f t="shared" si="7"/>
        <v>5330.1339000000007</v>
      </c>
      <c r="BE7" s="154">
        <f t="shared" si="7"/>
        <v>5297.3739000000005</v>
      </c>
      <c r="BF7" s="154">
        <f t="shared" si="7"/>
        <v>5264.6139000000012</v>
      </c>
      <c r="BG7" s="154">
        <f t="shared" ref="BG7:BS7" si="8">BG5*$C$14</f>
        <v>9371.3427000000011</v>
      </c>
      <c r="BH7" s="154">
        <f t="shared" si="8"/>
        <v>9371.3427000000011</v>
      </c>
      <c r="BI7" s="154">
        <f t="shared" si="8"/>
        <v>9371.3427000000011</v>
      </c>
      <c r="BJ7" s="154">
        <f t="shared" si="8"/>
        <v>9371.3427000000011</v>
      </c>
      <c r="BK7" s="154">
        <f t="shared" si="8"/>
        <v>9371.3427000000011</v>
      </c>
      <c r="BL7" s="154">
        <f t="shared" si="8"/>
        <v>9371.3427000000011</v>
      </c>
      <c r="BM7" s="154">
        <f t="shared" si="8"/>
        <v>9371.3427000000011</v>
      </c>
      <c r="BN7" s="154">
        <f t="shared" si="8"/>
        <v>9371.3427000000011</v>
      </c>
      <c r="BO7" s="154">
        <f t="shared" si="8"/>
        <v>9371.3427000000011</v>
      </c>
      <c r="BP7" s="154">
        <f t="shared" si="8"/>
        <v>9371.3427000000011</v>
      </c>
      <c r="BQ7" s="154">
        <f t="shared" si="8"/>
        <v>9371.3427000000011</v>
      </c>
      <c r="BR7" s="154">
        <f t="shared" si="8"/>
        <v>9371.3427000000011</v>
      </c>
      <c r="BS7" s="154">
        <f t="shared" si="8"/>
        <v>9371.3427000000011</v>
      </c>
      <c r="BT7" s="154">
        <f>BT5*$C$14</f>
        <v>9371.3427000000011</v>
      </c>
      <c r="BU7" s="154">
        <f>BU5*$C$14</f>
        <v>9371.3427000000011</v>
      </c>
      <c r="BV7" s="154">
        <f>BV5*$C$14</f>
        <v>9371.3427000000011</v>
      </c>
      <c r="BW7" s="154">
        <f t="shared" ref="BW7:CI7" si="9">BW5*$C$14</f>
        <v>9371.3427000000011</v>
      </c>
      <c r="BX7" s="154">
        <f t="shared" si="9"/>
        <v>9371.3427000000011</v>
      </c>
      <c r="BY7" s="154">
        <f t="shared" si="9"/>
        <v>9371.3427000000011</v>
      </c>
      <c r="BZ7" s="154">
        <f t="shared" si="9"/>
        <v>9371.3427000000011</v>
      </c>
      <c r="CA7" s="154">
        <f t="shared" si="9"/>
        <v>9371.3427000000011</v>
      </c>
      <c r="CB7" s="154">
        <f t="shared" si="9"/>
        <v>9371.3427000000011</v>
      </c>
      <c r="CC7" s="154">
        <f t="shared" si="9"/>
        <v>9371.3427000000011</v>
      </c>
      <c r="CD7" s="154">
        <f t="shared" si="9"/>
        <v>9371.3427000000011</v>
      </c>
      <c r="CE7" s="154">
        <f t="shared" si="9"/>
        <v>9371.3427000000011</v>
      </c>
      <c r="CF7" s="154">
        <f t="shared" si="9"/>
        <v>9371.3427000000011</v>
      </c>
      <c r="CG7" s="154">
        <f t="shared" si="9"/>
        <v>9371.3427000000011</v>
      </c>
      <c r="CH7" s="154">
        <f t="shared" si="9"/>
        <v>9371.3427000000011</v>
      </c>
      <c r="CI7" s="154">
        <f t="shared" si="9"/>
        <v>9371.3427000000011</v>
      </c>
    </row>
    <row r="8" spans="1:87" x14ac:dyDescent="0.25">
      <c r="A8" s="147" t="s">
        <v>725</v>
      </c>
      <c r="B8" s="150">
        <v>1397</v>
      </c>
      <c r="C8" s="151">
        <v>2.5</v>
      </c>
      <c r="D8" s="151">
        <v>300</v>
      </c>
      <c r="E8" s="151">
        <v>35</v>
      </c>
      <c r="F8" s="151">
        <v>6</v>
      </c>
      <c r="G8" s="151">
        <f t="shared" si="2"/>
        <v>3492.5</v>
      </c>
      <c r="H8" s="151">
        <f t="shared" si="3"/>
        <v>48895</v>
      </c>
      <c r="I8" s="26"/>
      <c r="J8" s="153" t="s">
        <v>726</v>
      </c>
      <c r="K8" s="154">
        <f>K5*$D$20</f>
        <v>5121.5126999999993</v>
      </c>
      <c r="L8" s="154">
        <f t="shared" ref="L8:BF8" si="10">L5*$D$20</f>
        <v>5100.9098999999997</v>
      </c>
      <c r="M8" s="154">
        <f t="shared" si="10"/>
        <v>5080.3071</v>
      </c>
      <c r="N8" s="154">
        <f t="shared" si="10"/>
        <v>5059.7042999999994</v>
      </c>
      <c r="O8" s="154">
        <f t="shared" si="10"/>
        <v>5039.1014999999998</v>
      </c>
      <c r="P8" s="154">
        <f t="shared" si="10"/>
        <v>5018.4986999999992</v>
      </c>
      <c r="Q8" s="154">
        <f t="shared" si="10"/>
        <v>4997.8958999999995</v>
      </c>
      <c r="R8" s="154">
        <f t="shared" si="10"/>
        <v>4977.2930999999999</v>
      </c>
      <c r="S8" s="154">
        <f t="shared" si="10"/>
        <v>4956.6902999999993</v>
      </c>
      <c r="T8" s="154">
        <f t="shared" si="10"/>
        <v>4936.0874999999996</v>
      </c>
      <c r="U8" s="154">
        <f t="shared" si="10"/>
        <v>4915.4847</v>
      </c>
      <c r="V8" s="154">
        <f t="shared" si="10"/>
        <v>4894.8818999999994</v>
      </c>
      <c r="W8" s="154">
        <f t="shared" si="10"/>
        <v>4874.2790999999997</v>
      </c>
      <c r="X8" s="154">
        <f t="shared" si="10"/>
        <v>4853.6763000000001</v>
      </c>
      <c r="Y8" s="154">
        <f t="shared" si="10"/>
        <v>4833.0734999999995</v>
      </c>
      <c r="Z8" s="154">
        <f t="shared" si="10"/>
        <v>4812.4706999999999</v>
      </c>
      <c r="AA8" s="154">
        <f t="shared" si="10"/>
        <v>4331.2236300000004</v>
      </c>
      <c r="AB8" s="154">
        <f t="shared" si="10"/>
        <v>4310.6208299999998</v>
      </c>
      <c r="AC8" s="154">
        <f t="shared" si="10"/>
        <v>4290.0180300000002</v>
      </c>
      <c r="AD8" s="154">
        <f t="shared" si="10"/>
        <v>4269.4152300000005</v>
      </c>
      <c r="AE8" s="154">
        <f t="shared" si="10"/>
        <v>4248.8124299999999</v>
      </c>
      <c r="AF8" s="154">
        <f t="shared" si="10"/>
        <v>4228.2096300000003</v>
      </c>
      <c r="AG8" s="154">
        <f t="shared" si="10"/>
        <v>4207.6068299999997</v>
      </c>
      <c r="AH8" s="154">
        <f t="shared" si="10"/>
        <v>4187.0040300000001</v>
      </c>
      <c r="AI8" s="154">
        <f t="shared" si="10"/>
        <v>4166.4012300000004</v>
      </c>
      <c r="AJ8" s="154">
        <f t="shared" si="10"/>
        <v>4145.7984299999998</v>
      </c>
      <c r="AK8" s="154">
        <f t="shared" si="10"/>
        <v>4125.1956300000002</v>
      </c>
      <c r="AL8" s="154">
        <f t="shared" si="10"/>
        <v>4104.5928300000005</v>
      </c>
      <c r="AM8" s="154">
        <f t="shared" si="10"/>
        <v>4083.9900300000004</v>
      </c>
      <c r="AN8" s="154">
        <f t="shared" si="10"/>
        <v>4063.3872300000003</v>
      </c>
      <c r="AO8" s="154">
        <f t="shared" si="10"/>
        <v>4042.7844300000002</v>
      </c>
      <c r="AP8" s="154">
        <f t="shared" si="10"/>
        <v>4022.18163</v>
      </c>
      <c r="AQ8" s="154">
        <f t="shared" si="10"/>
        <v>3619.963467</v>
      </c>
      <c r="AR8" s="154">
        <f t="shared" si="10"/>
        <v>3599.3606670000004</v>
      </c>
      <c r="AS8" s="154">
        <f t="shared" si="10"/>
        <v>3578.7578670000003</v>
      </c>
      <c r="AT8" s="154">
        <f t="shared" si="10"/>
        <v>3558.1550670000001</v>
      </c>
      <c r="AU8" s="154">
        <f t="shared" si="10"/>
        <v>3537.552267</v>
      </c>
      <c r="AV8" s="154">
        <f t="shared" si="10"/>
        <v>3516.9494670000004</v>
      </c>
      <c r="AW8" s="154">
        <f t="shared" si="10"/>
        <v>3496.3466670000003</v>
      </c>
      <c r="AX8" s="154">
        <f t="shared" si="10"/>
        <v>3475.7438670000001</v>
      </c>
      <c r="AY8" s="154">
        <f t="shared" si="10"/>
        <v>3455.141067</v>
      </c>
      <c r="AZ8" s="154">
        <f t="shared" si="10"/>
        <v>3434.5382670000004</v>
      </c>
      <c r="BA8" s="154">
        <f t="shared" si="10"/>
        <v>3413.9354670000002</v>
      </c>
      <c r="BB8" s="154">
        <f t="shared" si="10"/>
        <v>3393.3326670000001</v>
      </c>
      <c r="BC8" s="154">
        <f t="shared" si="10"/>
        <v>3372.7298670000005</v>
      </c>
      <c r="BD8" s="154">
        <f t="shared" si="10"/>
        <v>3352.1270670000004</v>
      </c>
      <c r="BE8" s="154">
        <f t="shared" si="10"/>
        <v>3331.5242670000002</v>
      </c>
      <c r="BF8" s="154">
        <f t="shared" si="10"/>
        <v>3310.9214670000001</v>
      </c>
      <c r="BG8" s="154">
        <f t="shared" ref="BG8:BS8" si="11">BG5*$D$14</f>
        <v>7900.4826750000002</v>
      </c>
      <c r="BH8" s="154">
        <f t="shared" si="11"/>
        <v>7900.4826750000002</v>
      </c>
      <c r="BI8" s="154">
        <f t="shared" si="11"/>
        <v>7900.4826750000002</v>
      </c>
      <c r="BJ8" s="154">
        <f t="shared" si="11"/>
        <v>7900.4826750000002</v>
      </c>
      <c r="BK8" s="154">
        <f t="shared" si="11"/>
        <v>7900.4826750000002</v>
      </c>
      <c r="BL8" s="154">
        <f t="shared" si="11"/>
        <v>7900.4826750000002</v>
      </c>
      <c r="BM8" s="154">
        <f t="shared" si="11"/>
        <v>7900.4826750000002</v>
      </c>
      <c r="BN8" s="154">
        <f t="shared" si="11"/>
        <v>7900.4826750000002</v>
      </c>
      <c r="BO8" s="154">
        <f t="shared" si="11"/>
        <v>7900.4826750000002</v>
      </c>
      <c r="BP8" s="154">
        <f t="shared" si="11"/>
        <v>7900.4826750000002</v>
      </c>
      <c r="BQ8" s="154">
        <f t="shared" si="11"/>
        <v>7900.4826750000002</v>
      </c>
      <c r="BR8" s="154">
        <f t="shared" si="11"/>
        <v>7900.4826750000002</v>
      </c>
      <c r="BS8" s="154">
        <f t="shared" si="11"/>
        <v>7900.4826750000002</v>
      </c>
      <c r="BT8" s="154">
        <f>BT5*$D$14</f>
        <v>7900.4826750000002</v>
      </c>
      <c r="BU8" s="154">
        <f>BU5*$D$14</f>
        <v>7900.4826750000002</v>
      </c>
      <c r="BV8" s="154">
        <f>BV5*$D$14</f>
        <v>7900.4826750000002</v>
      </c>
      <c r="BW8" s="154">
        <f t="shared" ref="BW8:CI8" si="12">BW5*$D$14</f>
        <v>7900.4826750000002</v>
      </c>
      <c r="BX8" s="154">
        <f t="shared" si="12"/>
        <v>7900.4826750000002</v>
      </c>
      <c r="BY8" s="154">
        <f t="shared" si="12"/>
        <v>7900.4826750000002</v>
      </c>
      <c r="BZ8" s="154">
        <f t="shared" si="12"/>
        <v>7900.4826750000002</v>
      </c>
      <c r="CA8" s="154">
        <f t="shared" si="12"/>
        <v>7900.4826750000002</v>
      </c>
      <c r="CB8" s="154">
        <f t="shared" si="12"/>
        <v>7900.4826750000002</v>
      </c>
      <c r="CC8" s="154">
        <f t="shared" si="12"/>
        <v>7900.4826750000002</v>
      </c>
      <c r="CD8" s="154">
        <f t="shared" si="12"/>
        <v>7900.4826750000002</v>
      </c>
      <c r="CE8" s="154">
        <f t="shared" si="12"/>
        <v>7900.4826750000002</v>
      </c>
      <c r="CF8" s="154">
        <f t="shared" si="12"/>
        <v>7900.4826750000002</v>
      </c>
      <c r="CG8" s="154">
        <f t="shared" si="12"/>
        <v>7900.4826750000002</v>
      </c>
      <c r="CH8" s="154">
        <f t="shared" si="12"/>
        <v>7900.4826750000002</v>
      </c>
      <c r="CI8" s="154">
        <f t="shared" si="12"/>
        <v>7900.4826750000002</v>
      </c>
    </row>
    <row r="9" spans="1:87" x14ac:dyDescent="0.25">
      <c r="A9" s="26"/>
      <c r="B9" s="26"/>
      <c r="C9" s="142"/>
      <c r="D9" s="142"/>
      <c r="E9" s="142"/>
      <c r="F9" s="26"/>
      <c r="G9" s="155">
        <f>G8+G7+G6+G5</f>
        <v>41599.199999999997</v>
      </c>
      <c r="H9" s="155">
        <f>H8+H7+H6+H5</f>
        <v>641512</v>
      </c>
      <c r="I9" s="26"/>
      <c r="J9" s="153" t="s">
        <v>727</v>
      </c>
      <c r="K9" s="154">
        <f>K5*$E$20</f>
        <v>536.93999999999994</v>
      </c>
      <c r="L9" s="154">
        <f t="shared" ref="L9:BF9" si="13">L5*$E$20</f>
        <v>534.78</v>
      </c>
      <c r="M9" s="154">
        <f t="shared" si="13"/>
        <v>532.62</v>
      </c>
      <c r="N9" s="154">
        <f t="shared" si="13"/>
        <v>530.46</v>
      </c>
      <c r="O9" s="154">
        <f t="shared" si="13"/>
        <v>528.29999999999995</v>
      </c>
      <c r="P9" s="154">
        <f t="shared" si="13"/>
        <v>526.14</v>
      </c>
      <c r="Q9" s="154">
        <f t="shared" si="13"/>
        <v>523.98</v>
      </c>
      <c r="R9" s="154">
        <f t="shared" si="13"/>
        <v>521.81999999999994</v>
      </c>
      <c r="S9" s="154">
        <f t="shared" si="13"/>
        <v>519.66</v>
      </c>
      <c r="T9" s="154">
        <f t="shared" si="13"/>
        <v>517.5</v>
      </c>
      <c r="U9" s="154">
        <f t="shared" si="13"/>
        <v>515.34</v>
      </c>
      <c r="V9" s="154">
        <f t="shared" si="13"/>
        <v>513.17999999999995</v>
      </c>
      <c r="W9" s="154">
        <f t="shared" si="13"/>
        <v>511.02</v>
      </c>
      <c r="X9" s="154">
        <f t="shared" si="13"/>
        <v>508.85999999999996</v>
      </c>
      <c r="Y9" s="154">
        <f t="shared" si="13"/>
        <v>506.7</v>
      </c>
      <c r="Z9" s="154">
        <f t="shared" si="13"/>
        <v>504.53999999999996</v>
      </c>
      <c r="AA9" s="154">
        <f t="shared" si="13"/>
        <v>454.08600000000001</v>
      </c>
      <c r="AB9" s="154">
        <f t="shared" si="13"/>
        <v>451.92600000000004</v>
      </c>
      <c r="AC9" s="154">
        <f t="shared" si="13"/>
        <v>449.76600000000002</v>
      </c>
      <c r="AD9" s="154">
        <f t="shared" si="13"/>
        <v>447.60600000000005</v>
      </c>
      <c r="AE9" s="154">
        <f t="shared" si="13"/>
        <v>445.44600000000003</v>
      </c>
      <c r="AF9" s="154">
        <f t="shared" si="13"/>
        <v>443.28600000000006</v>
      </c>
      <c r="AG9" s="154">
        <f t="shared" si="13"/>
        <v>441.12600000000003</v>
      </c>
      <c r="AH9" s="154">
        <f t="shared" si="13"/>
        <v>438.96600000000001</v>
      </c>
      <c r="AI9" s="154">
        <f t="shared" si="13"/>
        <v>436.80600000000004</v>
      </c>
      <c r="AJ9" s="154">
        <f t="shared" si="13"/>
        <v>434.64600000000002</v>
      </c>
      <c r="AK9" s="154">
        <f t="shared" si="13"/>
        <v>432.48600000000005</v>
      </c>
      <c r="AL9" s="154">
        <f t="shared" si="13"/>
        <v>430.32600000000002</v>
      </c>
      <c r="AM9" s="154">
        <f t="shared" si="13"/>
        <v>428.16600000000005</v>
      </c>
      <c r="AN9" s="154">
        <f t="shared" si="13"/>
        <v>426.00600000000003</v>
      </c>
      <c r="AO9" s="154">
        <f t="shared" si="13"/>
        <v>423.84600000000006</v>
      </c>
      <c r="AP9" s="154">
        <f t="shared" si="13"/>
        <v>421.68600000000004</v>
      </c>
      <c r="AQ9" s="154">
        <f t="shared" si="13"/>
        <v>379.51740000000007</v>
      </c>
      <c r="AR9" s="154">
        <f t="shared" si="13"/>
        <v>377.35740000000004</v>
      </c>
      <c r="AS9" s="154">
        <f t="shared" si="13"/>
        <v>375.19740000000002</v>
      </c>
      <c r="AT9" s="154">
        <f t="shared" si="13"/>
        <v>373.03740000000005</v>
      </c>
      <c r="AU9" s="154">
        <f t="shared" si="13"/>
        <v>370.87740000000002</v>
      </c>
      <c r="AV9" s="154">
        <f t="shared" si="13"/>
        <v>368.71740000000005</v>
      </c>
      <c r="AW9" s="154">
        <f t="shared" si="13"/>
        <v>366.55740000000003</v>
      </c>
      <c r="AX9" s="154">
        <f t="shared" si="13"/>
        <v>364.39740000000006</v>
      </c>
      <c r="AY9" s="154">
        <f t="shared" si="13"/>
        <v>362.23740000000004</v>
      </c>
      <c r="AZ9" s="154">
        <f t="shared" si="13"/>
        <v>360.07740000000001</v>
      </c>
      <c r="BA9" s="154">
        <f t="shared" si="13"/>
        <v>357.91740000000004</v>
      </c>
      <c r="BB9" s="154">
        <f t="shared" si="13"/>
        <v>355.75740000000002</v>
      </c>
      <c r="BC9" s="154">
        <f t="shared" si="13"/>
        <v>353.59740000000005</v>
      </c>
      <c r="BD9" s="154">
        <f t="shared" si="13"/>
        <v>351.43740000000003</v>
      </c>
      <c r="BE9" s="154">
        <f t="shared" si="13"/>
        <v>349.27740000000006</v>
      </c>
      <c r="BF9" s="154">
        <f t="shared" si="13"/>
        <v>347.11740000000003</v>
      </c>
      <c r="BG9" s="154">
        <f t="shared" ref="BG9:BS9" si="14">BG5*$E$14</f>
        <v>977.37930000000017</v>
      </c>
      <c r="BH9" s="154">
        <f t="shared" si="14"/>
        <v>977.37930000000017</v>
      </c>
      <c r="BI9" s="154">
        <f t="shared" si="14"/>
        <v>977.37930000000017</v>
      </c>
      <c r="BJ9" s="154">
        <f t="shared" si="14"/>
        <v>977.37930000000017</v>
      </c>
      <c r="BK9" s="154">
        <f t="shared" si="14"/>
        <v>977.37930000000017</v>
      </c>
      <c r="BL9" s="154">
        <f t="shared" si="14"/>
        <v>977.37930000000017</v>
      </c>
      <c r="BM9" s="154">
        <f t="shared" si="14"/>
        <v>977.37930000000017</v>
      </c>
      <c r="BN9" s="154">
        <f t="shared" si="14"/>
        <v>977.37930000000017</v>
      </c>
      <c r="BO9" s="154">
        <f t="shared" si="14"/>
        <v>977.37930000000017</v>
      </c>
      <c r="BP9" s="154">
        <f t="shared" si="14"/>
        <v>977.37930000000017</v>
      </c>
      <c r="BQ9" s="154">
        <f t="shared" si="14"/>
        <v>977.37930000000017</v>
      </c>
      <c r="BR9" s="154">
        <f t="shared" si="14"/>
        <v>977.37930000000017</v>
      </c>
      <c r="BS9" s="154">
        <f t="shared" si="14"/>
        <v>977.37930000000017</v>
      </c>
      <c r="BT9" s="154">
        <f>BT5*$E$14</f>
        <v>977.37930000000017</v>
      </c>
      <c r="BU9" s="154">
        <f>BU5*$E$14</f>
        <v>977.37930000000017</v>
      </c>
      <c r="BV9" s="154">
        <f>BV5*$E$14</f>
        <v>977.37930000000017</v>
      </c>
      <c r="BW9" s="154">
        <f t="shared" ref="BW9:CI9" si="15">BW5*$E$14</f>
        <v>977.37930000000017</v>
      </c>
      <c r="BX9" s="154">
        <f t="shared" si="15"/>
        <v>977.37930000000017</v>
      </c>
      <c r="BY9" s="154">
        <f t="shared" si="15"/>
        <v>977.37930000000017</v>
      </c>
      <c r="BZ9" s="154">
        <f t="shared" si="15"/>
        <v>977.37930000000017</v>
      </c>
      <c r="CA9" s="154">
        <f t="shared" si="15"/>
        <v>977.37930000000017</v>
      </c>
      <c r="CB9" s="154">
        <f t="shared" si="15"/>
        <v>977.37930000000017</v>
      </c>
      <c r="CC9" s="154">
        <f t="shared" si="15"/>
        <v>977.37930000000017</v>
      </c>
      <c r="CD9" s="154">
        <f t="shared" si="15"/>
        <v>977.37930000000017</v>
      </c>
      <c r="CE9" s="154">
        <f t="shared" si="15"/>
        <v>977.37930000000017</v>
      </c>
      <c r="CF9" s="154">
        <f t="shared" si="15"/>
        <v>977.37930000000017</v>
      </c>
      <c r="CG9" s="154">
        <f t="shared" si="15"/>
        <v>977.37930000000017</v>
      </c>
      <c r="CH9" s="154">
        <f t="shared" si="15"/>
        <v>977.37930000000017</v>
      </c>
      <c r="CI9" s="154">
        <f t="shared" si="15"/>
        <v>977.37930000000017</v>
      </c>
    </row>
    <row r="10" spans="1:87" ht="21" x14ac:dyDescent="0.25">
      <c r="A10" s="156" t="s">
        <v>728</v>
      </c>
      <c r="B10" s="156" t="s">
        <v>729</v>
      </c>
      <c r="C10" s="156" t="s">
        <v>730</v>
      </c>
      <c r="D10" s="156" t="s">
        <v>731</v>
      </c>
      <c r="E10" s="156" t="s">
        <v>732</v>
      </c>
      <c r="F10" s="156" t="s">
        <v>733</v>
      </c>
      <c r="G10" s="156"/>
      <c r="H10" s="156"/>
      <c r="I10" s="26"/>
      <c r="J10" s="157" t="s">
        <v>734</v>
      </c>
      <c r="K10" s="158">
        <f>B5</f>
        <v>34888</v>
      </c>
      <c r="L10" s="158">
        <f>K10</f>
        <v>34888</v>
      </c>
      <c r="M10" s="158">
        <f t="shared" ref="M10:BX13" si="16">L10</f>
        <v>34888</v>
      </c>
      <c r="N10" s="158">
        <f t="shared" si="16"/>
        <v>34888</v>
      </c>
      <c r="O10" s="158">
        <f t="shared" si="16"/>
        <v>34888</v>
      </c>
      <c r="P10" s="158">
        <f t="shared" si="16"/>
        <v>34888</v>
      </c>
      <c r="Q10" s="158">
        <f t="shared" si="16"/>
        <v>34888</v>
      </c>
      <c r="R10" s="158">
        <f t="shared" si="16"/>
        <v>34888</v>
      </c>
      <c r="S10" s="158">
        <f t="shared" si="16"/>
        <v>34888</v>
      </c>
      <c r="T10" s="158">
        <f t="shared" si="16"/>
        <v>34888</v>
      </c>
      <c r="U10" s="158">
        <f t="shared" si="16"/>
        <v>34888</v>
      </c>
      <c r="V10" s="158">
        <f t="shared" si="16"/>
        <v>34888</v>
      </c>
      <c r="W10" s="158">
        <f t="shared" si="16"/>
        <v>34888</v>
      </c>
      <c r="X10" s="158">
        <f t="shared" si="16"/>
        <v>34888</v>
      </c>
      <c r="Y10" s="158">
        <f t="shared" si="16"/>
        <v>34888</v>
      </c>
      <c r="Z10" s="158">
        <f t="shared" si="16"/>
        <v>34888</v>
      </c>
      <c r="AA10" s="158">
        <f t="shared" si="16"/>
        <v>34888</v>
      </c>
      <c r="AB10" s="158">
        <f t="shared" si="16"/>
        <v>34888</v>
      </c>
      <c r="AC10" s="158">
        <f t="shared" si="16"/>
        <v>34888</v>
      </c>
      <c r="AD10" s="158">
        <f t="shared" si="16"/>
        <v>34888</v>
      </c>
      <c r="AE10" s="158">
        <f t="shared" si="16"/>
        <v>34888</v>
      </c>
      <c r="AF10" s="158">
        <f t="shared" si="16"/>
        <v>34888</v>
      </c>
      <c r="AG10" s="158">
        <f t="shared" si="16"/>
        <v>34888</v>
      </c>
      <c r="AH10" s="158">
        <f t="shared" si="16"/>
        <v>34888</v>
      </c>
      <c r="AI10" s="158">
        <f t="shared" si="16"/>
        <v>34888</v>
      </c>
      <c r="AJ10" s="158">
        <f t="shared" si="16"/>
        <v>34888</v>
      </c>
      <c r="AK10" s="158">
        <f t="shared" si="16"/>
        <v>34888</v>
      </c>
      <c r="AL10" s="158">
        <f t="shared" si="16"/>
        <v>34888</v>
      </c>
      <c r="AM10" s="158">
        <f t="shared" si="16"/>
        <v>34888</v>
      </c>
      <c r="AN10" s="158">
        <f t="shared" si="16"/>
        <v>34888</v>
      </c>
      <c r="AO10" s="158">
        <f t="shared" si="16"/>
        <v>34888</v>
      </c>
      <c r="AP10" s="158">
        <f t="shared" si="16"/>
        <v>34888</v>
      </c>
      <c r="AQ10" s="158">
        <f t="shared" si="16"/>
        <v>34888</v>
      </c>
      <c r="AR10" s="158">
        <f t="shared" si="16"/>
        <v>34888</v>
      </c>
      <c r="AS10" s="158">
        <f t="shared" si="16"/>
        <v>34888</v>
      </c>
      <c r="AT10" s="158">
        <f t="shared" si="16"/>
        <v>34888</v>
      </c>
      <c r="AU10" s="158">
        <f t="shared" si="16"/>
        <v>34888</v>
      </c>
      <c r="AV10" s="158">
        <f t="shared" si="16"/>
        <v>34888</v>
      </c>
      <c r="AW10" s="158">
        <f t="shared" si="16"/>
        <v>34888</v>
      </c>
      <c r="AX10" s="158">
        <f t="shared" si="16"/>
        <v>34888</v>
      </c>
      <c r="AY10" s="158">
        <f t="shared" si="16"/>
        <v>34888</v>
      </c>
      <c r="AZ10" s="158">
        <f t="shared" si="16"/>
        <v>34888</v>
      </c>
      <c r="BA10" s="158">
        <f t="shared" si="16"/>
        <v>34888</v>
      </c>
      <c r="BB10" s="158">
        <f t="shared" si="16"/>
        <v>34888</v>
      </c>
      <c r="BC10" s="158">
        <f t="shared" si="16"/>
        <v>34888</v>
      </c>
      <c r="BD10" s="158">
        <f t="shared" si="16"/>
        <v>34888</v>
      </c>
      <c r="BE10" s="158">
        <f t="shared" si="16"/>
        <v>34888</v>
      </c>
      <c r="BF10" s="158">
        <f t="shared" si="16"/>
        <v>34888</v>
      </c>
      <c r="BG10" s="158">
        <f t="shared" si="16"/>
        <v>34888</v>
      </c>
      <c r="BH10" s="158">
        <f t="shared" si="16"/>
        <v>34888</v>
      </c>
      <c r="BI10" s="158">
        <f t="shared" si="16"/>
        <v>34888</v>
      </c>
      <c r="BJ10" s="158">
        <f t="shared" si="16"/>
        <v>34888</v>
      </c>
      <c r="BK10" s="158">
        <f t="shared" si="16"/>
        <v>34888</v>
      </c>
      <c r="BL10" s="158">
        <f t="shared" si="16"/>
        <v>34888</v>
      </c>
      <c r="BM10" s="158">
        <f t="shared" si="16"/>
        <v>34888</v>
      </c>
      <c r="BN10" s="158">
        <f t="shared" si="16"/>
        <v>34888</v>
      </c>
      <c r="BO10" s="158">
        <f t="shared" si="16"/>
        <v>34888</v>
      </c>
      <c r="BP10" s="158">
        <f t="shared" si="16"/>
        <v>34888</v>
      </c>
      <c r="BQ10" s="158">
        <f t="shared" si="16"/>
        <v>34888</v>
      </c>
      <c r="BR10" s="158">
        <f t="shared" si="16"/>
        <v>34888</v>
      </c>
      <c r="BS10" s="158">
        <f t="shared" si="16"/>
        <v>34888</v>
      </c>
      <c r="BT10" s="158">
        <f t="shared" si="16"/>
        <v>34888</v>
      </c>
      <c r="BU10" s="158">
        <f t="shared" si="16"/>
        <v>34888</v>
      </c>
      <c r="BV10" s="158">
        <f t="shared" si="16"/>
        <v>34888</v>
      </c>
      <c r="BW10" s="158">
        <f t="shared" si="16"/>
        <v>34888</v>
      </c>
      <c r="BX10" s="158">
        <f t="shared" si="16"/>
        <v>34888</v>
      </c>
      <c r="BY10" s="158">
        <f t="shared" ref="BY10:CI12" si="17">BX10</f>
        <v>34888</v>
      </c>
      <c r="BZ10" s="158">
        <f t="shared" si="17"/>
        <v>34888</v>
      </c>
      <c r="CA10" s="158">
        <f t="shared" si="17"/>
        <v>34888</v>
      </c>
      <c r="CB10" s="158">
        <f t="shared" si="17"/>
        <v>34888</v>
      </c>
      <c r="CC10" s="158">
        <f t="shared" si="17"/>
        <v>34888</v>
      </c>
      <c r="CD10" s="158">
        <f t="shared" si="17"/>
        <v>34888</v>
      </c>
      <c r="CE10" s="158">
        <f t="shared" si="17"/>
        <v>34888</v>
      </c>
      <c r="CF10" s="158">
        <f t="shared" si="17"/>
        <v>34888</v>
      </c>
      <c r="CG10" s="158">
        <f t="shared" si="17"/>
        <v>34888</v>
      </c>
      <c r="CH10" s="158">
        <f t="shared" si="17"/>
        <v>34888</v>
      </c>
      <c r="CI10" s="158">
        <f t="shared" si="17"/>
        <v>34888</v>
      </c>
    </row>
    <row r="11" spans="1:87" x14ac:dyDescent="0.25">
      <c r="A11" s="159">
        <v>11</v>
      </c>
      <c r="B11" s="160">
        <v>14.98</v>
      </c>
      <c r="C11" s="160">
        <v>5.95</v>
      </c>
      <c r="D11" s="160">
        <v>5.3253000000000004</v>
      </c>
      <c r="E11" s="160">
        <v>0.68</v>
      </c>
      <c r="F11" s="161">
        <f>E11+D11+C11+B11</f>
        <v>26.935300000000002</v>
      </c>
      <c r="G11" s="161"/>
      <c r="H11" s="161"/>
      <c r="I11" s="26"/>
      <c r="J11" s="157" t="s">
        <v>735</v>
      </c>
      <c r="K11" s="158">
        <f>B6</f>
        <v>13391</v>
      </c>
      <c r="L11" s="158">
        <f>K11</f>
        <v>13391</v>
      </c>
      <c r="M11" s="158">
        <f t="shared" si="16"/>
        <v>13391</v>
      </c>
      <c r="N11" s="158">
        <f t="shared" si="16"/>
        <v>13391</v>
      </c>
      <c r="O11" s="158">
        <f t="shared" si="16"/>
        <v>13391</v>
      </c>
      <c r="P11" s="158">
        <f t="shared" si="16"/>
        <v>13391</v>
      </c>
      <c r="Q11" s="158">
        <f t="shared" si="16"/>
        <v>13391</v>
      </c>
      <c r="R11" s="158">
        <f t="shared" si="16"/>
        <v>13391</v>
      </c>
      <c r="S11" s="158">
        <f t="shared" si="16"/>
        <v>13391</v>
      </c>
      <c r="T11" s="158">
        <f t="shared" si="16"/>
        <v>13391</v>
      </c>
      <c r="U11" s="158">
        <f t="shared" si="16"/>
        <v>13391</v>
      </c>
      <c r="V11" s="158">
        <f t="shared" si="16"/>
        <v>13391</v>
      </c>
      <c r="W11" s="158">
        <f t="shared" si="16"/>
        <v>13391</v>
      </c>
      <c r="X11" s="158">
        <f t="shared" si="16"/>
        <v>13391</v>
      </c>
      <c r="Y11" s="158">
        <f t="shared" si="16"/>
        <v>13391</v>
      </c>
      <c r="Z11" s="158">
        <f t="shared" si="16"/>
        <v>13391</v>
      </c>
      <c r="AA11" s="158">
        <f t="shared" si="16"/>
        <v>13391</v>
      </c>
      <c r="AB11" s="158">
        <f t="shared" si="16"/>
        <v>13391</v>
      </c>
      <c r="AC11" s="158">
        <f t="shared" si="16"/>
        <v>13391</v>
      </c>
      <c r="AD11" s="158">
        <f t="shared" si="16"/>
        <v>13391</v>
      </c>
      <c r="AE11" s="158">
        <f t="shared" si="16"/>
        <v>13391</v>
      </c>
      <c r="AF11" s="158">
        <f t="shared" si="16"/>
        <v>13391</v>
      </c>
      <c r="AG11" s="158">
        <f t="shared" si="16"/>
        <v>13391</v>
      </c>
      <c r="AH11" s="158">
        <f t="shared" si="16"/>
        <v>13391</v>
      </c>
      <c r="AI11" s="158">
        <f t="shared" si="16"/>
        <v>13391</v>
      </c>
      <c r="AJ11" s="158">
        <f t="shared" si="16"/>
        <v>13391</v>
      </c>
      <c r="AK11" s="158">
        <f t="shared" si="16"/>
        <v>13391</v>
      </c>
      <c r="AL11" s="158">
        <f t="shared" si="16"/>
        <v>13391</v>
      </c>
      <c r="AM11" s="158">
        <f t="shared" si="16"/>
        <v>13391</v>
      </c>
      <c r="AN11" s="158">
        <f t="shared" si="16"/>
        <v>13391</v>
      </c>
      <c r="AO11" s="158">
        <f t="shared" si="16"/>
        <v>13391</v>
      </c>
      <c r="AP11" s="158">
        <f t="shared" si="16"/>
        <v>13391</v>
      </c>
      <c r="AQ11" s="158">
        <f t="shared" si="16"/>
        <v>13391</v>
      </c>
      <c r="AR11" s="158">
        <f t="shared" si="16"/>
        <v>13391</v>
      </c>
      <c r="AS11" s="158">
        <f t="shared" si="16"/>
        <v>13391</v>
      </c>
      <c r="AT11" s="158">
        <f t="shared" si="16"/>
        <v>13391</v>
      </c>
      <c r="AU11" s="158">
        <f t="shared" si="16"/>
        <v>13391</v>
      </c>
      <c r="AV11" s="158">
        <f t="shared" si="16"/>
        <v>13391</v>
      </c>
      <c r="AW11" s="158">
        <f t="shared" si="16"/>
        <v>13391</v>
      </c>
      <c r="AX11" s="158">
        <f t="shared" si="16"/>
        <v>13391</v>
      </c>
      <c r="AY11" s="158">
        <f t="shared" si="16"/>
        <v>13391</v>
      </c>
      <c r="AZ11" s="158">
        <f t="shared" si="16"/>
        <v>13391</v>
      </c>
      <c r="BA11" s="158">
        <f t="shared" si="16"/>
        <v>13391</v>
      </c>
      <c r="BB11" s="158">
        <f t="shared" si="16"/>
        <v>13391</v>
      </c>
      <c r="BC11" s="158">
        <f t="shared" si="16"/>
        <v>13391</v>
      </c>
      <c r="BD11" s="158">
        <f t="shared" si="16"/>
        <v>13391</v>
      </c>
      <c r="BE11" s="158">
        <f t="shared" si="16"/>
        <v>13391</v>
      </c>
      <c r="BF11" s="158">
        <f t="shared" si="16"/>
        <v>13391</v>
      </c>
      <c r="BG11" s="158">
        <f t="shared" si="16"/>
        <v>13391</v>
      </c>
      <c r="BH11" s="158">
        <f t="shared" si="16"/>
        <v>13391</v>
      </c>
      <c r="BI11" s="158">
        <f t="shared" si="16"/>
        <v>13391</v>
      </c>
      <c r="BJ11" s="158">
        <f t="shared" si="16"/>
        <v>13391</v>
      </c>
      <c r="BK11" s="158">
        <f t="shared" si="16"/>
        <v>13391</v>
      </c>
      <c r="BL11" s="158">
        <f t="shared" si="16"/>
        <v>13391</v>
      </c>
      <c r="BM11" s="158">
        <f t="shared" si="16"/>
        <v>13391</v>
      </c>
      <c r="BN11" s="158">
        <f t="shared" si="16"/>
        <v>13391</v>
      </c>
      <c r="BO11" s="158">
        <f t="shared" si="16"/>
        <v>13391</v>
      </c>
      <c r="BP11" s="158">
        <f t="shared" si="16"/>
        <v>13391</v>
      </c>
      <c r="BQ11" s="158">
        <f t="shared" si="16"/>
        <v>13391</v>
      </c>
      <c r="BR11" s="158">
        <f t="shared" si="16"/>
        <v>13391</v>
      </c>
      <c r="BS11" s="158">
        <f t="shared" si="16"/>
        <v>13391</v>
      </c>
      <c r="BT11" s="158">
        <f t="shared" si="16"/>
        <v>13391</v>
      </c>
      <c r="BU11" s="158">
        <f t="shared" si="16"/>
        <v>13391</v>
      </c>
      <c r="BV11" s="158">
        <f t="shared" si="16"/>
        <v>13391</v>
      </c>
      <c r="BW11" s="158">
        <f t="shared" si="16"/>
        <v>13391</v>
      </c>
      <c r="BX11" s="158">
        <f t="shared" si="16"/>
        <v>13391</v>
      </c>
      <c r="BY11" s="158">
        <f t="shared" si="17"/>
        <v>13391</v>
      </c>
      <c r="BZ11" s="158">
        <f t="shared" si="17"/>
        <v>13391</v>
      </c>
      <c r="CA11" s="158">
        <f t="shared" si="17"/>
        <v>13391</v>
      </c>
      <c r="CB11" s="158">
        <f t="shared" si="17"/>
        <v>13391</v>
      </c>
      <c r="CC11" s="158">
        <f t="shared" si="17"/>
        <v>13391</v>
      </c>
      <c r="CD11" s="158">
        <f t="shared" si="17"/>
        <v>13391</v>
      </c>
      <c r="CE11" s="158">
        <f t="shared" si="17"/>
        <v>13391</v>
      </c>
      <c r="CF11" s="158">
        <f t="shared" si="17"/>
        <v>13391</v>
      </c>
      <c r="CG11" s="158">
        <f t="shared" si="17"/>
        <v>13391</v>
      </c>
      <c r="CH11" s="158">
        <f t="shared" si="17"/>
        <v>13391</v>
      </c>
      <c r="CI11" s="158">
        <f t="shared" si="17"/>
        <v>13391</v>
      </c>
    </row>
    <row r="12" spans="1:87" x14ac:dyDescent="0.25">
      <c r="A12" s="159">
        <v>10</v>
      </c>
      <c r="B12" s="162">
        <v>14.23</v>
      </c>
      <c r="C12" s="162">
        <v>5.59</v>
      </c>
      <c r="D12" s="162">
        <v>4.9179000000000004</v>
      </c>
      <c r="E12" s="162">
        <v>0.62</v>
      </c>
      <c r="F12" s="161">
        <f t="shared" ref="F12:F21" si="18">E12+D12+C12+B12</f>
        <v>25.357900000000001</v>
      </c>
      <c r="G12" s="161"/>
      <c r="H12" s="161"/>
      <c r="I12" s="26"/>
      <c r="J12" s="157" t="s">
        <v>736</v>
      </c>
      <c r="K12" s="158">
        <f>B7</f>
        <v>11289</v>
      </c>
      <c r="L12" s="158">
        <f>K12</f>
        <v>11289</v>
      </c>
      <c r="M12" s="158">
        <f t="shared" si="16"/>
        <v>11289</v>
      </c>
      <c r="N12" s="158">
        <f t="shared" si="16"/>
        <v>11289</v>
      </c>
      <c r="O12" s="158">
        <f t="shared" si="16"/>
        <v>11289</v>
      </c>
      <c r="P12" s="158">
        <f t="shared" si="16"/>
        <v>11289</v>
      </c>
      <c r="Q12" s="158">
        <f t="shared" si="16"/>
        <v>11289</v>
      </c>
      <c r="R12" s="158">
        <f t="shared" si="16"/>
        <v>11289</v>
      </c>
      <c r="S12" s="158">
        <f t="shared" si="16"/>
        <v>11289</v>
      </c>
      <c r="T12" s="158">
        <f t="shared" si="16"/>
        <v>11289</v>
      </c>
      <c r="U12" s="158">
        <f t="shared" si="16"/>
        <v>11289</v>
      </c>
      <c r="V12" s="158">
        <f t="shared" si="16"/>
        <v>11289</v>
      </c>
      <c r="W12" s="158">
        <f t="shared" si="16"/>
        <v>11289</v>
      </c>
      <c r="X12" s="158">
        <f t="shared" si="16"/>
        <v>11289</v>
      </c>
      <c r="Y12" s="158">
        <f t="shared" si="16"/>
        <v>11289</v>
      </c>
      <c r="Z12" s="158">
        <f t="shared" si="16"/>
        <v>11289</v>
      </c>
      <c r="AA12" s="158">
        <f t="shared" si="16"/>
        <v>11289</v>
      </c>
      <c r="AB12" s="158">
        <f t="shared" si="16"/>
        <v>11289</v>
      </c>
      <c r="AC12" s="158">
        <f t="shared" si="16"/>
        <v>11289</v>
      </c>
      <c r="AD12" s="158">
        <f t="shared" si="16"/>
        <v>11289</v>
      </c>
      <c r="AE12" s="158">
        <f t="shared" si="16"/>
        <v>11289</v>
      </c>
      <c r="AF12" s="158">
        <f t="shared" si="16"/>
        <v>11289</v>
      </c>
      <c r="AG12" s="158">
        <f t="shared" si="16"/>
        <v>11289</v>
      </c>
      <c r="AH12" s="158">
        <f t="shared" si="16"/>
        <v>11289</v>
      </c>
      <c r="AI12" s="158">
        <f t="shared" si="16"/>
        <v>11289</v>
      </c>
      <c r="AJ12" s="158">
        <f t="shared" si="16"/>
        <v>11289</v>
      </c>
      <c r="AK12" s="158">
        <f t="shared" si="16"/>
        <v>11289</v>
      </c>
      <c r="AL12" s="158">
        <f t="shared" si="16"/>
        <v>11289</v>
      </c>
      <c r="AM12" s="158">
        <f t="shared" si="16"/>
        <v>11289</v>
      </c>
      <c r="AN12" s="158">
        <f t="shared" si="16"/>
        <v>11289</v>
      </c>
      <c r="AO12" s="158">
        <f t="shared" si="16"/>
        <v>11289</v>
      </c>
      <c r="AP12" s="158">
        <f t="shared" si="16"/>
        <v>11289</v>
      </c>
      <c r="AQ12" s="158">
        <f t="shared" si="16"/>
        <v>11289</v>
      </c>
      <c r="AR12" s="158">
        <f t="shared" si="16"/>
        <v>11289</v>
      </c>
      <c r="AS12" s="158">
        <f t="shared" si="16"/>
        <v>11289</v>
      </c>
      <c r="AT12" s="158">
        <f t="shared" si="16"/>
        <v>11289</v>
      </c>
      <c r="AU12" s="158">
        <f t="shared" si="16"/>
        <v>11289</v>
      </c>
      <c r="AV12" s="158">
        <f t="shared" si="16"/>
        <v>11289</v>
      </c>
      <c r="AW12" s="158">
        <f t="shared" si="16"/>
        <v>11289</v>
      </c>
      <c r="AX12" s="158">
        <f t="shared" si="16"/>
        <v>11289</v>
      </c>
      <c r="AY12" s="158">
        <f t="shared" si="16"/>
        <v>11289</v>
      </c>
      <c r="AZ12" s="158">
        <f t="shared" si="16"/>
        <v>11289</v>
      </c>
      <c r="BA12" s="158">
        <f t="shared" si="16"/>
        <v>11289</v>
      </c>
      <c r="BB12" s="158">
        <f t="shared" si="16"/>
        <v>11289</v>
      </c>
      <c r="BC12" s="158">
        <f t="shared" si="16"/>
        <v>11289</v>
      </c>
      <c r="BD12" s="158">
        <f t="shared" si="16"/>
        <v>11289</v>
      </c>
      <c r="BE12" s="158">
        <f t="shared" si="16"/>
        <v>11289</v>
      </c>
      <c r="BF12" s="158">
        <f t="shared" si="16"/>
        <v>11289</v>
      </c>
      <c r="BG12" s="158">
        <f t="shared" si="16"/>
        <v>11289</v>
      </c>
      <c r="BH12" s="158">
        <f t="shared" si="16"/>
        <v>11289</v>
      </c>
      <c r="BI12" s="158">
        <f t="shared" si="16"/>
        <v>11289</v>
      </c>
      <c r="BJ12" s="158">
        <f t="shared" si="16"/>
        <v>11289</v>
      </c>
      <c r="BK12" s="158">
        <f t="shared" si="16"/>
        <v>11289</v>
      </c>
      <c r="BL12" s="158">
        <f t="shared" si="16"/>
        <v>11289</v>
      </c>
      <c r="BM12" s="158">
        <f t="shared" si="16"/>
        <v>11289</v>
      </c>
      <c r="BN12" s="158">
        <f t="shared" si="16"/>
        <v>11289</v>
      </c>
      <c r="BO12" s="158">
        <f t="shared" si="16"/>
        <v>11289</v>
      </c>
      <c r="BP12" s="158">
        <f t="shared" si="16"/>
        <v>11289</v>
      </c>
      <c r="BQ12" s="158">
        <f t="shared" si="16"/>
        <v>11289</v>
      </c>
      <c r="BR12" s="158">
        <f t="shared" si="16"/>
        <v>11289</v>
      </c>
      <c r="BS12" s="158">
        <f t="shared" si="16"/>
        <v>11289</v>
      </c>
      <c r="BT12" s="158">
        <f t="shared" si="16"/>
        <v>11289</v>
      </c>
      <c r="BU12" s="158">
        <f t="shared" si="16"/>
        <v>11289</v>
      </c>
      <c r="BV12" s="158">
        <f t="shared" si="16"/>
        <v>11289</v>
      </c>
      <c r="BW12" s="158">
        <f t="shared" si="16"/>
        <v>11289</v>
      </c>
      <c r="BX12" s="158">
        <f t="shared" si="16"/>
        <v>11289</v>
      </c>
      <c r="BY12" s="158">
        <f t="shared" si="17"/>
        <v>11289</v>
      </c>
      <c r="BZ12" s="158">
        <f t="shared" si="17"/>
        <v>11289</v>
      </c>
      <c r="CA12" s="158">
        <f t="shared" si="17"/>
        <v>11289</v>
      </c>
      <c r="CB12" s="158">
        <f t="shared" si="17"/>
        <v>11289</v>
      </c>
      <c r="CC12" s="158">
        <f t="shared" si="17"/>
        <v>11289</v>
      </c>
      <c r="CD12" s="158">
        <f t="shared" si="17"/>
        <v>11289</v>
      </c>
      <c r="CE12" s="158">
        <f t="shared" si="17"/>
        <v>11289</v>
      </c>
      <c r="CF12" s="158">
        <f t="shared" si="17"/>
        <v>11289</v>
      </c>
      <c r="CG12" s="158">
        <f t="shared" si="17"/>
        <v>11289</v>
      </c>
      <c r="CH12" s="158">
        <f t="shared" si="17"/>
        <v>11289</v>
      </c>
      <c r="CI12" s="158">
        <f t="shared" si="17"/>
        <v>11289</v>
      </c>
    </row>
    <row r="13" spans="1:87" x14ac:dyDescent="0.25">
      <c r="A13" s="159">
        <v>9</v>
      </c>
      <c r="B13" s="160">
        <v>13.49</v>
      </c>
      <c r="C13" s="160">
        <v>5.24</v>
      </c>
      <c r="D13" s="160">
        <v>4.5202</v>
      </c>
      <c r="E13" s="160">
        <v>0.56999999999999995</v>
      </c>
      <c r="F13" s="161">
        <f t="shared" si="18"/>
        <v>23.8202</v>
      </c>
      <c r="G13" s="161"/>
      <c r="H13" s="161"/>
      <c r="I13" s="26"/>
      <c r="J13" s="157" t="s">
        <v>737</v>
      </c>
      <c r="K13" s="158">
        <f>B8</f>
        <v>1397</v>
      </c>
      <c r="L13" s="158">
        <f>K13</f>
        <v>1397</v>
      </c>
      <c r="M13" s="158">
        <f t="shared" si="16"/>
        <v>1397</v>
      </c>
      <c r="N13" s="158">
        <f t="shared" si="16"/>
        <v>1397</v>
      </c>
      <c r="O13" s="158">
        <f t="shared" si="16"/>
        <v>1397</v>
      </c>
      <c r="P13" s="158">
        <f t="shared" si="16"/>
        <v>1397</v>
      </c>
      <c r="Q13" s="158">
        <f t="shared" si="16"/>
        <v>1397</v>
      </c>
      <c r="R13" s="158">
        <f t="shared" si="16"/>
        <v>1397</v>
      </c>
      <c r="S13" s="158">
        <f t="shared" si="16"/>
        <v>1397</v>
      </c>
      <c r="T13" s="158">
        <f t="shared" si="16"/>
        <v>1397</v>
      </c>
      <c r="U13" s="158">
        <f t="shared" si="16"/>
        <v>1397</v>
      </c>
      <c r="V13" s="158">
        <f t="shared" si="16"/>
        <v>1397</v>
      </c>
      <c r="W13" s="158">
        <f t="shared" si="16"/>
        <v>1397</v>
      </c>
      <c r="X13" s="158">
        <f t="shared" si="16"/>
        <v>1397</v>
      </c>
      <c r="Y13" s="158">
        <f t="shared" si="16"/>
        <v>1397</v>
      </c>
      <c r="Z13" s="158">
        <f t="shared" si="16"/>
        <v>1397</v>
      </c>
      <c r="AA13" s="158">
        <f t="shared" si="16"/>
        <v>1397</v>
      </c>
      <c r="AB13" s="158">
        <f t="shared" si="16"/>
        <v>1397</v>
      </c>
      <c r="AC13" s="158">
        <f t="shared" si="16"/>
        <v>1397</v>
      </c>
      <c r="AD13" s="158">
        <f t="shared" si="16"/>
        <v>1397</v>
      </c>
      <c r="AE13" s="158">
        <f t="shared" si="16"/>
        <v>1397</v>
      </c>
      <c r="AF13" s="158">
        <f t="shared" si="16"/>
        <v>1397</v>
      </c>
      <c r="AG13" s="158">
        <f t="shared" si="16"/>
        <v>1397</v>
      </c>
      <c r="AH13" s="158">
        <f t="shared" si="16"/>
        <v>1397</v>
      </c>
      <c r="AI13" s="158">
        <f t="shared" si="16"/>
        <v>1397</v>
      </c>
      <c r="AJ13" s="158">
        <f t="shared" si="16"/>
        <v>1397</v>
      </c>
      <c r="AK13" s="158">
        <f t="shared" si="16"/>
        <v>1397</v>
      </c>
      <c r="AL13" s="158">
        <f t="shared" si="16"/>
        <v>1397</v>
      </c>
      <c r="AM13" s="158">
        <f t="shared" si="16"/>
        <v>1397</v>
      </c>
      <c r="AN13" s="158">
        <f t="shared" si="16"/>
        <v>1397</v>
      </c>
      <c r="AO13" s="158">
        <f t="shared" si="16"/>
        <v>1397</v>
      </c>
      <c r="AP13" s="158">
        <f t="shared" si="16"/>
        <v>1397</v>
      </c>
      <c r="AQ13" s="158">
        <f t="shared" si="16"/>
        <v>1397</v>
      </c>
      <c r="AR13" s="158">
        <f t="shared" si="16"/>
        <v>1397</v>
      </c>
      <c r="AS13" s="158">
        <f t="shared" si="16"/>
        <v>1397</v>
      </c>
      <c r="AT13" s="158">
        <f t="shared" si="16"/>
        <v>1397</v>
      </c>
      <c r="AU13" s="158">
        <f t="shared" si="16"/>
        <v>1397</v>
      </c>
      <c r="AV13" s="158">
        <f t="shared" si="16"/>
        <v>1397</v>
      </c>
      <c r="AW13" s="158">
        <f t="shared" si="16"/>
        <v>1397</v>
      </c>
      <c r="AX13" s="158">
        <f t="shared" si="16"/>
        <v>1397</v>
      </c>
      <c r="AY13" s="158">
        <f t="shared" si="16"/>
        <v>1397</v>
      </c>
      <c r="AZ13" s="158">
        <f t="shared" si="16"/>
        <v>1397</v>
      </c>
      <c r="BA13" s="158">
        <f t="shared" si="16"/>
        <v>1397</v>
      </c>
      <c r="BB13" s="158">
        <f t="shared" si="16"/>
        <v>1397</v>
      </c>
      <c r="BC13" s="158">
        <f t="shared" si="16"/>
        <v>1397</v>
      </c>
      <c r="BD13" s="158">
        <f t="shared" si="16"/>
        <v>1397</v>
      </c>
      <c r="BE13" s="158">
        <f t="shared" si="16"/>
        <v>1397</v>
      </c>
      <c r="BF13" s="158">
        <f t="shared" si="16"/>
        <v>1397</v>
      </c>
      <c r="BG13" s="158">
        <f t="shared" si="16"/>
        <v>1397</v>
      </c>
      <c r="BH13" s="158">
        <f t="shared" si="16"/>
        <v>1397</v>
      </c>
      <c r="BI13" s="158">
        <f t="shared" si="16"/>
        <v>1397</v>
      </c>
      <c r="BJ13" s="158">
        <f t="shared" si="16"/>
        <v>1397</v>
      </c>
      <c r="BK13" s="158">
        <f t="shared" si="16"/>
        <v>1397</v>
      </c>
      <c r="BL13" s="158">
        <f t="shared" si="16"/>
        <v>1397</v>
      </c>
      <c r="BM13" s="158">
        <f t="shared" si="16"/>
        <v>1397</v>
      </c>
      <c r="BN13" s="158">
        <f t="shared" si="16"/>
        <v>1397</v>
      </c>
      <c r="BO13" s="158">
        <f t="shared" si="16"/>
        <v>1397</v>
      </c>
      <c r="BP13" s="158">
        <f t="shared" si="16"/>
        <v>1397</v>
      </c>
      <c r="BQ13" s="158">
        <f t="shared" si="16"/>
        <v>1397</v>
      </c>
      <c r="BR13" s="158">
        <f t="shared" si="16"/>
        <v>1397</v>
      </c>
      <c r="BS13" s="158">
        <f t="shared" si="16"/>
        <v>1397</v>
      </c>
      <c r="BT13" s="158">
        <f t="shared" si="16"/>
        <v>1397</v>
      </c>
      <c r="BU13" s="158">
        <f t="shared" si="16"/>
        <v>1397</v>
      </c>
      <c r="BV13" s="158">
        <f t="shared" si="16"/>
        <v>1397</v>
      </c>
      <c r="BW13" s="158">
        <f t="shared" si="16"/>
        <v>1397</v>
      </c>
      <c r="BX13" s="158">
        <f t="shared" ref="BX13:CI16" si="19">BW13</f>
        <v>1397</v>
      </c>
      <c r="BY13" s="158">
        <f t="shared" si="19"/>
        <v>1397</v>
      </c>
      <c r="BZ13" s="158">
        <f t="shared" si="19"/>
        <v>1397</v>
      </c>
      <c r="CA13" s="158">
        <f t="shared" si="19"/>
        <v>1397</v>
      </c>
      <c r="CB13" s="158">
        <f t="shared" si="19"/>
        <v>1397</v>
      </c>
      <c r="CC13" s="158">
        <f t="shared" si="19"/>
        <v>1397</v>
      </c>
      <c r="CD13" s="158">
        <f t="shared" si="19"/>
        <v>1397</v>
      </c>
      <c r="CE13" s="158">
        <f t="shared" si="19"/>
        <v>1397</v>
      </c>
      <c r="CF13" s="158">
        <f t="shared" si="19"/>
        <v>1397</v>
      </c>
      <c r="CG13" s="158">
        <f t="shared" si="19"/>
        <v>1397</v>
      </c>
      <c r="CH13" s="158">
        <f t="shared" si="19"/>
        <v>1397</v>
      </c>
      <c r="CI13" s="158">
        <f t="shared" si="19"/>
        <v>1397</v>
      </c>
    </row>
    <row r="14" spans="1:87" x14ac:dyDescent="0.25">
      <c r="A14" s="159">
        <v>8</v>
      </c>
      <c r="B14" s="162">
        <v>12.74</v>
      </c>
      <c r="C14" s="162">
        <v>4.8899999999999997</v>
      </c>
      <c r="D14" s="162">
        <v>4.1224999999999996</v>
      </c>
      <c r="E14" s="162">
        <v>0.51</v>
      </c>
      <c r="F14" s="161">
        <f t="shared" si="18"/>
        <v>22.262499999999999</v>
      </c>
      <c r="G14" s="161"/>
      <c r="H14" s="161"/>
      <c r="I14" s="26"/>
      <c r="J14" s="157" t="s">
        <v>738</v>
      </c>
      <c r="K14" s="158">
        <f>B5</f>
        <v>34888</v>
      </c>
      <c r="L14" s="163">
        <f>B25</f>
        <v>24421.599999999999</v>
      </c>
      <c r="M14" s="158">
        <f t="shared" ref="M14:BX17" si="20">L14</f>
        <v>24421.599999999999</v>
      </c>
      <c r="N14" s="158">
        <f t="shared" si="20"/>
        <v>24421.599999999999</v>
      </c>
      <c r="O14" s="158">
        <f t="shared" si="20"/>
        <v>24421.599999999999</v>
      </c>
      <c r="P14" s="158">
        <f t="shared" si="20"/>
        <v>24421.599999999999</v>
      </c>
      <c r="Q14" s="158">
        <f t="shared" si="20"/>
        <v>24421.599999999999</v>
      </c>
      <c r="R14" s="158">
        <f t="shared" si="20"/>
        <v>24421.599999999999</v>
      </c>
      <c r="S14" s="158">
        <f t="shared" si="20"/>
        <v>24421.599999999999</v>
      </c>
      <c r="T14" s="158">
        <f t="shared" si="20"/>
        <v>24421.599999999999</v>
      </c>
      <c r="U14" s="158">
        <f t="shared" si="20"/>
        <v>24421.599999999999</v>
      </c>
      <c r="V14" s="158">
        <f t="shared" si="20"/>
        <v>24421.599999999999</v>
      </c>
      <c r="W14" s="158">
        <f t="shared" si="20"/>
        <v>24421.599999999999</v>
      </c>
      <c r="X14" s="158">
        <f t="shared" si="20"/>
        <v>24421.599999999999</v>
      </c>
      <c r="Y14" s="158">
        <f t="shared" si="20"/>
        <v>24421.599999999999</v>
      </c>
      <c r="Z14" s="158">
        <f t="shared" si="20"/>
        <v>24421.599999999999</v>
      </c>
      <c r="AA14" s="158">
        <f t="shared" si="20"/>
        <v>24421.599999999999</v>
      </c>
      <c r="AB14" s="158">
        <f t="shared" si="20"/>
        <v>24421.599999999999</v>
      </c>
      <c r="AC14" s="158">
        <f t="shared" si="20"/>
        <v>24421.599999999999</v>
      </c>
      <c r="AD14" s="158">
        <f t="shared" si="20"/>
        <v>24421.599999999999</v>
      </c>
      <c r="AE14" s="158">
        <f t="shared" si="20"/>
        <v>24421.599999999999</v>
      </c>
      <c r="AF14" s="158">
        <f t="shared" si="20"/>
        <v>24421.599999999999</v>
      </c>
      <c r="AG14" s="158">
        <f t="shared" si="20"/>
        <v>24421.599999999999</v>
      </c>
      <c r="AH14" s="158">
        <f t="shared" si="20"/>
        <v>24421.599999999999</v>
      </c>
      <c r="AI14" s="158">
        <f t="shared" si="20"/>
        <v>24421.599999999999</v>
      </c>
      <c r="AJ14" s="158">
        <f t="shared" si="20"/>
        <v>24421.599999999999</v>
      </c>
      <c r="AK14" s="158">
        <f t="shared" si="20"/>
        <v>24421.599999999999</v>
      </c>
      <c r="AL14" s="158">
        <f t="shared" si="20"/>
        <v>24421.599999999999</v>
      </c>
      <c r="AM14" s="158">
        <f t="shared" si="20"/>
        <v>24421.599999999999</v>
      </c>
      <c r="AN14" s="158">
        <f t="shared" si="20"/>
        <v>24421.599999999999</v>
      </c>
      <c r="AO14" s="158">
        <f t="shared" si="20"/>
        <v>24421.599999999999</v>
      </c>
      <c r="AP14" s="158">
        <f t="shared" si="20"/>
        <v>24421.599999999999</v>
      </c>
      <c r="AQ14" s="158">
        <f t="shared" si="20"/>
        <v>24421.599999999999</v>
      </c>
      <c r="AR14" s="158">
        <f t="shared" si="20"/>
        <v>24421.599999999999</v>
      </c>
      <c r="AS14" s="158">
        <f t="shared" si="20"/>
        <v>24421.599999999999</v>
      </c>
      <c r="AT14" s="158">
        <f t="shared" si="20"/>
        <v>24421.599999999999</v>
      </c>
      <c r="AU14" s="158">
        <f t="shared" si="20"/>
        <v>24421.599999999999</v>
      </c>
      <c r="AV14" s="158">
        <f t="shared" si="20"/>
        <v>24421.599999999999</v>
      </c>
      <c r="AW14" s="158">
        <f t="shared" si="20"/>
        <v>24421.599999999999</v>
      </c>
      <c r="AX14" s="158">
        <f t="shared" si="20"/>
        <v>24421.599999999999</v>
      </c>
      <c r="AY14" s="158">
        <f t="shared" si="20"/>
        <v>24421.599999999999</v>
      </c>
      <c r="AZ14" s="158">
        <f t="shared" si="20"/>
        <v>24421.599999999999</v>
      </c>
      <c r="BA14" s="158">
        <f t="shared" si="20"/>
        <v>24421.599999999999</v>
      </c>
      <c r="BB14" s="158">
        <f t="shared" si="20"/>
        <v>24421.599999999999</v>
      </c>
      <c r="BC14" s="158">
        <f t="shared" si="20"/>
        <v>24421.599999999999</v>
      </c>
      <c r="BD14" s="158">
        <f t="shared" si="20"/>
        <v>24421.599999999999</v>
      </c>
      <c r="BE14" s="158">
        <f t="shared" si="20"/>
        <v>24421.599999999999</v>
      </c>
      <c r="BF14" s="158">
        <f t="shared" si="20"/>
        <v>24421.599999999999</v>
      </c>
      <c r="BG14" s="158">
        <f t="shared" si="20"/>
        <v>24421.599999999999</v>
      </c>
      <c r="BH14" s="158">
        <f t="shared" si="20"/>
        <v>24421.599999999999</v>
      </c>
      <c r="BI14" s="158">
        <f t="shared" si="20"/>
        <v>24421.599999999999</v>
      </c>
      <c r="BJ14" s="158">
        <f t="shared" si="20"/>
        <v>24421.599999999999</v>
      </c>
      <c r="BK14" s="158">
        <f t="shared" si="20"/>
        <v>24421.599999999999</v>
      </c>
      <c r="BL14" s="158">
        <f t="shared" si="20"/>
        <v>24421.599999999999</v>
      </c>
      <c r="BM14" s="158">
        <f t="shared" si="20"/>
        <v>24421.599999999999</v>
      </c>
      <c r="BN14" s="158">
        <f t="shared" si="20"/>
        <v>24421.599999999999</v>
      </c>
      <c r="BO14" s="158">
        <f t="shared" si="20"/>
        <v>24421.599999999999</v>
      </c>
      <c r="BP14" s="158">
        <f t="shared" si="20"/>
        <v>24421.599999999999</v>
      </c>
      <c r="BQ14" s="158">
        <f t="shared" si="20"/>
        <v>24421.599999999999</v>
      </c>
      <c r="BR14" s="158">
        <f t="shared" si="20"/>
        <v>24421.599999999999</v>
      </c>
      <c r="BS14" s="158">
        <f t="shared" si="20"/>
        <v>24421.599999999999</v>
      </c>
      <c r="BT14" s="158">
        <f t="shared" si="20"/>
        <v>24421.599999999999</v>
      </c>
      <c r="BU14" s="158">
        <f t="shared" si="20"/>
        <v>24421.599999999999</v>
      </c>
      <c r="BV14" s="158">
        <f t="shared" si="20"/>
        <v>24421.599999999999</v>
      </c>
      <c r="BW14" s="158">
        <f t="shared" si="20"/>
        <v>24421.599999999999</v>
      </c>
      <c r="BX14" s="158">
        <f t="shared" si="20"/>
        <v>24421.599999999999</v>
      </c>
      <c r="BY14" s="158">
        <f t="shared" si="19"/>
        <v>24421.599999999999</v>
      </c>
      <c r="BZ14" s="158">
        <f t="shared" si="19"/>
        <v>24421.599999999999</v>
      </c>
      <c r="CA14" s="158">
        <f t="shared" si="19"/>
        <v>24421.599999999999</v>
      </c>
      <c r="CB14" s="158">
        <f t="shared" si="19"/>
        <v>24421.599999999999</v>
      </c>
      <c r="CC14" s="158">
        <f t="shared" si="19"/>
        <v>24421.599999999999</v>
      </c>
      <c r="CD14" s="158">
        <f t="shared" si="19"/>
        <v>24421.599999999999</v>
      </c>
      <c r="CE14" s="158">
        <f t="shared" si="19"/>
        <v>24421.599999999999</v>
      </c>
      <c r="CF14" s="158">
        <f t="shared" si="19"/>
        <v>24421.599999999999</v>
      </c>
      <c r="CG14" s="158">
        <f t="shared" si="19"/>
        <v>24421.599999999999</v>
      </c>
      <c r="CH14" s="158">
        <f t="shared" si="19"/>
        <v>24421.599999999999</v>
      </c>
      <c r="CI14" s="158">
        <f t="shared" si="19"/>
        <v>24421.599999999999</v>
      </c>
    </row>
    <row r="15" spans="1:87" x14ac:dyDescent="0.25">
      <c r="A15" s="159">
        <v>7</v>
      </c>
      <c r="B15" s="160">
        <v>12</v>
      </c>
      <c r="C15" s="160">
        <v>4.53</v>
      </c>
      <c r="D15" s="160">
        <v>3.7247999999999997</v>
      </c>
      <c r="E15" s="160">
        <v>0.46</v>
      </c>
      <c r="F15" s="161">
        <f t="shared" si="18"/>
        <v>20.7148</v>
      </c>
      <c r="G15" s="161"/>
      <c r="H15" s="161"/>
      <c r="I15" s="26"/>
      <c r="J15" s="157" t="s">
        <v>739</v>
      </c>
      <c r="K15" s="158">
        <f>B6</f>
        <v>13391</v>
      </c>
      <c r="L15" s="163">
        <f>B26</f>
        <v>9373.6999999999989</v>
      </c>
      <c r="M15" s="158">
        <f t="shared" si="20"/>
        <v>9373.6999999999989</v>
      </c>
      <c r="N15" s="158">
        <f t="shared" si="20"/>
        <v>9373.6999999999989</v>
      </c>
      <c r="O15" s="158">
        <f t="shared" si="20"/>
        <v>9373.6999999999989</v>
      </c>
      <c r="P15" s="158">
        <f t="shared" si="20"/>
        <v>9373.6999999999989</v>
      </c>
      <c r="Q15" s="158">
        <f t="shared" si="20"/>
        <v>9373.6999999999989</v>
      </c>
      <c r="R15" s="158">
        <f t="shared" si="20"/>
        <v>9373.6999999999989</v>
      </c>
      <c r="S15" s="158">
        <f t="shared" si="20"/>
        <v>9373.6999999999989</v>
      </c>
      <c r="T15" s="158">
        <f t="shared" si="20"/>
        <v>9373.6999999999989</v>
      </c>
      <c r="U15" s="158">
        <f t="shared" si="20"/>
        <v>9373.6999999999989</v>
      </c>
      <c r="V15" s="158">
        <f t="shared" si="20"/>
        <v>9373.6999999999989</v>
      </c>
      <c r="W15" s="158">
        <f t="shared" si="20"/>
        <v>9373.6999999999989</v>
      </c>
      <c r="X15" s="158">
        <f t="shared" si="20"/>
        <v>9373.6999999999989</v>
      </c>
      <c r="Y15" s="158">
        <f t="shared" si="20"/>
        <v>9373.6999999999989</v>
      </c>
      <c r="Z15" s="158">
        <f t="shared" si="20"/>
        <v>9373.6999999999989</v>
      </c>
      <c r="AA15" s="158">
        <f t="shared" si="20"/>
        <v>9373.6999999999989</v>
      </c>
      <c r="AB15" s="158">
        <f t="shared" si="20"/>
        <v>9373.6999999999989</v>
      </c>
      <c r="AC15" s="158">
        <f t="shared" si="20"/>
        <v>9373.6999999999989</v>
      </c>
      <c r="AD15" s="158">
        <f t="shared" si="20"/>
        <v>9373.6999999999989</v>
      </c>
      <c r="AE15" s="158">
        <f t="shared" si="20"/>
        <v>9373.6999999999989</v>
      </c>
      <c r="AF15" s="158">
        <f t="shared" si="20"/>
        <v>9373.6999999999989</v>
      </c>
      <c r="AG15" s="158">
        <f t="shared" si="20"/>
        <v>9373.6999999999989</v>
      </c>
      <c r="AH15" s="158">
        <f t="shared" si="20"/>
        <v>9373.6999999999989</v>
      </c>
      <c r="AI15" s="158">
        <f t="shared" si="20"/>
        <v>9373.6999999999989</v>
      </c>
      <c r="AJ15" s="158">
        <f t="shared" si="20"/>
        <v>9373.6999999999989</v>
      </c>
      <c r="AK15" s="158">
        <f t="shared" si="20"/>
        <v>9373.6999999999989</v>
      </c>
      <c r="AL15" s="158">
        <f t="shared" si="20"/>
        <v>9373.6999999999989</v>
      </c>
      <c r="AM15" s="158">
        <f t="shared" si="20"/>
        <v>9373.6999999999989</v>
      </c>
      <c r="AN15" s="158">
        <f t="shared" si="20"/>
        <v>9373.6999999999989</v>
      </c>
      <c r="AO15" s="158">
        <f t="shared" si="20"/>
        <v>9373.6999999999989</v>
      </c>
      <c r="AP15" s="158">
        <f t="shared" si="20"/>
        <v>9373.6999999999989</v>
      </c>
      <c r="AQ15" s="158">
        <f t="shared" si="20"/>
        <v>9373.6999999999989</v>
      </c>
      <c r="AR15" s="158">
        <f t="shared" si="20"/>
        <v>9373.6999999999989</v>
      </c>
      <c r="AS15" s="158">
        <f t="shared" si="20"/>
        <v>9373.6999999999989</v>
      </c>
      <c r="AT15" s="158">
        <f t="shared" si="20"/>
        <v>9373.6999999999989</v>
      </c>
      <c r="AU15" s="158">
        <f t="shared" si="20"/>
        <v>9373.6999999999989</v>
      </c>
      <c r="AV15" s="158">
        <f t="shared" si="20"/>
        <v>9373.6999999999989</v>
      </c>
      <c r="AW15" s="158">
        <f t="shared" si="20"/>
        <v>9373.6999999999989</v>
      </c>
      <c r="AX15" s="158">
        <f t="shared" si="20"/>
        <v>9373.6999999999989</v>
      </c>
      <c r="AY15" s="158">
        <f t="shared" si="20"/>
        <v>9373.6999999999989</v>
      </c>
      <c r="AZ15" s="158">
        <f t="shared" si="20"/>
        <v>9373.6999999999989</v>
      </c>
      <c r="BA15" s="158">
        <f t="shared" si="20"/>
        <v>9373.6999999999989</v>
      </c>
      <c r="BB15" s="158">
        <f t="shared" si="20"/>
        <v>9373.6999999999989</v>
      </c>
      <c r="BC15" s="158">
        <f t="shared" si="20"/>
        <v>9373.6999999999989</v>
      </c>
      <c r="BD15" s="158">
        <f t="shared" si="20"/>
        <v>9373.6999999999989</v>
      </c>
      <c r="BE15" s="158">
        <f t="shared" si="20"/>
        <v>9373.6999999999989</v>
      </c>
      <c r="BF15" s="158">
        <f t="shared" si="20"/>
        <v>9373.6999999999989</v>
      </c>
      <c r="BG15" s="158">
        <f t="shared" si="20"/>
        <v>9373.6999999999989</v>
      </c>
      <c r="BH15" s="158">
        <f t="shared" si="20"/>
        <v>9373.6999999999989</v>
      </c>
      <c r="BI15" s="158">
        <f t="shared" si="20"/>
        <v>9373.6999999999989</v>
      </c>
      <c r="BJ15" s="158">
        <f t="shared" si="20"/>
        <v>9373.6999999999989</v>
      </c>
      <c r="BK15" s="158">
        <f t="shared" si="20"/>
        <v>9373.6999999999989</v>
      </c>
      <c r="BL15" s="158">
        <f t="shared" si="20"/>
        <v>9373.6999999999989</v>
      </c>
      <c r="BM15" s="158">
        <f t="shared" si="20"/>
        <v>9373.6999999999989</v>
      </c>
      <c r="BN15" s="158">
        <f t="shared" si="20"/>
        <v>9373.6999999999989</v>
      </c>
      <c r="BO15" s="158">
        <f t="shared" si="20"/>
        <v>9373.6999999999989</v>
      </c>
      <c r="BP15" s="158">
        <f t="shared" si="20"/>
        <v>9373.6999999999989</v>
      </c>
      <c r="BQ15" s="158">
        <f t="shared" si="20"/>
        <v>9373.6999999999989</v>
      </c>
      <c r="BR15" s="158">
        <f t="shared" si="20"/>
        <v>9373.6999999999989</v>
      </c>
      <c r="BS15" s="158">
        <f t="shared" si="20"/>
        <v>9373.6999999999989</v>
      </c>
      <c r="BT15" s="158">
        <f t="shared" si="20"/>
        <v>9373.6999999999989</v>
      </c>
      <c r="BU15" s="158">
        <f t="shared" si="20"/>
        <v>9373.6999999999989</v>
      </c>
      <c r="BV15" s="158">
        <f t="shared" si="20"/>
        <v>9373.6999999999989</v>
      </c>
      <c r="BW15" s="158">
        <f t="shared" si="20"/>
        <v>9373.6999999999989</v>
      </c>
      <c r="BX15" s="158">
        <f t="shared" si="20"/>
        <v>9373.6999999999989</v>
      </c>
      <c r="BY15" s="158">
        <f t="shared" si="19"/>
        <v>9373.6999999999989</v>
      </c>
      <c r="BZ15" s="158">
        <f t="shared" si="19"/>
        <v>9373.6999999999989</v>
      </c>
      <c r="CA15" s="158">
        <f t="shared" si="19"/>
        <v>9373.6999999999989</v>
      </c>
      <c r="CB15" s="158">
        <f t="shared" si="19"/>
        <v>9373.6999999999989</v>
      </c>
      <c r="CC15" s="158">
        <f t="shared" si="19"/>
        <v>9373.6999999999989</v>
      </c>
      <c r="CD15" s="158">
        <f t="shared" si="19"/>
        <v>9373.6999999999989</v>
      </c>
      <c r="CE15" s="158">
        <f t="shared" si="19"/>
        <v>9373.6999999999989</v>
      </c>
      <c r="CF15" s="158">
        <f t="shared" si="19"/>
        <v>9373.6999999999989</v>
      </c>
      <c r="CG15" s="158">
        <f t="shared" si="19"/>
        <v>9373.6999999999989</v>
      </c>
      <c r="CH15" s="158">
        <f t="shared" si="19"/>
        <v>9373.6999999999989</v>
      </c>
      <c r="CI15" s="158">
        <f t="shared" si="19"/>
        <v>9373.6999999999989</v>
      </c>
    </row>
    <row r="16" spans="1:87" x14ac:dyDescent="0.25">
      <c r="A16" s="159">
        <v>6</v>
      </c>
      <c r="B16" s="162">
        <v>11.26</v>
      </c>
      <c r="C16" s="162">
        <v>4.17</v>
      </c>
      <c r="D16" s="162">
        <v>3.3367999999999998</v>
      </c>
      <c r="E16" s="162">
        <v>0.41</v>
      </c>
      <c r="F16" s="161">
        <f t="shared" si="18"/>
        <v>19.1768</v>
      </c>
      <c r="G16" s="161"/>
      <c r="H16" s="161"/>
      <c r="I16" s="26"/>
      <c r="J16" s="157" t="s">
        <v>740</v>
      </c>
      <c r="K16" s="158">
        <f>B7</f>
        <v>11289</v>
      </c>
      <c r="L16" s="163">
        <f>B27</f>
        <v>7902.2999999999993</v>
      </c>
      <c r="M16" s="158">
        <f t="shared" si="20"/>
        <v>7902.2999999999993</v>
      </c>
      <c r="N16" s="158">
        <f t="shared" si="20"/>
        <v>7902.2999999999993</v>
      </c>
      <c r="O16" s="158">
        <f t="shared" si="20"/>
        <v>7902.2999999999993</v>
      </c>
      <c r="P16" s="158">
        <f t="shared" si="20"/>
        <v>7902.2999999999993</v>
      </c>
      <c r="Q16" s="158">
        <f t="shared" si="20"/>
        <v>7902.2999999999993</v>
      </c>
      <c r="R16" s="158">
        <f t="shared" si="20"/>
        <v>7902.2999999999993</v>
      </c>
      <c r="S16" s="158">
        <f t="shared" si="20"/>
        <v>7902.2999999999993</v>
      </c>
      <c r="T16" s="158">
        <f t="shared" si="20"/>
        <v>7902.2999999999993</v>
      </c>
      <c r="U16" s="158">
        <f t="shared" si="20"/>
        <v>7902.2999999999993</v>
      </c>
      <c r="V16" s="158">
        <f t="shared" si="20"/>
        <v>7902.2999999999993</v>
      </c>
      <c r="W16" s="158">
        <f t="shared" si="20"/>
        <v>7902.2999999999993</v>
      </c>
      <c r="X16" s="158">
        <f t="shared" si="20"/>
        <v>7902.2999999999993</v>
      </c>
      <c r="Y16" s="158">
        <f t="shared" si="20"/>
        <v>7902.2999999999993</v>
      </c>
      <c r="Z16" s="158">
        <f t="shared" si="20"/>
        <v>7902.2999999999993</v>
      </c>
      <c r="AA16" s="158">
        <f t="shared" si="20"/>
        <v>7902.2999999999993</v>
      </c>
      <c r="AB16" s="158">
        <f t="shared" si="20"/>
        <v>7902.2999999999993</v>
      </c>
      <c r="AC16" s="158">
        <f t="shared" si="20"/>
        <v>7902.2999999999993</v>
      </c>
      <c r="AD16" s="158">
        <f t="shared" si="20"/>
        <v>7902.2999999999993</v>
      </c>
      <c r="AE16" s="158">
        <f t="shared" si="20"/>
        <v>7902.2999999999993</v>
      </c>
      <c r="AF16" s="158">
        <f t="shared" si="20"/>
        <v>7902.2999999999993</v>
      </c>
      <c r="AG16" s="158">
        <f t="shared" si="20"/>
        <v>7902.2999999999993</v>
      </c>
      <c r="AH16" s="158">
        <f t="shared" si="20"/>
        <v>7902.2999999999993</v>
      </c>
      <c r="AI16" s="158">
        <f t="shared" si="20"/>
        <v>7902.2999999999993</v>
      </c>
      <c r="AJ16" s="158">
        <f t="shared" si="20"/>
        <v>7902.2999999999993</v>
      </c>
      <c r="AK16" s="158">
        <f t="shared" si="20"/>
        <v>7902.2999999999993</v>
      </c>
      <c r="AL16" s="158">
        <f t="shared" si="20"/>
        <v>7902.2999999999993</v>
      </c>
      <c r="AM16" s="158">
        <f t="shared" si="20"/>
        <v>7902.2999999999993</v>
      </c>
      <c r="AN16" s="158">
        <f t="shared" si="20"/>
        <v>7902.2999999999993</v>
      </c>
      <c r="AO16" s="158">
        <f t="shared" si="20"/>
        <v>7902.2999999999993</v>
      </c>
      <c r="AP16" s="158">
        <f t="shared" si="20"/>
        <v>7902.2999999999993</v>
      </c>
      <c r="AQ16" s="158">
        <f t="shared" si="20"/>
        <v>7902.2999999999993</v>
      </c>
      <c r="AR16" s="158">
        <f t="shared" si="20"/>
        <v>7902.2999999999993</v>
      </c>
      <c r="AS16" s="158">
        <f t="shared" si="20"/>
        <v>7902.2999999999993</v>
      </c>
      <c r="AT16" s="158">
        <f t="shared" si="20"/>
        <v>7902.2999999999993</v>
      </c>
      <c r="AU16" s="158">
        <f t="shared" si="20"/>
        <v>7902.2999999999993</v>
      </c>
      <c r="AV16" s="158">
        <f t="shared" si="20"/>
        <v>7902.2999999999993</v>
      </c>
      <c r="AW16" s="158">
        <f t="shared" si="20"/>
        <v>7902.2999999999993</v>
      </c>
      <c r="AX16" s="158">
        <f t="shared" si="20"/>
        <v>7902.2999999999993</v>
      </c>
      <c r="AY16" s="158">
        <f t="shared" si="20"/>
        <v>7902.2999999999993</v>
      </c>
      <c r="AZ16" s="158">
        <f t="shared" si="20"/>
        <v>7902.2999999999993</v>
      </c>
      <c r="BA16" s="158">
        <f t="shared" si="20"/>
        <v>7902.2999999999993</v>
      </c>
      <c r="BB16" s="158">
        <f t="shared" si="20"/>
        <v>7902.2999999999993</v>
      </c>
      <c r="BC16" s="158">
        <f t="shared" si="20"/>
        <v>7902.2999999999993</v>
      </c>
      <c r="BD16" s="158">
        <f t="shared" si="20"/>
        <v>7902.2999999999993</v>
      </c>
      <c r="BE16" s="158">
        <f t="shared" si="20"/>
        <v>7902.2999999999993</v>
      </c>
      <c r="BF16" s="158">
        <f t="shared" si="20"/>
        <v>7902.2999999999993</v>
      </c>
      <c r="BG16" s="158">
        <f t="shared" si="20"/>
        <v>7902.2999999999993</v>
      </c>
      <c r="BH16" s="158">
        <f t="shared" si="20"/>
        <v>7902.2999999999993</v>
      </c>
      <c r="BI16" s="158">
        <f t="shared" si="20"/>
        <v>7902.2999999999993</v>
      </c>
      <c r="BJ16" s="158">
        <f t="shared" si="20"/>
        <v>7902.2999999999993</v>
      </c>
      <c r="BK16" s="158">
        <f t="shared" si="20"/>
        <v>7902.2999999999993</v>
      </c>
      <c r="BL16" s="158">
        <f t="shared" si="20"/>
        <v>7902.2999999999993</v>
      </c>
      <c r="BM16" s="158">
        <f t="shared" si="20"/>
        <v>7902.2999999999993</v>
      </c>
      <c r="BN16" s="158">
        <f t="shared" si="20"/>
        <v>7902.2999999999993</v>
      </c>
      <c r="BO16" s="158">
        <f t="shared" si="20"/>
        <v>7902.2999999999993</v>
      </c>
      <c r="BP16" s="158">
        <f t="shared" si="20"/>
        <v>7902.2999999999993</v>
      </c>
      <c r="BQ16" s="158">
        <f t="shared" si="20"/>
        <v>7902.2999999999993</v>
      </c>
      <c r="BR16" s="158">
        <f t="shared" si="20"/>
        <v>7902.2999999999993</v>
      </c>
      <c r="BS16" s="158">
        <f t="shared" si="20"/>
        <v>7902.2999999999993</v>
      </c>
      <c r="BT16" s="158">
        <f t="shared" si="20"/>
        <v>7902.2999999999993</v>
      </c>
      <c r="BU16" s="158">
        <f t="shared" si="20"/>
        <v>7902.2999999999993</v>
      </c>
      <c r="BV16" s="158">
        <f t="shared" si="20"/>
        <v>7902.2999999999993</v>
      </c>
      <c r="BW16" s="158">
        <f t="shared" si="20"/>
        <v>7902.2999999999993</v>
      </c>
      <c r="BX16" s="158">
        <f t="shared" si="20"/>
        <v>7902.2999999999993</v>
      </c>
      <c r="BY16" s="158">
        <f t="shared" si="19"/>
        <v>7902.2999999999993</v>
      </c>
      <c r="BZ16" s="158">
        <f t="shared" si="19"/>
        <v>7902.2999999999993</v>
      </c>
      <c r="CA16" s="158">
        <f t="shared" si="19"/>
        <v>7902.2999999999993</v>
      </c>
      <c r="CB16" s="158">
        <f t="shared" si="19"/>
        <v>7902.2999999999993</v>
      </c>
      <c r="CC16" s="158">
        <f t="shared" si="19"/>
        <v>7902.2999999999993</v>
      </c>
      <c r="CD16" s="158">
        <f t="shared" si="19"/>
        <v>7902.2999999999993</v>
      </c>
      <c r="CE16" s="158">
        <f t="shared" si="19"/>
        <v>7902.2999999999993</v>
      </c>
      <c r="CF16" s="158">
        <f t="shared" si="19"/>
        <v>7902.2999999999993</v>
      </c>
      <c r="CG16" s="158">
        <f t="shared" si="19"/>
        <v>7902.2999999999993</v>
      </c>
      <c r="CH16" s="158">
        <f t="shared" si="19"/>
        <v>7902.2999999999993</v>
      </c>
      <c r="CI16" s="158">
        <f t="shared" si="19"/>
        <v>7902.2999999999993</v>
      </c>
    </row>
    <row r="17" spans="1:87" x14ac:dyDescent="0.25">
      <c r="A17" s="159">
        <v>5</v>
      </c>
      <c r="B17" s="160">
        <v>10.52</v>
      </c>
      <c r="C17" s="160">
        <v>3.81</v>
      </c>
      <c r="D17" s="160">
        <v>2.9390999999999998</v>
      </c>
      <c r="E17" s="160">
        <v>0.35</v>
      </c>
      <c r="F17" s="161">
        <f t="shared" si="18"/>
        <v>17.6191</v>
      </c>
      <c r="G17" s="161"/>
      <c r="H17" s="161"/>
      <c r="I17" s="26"/>
      <c r="J17" s="157" t="s">
        <v>741</v>
      </c>
      <c r="K17" s="158">
        <f>B8</f>
        <v>1397</v>
      </c>
      <c r="L17" s="163">
        <f>B28</f>
        <v>977.9</v>
      </c>
      <c r="M17" s="158">
        <f t="shared" si="20"/>
        <v>977.9</v>
      </c>
      <c r="N17" s="158">
        <f t="shared" si="20"/>
        <v>977.9</v>
      </c>
      <c r="O17" s="158">
        <f t="shared" si="20"/>
        <v>977.9</v>
      </c>
      <c r="P17" s="158">
        <f t="shared" si="20"/>
        <v>977.9</v>
      </c>
      <c r="Q17" s="158">
        <f t="shared" si="20"/>
        <v>977.9</v>
      </c>
      <c r="R17" s="158">
        <f t="shared" si="20"/>
        <v>977.9</v>
      </c>
      <c r="S17" s="158">
        <f t="shared" si="20"/>
        <v>977.9</v>
      </c>
      <c r="T17" s="158">
        <f t="shared" si="20"/>
        <v>977.9</v>
      </c>
      <c r="U17" s="158">
        <f t="shared" si="20"/>
        <v>977.9</v>
      </c>
      <c r="V17" s="158">
        <f t="shared" si="20"/>
        <v>977.9</v>
      </c>
      <c r="W17" s="158">
        <f t="shared" si="20"/>
        <v>977.9</v>
      </c>
      <c r="X17" s="158">
        <f t="shared" si="20"/>
        <v>977.9</v>
      </c>
      <c r="Y17" s="158">
        <f t="shared" si="20"/>
        <v>977.9</v>
      </c>
      <c r="Z17" s="158">
        <f t="shared" si="20"/>
        <v>977.9</v>
      </c>
      <c r="AA17" s="158">
        <f t="shared" si="20"/>
        <v>977.9</v>
      </c>
      <c r="AB17" s="158">
        <f t="shared" si="20"/>
        <v>977.9</v>
      </c>
      <c r="AC17" s="158">
        <f t="shared" si="20"/>
        <v>977.9</v>
      </c>
      <c r="AD17" s="158">
        <f t="shared" si="20"/>
        <v>977.9</v>
      </c>
      <c r="AE17" s="158">
        <f t="shared" si="20"/>
        <v>977.9</v>
      </c>
      <c r="AF17" s="158">
        <f t="shared" si="20"/>
        <v>977.9</v>
      </c>
      <c r="AG17" s="158">
        <f t="shared" si="20"/>
        <v>977.9</v>
      </c>
      <c r="AH17" s="158">
        <f t="shared" si="20"/>
        <v>977.9</v>
      </c>
      <c r="AI17" s="158">
        <f t="shared" si="20"/>
        <v>977.9</v>
      </c>
      <c r="AJ17" s="158">
        <f t="shared" si="20"/>
        <v>977.9</v>
      </c>
      <c r="AK17" s="158">
        <f t="shared" si="20"/>
        <v>977.9</v>
      </c>
      <c r="AL17" s="158">
        <f t="shared" si="20"/>
        <v>977.9</v>
      </c>
      <c r="AM17" s="158">
        <f t="shared" si="20"/>
        <v>977.9</v>
      </c>
      <c r="AN17" s="158">
        <f t="shared" si="20"/>
        <v>977.9</v>
      </c>
      <c r="AO17" s="158">
        <f t="shared" si="20"/>
        <v>977.9</v>
      </c>
      <c r="AP17" s="158">
        <f t="shared" si="20"/>
        <v>977.9</v>
      </c>
      <c r="AQ17" s="158">
        <f t="shared" si="20"/>
        <v>977.9</v>
      </c>
      <c r="AR17" s="158">
        <f t="shared" si="20"/>
        <v>977.9</v>
      </c>
      <c r="AS17" s="158">
        <f t="shared" si="20"/>
        <v>977.9</v>
      </c>
      <c r="AT17" s="158">
        <f t="shared" si="20"/>
        <v>977.9</v>
      </c>
      <c r="AU17" s="158">
        <f t="shared" si="20"/>
        <v>977.9</v>
      </c>
      <c r="AV17" s="158">
        <f t="shared" si="20"/>
        <v>977.9</v>
      </c>
      <c r="AW17" s="158">
        <f t="shared" si="20"/>
        <v>977.9</v>
      </c>
      <c r="AX17" s="158">
        <f t="shared" si="20"/>
        <v>977.9</v>
      </c>
      <c r="AY17" s="158">
        <f t="shared" si="20"/>
        <v>977.9</v>
      </c>
      <c r="AZ17" s="158">
        <f t="shared" si="20"/>
        <v>977.9</v>
      </c>
      <c r="BA17" s="158">
        <f t="shared" si="20"/>
        <v>977.9</v>
      </c>
      <c r="BB17" s="158">
        <f t="shared" si="20"/>
        <v>977.9</v>
      </c>
      <c r="BC17" s="158">
        <f t="shared" si="20"/>
        <v>977.9</v>
      </c>
      <c r="BD17" s="158">
        <f t="shared" si="20"/>
        <v>977.9</v>
      </c>
      <c r="BE17" s="158">
        <f t="shared" si="20"/>
        <v>977.9</v>
      </c>
      <c r="BF17" s="158">
        <f t="shared" si="20"/>
        <v>977.9</v>
      </c>
      <c r="BG17" s="158">
        <f t="shared" si="20"/>
        <v>977.9</v>
      </c>
      <c r="BH17" s="158">
        <f t="shared" si="20"/>
        <v>977.9</v>
      </c>
      <c r="BI17" s="158">
        <f t="shared" si="20"/>
        <v>977.9</v>
      </c>
      <c r="BJ17" s="158">
        <f t="shared" si="20"/>
        <v>977.9</v>
      </c>
      <c r="BK17" s="158">
        <f t="shared" si="20"/>
        <v>977.9</v>
      </c>
      <c r="BL17" s="158">
        <f t="shared" si="20"/>
        <v>977.9</v>
      </c>
      <c r="BM17" s="158">
        <f t="shared" si="20"/>
        <v>977.9</v>
      </c>
      <c r="BN17" s="158">
        <f t="shared" si="20"/>
        <v>977.9</v>
      </c>
      <c r="BO17" s="158">
        <f t="shared" si="20"/>
        <v>977.9</v>
      </c>
      <c r="BP17" s="158">
        <f t="shared" si="20"/>
        <v>977.9</v>
      </c>
      <c r="BQ17" s="158">
        <f t="shared" si="20"/>
        <v>977.9</v>
      </c>
      <c r="BR17" s="158">
        <f t="shared" si="20"/>
        <v>977.9</v>
      </c>
      <c r="BS17" s="158">
        <f t="shared" si="20"/>
        <v>977.9</v>
      </c>
      <c r="BT17" s="158">
        <f t="shared" si="20"/>
        <v>977.9</v>
      </c>
      <c r="BU17" s="158">
        <f t="shared" si="20"/>
        <v>977.9</v>
      </c>
      <c r="BV17" s="158">
        <f t="shared" si="20"/>
        <v>977.9</v>
      </c>
      <c r="BW17" s="158">
        <f t="shared" si="20"/>
        <v>977.9</v>
      </c>
      <c r="BX17" s="158">
        <f t="shared" ref="BX17:CI17" si="21">BW17</f>
        <v>977.9</v>
      </c>
      <c r="BY17" s="158">
        <f t="shared" si="21"/>
        <v>977.9</v>
      </c>
      <c r="BZ17" s="158">
        <f t="shared" si="21"/>
        <v>977.9</v>
      </c>
      <c r="CA17" s="158">
        <f t="shared" si="21"/>
        <v>977.9</v>
      </c>
      <c r="CB17" s="158">
        <f t="shared" si="21"/>
        <v>977.9</v>
      </c>
      <c r="CC17" s="158">
        <f t="shared" si="21"/>
        <v>977.9</v>
      </c>
      <c r="CD17" s="158">
        <f t="shared" si="21"/>
        <v>977.9</v>
      </c>
      <c r="CE17" s="158">
        <f t="shared" si="21"/>
        <v>977.9</v>
      </c>
      <c r="CF17" s="158">
        <f t="shared" si="21"/>
        <v>977.9</v>
      </c>
      <c r="CG17" s="158">
        <f t="shared" si="21"/>
        <v>977.9</v>
      </c>
      <c r="CH17" s="158">
        <f t="shared" si="21"/>
        <v>977.9</v>
      </c>
      <c r="CI17" s="158">
        <f t="shared" si="21"/>
        <v>977.9</v>
      </c>
    </row>
    <row r="18" spans="1:87" x14ac:dyDescent="0.25">
      <c r="A18" s="159">
        <v>4</v>
      </c>
      <c r="B18" s="162">
        <v>9.8000000000000007</v>
      </c>
      <c r="C18" s="162">
        <v>3.46</v>
      </c>
      <c r="D18" s="162">
        <v>2.5510999999999999</v>
      </c>
      <c r="E18" s="162">
        <v>0.3</v>
      </c>
      <c r="F18" s="161">
        <f t="shared" si="18"/>
        <v>16.1111</v>
      </c>
      <c r="G18" s="161"/>
      <c r="H18" s="161"/>
      <c r="I18" s="26"/>
      <c r="J18" s="164" t="s">
        <v>742</v>
      </c>
      <c r="K18" s="165">
        <f>IF(K3=1,IF(K10&gt;K6,K6*$E$5,K10*$E$5),0)</f>
        <v>175818.02000000002</v>
      </c>
      <c r="L18" s="165">
        <f t="shared" ref="L18:BW18" si="22">IF(L3=1,IF(L10&gt;L6,L6*$E$5,L10*$E$5),0)</f>
        <v>0</v>
      </c>
      <c r="M18" s="165">
        <f t="shared" si="22"/>
        <v>174403.46</v>
      </c>
      <c r="N18" s="165">
        <f t="shared" si="22"/>
        <v>0</v>
      </c>
      <c r="O18" s="165">
        <f t="shared" si="22"/>
        <v>172988.9</v>
      </c>
      <c r="P18" s="165">
        <f t="shared" si="22"/>
        <v>0</v>
      </c>
      <c r="Q18" s="165">
        <f t="shared" si="22"/>
        <v>171574.34</v>
      </c>
      <c r="R18" s="165">
        <f t="shared" si="22"/>
        <v>0</v>
      </c>
      <c r="S18" s="165">
        <f t="shared" si="22"/>
        <v>170159.78</v>
      </c>
      <c r="T18" s="165">
        <f t="shared" si="22"/>
        <v>0</v>
      </c>
      <c r="U18" s="165">
        <f t="shared" si="22"/>
        <v>168745.22</v>
      </c>
      <c r="V18" s="165">
        <f t="shared" si="22"/>
        <v>0</v>
      </c>
      <c r="W18" s="165">
        <f t="shared" si="22"/>
        <v>0</v>
      </c>
      <c r="X18" s="165">
        <f t="shared" si="22"/>
        <v>0</v>
      </c>
      <c r="Y18" s="165">
        <f t="shared" si="22"/>
        <v>165916.1</v>
      </c>
      <c r="Z18" s="165">
        <f t="shared" si="22"/>
        <v>0</v>
      </c>
      <c r="AA18" s="165">
        <f t="shared" si="22"/>
        <v>148687.93800000002</v>
      </c>
      <c r="AB18" s="165">
        <f t="shared" si="22"/>
        <v>0</v>
      </c>
      <c r="AC18" s="165">
        <f t="shared" si="22"/>
        <v>147273.37800000003</v>
      </c>
      <c r="AD18" s="165">
        <f t="shared" si="22"/>
        <v>0</v>
      </c>
      <c r="AE18" s="165">
        <f t="shared" si="22"/>
        <v>145858.81800000003</v>
      </c>
      <c r="AF18" s="165">
        <f t="shared" si="22"/>
        <v>0</v>
      </c>
      <c r="AG18" s="165">
        <f t="shared" si="22"/>
        <v>144444.25800000003</v>
      </c>
      <c r="AH18" s="165">
        <f t="shared" si="22"/>
        <v>0</v>
      </c>
      <c r="AI18" s="165">
        <f t="shared" si="22"/>
        <v>143029.698</v>
      </c>
      <c r="AJ18" s="165">
        <f t="shared" si="22"/>
        <v>0</v>
      </c>
      <c r="AK18" s="165">
        <f t="shared" si="22"/>
        <v>141615.13800000001</v>
      </c>
      <c r="AL18" s="165">
        <f t="shared" si="22"/>
        <v>0</v>
      </c>
      <c r="AM18" s="165">
        <f t="shared" si="22"/>
        <v>0</v>
      </c>
      <c r="AN18" s="165">
        <f t="shared" si="22"/>
        <v>139493.29800000001</v>
      </c>
      <c r="AO18" s="165">
        <f t="shared" si="22"/>
        <v>0</v>
      </c>
      <c r="AP18" s="165">
        <f t="shared" si="22"/>
        <v>138078.73800000001</v>
      </c>
      <c r="AQ18" s="165">
        <f t="shared" si="22"/>
        <v>0</v>
      </c>
      <c r="AR18" s="165">
        <f t="shared" si="22"/>
        <v>123563.58420000001</v>
      </c>
      <c r="AS18" s="165">
        <f t="shared" si="22"/>
        <v>0</v>
      </c>
      <c r="AT18" s="165">
        <f t="shared" si="22"/>
        <v>122149.02420000003</v>
      </c>
      <c r="AU18" s="165">
        <f t="shared" si="22"/>
        <v>0</v>
      </c>
      <c r="AV18" s="165">
        <f t="shared" si="22"/>
        <v>120734.46420000002</v>
      </c>
      <c r="AW18" s="165">
        <f t="shared" si="22"/>
        <v>0</v>
      </c>
      <c r="AX18" s="165">
        <f t="shared" si="22"/>
        <v>119319.90420000002</v>
      </c>
      <c r="AY18" s="165">
        <f t="shared" si="22"/>
        <v>0</v>
      </c>
      <c r="AZ18" s="165">
        <f t="shared" si="22"/>
        <v>117905.34420000002</v>
      </c>
      <c r="BA18" s="165">
        <f t="shared" si="22"/>
        <v>0</v>
      </c>
      <c r="BB18" s="165">
        <f t="shared" si="22"/>
        <v>0</v>
      </c>
      <c r="BC18" s="165">
        <f t="shared" si="22"/>
        <v>0</v>
      </c>
      <c r="BD18" s="165">
        <f t="shared" si="22"/>
        <v>115076.22420000001</v>
      </c>
      <c r="BE18" s="165">
        <f t="shared" si="22"/>
        <v>0</v>
      </c>
      <c r="BF18" s="165">
        <f t="shared" si="22"/>
        <v>113661.66420000001</v>
      </c>
      <c r="BG18" s="165">
        <f t="shared" si="22"/>
        <v>0</v>
      </c>
      <c r="BH18" s="165">
        <f t="shared" si="22"/>
        <v>170907.22740000003</v>
      </c>
      <c r="BI18" s="165">
        <f t="shared" si="22"/>
        <v>0</v>
      </c>
      <c r="BJ18" s="165">
        <f t="shared" si="22"/>
        <v>170907.22740000003</v>
      </c>
      <c r="BK18" s="165">
        <f t="shared" si="22"/>
        <v>0</v>
      </c>
      <c r="BL18" s="165">
        <f t="shared" si="22"/>
        <v>170907.22740000003</v>
      </c>
      <c r="BM18" s="165">
        <f t="shared" si="22"/>
        <v>0</v>
      </c>
      <c r="BN18" s="165">
        <f t="shared" si="22"/>
        <v>170907.22740000003</v>
      </c>
      <c r="BO18" s="165">
        <f t="shared" si="22"/>
        <v>0</v>
      </c>
      <c r="BP18" s="165">
        <f t="shared" si="22"/>
        <v>170907.22740000003</v>
      </c>
      <c r="BQ18" s="165">
        <f t="shared" si="22"/>
        <v>0</v>
      </c>
      <c r="BR18" s="165">
        <f t="shared" si="22"/>
        <v>0</v>
      </c>
      <c r="BS18" s="165">
        <f t="shared" si="22"/>
        <v>0</v>
      </c>
      <c r="BT18" s="165">
        <f t="shared" si="22"/>
        <v>170907.22740000003</v>
      </c>
      <c r="BU18" s="165">
        <f t="shared" si="22"/>
        <v>0</v>
      </c>
      <c r="BV18" s="165">
        <f t="shared" si="22"/>
        <v>170907.22740000003</v>
      </c>
      <c r="BW18" s="165">
        <f t="shared" si="22"/>
        <v>0</v>
      </c>
      <c r="BX18" s="165">
        <f t="shared" ref="BX18:CI18" si="23">IF(BX3=1,IF(BX10&gt;BX6,BX6*$E$5,BX10*$E$5),0)</f>
        <v>170907.22740000003</v>
      </c>
      <c r="BY18" s="165">
        <f t="shared" si="23"/>
        <v>0</v>
      </c>
      <c r="BZ18" s="165">
        <f t="shared" si="23"/>
        <v>170907.22740000003</v>
      </c>
      <c r="CA18" s="165">
        <f t="shared" si="23"/>
        <v>0</v>
      </c>
      <c r="CB18" s="165">
        <f t="shared" si="23"/>
        <v>170907.22740000003</v>
      </c>
      <c r="CC18" s="165">
        <f t="shared" si="23"/>
        <v>0</v>
      </c>
      <c r="CD18" s="165">
        <f t="shared" si="23"/>
        <v>170907.22740000003</v>
      </c>
      <c r="CE18" s="165">
        <f t="shared" si="23"/>
        <v>0</v>
      </c>
      <c r="CF18" s="165">
        <f t="shared" si="23"/>
        <v>170907.22740000003</v>
      </c>
      <c r="CG18" s="165">
        <f t="shared" si="23"/>
        <v>0</v>
      </c>
      <c r="CH18" s="165">
        <f t="shared" si="23"/>
        <v>0</v>
      </c>
      <c r="CI18" s="165">
        <f t="shared" si="23"/>
        <v>0</v>
      </c>
    </row>
    <row r="19" spans="1:87" x14ac:dyDescent="0.25">
      <c r="A19" s="159">
        <v>3</v>
      </c>
      <c r="B19" s="160">
        <v>9.09</v>
      </c>
      <c r="C19" s="160">
        <v>3.1</v>
      </c>
      <c r="D19" s="160">
        <v>2.1436999999999999</v>
      </c>
      <c r="E19" s="160">
        <v>0.24</v>
      </c>
      <c r="F19" s="161">
        <f t="shared" si="18"/>
        <v>14.573700000000001</v>
      </c>
      <c r="G19" s="161"/>
      <c r="H19" s="161"/>
      <c r="I19" s="26"/>
      <c r="J19" s="164" t="s">
        <v>743</v>
      </c>
      <c r="K19" s="165">
        <f>IF(K3=1,IF(K11&gt;K7,K7*$E$6,K11*$E$6),0)</f>
        <v>81435.899999999994</v>
      </c>
      <c r="L19" s="165">
        <f t="shared" ref="L19:BW19" si="24">IF(L3=1,IF(L11&gt;L7,L7*$E$6,L11*$E$6),0)</f>
        <v>0</v>
      </c>
      <c r="M19" s="165">
        <f t="shared" si="24"/>
        <v>80780.7</v>
      </c>
      <c r="N19" s="165">
        <f t="shared" si="24"/>
        <v>0</v>
      </c>
      <c r="O19" s="165">
        <f t="shared" si="24"/>
        <v>80125.5</v>
      </c>
      <c r="P19" s="165">
        <f t="shared" si="24"/>
        <v>0</v>
      </c>
      <c r="Q19" s="165">
        <f t="shared" si="24"/>
        <v>79470.3</v>
      </c>
      <c r="R19" s="165">
        <f t="shared" si="24"/>
        <v>0</v>
      </c>
      <c r="S19" s="165">
        <f t="shared" si="24"/>
        <v>78815.100000000006</v>
      </c>
      <c r="T19" s="165">
        <f t="shared" si="24"/>
        <v>0</v>
      </c>
      <c r="U19" s="165">
        <f t="shared" si="24"/>
        <v>78159.899999999994</v>
      </c>
      <c r="V19" s="165">
        <f t="shared" si="24"/>
        <v>0</v>
      </c>
      <c r="W19" s="165">
        <f t="shared" si="24"/>
        <v>0</v>
      </c>
      <c r="X19" s="165">
        <f t="shared" si="24"/>
        <v>0</v>
      </c>
      <c r="Y19" s="165">
        <f t="shared" si="24"/>
        <v>76849.5</v>
      </c>
      <c r="Z19" s="165">
        <f t="shared" si="24"/>
        <v>0</v>
      </c>
      <c r="AA19" s="165">
        <f t="shared" si="24"/>
        <v>68869.710000000006</v>
      </c>
      <c r="AB19" s="165">
        <f t="shared" si="24"/>
        <v>0</v>
      </c>
      <c r="AC19" s="165">
        <f t="shared" si="24"/>
        <v>68214.510000000009</v>
      </c>
      <c r="AD19" s="165">
        <f t="shared" si="24"/>
        <v>0</v>
      </c>
      <c r="AE19" s="165">
        <f t="shared" si="24"/>
        <v>67559.31</v>
      </c>
      <c r="AF19" s="165">
        <f t="shared" si="24"/>
        <v>0</v>
      </c>
      <c r="AG19" s="165">
        <f t="shared" si="24"/>
        <v>66904.110000000015</v>
      </c>
      <c r="AH19" s="165">
        <f t="shared" si="24"/>
        <v>0</v>
      </c>
      <c r="AI19" s="165">
        <f t="shared" si="24"/>
        <v>66248.91</v>
      </c>
      <c r="AJ19" s="165">
        <f t="shared" si="24"/>
        <v>0</v>
      </c>
      <c r="AK19" s="165">
        <f t="shared" si="24"/>
        <v>65593.710000000006</v>
      </c>
      <c r="AL19" s="165">
        <f t="shared" si="24"/>
        <v>0</v>
      </c>
      <c r="AM19" s="165">
        <f t="shared" si="24"/>
        <v>0</v>
      </c>
      <c r="AN19" s="165">
        <f t="shared" si="24"/>
        <v>64610.91</v>
      </c>
      <c r="AO19" s="165">
        <f t="shared" si="24"/>
        <v>0</v>
      </c>
      <c r="AP19" s="165">
        <f t="shared" si="24"/>
        <v>63955.710000000006</v>
      </c>
      <c r="AQ19" s="165">
        <f t="shared" si="24"/>
        <v>0</v>
      </c>
      <c r="AR19" s="165">
        <f t="shared" si="24"/>
        <v>57232.539000000004</v>
      </c>
      <c r="AS19" s="165">
        <f t="shared" si="24"/>
        <v>0</v>
      </c>
      <c r="AT19" s="165">
        <f t="shared" si="24"/>
        <v>56577.339000000007</v>
      </c>
      <c r="AU19" s="165">
        <f t="shared" si="24"/>
        <v>0</v>
      </c>
      <c r="AV19" s="165">
        <f t="shared" si="24"/>
        <v>55922.13900000001</v>
      </c>
      <c r="AW19" s="165">
        <f t="shared" si="24"/>
        <v>0</v>
      </c>
      <c r="AX19" s="165">
        <f t="shared" si="24"/>
        <v>55266.939000000013</v>
      </c>
      <c r="AY19" s="165">
        <f t="shared" si="24"/>
        <v>0</v>
      </c>
      <c r="AZ19" s="165">
        <f t="shared" si="24"/>
        <v>54611.739000000009</v>
      </c>
      <c r="BA19" s="165">
        <f t="shared" si="24"/>
        <v>0</v>
      </c>
      <c r="BB19" s="165">
        <f t="shared" si="24"/>
        <v>0</v>
      </c>
      <c r="BC19" s="165">
        <f t="shared" si="24"/>
        <v>0</v>
      </c>
      <c r="BD19" s="165">
        <f t="shared" si="24"/>
        <v>53301.339000000007</v>
      </c>
      <c r="BE19" s="165">
        <f t="shared" si="24"/>
        <v>0</v>
      </c>
      <c r="BF19" s="165">
        <f t="shared" si="24"/>
        <v>52646.13900000001</v>
      </c>
      <c r="BG19" s="165">
        <f t="shared" si="24"/>
        <v>0</v>
      </c>
      <c r="BH19" s="165">
        <f t="shared" si="24"/>
        <v>93713.427000000011</v>
      </c>
      <c r="BI19" s="165">
        <f t="shared" si="24"/>
        <v>0</v>
      </c>
      <c r="BJ19" s="165">
        <f t="shared" si="24"/>
        <v>93713.427000000011</v>
      </c>
      <c r="BK19" s="165">
        <f t="shared" si="24"/>
        <v>0</v>
      </c>
      <c r="BL19" s="165">
        <f t="shared" si="24"/>
        <v>93713.427000000011</v>
      </c>
      <c r="BM19" s="165">
        <f t="shared" si="24"/>
        <v>0</v>
      </c>
      <c r="BN19" s="165">
        <f t="shared" si="24"/>
        <v>93713.427000000011</v>
      </c>
      <c r="BO19" s="165">
        <f t="shared" si="24"/>
        <v>0</v>
      </c>
      <c r="BP19" s="165">
        <f t="shared" si="24"/>
        <v>93713.427000000011</v>
      </c>
      <c r="BQ19" s="165">
        <f t="shared" si="24"/>
        <v>0</v>
      </c>
      <c r="BR19" s="165">
        <f t="shared" si="24"/>
        <v>0</v>
      </c>
      <c r="BS19" s="165">
        <f t="shared" si="24"/>
        <v>0</v>
      </c>
      <c r="BT19" s="165">
        <f t="shared" si="24"/>
        <v>93713.427000000011</v>
      </c>
      <c r="BU19" s="165">
        <f t="shared" si="24"/>
        <v>0</v>
      </c>
      <c r="BV19" s="165">
        <f t="shared" si="24"/>
        <v>93713.427000000011</v>
      </c>
      <c r="BW19" s="165">
        <f t="shared" si="24"/>
        <v>0</v>
      </c>
      <c r="BX19" s="165">
        <f t="shared" ref="BX19:CI19" si="25">IF(BX3=1,IF(BX11&gt;BX7,BX7*$E$6,BX11*$E$6),0)</f>
        <v>93713.427000000011</v>
      </c>
      <c r="BY19" s="165">
        <f t="shared" si="25"/>
        <v>0</v>
      </c>
      <c r="BZ19" s="165">
        <f t="shared" si="25"/>
        <v>93713.427000000011</v>
      </c>
      <c r="CA19" s="165">
        <f t="shared" si="25"/>
        <v>0</v>
      </c>
      <c r="CB19" s="165">
        <f t="shared" si="25"/>
        <v>93713.427000000011</v>
      </c>
      <c r="CC19" s="165">
        <f t="shared" si="25"/>
        <v>0</v>
      </c>
      <c r="CD19" s="165">
        <f t="shared" si="25"/>
        <v>93713.427000000011</v>
      </c>
      <c r="CE19" s="165">
        <f t="shared" si="25"/>
        <v>0</v>
      </c>
      <c r="CF19" s="165">
        <f t="shared" si="25"/>
        <v>93713.427000000011</v>
      </c>
      <c r="CG19" s="165">
        <f t="shared" si="25"/>
        <v>0</v>
      </c>
      <c r="CH19" s="165">
        <f t="shared" si="25"/>
        <v>0</v>
      </c>
      <c r="CI19" s="165">
        <f t="shared" si="25"/>
        <v>0</v>
      </c>
    </row>
    <row r="20" spans="1:87" x14ac:dyDescent="0.25">
      <c r="A20" s="159">
        <v>2</v>
      </c>
      <c r="B20" s="162">
        <v>8.42</v>
      </c>
      <c r="C20" s="162">
        <v>2.73</v>
      </c>
      <c r="D20" s="162">
        <v>1.7168999999999999</v>
      </c>
      <c r="E20" s="162">
        <v>0.18</v>
      </c>
      <c r="F20" s="161">
        <f t="shared" si="18"/>
        <v>13.046900000000001</v>
      </c>
      <c r="G20" s="161"/>
      <c r="H20" s="161"/>
      <c r="I20" s="26"/>
      <c r="J20" s="164" t="s">
        <v>744</v>
      </c>
      <c r="K20" s="165">
        <f>IF(K3=1,IF(K12&gt;K8,K8*$E$7,K12*$E$7),0)</f>
        <v>97308.741299999994</v>
      </c>
      <c r="L20" s="165">
        <f t="shared" ref="L20:BW20" si="26">IF(L3=1,IF(L12&gt;L8,L8*$E$7,L12*$E$7),0)</f>
        <v>0</v>
      </c>
      <c r="M20" s="165">
        <f t="shared" si="26"/>
        <v>96525.834900000002</v>
      </c>
      <c r="N20" s="165">
        <f t="shared" si="26"/>
        <v>0</v>
      </c>
      <c r="O20" s="165">
        <f t="shared" si="26"/>
        <v>95742.928499999995</v>
      </c>
      <c r="P20" s="165">
        <f t="shared" si="26"/>
        <v>0</v>
      </c>
      <c r="Q20" s="165">
        <f t="shared" si="26"/>
        <v>94960.022099999987</v>
      </c>
      <c r="R20" s="165">
        <f t="shared" si="26"/>
        <v>0</v>
      </c>
      <c r="S20" s="165">
        <f t="shared" si="26"/>
        <v>94177.11569999998</v>
      </c>
      <c r="T20" s="165">
        <f t="shared" si="26"/>
        <v>0</v>
      </c>
      <c r="U20" s="165">
        <f t="shared" si="26"/>
        <v>93394.209300000002</v>
      </c>
      <c r="V20" s="165">
        <f t="shared" si="26"/>
        <v>0</v>
      </c>
      <c r="W20" s="165">
        <f t="shared" si="26"/>
        <v>0</v>
      </c>
      <c r="X20" s="165">
        <f t="shared" si="26"/>
        <v>0</v>
      </c>
      <c r="Y20" s="165">
        <f t="shared" si="26"/>
        <v>91828.396499999988</v>
      </c>
      <c r="Z20" s="165">
        <f t="shared" si="26"/>
        <v>0</v>
      </c>
      <c r="AA20" s="165">
        <f t="shared" si="26"/>
        <v>82293.248970000015</v>
      </c>
      <c r="AB20" s="165">
        <f t="shared" si="26"/>
        <v>0</v>
      </c>
      <c r="AC20" s="165">
        <f t="shared" si="26"/>
        <v>81510.342570000008</v>
      </c>
      <c r="AD20" s="165">
        <f t="shared" si="26"/>
        <v>0</v>
      </c>
      <c r="AE20" s="165">
        <f t="shared" si="26"/>
        <v>80727.436170000001</v>
      </c>
      <c r="AF20" s="165">
        <f t="shared" si="26"/>
        <v>0</v>
      </c>
      <c r="AG20" s="165">
        <f t="shared" si="26"/>
        <v>79944.529769999994</v>
      </c>
      <c r="AH20" s="165">
        <f t="shared" si="26"/>
        <v>0</v>
      </c>
      <c r="AI20" s="165">
        <f t="shared" si="26"/>
        <v>79161.623370000001</v>
      </c>
      <c r="AJ20" s="165">
        <f t="shared" si="26"/>
        <v>0</v>
      </c>
      <c r="AK20" s="165">
        <f t="shared" si="26"/>
        <v>78378.716970000009</v>
      </c>
      <c r="AL20" s="165">
        <f t="shared" si="26"/>
        <v>0</v>
      </c>
      <c r="AM20" s="165">
        <f t="shared" si="26"/>
        <v>0</v>
      </c>
      <c r="AN20" s="165">
        <f t="shared" si="26"/>
        <v>77204.357370000012</v>
      </c>
      <c r="AO20" s="165">
        <f t="shared" si="26"/>
        <v>0</v>
      </c>
      <c r="AP20" s="165">
        <f t="shared" si="26"/>
        <v>76421.450970000005</v>
      </c>
      <c r="AQ20" s="165">
        <f t="shared" si="26"/>
        <v>0</v>
      </c>
      <c r="AR20" s="165">
        <f t="shared" si="26"/>
        <v>68387.852673000001</v>
      </c>
      <c r="AS20" s="165">
        <f t="shared" si="26"/>
        <v>0</v>
      </c>
      <c r="AT20" s="165">
        <f t="shared" si="26"/>
        <v>67604.946273000009</v>
      </c>
      <c r="AU20" s="165">
        <f t="shared" si="26"/>
        <v>0</v>
      </c>
      <c r="AV20" s="165">
        <f t="shared" si="26"/>
        <v>66822.039873000002</v>
      </c>
      <c r="AW20" s="165">
        <f t="shared" si="26"/>
        <v>0</v>
      </c>
      <c r="AX20" s="165">
        <f t="shared" si="26"/>
        <v>66039.133473000009</v>
      </c>
      <c r="AY20" s="165">
        <f t="shared" si="26"/>
        <v>0</v>
      </c>
      <c r="AZ20" s="165">
        <f t="shared" si="26"/>
        <v>65256.227073000009</v>
      </c>
      <c r="BA20" s="165">
        <f t="shared" si="26"/>
        <v>0</v>
      </c>
      <c r="BB20" s="165">
        <f t="shared" si="26"/>
        <v>0</v>
      </c>
      <c r="BC20" s="165">
        <f t="shared" si="26"/>
        <v>0</v>
      </c>
      <c r="BD20" s="165">
        <f t="shared" si="26"/>
        <v>63690.414273000009</v>
      </c>
      <c r="BE20" s="165">
        <f t="shared" si="26"/>
        <v>0</v>
      </c>
      <c r="BF20" s="165">
        <f t="shared" si="26"/>
        <v>62907.507873000002</v>
      </c>
      <c r="BG20" s="165">
        <f t="shared" si="26"/>
        <v>0</v>
      </c>
      <c r="BH20" s="165">
        <f t="shared" si="26"/>
        <v>150109.17082500001</v>
      </c>
      <c r="BI20" s="165">
        <f t="shared" si="26"/>
        <v>0</v>
      </c>
      <c r="BJ20" s="165">
        <f t="shared" si="26"/>
        <v>150109.17082500001</v>
      </c>
      <c r="BK20" s="165">
        <f t="shared" si="26"/>
        <v>0</v>
      </c>
      <c r="BL20" s="165">
        <f t="shared" si="26"/>
        <v>150109.17082500001</v>
      </c>
      <c r="BM20" s="165">
        <f t="shared" si="26"/>
        <v>0</v>
      </c>
      <c r="BN20" s="165">
        <f t="shared" si="26"/>
        <v>150109.17082500001</v>
      </c>
      <c r="BO20" s="165">
        <f t="shared" si="26"/>
        <v>0</v>
      </c>
      <c r="BP20" s="165">
        <f t="shared" si="26"/>
        <v>150109.17082500001</v>
      </c>
      <c r="BQ20" s="165">
        <f t="shared" si="26"/>
        <v>0</v>
      </c>
      <c r="BR20" s="165">
        <f t="shared" si="26"/>
        <v>0</v>
      </c>
      <c r="BS20" s="165">
        <f t="shared" si="26"/>
        <v>0</v>
      </c>
      <c r="BT20" s="165">
        <f t="shared" si="26"/>
        <v>150109.17082500001</v>
      </c>
      <c r="BU20" s="165">
        <f t="shared" si="26"/>
        <v>0</v>
      </c>
      <c r="BV20" s="165">
        <f t="shared" si="26"/>
        <v>150109.17082500001</v>
      </c>
      <c r="BW20" s="165">
        <f t="shared" si="26"/>
        <v>0</v>
      </c>
      <c r="BX20" s="165">
        <f t="shared" ref="BX20:CI20" si="27">IF(BX3=1,IF(BX12&gt;BX8,BX8*$E$7,BX12*$E$7),0)</f>
        <v>150109.17082500001</v>
      </c>
      <c r="BY20" s="165">
        <f t="shared" si="27"/>
        <v>0</v>
      </c>
      <c r="BZ20" s="165">
        <f t="shared" si="27"/>
        <v>150109.17082500001</v>
      </c>
      <c r="CA20" s="165">
        <f t="shared" si="27"/>
        <v>0</v>
      </c>
      <c r="CB20" s="165">
        <f t="shared" si="27"/>
        <v>150109.17082500001</v>
      </c>
      <c r="CC20" s="165">
        <f t="shared" si="27"/>
        <v>0</v>
      </c>
      <c r="CD20" s="165">
        <f t="shared" si="27"/>
        <v>150109.17082500001</v>
      </c>
      <c r="CE20" s="165">
        <f t="shared" si="27"/>
        <v>0</v>
      </c>
      <c r="CF20" s="165">
        <f t="shared" si="27"/>
        <v>150109.17082500001</v>
      </c>
      <c r="CG20" s="165">
        <f t="shared" si="27"/>
        <v>0</v>
      </c>
      <c r="CH20" s="165">
        <f t="shared" si="27"/>
        <v>0</v>
      </c>
      <c r="CI20" s="165">
        <f t="shared" si="27"/>
        <v>0</v>
      </c>
    </row>
    <row r="21" spans="1:87" x14ac:dyDescent="0.25">
      <c r="A21" s="159">
        <v>1</v>
      </c>
      <c r="B21" s="160">
        <v>7.85</v>
      </c>
      <c r="C21" s="160">
        <v>2.34</v>
      </c>
      <c r="D21" s="160">
        <v>1.1931</v>
      </c>
      <c r="E21" s="160">
        <v>0.1</v>
      </c>
      <c r="F21" s="161">
        <f t="shared" si="18"/>
        <v>11.4831</v>
      </c>
      <c r="G21" s="161"/>
      <c r="H21" s="161"/>
      <c r="I21" s="26"/>
      <c r="J21" s="164" t="s">
        <v>745</v>
      </c>
      <c r="K21" s="165">
        <f>IF(K3=1,IF(K13&gt;K9,K9*$E$8,K13*$E$8),0)</f>
        <v>18792.899999999998</v>
      </c>
      <c r="L21" s="165">
        <f t="shared" ref="L21:BW21" si="28">IF(L3=1,IF(L13&gt;L9,L9*$E$8,L13*$E$8),0)</f>
        <v>0</v>
      </c>
      <c r="M21" s="165">
        <f t="shared" si="28"/>
        <v>18641.7</v>
      </c>
      <c r="N21" s="165">
        <f t="shared" si="28"/>
        <v>0</v>
      </c>
      <c r="O21" s="165">
        <f t="shared" si="28"/>
        <v>18490.5</v>
      </c>
      <c r="P21" s="165">
        <f t="shared" si="28"/>
        <v>0</v>
      </c>
      <c r="Q21" s="165">
        <f t="shared" si="28"/>
        <v>18339.3</v>
      </c>
      <c r="R21" s="165">
        <f t="shared" si="28"/>
        <v>0</v>
      </c>
      <c r="S21" s="165">
        <f t="shared" si="28"/>
        <v>18188.099999999999</v>
      </c>
      <c r="T21" s="165">
        <f t="shared" si="28"/>
        <v>0</v>
      </c>
      <c r="U21" s="165">
        <f t="shared" si="28"/>
        <v>18036.900000000001</v>
      </c>
      <c r="V21" s="165">
        <f t="shared" si="28"/>
        <v>0</v>
      </c>
      <c r="W21" s="165">
        <f t="shared" si="28"/>
        <v>0</v>
      </c>
      <c r="X21" s="165">
        <f t="shared" si="28"/>
        <v>0</v>
      </c>
      <c r="Y21" s="165">
        <f t="shared" si="28"/>
        <v>17734.5</v>
      </c>
      <c r="Z21" s="165">
        <f t="shared" si="28"/>
        <v>0</v>
      </c>
      <c r="AA21" s="165">
        <f t="shared" si="28"/>
        <v>15893.01</v>
      </c>
      <c r="AB21" s="165">
        <f t="shared" si="28"/>
        <v>0</v>
      </c>
      <c r="AC21" s="165">
        <f t="shared" si="28"/>
        <v>15741.810000000001</v>
      </c>
      <c r="AD21" s="165">
        <f t="shared" si="28"/>
        <v>0</v>
      </c>
      <c r="AE21" s="165">
        <f t="shared" si="28"/>
        <v>15590.61</v>
      </c>
      <c r="AF21" s="165">
        <f t="shared" si="28"/>
        <v>0</v>
      </c>
      <c r="AG21" s="165">
        <f t="shared" si="28"/>
        <v>15439.410000000002</v>
      </c>
      <c r="AH21" s="165">
        <f t="shared" si="28"/>
        <v>0</v>
      </c>
      <c r="AI21" s="165">
        <f t="shared" si="28"/>
        <v>15288.210000000001</v>
      </c>
      <c r="AJ21" s="165">
        <f t="shared" si="28"/>
        <v>0</v>
      </c>
      <c r="AK21" s="165">
        <f t="shared" si="28"/>
        <v>15137.010000000002</v>
      </c>
      <c r="AL21" s="165">
        <f t="shared" si="28"/>
        <v>0</v>
      </c>
      <c r="AM21" s="165">
        <f t="shared" si="28"/>
        <v>0</v>
      </c>
      <c r="AN21" s="165">
        <f t="shared" si="28"/>
        <v>14910.210000000001</v>
      </c>
      <c r="AO21" s="165">
        <f t="shared" si="28"/>
        <v>0</v>
      </c>
      <c r="AP21" s="165">
        <f t="shared" si="28"/>
        <v>14759.010000000002</v>
      </c>
      <c r="AQ21" s="165">
        <f t="shared" si="28"/>
        <v>0</v>
      </c>
      <c r="AR21" s="165">
        <f t="shared" si="28"/>
        <v>13207.509000000002</v>
      </c>
      <c r="AS21" s="165">
        <f t="shared" si="28"/>
        <v>0</v>
      </c>
      <c r="AT21" s="165">
        <f t="shared" si="28"/>
        <v>13056.309000000001</v>
      </c>
      <c r="AU21" s="165">
        <f t="shared" si="28"/>
        <v>0</v>
      </c>
      <c r="AV21" s="165">
        <f t="shared" si="28"/>
        <v>12905.109000000002</v>
      </c>
      <c r="AW21" s="165">
        <f t="shared" si="28"/>
        <v>0</v>
      </c>
      <c r="AX21" s="165">
        <f t="shared" si="28"/>
        <v>12753.909000000001</v>
      </c>
      <c r="AY21" s="165">
        <f t="shared" si="28"/>
        <v>0</v>
      </c>
      <c r="AZ21" s="165">
        <f t="shared" si="28"/>
        <v>12602.709000000001</v>
      </c>
      <c r="BA21" s="165">
        <f t="shared" si="28"/>
        <v>0</v>
      </c>
      <c r="BB21" s="165">
        <f t="shared" si="28"/>
        <v>0</v>
      </c>
      <c r="BC21" s="165">
        <f t="shared" si="28"/>
        <v>0</v>
      </c>
      <c r="BD21" s="165">
        <f t="shared" si="28"/>
        <v>12300.309000000001</v>
      </c>
      <c r="BE21" s="165">
        <f t="shared" si="28"/>
        <v>0</v>
      </c>
      <c r="BF21" s="165">
        <f t="shared" si="28"/>
        <v>12149.109</v>
      </c>
      <c r="BG21" s="165">
        <f t="shared" si="28"/>
        <v>0</v>
      </c>
      <c r="BH21" s="165">
        <f t="shared" si="28"/>
        <v>34208.275500000003</v>
      </c>
      <c r="BI21" s="165">
        <f t="shared" si="28"/>
        <v>0</v>
      </c>
      <c r="BJ21" s="165">
        <f t="shared" si="28"/>
        <v>34208.275500000003</v>
      </c>
      <c r="BK21" s="165">
        <f t="shared" si="28"/>
        <v>0</v>
      </c>
      <c r="BL21" s="165">
        <f t="shared" si="28"/>
        <v>34208.275500000003</v>
      </c>
      <c r="BM21" s="165">
        <f t="shared" si="28"/>
        <v>0</v>
      </c>
      <c r="BN21" s="165">
        <f t="shared" si="28"/>
        <v>34208.275500000003</v>
      </c>
      <c r="BO21" s="165">
        <f t="shared" si="28"/>
        <v>0</v>
      </c>
      <c r="BP21" s="165">
        <f t="shared" si="28"/>
        <v>34208.275500000003</v>
      </c>
      <c r="BQ21" s="165">
        <f t="shared" si="28"/>
        <v>0</v>
      </c>
      <c r="BR21" s="165">
        <f t="shared" si="28"/>
        <v>0</v>
      </c>
      <c r="BS21" s="165">
        <f t="shared" si="28"/>
        <v>0</v>
      </c>
      <c r="BT21" s="165">
        <f t="shared" si="28"/>
        <v>34208.275500000003</v>
      </c>
      <c r="BU21" s="165">
        <f t="shared" si="28"/>
        <v>0</v>
      </c>
      <c r="BV21" s="165">
        <f t="shared" si="28"/>
        <v>34208.275500000003</v>
      </c>
      <c r="BW21" s="165">
        <f t="shared" si="28"/>
        <v>0</v>
      </c>
      <c r="BX21" s="165">
        <f t="shared" ref="BX21:CI21" si="29">IF(BX3=1,IF(BX13&gt;BX9,BX9*$E$8,BX13*$E$8),0)</f>
        <v>34208.275500000003</v>
      </c>
      <c r="BY21" s="165">
        <f t="shared" si="29"/>
        <v>0</v>
      </c>
      <c r="BZ21" s="165">
        <f t="shared" si="29"/>
        <v>34208.275500000003</v>
      </c>
      <c r="CA21" s="165">
        <f t="shared" si="29"/>
        <v>0</v>
      </c>
      <c r="CB21" s="165">
        <f t="shared" si="29"/>
        <v>34208.275500000003</v>
      </c>
      <c r="CC21" s="165">
        <f t="shared" si="29"/>
        <v>0</v>
      </c>
      <c r="CD21" s="165">
        <f t="shared" si="29"/>
        <v>34208.275500000003</v>
      </c>
      <c r="CE21" s="165">
        <f t="shared" si="29"/>
        <v>0</v>
      </c>
      <c r="CF21" s="165">
        <f t="shared" si="29"/>
        <v>34208.275500000003</v>
      </c>
      <c r="CG21" s="165">
        <f t="shared" si="29"/>
        <v>0</v>
      </c>
      <c r="CH21" s="165">
        <f t="shared" si="29"/>
        <v>0</v>
      </c>
      <c r="CI21" s="165">
        <f t="shared" si="29"/>
        <v>0</v>
      </c>
    </row>
    <row r="22" spans="1:87" x14ac:dyDescent="0.25">
      <c r="A22" s="26"/>
      <c r="B22" s="26"/>
      <c r="C22" s="142"/>
      <c r="D22" s="142"/>
      <c r="E22" s="142"/>
      <c r="F22" s="26"/>
      <c r="G22" s="26"/>
      <c r="H22" s="26"/>
      <c r="I22" s="26"/>
      <c r="J22" s="166" t="s">
        <v>746</v>
      </c>
      <c r="K22" s="167">
        <f>IF(K3=1,IF(K14&gt;K6,K6*$E$5,K14*$E$5),0)</f>
        <v>175818.02000000002</v>
      </c>
      <c r="L22" s="167">
        <f t="shared" ref="L22:BW22" si="30">IF(L3=1,IF(L14&gt;L6,L6*$E$5,L14*$E$5),0)</f>
        <v>0</v>
      </c>
      <c r="M22" s="167">
        <f t="shared" si="30"/>
        <v>170951.19999999998</v>
      </c>
      <c r="N22" s="167">
        <f t="shared" si="30"/>
        <v>0</v>
      </c>
      <c r="O22" s="167">
        <f t="shared" si="30"/>
        <v>170951.19999999998</v>
      </c>
      <c r="P22" s="167">
        <f t="shared" si="30"/>
        <v>0</v>
      </c>
      <c r="Q22" s="167">
        <f t="shared" si="30"/>
        <v>170951.19999999998</v>
      </c>
      <c r="R22" s="167">
        <f t="shared" si="30"/>
        <v>0</v>
      </c>
      <c r="S22" s="167">
        <f t="shared" si="30"/>
        <v>170159.78</v>
      </c>
      <c r="T22" s="167">
        <f t="shared" si="30"/>
        <v>0</v>
      </c>
      <c r="U22" s="167">
        <f t="shared" si="30"/>
        <v>168745.22</v>
      </c>
      <c r="V22" s="167">
        <f t="shared" si="30"/>
        <v>0</v>
      </c>
      <c r="W22" s="167">
        <f t="shared" si="30"/>
        <v>0</v>
      </c>
      <c r="X22" s="167">
        <f t="shared" si="30"/>
        <v>0</v>
      </c>
      <c r="Y22" s="167">
        <f t="shared" si="30"/>
        <v>165916.1</v>
      </c>
      <c r="Z22" s="167">
        <f t="shared" si="30"/>
        <v>0</v>
      </c>
      <c r="AA22" s="167">
        <f t="shared" si="30"/>
        <v>148687.93800000002</v>
      </c>
      <c r="AB22" s="167">
        <f t="shared" si="30"/>
        <v>0</v>
      </c>
      <c r="AC22" s="167">
        <f t="shared" si="30"/>
        <v>147273.37800000003</v>
      </c>
      <c r="AD22" s="167">
        <f t="shared" si="30"/>
        <v>0</v>
      </c>
      <c r="AE22" s="167">
        <f t="shared" si="30"/>
        <v>145858.81800000003</v>
      </c>
      <c r="AF22" s="167">
        <f t="shared" si="30"/>
        <v>0</v>
      </c>
      <c r="AG22" s="167">
        <f t="shared" si="30"/>
        <v>144444.25800000003</v>
      </c>
      <c r="AH22" s="167">
        <f t="shared" si="30"/>
        <v>0</v>
      </c>
      <c r="AI22" s="167">
        <f t="shared" si="30"/>
        <v>143029.698</v>
      </c>
      <c r="AJ22" s="167">
        <f t="shared" si="30"/>
        <v>0</v>
      </c>
      <c r="AK22" s="167">
        <f t="shared" si="30"/>
        <v>141615.13800000001</v>
      </c>
      <c r="AL22" s="167">
        <f t="shared" si="30"/>
        <v>0</v>
      </c>
      <c r="AM22" s="167">
        <f t="shared" si="30"/>
        <v>0</v>
      </c>
      <c r="AN22" s="167">
        <f t="shared" si="30"/>
        <v>139493.29800000001</v>
      </c>
      <c r="AO22" s="167">
        <f t="shared" si="30"/>
        <v>0</v>
      </c>
      <c r="AP22" s="167">
        <f t="shared" si="30"/>
        <v>138078.73800000001</v>
      </c>
      <c r="AQ22" s="167">
        <f t="shared" si="30"/>
        <v>0</v>
      </c>
      <c r="AR22" s="167">
        <f t="shared" si="30"/>
        <v>123563.58420000001</v>
      </c>
      <c r="AS22" s="167">
        <f t="shared" si="30"/>
        <v>0</v>
      </c>
      <c r="AT22" s="167">
        <f t="shared" si="30"/>
        <v>122149.02420000003</v>
      </c>
      <c r="AU22" s="167">
        <f t="shared" si="30"/>
        <v>0</v>
      </c>
      <c r="AV22" s="167">
        <f t="shared" si="30"/>
        <v>120734.46420000002</v>
      </c>
      <c r="AW22" s="167">
        <f t="shared" si="30"/>
        <v>0</v>
      </c>
      <c r="AX22" s="167">
        <f t="shared" si="30"/>
        <v>119319.90420000002</v>
      </c>
      <c r="AY22" s="167">
        <f t="shared" si="30"/>
        <v>0</v>
      </c>
      <c r="AZ22" s="167">
        <f t="shared" si="30"/>
        <v>117905.34420000002</v>
      </c>
      <c r="BA22" s="167">
        <f t="shared" si="30"/>
        <v>0</v>
      </c>
      <c r="BB22" s="167">
        <f t="shared" si="30"/>
        <v>0</v>
      </c>
      <c r="BC22" s="167">
        <f t="shared" si="30"/>
        <v>0</v>
      </c>
      <c r="BD22" s="167">
        <f t="shared" si="30"/>
        <v>115076.22420000001</v>
      </c>
      <c r="BE22" s="167">
        <f t="shared" si="30"/>
        <v>0</v>
      </c>
      <c r="BF22" s="167">
        <f t="shared" si="30"/>
        <v>113661.66420000001</v>
      </c>
      <c r="BG22" s="167">
        <f t="shared" si="30"/>
        <v>0</v>
      </c>
      <c r="BH22" s="167">
        <f t="shared" si="30"/>
        <v>170907.22740000003</v>
      </c>
      <c r="BI22" s="167">
        <f t="shared" si="30"/>
        <v>0</v>
      </c>
      <c r="BJ22" s="167">
        <f t="shared" si="30"/>
        <v>170907.22740000003</v>
      </c>
      <c r="BK22" s="167">
        <f t="shared" si="30"/>
        <v>0</v>
      </c>
      <c r="BL22" s="167">
        <f t="shared" si="30"/>
        <v>170907.22740000003</v>
      </c>
      <c r="BM22" s="167">
        <f t="shared" si="30"/>
        <v>0</v>
      </c>
      <c r="BN22" s="167">
        <f t="shared" si="30"/>
        <v>170907.22740000003</v>
      </c>
      <c r="BO22" s="167">
        <f t="shared" si="30"/>
        <v>0</v>
      </c>
      <c r="BP22" s="167">
        <f t="shared" si="30"/>
        <v>170907.22740000003</v>
      </c>
      <c r="BQ22" s="167">
        <f t="shared" si="30"/>
        <v>0</v>
      </c>
      <c r="BR22" s="167">
        <f t="shared" si="30"/>
        <v>0</v>
      </c>
      <c r="BS22" s="167">
        <f t="shared" si="30"/>
        <v>0</v>
      </c>
      <c r="BT22" s="167">
        <f t="shared" si="30"/>
        <v>170907.22740000003</v>
      </c>
      <c r="BU22" s="167">
        <f t="shared" si="30"/>
        <v>0</v>
      </c>
      <c r="BV22" s="167">
        <f t="shared" si="30"/>
        <v>170907.22740000003</v>
      </c>
      <c r="BW22" s="167">
        <f t="shared" si="30"/>
        <v>0</v>
      </c>
      <c r="BX22" s="167">
        <f t="shared" ref="BX22:CI22" si="31">IF(BX3=1,IF(BX14&gt;BX6,BX6*$E$5,BX14*$E$5),0)</f>
        <v>170907.22740000003</v>
      </c>
      <c r="BY22" s="167">
        <f t="shared" si="31"/>
        <v>0</v>
      </c>
      <c r="BZ22" s="167">
        <f t="shared" si="31"/>
        <v>170907.22740000003</v>
      </c>
      <c r="CA22" s="167">
        <f t="shared" si="31"/>
        <v>0</v>
      </c>
      <c r="CB22" s="167">
        <f t="shared" si="31"/>
        <v>170907.22740000003</v>
      </c>
      <c r="CC22" s="167">
        <f t="shared" si="31"/>
        <v>0</v>
      </c>
      <c r="CD22" s="167">
        <f t="shared" si="31"/>
        <v>170907.22740000003</v>
      </c>
      <c r="CE22" s="167">
        <f t="shared" si="31"/>
        <v>0</v>
      </c>
      <c r="CF22" s="167">
        <f t="shared" si="31"/>
        <v>170907.22740000003</v>
      </c>
      <c r="CG22" s="167">
        <f t="shared" si="31"/>
        <v>0</v>
      </c>
      <c r="CH22" s="167">
        <f t="shared" si="31"/>
        <v>0</v>
      </c>
      <c r="CI22" s="167">
        <f t="shared" si="31"/>
        <v>0</v>
      </c>
    </row>
    <row r="23" spans="1:87" x14ac:dyDescent="0.25">
      <c r="A23" s="168" t="s">
        <v>747</v>
      </c>
      <c r="B23" s="169">
        <v>0.7</v>
      </c>
      <c r="C23" s="170"/>
      <c r="D23" s="170"/>
      <c r="E23" s="170"/>
      <c r="F23" s="171"/>
      <c r="G23" s="171"/>
      <c r="H23" s="171"/>
      <c r="I23" s="26"/>
      <c r="J23" s="166" t="s">
        <v>748</v>
      </c>
      <c r="K23" s="167">
        <f>IF(K3=1,IF(K15&gt;K7,K7*$E$6,K15*$E$6),0)</f>
        <v>81435.899999999994</v>
      </c>
      <c r="L23" s="167">
        <f t="shared" ref="L23:BW23" si="32">IF(L3=1,IF(L15&gt;L7,L7*$E$6,L15*$E$6),0)</f>
        <v>0</v>
      </c>
      <c r="M23" s="167">
        <f t="shared" si="32"/>
        <v>80780.7</v>
      </c>
      <c r="N23" s="167">
        <f t="shared" si="32"/>
        <v>0</v>
      </c>
      <c r="O23" s="167">
        <f t="shared" si="32"/>
        <v>80125.5</v>
      </c>
      <c r="P23" s="167">
        <f t="shared" si="32"/>
        <v>0</v>
      </c>
      <c r="Q23" s="167">
        <f t="shared" si="32"/>
        <v>79470.3</v>
      </c>
      <c r="R23" s="167">
        <f t="shared" si="32"/>
        <v>0</v>
      </c>
      <c r="S23" s="167">
        <f t="shared" si="32"/>
        <v>78815.100000000006</v>
      </c>
      <c r="T23" s="167">
        <f t="shared" si="32"/>
        <v>0</v>
      </c>
      <c r="U23" s="167">
        <f t="shared" si="32"/>
        <v>78159.899999999994</v>
      </c>
      <c r="V23" s="167">
        <f t="shared" si="32"/>
        <v>0</v>
      </c>
      <c r="W23" s="167">
        <f t="shared" si="32"/>
        <v>0</v>
      </c>
      <c r="X23" s="167">
        <f t="shared" si="32"/>
        <v>0</v>
      </c>
      <c r="Y23" s="167">
        <f t="shared" si="32"/>
        <v>76849.5</v>
      </c>
      <c r="Z23" s="167">
        <f t="shared" si="32"/>
        <v>0</v>
      </c>
      <c r="AA23" s="167">
        <f t="shared" si="32"/>
        <v>68869.710000000006</v>
      </c>
      <c r="AB23" s="167">
        <f t="shared" si="32"/>
        <v>0</v>
      </c>
      <c r="AC23" s="167">
        <f t="shared" si="32"/>
        <v>68214.510000000009</v>
      </c>
      <c r="AD23" s="167">
        <f t="shared" si="32"/>
        <v>0</v>
      </c>
      <c r="AE23" s="167">
        <f t="shared" si="32"/>
        <v>67559.31</v>
      </c>
      <c r="AF23" s="167">
        <f t="shared" si="32"/>
        <v>0</v>
      </c>
      <c r="AG23" s="167">
        <f t="shared" si="32"/>
        <v>66904.110000000015</v>
      </c>
      <c r="AH23" s="167">
        <f t="shared" si="32"/>
        <v>0</v>
      </c>
      <c r="AI23" s="167">
        <f t="shared" si="32"/>
        <v>66248.91</v>
      </c>
      <c r="AJ23" s="167">
        <f t="shared" si="32"/>
        <v>0</v>
      </c>
      <c r="AK23" s="167">
        <f t="shared" si="32"/>
        <v>65593.710000000006</v>
      </c>
      <c r="AL23" s="167">
        <f t="shared" si="32"/>
        <v>0</v>
      </c>
      <c r="AM23" s="167">
        <f t="shared" si="32"/>
        <v>0</v>
      </c>
      <c r="AN23" s="167">
        <f t="shared" si="32"/>
        <v>64610.91</v>
      </c>
      <c r="AO23" s="167">
        <f t="shared" si="32"/>
        <v>0</v>
      </c>
      <c r="AP23" s="167">
        <f t="shared" si="32"/>
        <v>63955.710000000006</v>
      </c>
      <c r="AQ23" s="167">
        <f t="shared" si="32"/>
        <v>0</v>
      </c>
      <c r="AR23" s="167">
        <f t="shared" si="32"/>
        <v>57232.539000000004</v>
      </c>
      <c r="AS23" s="167">
        <f t="shared" si="32"/>
        <v>0</v>
      </c>
      <c r="AT23" s="167">
        <f t="shared" si="32"/>
        <v>56577.339000000007</v>
      </c>
      <c r="AU23" s="167">
        <f t="shared" si="32"/>
        <v>0</v>
      </c>
      <c r="AV23" s="167">
        <f t="shared" si="32"/>
        <v>55922.13900000001</v>
      </c>
      <c r="AW23" s="167">
        <f t="shared" si="32"/>
        <v>0</v>
      </c>
      <c r="AX23" s="167">
        <f t="shared" si="32"/>
        <v>55266.939000000013</v>
      </c>
      <c r="AY23" s="167">
        <f t="shared" si="32"/>
        <v>0</v>
      </c>
      <c r="AZ23" s="167">
        <f t="shared" si="32"/>
        <v>54611.739000000009</v>
      </c>
      <c r="BA23" s="167">
        <f t="shared" si="32"/>
        <v>0</v>
      </c>
      <c r="BB23" s="167">
        <f t="shared" si="32"/>
        <v>0</v>
      </c>
      <c r="BC23" s="167">
        <f t="shared" si="32"/>
        <v>0</v>
      </c>
      <c r="BD23" s="167">
        <f t="shared" si="32"/>
        <v>53301.339000000007</v>
      </c>
      <c r="BE23" s="167">
        <f t="shared" si="32"/>
        <v>0</v>
      </c>
      <c r="BF23" s="167">
        <f t="shared" si="32"/>
        <v>52646.13900000001</v>
      </c>
      <c r="BG23" s="167">
        <f t="shared" si="32"/>
        <v>0</v>
      </c>
      <c r="BH23" s="167">
        <f t="shared" si="32"/>
        <v>93713.427000000011</v>
      </c>
      <c r="BI23" s="167">
        <f t="shared" si="32"/>
        <v>0</v>
      </c>
      <c r="BJ23" s="167">
        <f t="shared" si="32"/>
        <v>93713.427000000011</v>
      </c>
      <c r="BK23" s="167">
        <f t="shared" si="32"/>
        <v>0</v>
      </c>
      <c r="BL23" s="167">
        <f t="shared" si="32"/>
        <v>93713.427000000011</v>
      </c>
      <c r="BM23" s="167">
        <f t="shared" si="32"/>
        <v>0</v>
      </c>
      <c r="BN23" s="167">
        <f t="shared" si="32"/>
        <v>93713.427000000011</v>
      </c>
      <c r="BO23" s="167">
        <f t="shared" si="32"/>
        <v>0</v>
      </c>
      <c r="BP23" s="167">
        <f t="shared" si="32"/>
        <v>93713.427000000011</v>
      </c>
      <c r="BQ23" s="167">
        <f t="shared" si="32"/>
        <v>0</v>
      </c>
      <c r="BR23" s="167">
        <f t="shared" si="32"/>
        <v>0</v>
      </c>
      <c r="BS23" s="167">
        <f t="shared" si="32"/>
        <v>0</v>
      </c>
      <c r="BT23" s="167">
        <f t="shared" si="32"/>
        <v>93713.427000000011</v>
      </c>
      <c r="BU23" s="167">
        <f t="shared" si="32"/>
        <v>0</v>
      </c>
      <c r="BV23" s="167">
        <f t="shared" si="32"/>
        <v>93713.427000000011</v>
      </c>
      <c r="BW23" s="167">
        <f t="shared" si="32"/>
        <v>0</v>
      </c>
      <c r="BX23" s="167">
        <f t="shared" ref="BX23:CI23" si="33">IF(BX3=1,IF(BX15&gt;BX7,BX7*$E$6,BX15*$E$6),0)</f>
        <v>93713.427000000011</v>
      </c>
      <c r="BY23" s="167">
        <f t="shared" si="33"/>
        <v>0</v>
      </c>
      <c r="BZ23" s="167">
        <f t="shared" si="33"/>
        <v>93713.427000000011</v>
      </c>
      <c r="CA23" s="167">
        <f t="shared" si="33"/>
        <v>0</v>
      </c>
      <c r="CB23" s="167">
        <f t="shared" si="33"/>
        <v>93713.427000000011</v>
      </c>
      <c r="CC23" s="167">
        <f t="shared" si="33"/>
        <v>0</v>
      </c>
      <c r="CD23" s="167">
        <f t="shared" si="33"/>
        <v>93713.427000000011</v>
      </c>
      <c r="CE23" s="167">
        <f t="shared" si="33"/>
        <v>0</v>
      </c>
      <c r="CF23" s="167">
        <f t="shared" si="33"/>
        <v>93713.427000000011</v>
      </c>
      <c r="CG23" s="167">
        <f t="shared" si="33"/>
        <v>0</v>
      </c>
      <c r="CH23" s="167">
        <f t="shared" si="33"/>
        <v>0</v>
      </c>
      <c r="CI23" s="167">
        <f t="shared" si="33"/>
        <v>0</v>
      </c>
    </row>
    <row r="24" spans="1:87" ht="30" x14ac:dyDescent="0.25">
      <c r="A24" s="147" t="s">
        <v>711</v>
      </c>
      <c r="B24" s="172">
        <f>B25+B26+B27+B28</f>
        <v>42675.499999999993</v>
      </c>
      <c r="C24" s="170" t="s">
        <v>749</v>
      </c>
      <c r="D24" s="148" t="s">
        <v>712</v>
      </c>
      <c r="E24" s="148" t="s">
        <v>713</v>
      </c>
      <c r="F24" s="148" t="s">
        <v>715</v>
      </c>
      <c r="G24" s="148"/>
      <c r="H24" s="148"/>
      <c r="I24" s="26"/>
      <c r="J24" s="166" t="s">
        <v>750</v>
      </c>
      <c r="K24" s="167">
        <f>IF(K3=1,IF(K16&gt;K8,K8*$E$7,K16*$E$7),0)</f>
        <v>97308.741299999994</v>
      </c>
      <c r="L24" s="167">
        <f t="shared" ref="L24:BW24" si="34">IF(L3=1,IF(L16&gt;L8,L8*$E$7,L16*$E$7),0)</f>
        <v>0</v>
      </c>
      <c r="M24" s="167">
        <f t="shared" si="34"/>
        <v>96525.834900000002</v>
      </c>
      <c r="N24" s="167">
        <f t="shared" si="34"/>
        <v>0</v>
      </c>
      <c r="O24" s="167">
        <f t="shared" si="34"/>
        <v>95742.928499999995</v>
      </c>
      <c r="P24" s="167">
        <f t="shared" si="34"/>
        <v>0</v>
      </c>
      <c r="Q24" s="167">
        <f t="shared" si="34"/>
        <v>94960.022099999987</v>
      </c>
      <c r="R24" s="167">
        <f t="shared" si="34"/>
        <v>0</v>
      </c>
      <c r="S24" s="167">
        <f t="shared" si="34"/>
        <v>94177.11569999998</v>
      </c>
      <c r="T24" s="167">
        <f t="shared" si="34"/>
        <v>0</v>
      </c>
      <c r="U24" s="167">
        <f t="shared" si="34"/>
        <v>93394.209300000002</v>
      </c>
      <c r="V24" s="167">
        <f t="shared" si="34"/>
        <v>0</v>
      </c>
      <c r="W24" s="167">
        <f t="shared" si="34"/>
        <v>0</v>
      </c>
      <c r="X24" s="167">
        <f t="shared" si="34"/>
        <v>0</v>
      </c>
      <c r="Y24" s="167">
        <f t="shared" si="34"/>
        <v>91828.396499999988</v>
      </c>
      <c r="Z24" s="167">
        <f t="shared" si="34"/>
        <v>0</v>
      </c>
      <c r="AA24" s="167">
        <f t="shared" si="34"/>
        <v>82293.248970000015</v>
      </c>
      <c r="AB24" s="167">
        <f t="shared" si="34"/>
        <v>0</v>
      </c>
      <c r="AC24" s="167">
        <f t="shared" si="34"/>
        <v>81510.342570000008</v>
      </c>
      <c r="AD24" s="167">
        <f t="shared" si="34"/>
        <v>0</v>
      </c>
      <c r="AE24" s="167">
        <f t="shared" si="34"/>
        <v>80727.436170000001</v>
      </c>
      <c r="AF24" s="167">
        <f t="shared" si="34"/>
        <v>0</v>
      </c>
      <c r="AG24" s="167">
        <f t="shared" si="34"/>
        <v>79944.529769999994</v>
      </c>
      <c r="AH24" s="167">
        <f t="shared" si="34"/>
        <v>0</v>
      </c>
      <c r="AI24" s="167">
        <f t="shared" si="34"/>
        <v>79161.623370000001</v>
      </c>
      <c r="AJ24" s="167">
        <f t="shared" si="34"/>
        <v>0</v>
      </c>
      <c r="AK24" s="167">
        <f t="shared" si="34"/>
        <v>78378.716970000009</v>
      </c>
      <c r="AL24" s="167">
        <f t="shared" si="34"/>
        <v>0</v>
      </c>
      <c r="AM24" s="167">
        <f t="shared" si="34"/>
        <v>0</v>
      </c>
      <c r="AN24" s="167">
        <f t="shared" si="34"/>
        <v>77204.357370000012</v>
      </c>
      <c r="AO24" s="167">
        <f t="shared" si="34"/>
        <v>0</v>
      </c>
      <c r="AP24" s="167">
        <f t="shared" si="34"/>
        <v>76421.450970000005</v>
      </c>
      <c r="AQ24" s="167">
        <f t="shared" si="34"/>
        <v>0</v>
      </c>
      <c r="AR24" s="167">
        <f t="shared" si="34"/>
        <v>68387.852673000001</v>
      </c>
      <c r="AS24" s="167">
        <f t="shared" si="34"/>
        <v>0</v>
      </c>
      <c r="AT24" s="167">
        <f t="shared" si="34"/>
        <v>67604.946273000009</v>
      </c>
      <c r="AU24" s="167">
        <f t="shared" si="34"/>
        <v>0</v>
      </c>
      <c r="AV24" s="167">
        <f t="shared" si="34"/>
        <v>66822.039873000002</v>
      </c>
      <c r="AW24" s="167">
        <f t="shared" si="34"/>
        <v>0</v>
      </c>
      <c r="AX24" s="167">
        <f t="shared" si="34"/>
        <v>66039.133473000009</v>
      </c>
      <c r="AY24" s="167">
        <f t="shared" si="34"/>
        <v>0</v>
      </c>
      <c r="AZ24" s="167">
        <f t="shared" si="34"/>
        <v>65256.227073000009</v>
      </c>
      <c r="BA24" s="167">
        <f t="shared" si="34"/>
        <v>0</v>
      </c>
      <c r="BB24" s="167">
        <f t="shared" si="34"/>
        <v>0</v>
      </c>
      <c r="BC24" s="167">
        <f t="shared" si="34"/>
        <v>0</v>
      </c>
      <c r="BD24" s="167">
        <f t="shared" si="34"/>
        <v>63690.414273000009</v>
      </c>
      <c r="BE24" s="167">
        <f t="shared" si="34"/>
        <v>0</v>
      </c>
      <c r="BF24" s="167">
        <f t="shared" si="34"/>
        <v>62907.507873000002</v>
      </c>
      <c r="BG24" s="167">
        <f t="shared" si="34"/>
        <v>0</v>
      </c>
      <c r="BH24" s="167">
        <f t="shared" si="34"/>
        <v>150109.17082500001</v>
      </c>
      <c r="BI24" s="167">
        <f t="shared" si="34"/>
        <v>0</v>
      </c>
      <c r="BJ24" s="167">
        <f t="shared" si="34"/>
        <v>150109.17082500001</v>
      </c>
      <c r="BK24" s="167">
        <f t="shared" si="34"/>
        <v>0</v>
      </c>
      <c r="BL24" s="167">
        <f t="shared" si="34"/>
        <v>150109.17082500001</v>
      </c>
      <c r="BM24" s="167">
        <f t="shared" si="34"/>
        <v>0</v>
      </c>
      <c r="BN24" s="167">
        <f t="shared" si="34"/>
        <v>150109.17082500001</v>
      </c>
      <c r="BO24" s="167">
        <f t="shared" si="34"/>
        <v>0</v>
      </c>
      <c r="BP24" s="167">
        <f t="shared" si="34"/>
        <v>150109.17082500001</v>
      </c>
      <c r="BQ24" s="167">
        <f t="shared" si="34"/>
        <v>0</v>
      </c>
      <c r="BR24" s="167">
        <f t="shared" si="34"/>
        <v>0</v>
      </c>
      <c r="BS24" s="167">
        <f t="shared" si="34"/>
        <v>0</v>
      </c>
      <c r="BT24" s="167">
        <f t="shared" si="34"/>
        <v>150109.17082500001</v>
      </c>
      <c r="BU24" s="167">
        <f t="shared" si="34"/>
        <v>0</v>
      </c>
      <c r="BV24" s="167">
        <f t="shared" si="34"/>
        <v>150109.17082500001</v>
      </c>
      <c r="BW24" s="167">
        <f t="shared" si="34"/>
        <v>0</v>
      </c>
      <c r="BX24" s="167">
        <f t="shared" ref="BX24:CI24" si="35">IF(BX3=1,IF(BX16&gt;BX8,BX8*$E$7,BX16*$E$7),0)</f>
        <v>150109.17082500001</v>
      </c>
      <c r="BY24" s="167">
        <f t="shared" si="35"/>
        <v>0</v>
      </c>
      <c r="BZ24" s="167">
        <f t="shared" si="35"/>
        <v>150109.17082500001</v>
      </c>
      <c r="CA24" s="167">
        <f t="shared" si="35"/>
        <v>0</v>
      </c>
      <c r="CB24" s="167">
        <f t="shared" si="35"/>
        <v>150109.17082500001</v>
      </c>
      <c r="CC24" s="167">
        <f t="shared" si="35"/>
        <v>0</v>
      </c>
      <c r="CD24" s="167">
        <f t="shared" si="35"/>
        <v>150109.17082500001</v>
      </c>
      <c r="CE24" s="167">
        <f t="shared" si="35"/>
        <v>0</v>
      </c>
      <c r="CF24" s="167">
        <f t="shared" si="35"/>
        <v>150109.17082500001</v>
      </c>
      <c r="CG24" s="167">
        <f t="shared" si="35"/>
        <v>0</v>
      </c>
      <c r="CH24" s="167">
        <f t="shared" si="35"/>
        <v>0</v>
      </c>
      <c r="CI24" s="167">
        <f t="shared" si="35"/>
        <v>0</v>
      </c>
    </row>
    <row r="25" spans="1:87" ht="30" x14ac:dyDescent="0.25">
      <c r="A25" s="147" t="s">
        <v>719</v>
      </c>
      <c r="B25" s="173">
        <f>B5*B23</f>
        <v>24421.599999999999</v>
      </c>
      <c r="C25" s="174">
        <f>B25-B5</f>
        <v>-10466.400000000001</v>
      </c>
      <c r="D25" s="170">
        <f>C25*C5</f>
        <v>-5233.2000000000007</v>
      </c>
      <c r="E25" s="175">
        <f>IF(C25&gt;0,C25*D5,0)</f>
        <v>0</v>
      </c>
      <c r="F25" s="176">
        <f>IF(C25&lt;0,C25*F5,0)</f>
        <v>-62798.400000000009</v>
      </c>
      <c r="G25" s="176"/>
      <c r="H25" s="176"/>
      <c r="I25" s="26"/>
      <c r="J25" s="166" t="s">
        <v>751</v>
      </c>
      <c r="K25" s="167">
        <f>IF(K3=1,IF(K17&gt;K9,K9*$E$8,K17*$E$8),0)</f>
        <v>18792.899999999998</v>
      </c>
      <c r="L25" s="167">
        <f t="shared" ref="L25:BW25" si="36">IF(L3=1,IF(L17&gt;L9,L9*$E$8,L17*$E$8),0)</f>
        <v>0</v>
      </c>
      <c r="M25" s="167">
        <f t="shared" si="36"/>
        <v>18641.7</v>
      </c>
      <c r="N25" s="167">
        <f t="shared" si="36"/>
        <v>0</v>
      </c>
      <c r="O25" s="167">
        <f t="shared" si="36"/>
        <v>18490.5</v>
      </c>
      <c r="P25" s="167">
        <f t="shared" si="36"/>
        <v>0</v>
      </c>
      <c r="Q25" s="167">
        <f t="shared" si="36"/>
        <v>18339.3</v>
      </c>
      <c r="R25" s="167">
        <f t="shared" si="36"/>
        <v>0</v>
      </c>
      <c r="S25" s="167">
        <f t="shared" si="36"/>
        <v>18188.099999999999</v>
      </c>
      <c r="T25" s="167">
        <f t="shared" si="36"/>
        <v>0</v>
      </c>
      <c r="U25" s="167">
        <f t="shared" si="36"/>
        <v>18036.900000000001</v>
      </c>
      <c r="V25" s="167">
        <f t="shared" si="36"/>
        <v>0</v>
      </c>
      <c r="W25" s="167">
        <f t="shared" si="36"/>
        <v>0</v>
      </c>
      <c r="X25" s="167">
        <f t="shared" si="36"/>
        <v>0</v>
      </c>
      <c r="Y25" s="167">
        <f t="shared" si="36"/>
        <v>17734.5</v>
      </c>
      <c r="Z25" s="167">
        <f t="shared" si="36"/>
        <v>0</v>
      </c>
      <c r="AA25" s="167">
        <f t="shared" si="36"/>
        <v>15893.01</v>
      </c>
      <c r="AB25" s="167">
        <f t="shared" si="36"/>
        <v>0</v>
      </c>
      <c r="AC25" s="167">
        <f t="shared" si="36"/>
        <v>15741.810000000001</v>
      </c>
      <c r="AD25" s="167">
        <f t="shared" si="36"/>
        <v>0</v>
      </c>
      <c r="AE25" s="167">
        <f t="shared" si="36"/>
        <v>15590.61</v>
      </c>
      <c r="AF25" s="167">
        <f t="shared" si="36"/>
        <v>0</v>
      </c>
      <c r="AG25" s="167">
        <f t="shared" si="36"/>
        <v>15439.410000000002</v>
      </c>
      <c r="AH25" s="167">
        <f t="shared" si="36"/>
        <v>0</v>
      </c>
      <c r="AI25" s="167">
        <f t="shared" si="36"/>
        <v>15288.210000000001</v>
      </c>
      <c r="AJ25" s="167">
        <f t="shared" si="36"/>
        <v>0</v>
      </c>
      <c r="AK25" s="167">
        <f t="shared" si="36"/>
        <v>15137.010000000002</v>
      </c>
      <c r="AL25" s="167">
        <f t="shared" si="36"/>
        <v>0</v>
      </c>
      <c r="AM25" s="167">
        <f t="shared" si="36"/>
        <v>0</v>
      </c>
      <c r="AN25" s="167">
        <f t="shared" si="36"/>
        <v>14910.210000000001</v>
      </c>
      <c r="AO25" s="167">
        <f t="shared" si="36"/>
        <v>0</v>
      </c>
      <c r="AP25" s="167">
        <f t="shared" si="36"/>
        <v>14759.010000000002</v>
      </c>
      <c r="AQ25" s="167">
        <f t="shared" si="36"/>
        <v>0</v>
      </c>
      <c r="AR25" s="167">
        <f t="shared" si="36"/>
        <v>13207.509000000002</v>
      </c>
      <c r="AS25" s="167">
        <f t="shared" si="36"/>
        <v>0</v>
      </c>
      <c r="AT25" s="167">
        <f t="shared" si="36"/>
        <v>13056.309000000001</v>
      </c>
      <c r="AU25" s="167">
        <f t="shared" si="36"/>
        <v>0</v>
      </c>
      <c r="AV25" s="167">
        <f t="shared" si="36"/>
        <v>12905.109000000002</v>
      </c>
      <c r="AW25" s="167">
        <f t="shared" si="36"/>
        <v>0</v>
      </c>
      <c r="AX25" s="167">
        <f t="shared" si="36"/>
        <v>12753.909000000001</v>
      </c>
      <c r="AY25" s="167">
        <f t="shared" si="36"/>
        <v>0</v>
      </c>
      <c r="AZ25" s="167">
        <f t="shared" si="36"/>
        <v>12602.709000000001</v>
      </c>
      <c r="BA25" s="167">
        <f t="shared" si="36"/>
        <v>0</v>
      </c>
      <c r="BB25" s="167">
        <f t="shared" si="36"/>
        <v>0</v>
      </c>
      <c r="BC25" s="167">
        <f t="shared" si="36"/>
        <v>0</v>
      </c>
      <c r="BD25" s="167">
        <f t="shared" si="36"/>
        <v>12300.309000000001</v>
      </c>
      <c r="BE25" s="167">
        <f t="shared" si="36"/>
        <v>0</v>
      </c>
      <c r="BF25" s="167">
        <f t="shared" si="36"/>
        <v>12149.109</v>
      </c>
      <c r="BG25" s="167">
        <f t="shared" si="36"/>
        <v>0</v>
      </c>
      <c r="BH25" s="167">
        <f t="shared" si="36"/>
        <v>34208.275500000003</v>
      </c>
      <c r="BI25" s="167">
        <f t="shared" si="36"/>
        <v>0</v>
      </c>
      <c r="BJ25" s="167">
        <f t="shared" si="36"/>
        <v>34208.275500000003</v>
      </c>
      <c r="BK25" s="167">
        <f t="shared" si="36"/>
        <v>0</v>
      </c>
      <c r="BL25" s="167">
        <f t="shared" si="36"/>
        <v>34208.275500000003</v>
      </c>
      <c r="BM25" s="167">
        <f t="shared" si="36"/>
        <v>0</v>
      </c>
      <c r="BN25" s="167">
        <f t="shared" si="36"/>
        <v>34208.275500000003</v>
      </c>
      <c r="BO25" s="167">
        <f t="shared" si="36"/>
        <v>0</v>
      </c>
      <c r="BP25" s="167">
        <f t="shared" si="36"/>
        <v>34208.275500000003</v>
      </c>
      <c r="BQ25" s="167">
        <f t="shared" si="36"/>
        <v>0</v>
      </c>
      <c r="BR25" s="167">
        <f t="shared" si="36"/>
        <v>0</v>
      </c>
      <c r="BS25" s="167">
        <f t="shared" si="36"/>
        <v>0</v>
      </c>
      <c r="BT25" s="167">
        <f t="shared" si="36"/>
        <v>34208.275500000003</v>
      </c>
      <c r="BU25" s="167">
        <f t="shared" si="36"/>
        <v>0</v>
      </c>
      <c r="BV25" s="167">
        <f t="shared" si="36"/>
        <v>34208.275500000003</v>
      </c>
      <c r="BW25" s="167">
        <f t="shared" si="36"/>
        <v>0</v>
      </c>
      <c r="BX25" s="167">
        <f t="shared" ref="BX25:CI25" si="37">IF(BX3=1,IF(BX17&gt;BX9,BX9*$E$8,BX17*$E$8),0)</f>
        <v>34208.275500000003</v>
      </c>
      <c r="BY25" s="167">
        <f t="shared" si="37"/>
        <v>0</v>
      </c>
      <c r="BZ25" s="167">
        <f t="shared" si="37"/>
        <v>34208.275500000003</v>
      </c>
      <c r="CA25" s="167">
        <f t="shared" si="37"/>
        <v>0</v>
      </c>
      <c r="CB25" s="167">
        <f t="shared" si="37"/>
        <v>34208.275500000003</v>
      </c>
      <c r="CC25" s="167">
        <f t="shared" si="37"/>
        <v>0</v>
      </c>
      <c r="CD25" s="167">
        <f t="shared" si="37"/>
        <v>34208.275500000003</v>
      </c>
      <c r="CE25" s="167">
        <f t="shared" si="37"/>
        <v>0</v>
      </c>
      <c r="CF25" s="167">
        <f t="shared" si="37"/>
        <v>34208.275500000003</v>
      </c>
      <c r="CG25" s="167">
        <f t="shared" si="37"/>
        <v>0</v>
      </c>
      <c r="CH25" s="167">
        <f t="shared" si="37"/>
        <v>0</v>
      </c>
      <c r="CI25" s="167">
        <f t="shared" si="37"/>
        <v>0</v>
      </c>
    </row>
    <row r="26" spans="1:87" ht="30" x14ac:dyDescent="0.25">
      <c r="A26" s="147" t="s">
        <v>721</v>
      </c>
      <c r="B26" s="173">
        <f>B6*B23</f>
        <v>9373.6999999999989</v>
      </c>
      <c r="C26" s="174">
        <f>B26-B6</f>
        <v>-4017.3000000000011</v>
      </c>
      <c r="D26" s="170">
        <f t="shared" ref="D26:D28" si="38">C26*C6</f>
        <v>-2812.1100000000006</v>
      </c>
      <c r="E26" s="175">
        <f t="shared" ref="E26:E28" si="39">IF(C26&gt;0,C26*D6,0)</f>
        <v>0</v>
      </c>
      <c r="F26" s="176">
        <f t="shared" ref="F26:F28" si="40">IF(C26&lt;0,C26*F6,0)</f>
        <v>-24103.800000000007</v>
      </c>
      <c r="G26" s="176"/>
      <c r="H26" s="176"/>
      <c r="I26" s="26"/>
      <c r="J26" s="177" t="s">
        <v>752</v>
      </c>
      <c r="K26" s="178">
        <f>(-1)*$G$9</f>
        <v>-41599.199999999997</v>
      </c>
      <c r="L26" s="178">
        <f t="shared" ref="L26:BW26" si="41">(-1)*$G$9</f>
        <v>-41599.199999999997</v>
      </c>
      <c r="M26" s="178">
        <f t="shared" si="41"/>
        <v>-41599.199999999997</v>
      </c>
      <c r="N26" s="178">
        <f t="shared" si="41"/>
        <v>-41599.199999999997</v>
      </c>
      <c r="O26" s="178">
        <f t="shared" si="41"/>
        <v>-41599.199999999997</v>
      </c>
      <c r="P26" s="178">
        <f t="shared" si="41"/>
        <v>-41599.199999999997</v>
      </c>
      <c r="Q26" s="178">
        <f t="shared" si="41"/>
        <v>-41599.199999999997</v>
      </c>
      <c r="R26" s="178">
        <f t="shared" si="41"/>
        <v>-41599.199999999997</v>
      </c>
      <c r="S26" s="178">
        <f t="shared" si="41"/>
        <v>-41599.199999999997</v>
      </c>
      <c r="T26" s="178">
        <f t="shared" si="41"/>
        <v>-41599.199999999997</v>
      </c>
      <c r="U26" s="178">
        <f t="shared" si="41"/>
        <v>-41599.199999999997</v>
      </c>
      <c r="V26" s="178">
        <f t="shared" si="41"/>
        <v>-41599.199999999997</v>
      </c>
      <c r="W26" s="178">
        <f t="shared" si="41"/>
        <v>-41599.199999999997</v>
      </c>
      <c r="X26" s="178">
        <f t="shared" si="41"/>
        <v>-41599.199999999997</v>
      </c>
      <c r="Y26" s="178">
        <f t="shared" si="41"/>
        <v>-41599.199999999997</v>
      </c>
      <c r="Z26" s="178">
        <f t="shared" si="41"/>
        <v>-41599.199999999997</v>
      </c>
      <c r="AA26" s="178">
        <f t="shared" si="41"/>
        <v>-41599.199999999997</v>
      </c>
      <c r="AB26" s="178">
        <f t="shared" si="41"/>
        <v>-41599.199999999997</v>
      </c>
      <c r="AC26" s="178">
        <f t="shared" si="41"/>
        <v>-41599.199999999997</v>
      </c>
      <c r="AD26" s="178">
        <f t="shared" si="41"/>
        <v>-41599.199999999997</v>
      </c>
      <c r="AE26" s="178">
        <f t="shared" si="41"/>
        <v>-41599.199999999997</v>
      </c>
      <c r="AF26" s="178">
        <f t="shared" si="41"/>
        <v>-41599.199999999997</v>
      </c>
      <c r="AG26" s="178">
        <f t="shared" si="41"/>
        <v>-41599.199999999997</v>
      </c>
      <c r="AH26" s="178">
        <f t="shared" si="41"/>
        <v>-41599.199999999997</v>
      </c>
      <c r="AI26" s="178">
        <f t="shared" si="41"/>
        <v>-41599.199999999997</v>
      </c>
      <c r="AJ26" s="178">
        <f t="shared" si="41"/>
        <v>-41599.199999999997</v>
      </c>
      <c r="AK26" s="178">
        <f t="shared" si="41"/>
        <v>-41599.199999999997</v>
      </c>
      <c r="AL26" s="178">
        <f t="shared" si="41"/>
        <v>-41599.199999999997</v>
      </c>
      <c r="AM26" s="178">
        <f t="shared" si="41"/>
        <v>-41599.199999999997</v>
      </c>
      <c r="AN26" s="178">
        <f t="shared" si="41"/>
        <v>-41599.199999999997</v>
      </c>
      <c r="AO26" s="178">
        <f t="shared" si="41"/>
        <v>-41599.199999999997</v>
      </c>
      <c r="AP26" s="178">
        <f t="shared" si="41"/>
        <v>-41599.199999999997</v>
      </c>
      <c r="AQ26" s="178">
        <f t="shared" si="41"/>
        <v>-41599.199999999997</v>
      </c>
      <c r="AR26" s="178">
        <f t="shared" si="41"/>
        <v>-41599.199999999997</v>
      </c>
      <c r="AS26" s="178">
        <f t="shared" si="41"/>
        <v>-41599.199999999997</v>
      </c>
      <c r="AT26" s="178">
        <f t="shared" si="41"/>
        <v>-41599.199999999997</v>
      </c>
      <c r="AU26" s="178">
        <f t="shared" si="41"/>
        <v>-41599.199999999997</v>
      </c>
      <c r="AV26" s="178">
        <f t="shared" si="41"/>
        <v>-41599.199999999997</v>
      </c>
      <c r="AW26" s="178">
        <f t="shared" si="41"/>
        <v>-41599.199999999997</v>
      </c>
      <c r="AX26" s="178">
        <f t="shared" si="41"/>
        <v>-41599.199999999997</v>
      </c>
      <c r="AY26" s="178">
        <f t="shared" si="41"/>
        <v>-41599.199999999997</v>
      </c>
      <c r="AZ26" s="178">
        <f t="shared" si="41"/>
        <v>-41599.199999999997</v>
      </c>
      <c r="BA26" s="178">
        <f t="shared" si="41"/>
        <v>-41599.199999999997</v>
      </c>
      <c r="BB26" s="178">
        <f t="shared" si="41"/>
        <v>-41599.199999999997</v>
      </c>
      <c r="BC26" s="178">
        <f t="shared" si="41"/>
        <v>-41599.199999999997</v>
      </c>
      <c r="BD26" s="178">
        <f t="shared" si="41"/>
        <v>-41599.199999999997</v>
      </c>
      <c r="BE26" s="178">
        <f t="shared" si="41"/>
        <v>-41599.199999999997</v>
      </c>
      <c r="BF26" s="178">
        <f t="shared" si="41"/>
        <v>-41599.199999999997</v>
      </c>
      <c r="BG26" s="178">
        <f t="shared" si="41"/>
        <v>-41599.199999999997</v>
      </c>
      <c r="BH26" s="178">
        <f t="shared" si="41"/>
        <v>-41599.199999999997</v>
      </c>
      <c r="BI26" s="178">
        <f t="shared" si="41"/>
        <v>-41599.199999999997</v>
      </c>
      <c r="BJ26" s="178">
        <f t="shared" si="41"/>
        <v>-41599.199999999997</v>
      </c>
      <c r="BK26" s="178">
        <f t="shared" si="41"/>
        <v>-41599.199999999997</v>
      </c>
      <c r="BL26" s="178">
        <f t="shared" si="41"/>
        <v>-41599.199999999997</v>
      </c>
      <c r="BM26" s="178">
        <f t="shared" si="41"/>
        <v>-41599.199999999997</v>
      </c>
      <c r="BN26" s="178">
        <f t="shared" si="41"/>
        <v>-41599.199999999997</v>
      </c>
      <c r="BO26" s="178">
        <f t="shared" si="41"/>
        <v>-41599.199999999997</v>
      </c>
      <c r="BP26" s="178">
        <f t="shared" si="41"/>
        <v>-41599.199999999997</v>
      </c>
      <c r="BQ26" s="178">
        <f t="shared" si="41"/>
        <v>-41599.199999999997</v>
      </c>
      <c r="BR26" s="178">
        <f t="shared" si="41"/>
        <v>-41599.199999999997</v>
      </c>
      <c r="BS26" s="178">
        <f t="shared" si="41"/>
        <v>-41599.199999999997</v>
      </c>
      <c r="BT26" s="178">
        <f t="shared" si="41"/>
        <v>-41599.199999999997</v>
      </c>
      <c r="BU26" s="178">
        <f t="shared" si="41"/>
        <v>-41599.199999999997</v>
      </c>
      <c r="BV26" s="178">
        <f t="shared" si="41"/>
        <v>-41599.199999999997</v>
      </c>
      <c r="BW26" s="178">
        <f t="shared" si="41"/>
        <v>-41599.199999999997</v>
      </c>
      <c r="BX26" s="178">
        <f t="shared" ref="BX26:CI26" si="42">(-1)*$G$9</f>
        <v>-41599.199999999997</v>
      </c>
      <c r="BY26" s="178">
        <f t="shared" si="42"/>
        <v>-41599.199999999997</v>
      </c>
      <c r="BZ26" s="178">
        <f t="shared" si="42"/>
        <v>-41599.199999999997</v>
      </c>
      <c r="CA26" s="178">
        <f t="shared" si="42"/>
        <v>-41599.199999999997</v>
      </c>
      <c r="CB26" s="178">
        <f t="shared" si="42"/>
        <v>-41599.199999999997</v>
      </c>
      <c r="CC26" s="178">
        <f t="shared" si="42"/>
        <v>-41599.199999999997</v>
      </c>
      <c r="CD26" s="178">
        <f t="shared" si="42"/>
        <v>-41599.199999999997</v>
      </c>
      <c r="CE26" s="178">
        <f t="shared" si="42"/>
        <v>-41599.199999999997</v>
      </c>
      <c r="CF26" s="178">
        <f t="shared" si="42"/>
        <v>-41599.199999999997</v>
      </c>
      <c r="CG26" s="178">
        <f t="shared" si="42"/>
        <v>-41599.199999999997</v>
      </c>
      <c r="CH26" s="178">
        <f t="shared" si="42"/>
        <v>-41599.199999999997</v>
      </c>
      <c r="CI26" s="178">
        <f t="shared" si="42"/>
        <v>-41599.199999999997</v>
      </c>
    </row>
    <row r="27" spans="1:87" x14ac:dyDescent="0.25">
      <c r="A27" s="147" t="s">
        <v>723</v>
      </c>
      <c r="B27" s="173">
        <f>B7*B23</f>
        <v>7902.2999999999993</v>
      </c>
      <c r="C27" s="174">
        <f>B27-B7</f>
        <v>-3386.7000000000007</v>
      </c>
      <c r="D27" s="170">
        <f t="shared" si="38"/>
        <v>-3386.7000000000007</v>
      </c>
      <c r="E27" s="175">
        <f t="shared" si="39"/>
        <v>0</v>
      </c>
      <c r="F27" s="176">
        <f t="shared" si="40"/>
        <v>-20320.200000000004</v>
      </c>
      <c r="G27" s="176"/>
      <c r="H27" s="176"/>
      <c r="I27" s="26"/>
      <c r="J27" s="179" t="s">
        <v>753</v>
      </c>
      <c r="K27" s="180">
        <f>IF(K14&gt;K6,$C$5*K6*(-1),K14*$C$5*(-1))</f>
        <v>-12558.43</v>
      </c>
      <c r="L27" s="180">
        <f t="shared" ref="L27:BW27" si="43">IF(L14&gt;L6,$C$5*L6*(-1),L14*$C$5*(-1))</f>
        <v>-12210.8</v>
      </c>
      <c r="M27" s="180">
        <f t="shared" si="43"/>
        <v>-12210.8</v>
      </c>
      <c r="N27" s="180">
        <f t="shared" si="43"/>
        <v>-12210.8</v>
      </c>
      <c r="O27" s="180">
        <f t="shared" si="43"/>
        <v>-12210.8</v>
      </c>
      <c r="P27" s="180">
        <f t="shared" si="43"/>
        <v>-12210.8</v>
      </c>
      <c r="Q27" s="180">
        <f t="shared" si="43"/>
        <v>-12210.8</v>
      </c>
      <c r="R27" s="180">
        <f t="shared" si="43"/>
        <v>-12204.789999999999</v>
      </c>
      <c r="S27" s="180">
        <f t="shared" si="43"/>
        <v>-12154.27</v>
      </c>
      <c r="T27" s="180">
        <f t="shared" si="43"/>
        <v>-12103.75</v>
      </c>
      <c r="U27" s="180">
        <f t="shared" si="43"/>
        <v>-12053.23</v>
      </c>
      <c r="V27" s="180">
        <f t="shared" si="43"/>
        <v>-12002.71</v>
      </c>
      <c r="W27" s="180">
        <f t="shared" si="43"/>
        <v>-11952.19</v>
      </c>
      <c r="X27" s="180">
        <f t="shared" si="43"/>
        <v>-11901.67</v>
      </c>
      <c r="Y27" s="180">
        <f t="shared" si="43"/>
        <v>-11851.15</v>
      </c>
      <c r="Z27" s="180">
        <f t="shared" si="43"/>
        <v>-11800.63</v>
      </c>
      <c r="AA27" s="180">
        <f t="shared" si="43"/>
        <v>-10620.567000000001</v>
      </c>
      <c r="AB27" s="180">
        <f t="shared" si="43"/>
        <v>-10570.047</v>
      </c>
      <c r="AC27" s="180">
        <f t="shared" si="43"/>
        <v>-10519.527000000002</v>
      </c>
      <c r="AD27" s="180">
        <f t="shared" si="43"/>
        <v>-10469.007000000001</v>
      </c>
      <c r="AE27" s="180">
        <f t="shared" si="43"/>
        <v>-10418.487000000001</v>
      </c>
      <c r="AF27" s="180">
        <f t="shared" si="43"/>
        <v>-10367.967000000001</v>
      </c>
      <c r="AG27" s="180">
        <f t="shared" si="43"/>
        <v>-10317.447000000002</v>
      </c>
      <c r="AH27" s="180">
        <f t="shared" si="43"/>
        <v>-10266.927000000001</v>
      </c>
      <c r="AI27" s="180">
        <f t="shared" si="43"/>
        <v>-10216.407000000001</v>
      </c>
      <c r="AJ27" s="180">
        <f t="shared" si="43"/>
        <v>-10165.887000000001</v>
      </c>
      <c r="AK27" s="180">
        <f t="shared" si="43"/>
        <v>-10115.367</v>
      </c>
      <c r="AL27" s="180">
        <f t="shared" si="43"/>
        <v>-10064.847000000002</v>
      </c>
      <c r="AM27" s="180">
        <f t="shared" si="43"/>
        <v>-10014.327000000001</v>
      </c>
      <c r="AN27" s="180">
        <f t="shared" si="43"/>
        <v>-9963.8070000000007</v>
      </c>
      <c r="AO27" s="180">
        <f t="shared" si="43"/>
        <v>-9913.2870000000003</v>
      </c>
      <c r="AP27" s="180">
        <f t="shared" si="43"/>
        <v>-9862.7670000000016</v>
      </c>
      <c r="AQ27" s="180">
        <f t="shared" si="43"/>
        <v>-8876.4903000000013</v>
      </c>
      <c r="AR27" s="180">
        <f t="shared" si="43"/>
        <v>-8825.9703000000009</v>
      </c>
      <c r="AS27" s="180">
        <f t="shared" si="43"/>
        <v>-8775.4503000000004</v>
      </c>
      <c r="AT27" s="180">
        <f t="shared" si="43"/>
        <v>-8724.9303000000018</v>
      </c>
      <c r="AU27" s="180">
        <f t="shared" si="43"/>
        <v>-8674.4103000000014</v>
      </c>
      <c r="AV27" s="180">
        <f t="shared" si="43"/>
        <v>-8623.8903000000009</v>
      </c>
      <c r="AW27" s="180">
        <f t="shared" si="43"/>
        <v>-8573.3703000000005</v>
      </c>
      <c r="AX27" s="180">
        <f t="shared" si="43"/>
        <v>-8522.8503000000019</v>
      </c>
      <c r="AY27" s="180">
        <f t="shared" si="43"/>
        <v>-8472.3303000000014</v>
      </c>
      <c r="AZ27" s="180">
        <f t="shared" si="43"/>
        <v>-8421.810300000001</v>
      </c>
      <c r="BA27" s="180">
        <f t="shared" si="43"/>
        <v>-8371.2903000000006</v>
      </c>
      <c r="BB27" s="180">
        <f t="shared" si="43"/>
        <v>-8320.770300000002</v>
      </c>
      <c r="BC27" s="180">
        <f t="shared" si="43"/>
        <v>-8270.2503000000015</v>
      </c>
      <c r="BD27" s="180">
        <f t="shared" si="43"/>
        <v>-8219.7303000000011</v>
      </c>
      <c r="BE27" s="180">
        <f t="shared" si="43"/>
        <v>-8169.2103000000016</v>
      </c>
      <c r="BF27" s="180">
        <f t="shared" si="43"/>
        <v>-8118.6903000000011</v>
      </c>
      <c r="BG27" s="180">
        <f t="shared" si="43"/>
        <v>-12207.659100000003</v>
      </c>
      <c r="BH27" s="180">
        <f t="shared" si="43"/>
        <v>-12207.659100000003</v>
      </c>
      <c r="BI27" s="180">
        <f t="shared" si="43"/>
        <v>-12207.659100000003</v>
      </c>
      <c r="BJ27" s="180">
        <f t="shared" si="43"/>
        <v>-12207.659100000003</v>
      </c>
      <c r="BK27" s="180">
        <f t="shared" si="43"/>
        <v>-12207.659100000003</v>
      </c>
      <c r="BL27" s="180">
        <f t="shared" si="43"/>
        <v>-12207.659100000003</v>
      </c>
      <c r="BM27" s="180">
        <f t="shared" si="43"/>
        <v>-12207.659100000003</v>
      </c>
      <c r="BN27" s="180">
        <f t="shared" si="43"/>
        <v>-12207.659100000003</v>
      </c>
      <c r="BO27" s="180">
        <f t="shared" si="43"/>
        <v>-12207.659100000003</v>
      </c>
      <c r="BP27" s="180">
        <f t="shared" si="43"/>
        <v>-12207.659100000003</v>
      </c>
      <c r="BQ27" s="180">
        <f t="shared" si="43"/>
        <v>-12207.659100000003</v>
      </c>
      <c r="BR27" s="180">
        <f t="shared" si="43"/>
        <v>-12207.659100000003</v>
      </c>
      <c r="BS27" s="180">
        <f t="shared" si="43"/>
        <v>-12207.659100000003</v>
      </c>
      <c r="BT27" s="180">
        <f t="shared" si="43"/>
        <v>-12207.659100000003</v>
      </c>
      <c r="BU27" s="180">
        <f t="shared" si="43"/>
        <v>-12207.659100000003</v>
      </c>
      <c r="BV27" s="180">
        <f t="shared" si="43"/>
        <v>-12207.659100000003</v>
      </c>
      <c r="BW27" s="180">
        <f t="shared" si="43"/>
        <v>-12207.659100000003</v>
      </c>
      <c r="BX27" s="180">
        <f t="shared" ref="BX27:CI27" si="44">IF(BX14&gt;BX6,$C$5*BX6*(-1),BX14*$C$5*(-1))</f>
        <v>-12207.659100000003</v>
      </c>
      <c r="BY27" s="180">
        <f t="shared" si="44"/>
        <v>-12207.659100000003</v>
      </c>
      <c r="BZ27" s="180">
        <f t="shared" si="44"/>
        <v>-12207.659100000003</v>
      </c>
      <c r="CA27" s="180">
        <f t="shared" si="44"/>
        <v>-12207.659100000003</v>
      </c>
      <c r="CB27" s="180">
        <f t="shared" si="44"/>
        <v>-12207.659100000003</v>
      </c>
      <c r="CC27" s="180">
        <f t="shared" si="44"/>
        <v>-12207.659100000003</v>
      </c>
      <c r="CD27" s="180">
        <f t="shared" si="44"/>
        <v>-12207.659100000003</v>
      </c>
      <c r="CE27" s="180">
        <f t="shared" si="44"/>
        <v>-12207.659100000003</v>
      </c>
      <c r="CF27" s="180">
        <f t="shared" si="44"/>
        <v>-12207.659100000003</v>
      </c>
      <c r="CG27" s="180">
        <f t="shared" si="44"/>
        <v>-12207.659100000003</v>
      </c>
      <c r="CH27" s="180">
        <f t="shared" si="44"/>
        <v>-12207.659100000003</v>
      </c>
      <c r="CI27" s="180">
        <f t="shared" si="44"/>
        <v>-12207.659100000003</v>
      </c>
    </row>
    <row r="28" spans="1:87" x14ac:dyDescent="0.25">
      <c r="A28" s="147" t="s">
        <v>725</v>
      </c>
      <c r="B28" s="173">
        <f>B8*B23</f>
        <v>977.9</v>
      </c>
      <c r="C28" s="174">
        <f>B28-B8</f>
        <v>-419.1</v>
      </c>
      <c r="D28" s="170">
        <f t="shared" si="38"/>
        <v>-1047.75</v>
      </c>
      <c r="E28" s="175">
        <f t="shared" si="39"/>
        <v>0</v>
      </c>
      <c r="F28" s="176">
        <f t="shared" si="40"/>
        <v>-2514.6000000000004</v>
      </c>
      <c r="G28" s="176"/>
      <c r="H28" s="176"/>
      <c r="I28" s="26"/>
      <c r="J28" s="179" t="s">
        <v>754</v>
      </c>
      <c r="K28" s="180">
        <f>IF(K15&gt;K7,$C$6*K7*(-1),K15*$C$6*(-1))</f>
        <v>-5700.5129999999999</v>
      </c>
      <c r="L28" s="180">
        <f t="shared" ref="L28:BW28" si="45">IF(L15&gt;L7,$C$6*L7*(-1),L15*$C$6*(-1))</f>
        <v>-5677.5809999999992</v>
      </c>
      <c r="M28" s="180">
        <f t="shared" si="45"/>
        <v>-5654.6489999999994</v>
      </c>
      <c r="N28" s="180">
        <f t="shared" si="45"/>
        <v>-5631.7169999999996</v>
      </c>
      <c r="O28" s="180">
        <f t="shared" si="45"/>
        <v>-5608.7849999999999</v>
      </c>
      <c r="P28" s="180">
        <f t="shared" si="45"/>
        <v>-5585.8530000000001</v>
      </c>
      <c r="Q28" s="180">
        <f t="shared" si="45"/>
        <v>-5562.9209999999994</v>
      </c>
      <c r="R28" s="180">
        <f t="shared" si="45"/>
        <v>-5539.9889999999996</v>
      </c>
      <c r="S28" s="180">
        <f t="shared" si="45"/>
        <v>-5517.0569999999998</v>
      </c>
      <c r="T28" s="180">
        <f t="shared" si="45"/>
        <v>-5494.125</v>
      </c>
      <c r="U28" s="180">
        <f t="shared" si="45"/>
        <v>-5471.1929999999993</v>
      </c>
      <c r="V28" s="180">
        <f t="shared" si="45"/>
        <v>-5448.2609999999995</v>
      </c>
      <c r="W28" s="180">
        <f t="shared" si="45"/>
        <v>-5425.3289999999997</v>
      </c>
      <c r="X28" s="180">
        <f t="shared" si="45"/>
        <v>-5402.3969999999999</v>
      </c>
      <c r="Y28" s="180">
        <f t="shared" si="45"/>
        <v>-5379.4649999999992</v>
      </c>
      <c r="Z28" s="180">
        <f t="shared" si="45"/>
        <v>-5356.5329999999994</v>
      </c>
      <c r="AA28" s="180">
        <f t="shared" si="45"/>
        <v>-4820.8797000000004</v>
      </c>
      <c r="AB28" s="180">
        <f t="shared" si="45"/>
        <v>-4797.9477000000006</v>
      </c>
      <c r="AC28" s="180">
        <f t="shared" si="45"/>
        <v>-4775.0156999999999</v>
      </c>
      <c r="AD28" s="180">
        <f t="shared" si="45"/>
        <v>-4752.0837000000001</v>
      </c>
      <c r="AE28" s="180">
        <f t="shared" si="45"/>
        <v>-4729.1517000000003</v>
      </c>
      <c r="AF28" s="180">
        <f t="shared" si="45"/>
        <v>-4706.2196999999996</v>
      </c>
      <c r="AG28" s="180">
        <f t="shared" si="45"/>
        <v>-4683.2877000000008</v>
      </c>
      <c r="AH28" s="180">
        <f t="shared" si="45"/>
        <v>-4660.3557000000001</v>
      </c>
      <c r="AI28" s="180">
        <f t="shared" si="45"/>
        <v>-4637.4237000000003</v>
      </c>
      <c r="AJ28" s="180">
        <f t="shared" si="45"/>
        <v>-4614.4916999999996</v>
      </c>
      <c r="AK28" s="180">
        <f t="shared" si="45"/>
        <v>-4591.5597000000007</v>
      </c>
      <c r="AL28" s="180">
        <f t="shared" si="45"/>
        <v>-4568.6277</v>
      </c>
      <c r="AM28" s="180">
        <f t="shared" si="45"/>
        <v>-4545.6957000000002</v>
      </c>
      <c r="AN28" s="180">
        <f t="shared" si="45"/>
        <v>-4522.7636999999995</v>
      </c>
      <c r="AO28" s="180">
        <f t="shared" si="45"/>
        <v>-4499.8317000000006</v>
      </c>
      <c r="AP28" s="180">
        <f t="shared" si="45"/>
        <v>-4476.8996999999999</v>
      </c>
      <c r="AQ28" s="180">
        <f t="shared" si="45"/>
        <v>-4029.2097300000005</v>
      </c>
      <c r="AR28" s="180">
        <f t="shared" si="45"/>
        <v>-4006.2777300000002</v>
      </c>
      <c r="AS28" s="180">
        <f t="shared" si="45"/>
        <v>-3983.34573</v>
      </c>
      <c r="AT28" s="180">
        <f t="shared" si="45"/>
        <v>-3960.4137300000007</v>
      </c>
      <c r="AU28" s="180">
        <f t="shared" si="45"/>
        <v>-3937.4817300000004</v>
      </c>
      <c r="AV28" s="180">
        <f t="shared" si="45"/>
        <v>-3914.5497300000002</v>
      </c>
      <c r="AW28" s="180">
        <f t="shared" si="45"/>
        <v>-3891.6177299999999</v>
      </c>
      <c r="AX28" s="180">
        <f t="shared" si="45"/>
        <v>-3868.6857300000006</v>
      </c>
      <c r="AY28" s="180">
        <f t="shared" si="45"/>
        <v>-3845.7537300000004</v>
      </c>
      <c r="AZ28" s="180">
        <f t="shared" si="45"/>
        <v>-3822.8217300000001</v>
      </c>
      <c r="BA28" s="180">
        <f t="shared" si="45"/>
        <v>-3799.8897299999999</v>
      </c>
      <c r="BB28" s="180">
        <f t="shared" si="45"/>
        <v>-3776.9577300000005</v>
      </c>
      <c r="BC28" s="180">
        <f t="shared" si="45"/>
        <v>-3754.0257300000003</v>
      </c>
      <c r="BD28" s="180">
        <f t="shared" si="45"/>
        <v>-3731.0937300000001</v>
      </c>
      <c r="BE28" s="180">
        <f t="shared" si="45"/>
        <v>-3708.1617300000003</v>
      </c>
      <c r="BF28" s="180">
        <f t="shared" si="45"/>
        <v>-3685.2297300000005</v>
      </c>
      <c r="BG28" s="180">
        <f t="shared" si="45"/>
        <v>-6559.9398900000006</v>
      </c>
      <c r="BH28" s="180">
        <f t="shared" si="45"/>
        <v>-6559.9398900000006</v>
      </c>
      <c r="BI28" s="180">
        <f t="shared" si="45"/>
        <v>-6559.9398900000006</v>
      </c>
      <c r="BJ28" s="180">
        <f t="shared" si="45"/>
        <v>-6559.9398900000006</v>
      </c>
      <c r="BK28" s="180">
        <f t="shared" si="45"/>
        <v>-6559.9398900000006</v>
      </c>
      <c r="BL28" s="180">
        <f t="shared" si="45"/>
        <v>-6559.9398900000006</v>
      </c>
      <c r="BM28" s="180">
        <f t="shared" si="45"/>
        <v>-6559.9398900000006</v>
      </c>
      <c r="BN28" s="180">
        <f t="shared" si="45"/>
        <v>-6559.9398900000006</v>
      </c>
      <c r="BO28" s="180">
        <f t="shared" si="45"/>
        <v>-6559.9398900000006</v>
      </c>
      <c r="BP28" s="180">
        <f t="shared" si="45"/>
        <v>-6559.9398900000006</v>
      </c>
      <c r="BQ28" s="180">
        <f t="shared" si="45"/>
        <v>-6559.9398900000006</v>
      </c>
      <c r="BR28" s="180">
        <f t="shared" si="45"/>
        <v>-6559.9398900000006</v>
      </c>
      <c r="BS28" s="180">
        <f t="shared" si="45"/>
        <v>-6559.9398900000006</v>
      </c>
      <c r="BT28" s="180">
        <f t="shared" si="45"/>
        <v>-6559.9398900000006</v>
      </c>
      <c r="BU28" s="180">
        <f t="shared" si="45"/>
        <v>-6559.9398900000006</v>
      </c>
      <c r="BV28" s="180">
        <f t="shared" si="45"/>
        <v>-6559.9398900000006</v>
      </c>
      <c r="BW28" s="180">
        <f t="shared" si="45"/>
        <v>-6559.9398900000006</v>
      </c>
      <c r="BX28" s="180">
        <f t="shared" ref="BX28:CI28" si="46">IF(BX15&gt;BX7,$C$6*BX7*(-1),BX15*$C$6*(-1))</f>
        <v>-6559.9398900000006</v>
      </c>
      <c r="BY28" s="180">
        <f t="shared" si="46"/>
        <v>-6559.9398900000006</v>
      </c>
      <c r="BZ28" s="180">
        <f t="shared" si="46"/>
        <v>-6559.9398900000006</v>
      </c>
      <c r="CA28" s="180">
        <f t="shared" si="46"/>
        <v>-6559.9398900000006</v>
      </c>
      <c r="CB28" s="180">
        <f t="shared" si="46"/>
        <v>-6559.9398900000006</v>
      </c>
      <c r="CC28" s="180">
        <f t="shared" si="46"/>
        <v>-6559.9398900000006</v>
      </c>
      <c r="CD28" s="180">
        <f t="shared" si="46"/>
        <v>-6559.9398900000006</v>
      </c>
      <c r="CE28" s="180">
        <f t="shared" si="46"/>
        <v>-6559.9398900000006</v>
      </c>
      <c r="CF28" s="180">
        <f t="shared" si="46"/>
        <v>-6559.9398900000006</v>
      </c>
      <c r="CG28" s="180">
        <f t="shared" si="46"/>
        <v>-6559.9398900000006</v>
      </c>
      <c r="CH28" s="180">
        <f t="shared" si="46"/>
        <v>-6559.9398900000006</v>
      </c>
      <c r="CI28" s="180">
        <f t="shared" si="46"/>
        <v>-6559.9398900000006</v>
      </c>
    </row>
    <row r="29" spans="1:87" x14ac:dyDescent="0.25">
      <c r="A29" s="26"/>
      <c r="B29" s="26"/>
      <c r="C29" s="142"/>
      <c r="D29" s="142"/>
      <c r="E29" s="142"/>
      <c r="F29" s="26"/>
      <c r="G29" s="26"/>
      <c r="H29" s="26"/>
      <c r="I29" s="26"/>
      <c r="J29" s="179" t="s">
        <v>755</v>
      </c>
      <c r="K29" s="180">
        <f>IF(K16&gt;K8,$C$7*K8*(-1),K16*$C$7*(-1))</f>
        <v>-5121.5126999999993</v>
      </c>
      <c r="L29" s="180">
        <f t="shared" ref="L29:BW29" si="47">IF(L16&gt;L8,$C$7*L8*(-1),L16*$C$7*(-1))</f>
        <v>-5100.9098999999997</v>
      </c>
      <c r="M29" s="180">
        <f t="shared" si="47"/>
        <v>-5080.3071</v>
      </c>
      <c r="N29" s="180">
        <f t="shared" si="47"/>
        <v>-5059.7042999999994</v>
      </c>
      <c r="O29" s="180">
        <f t="shared" si="47"/>
        <v>-5039.1014999999998</v>
      </c>
      <c r="P29" s="180">
        <f t="shared" si="47"/>
        <v>-5018.4986999999992</v>
      </c>
      <c r="Q29" s="180">
        <f t="shared" si="47"/>
        <v>-4997.8958999999995</v>
      </c>
      <c r="R29" s="180">
        <f t="shared" si="47"/>
        <v>-4977.2930999999999</v>
      </c>
      <c r="S29" s="180">
        <f t="shared" si="47"/>
        <v>-4956.6902999999993</v>
      </c>
      <c r="T29" s="180">
        <f t="shared" si="47"/>
        <v>-4936.0874999999996</v>
      </c>
      <c r="U29" s="180">
        <f t="shared" si="47"/>
        <v>-4915.4847</v>
      </c>
      <c r="V29" s="180">
        <f t="shared" si="47"/>
        <v>-4894.8818999999994</v>
      </c>
      <c r="W29" s="180">
        <f t="shared" si="47"/>
        <v>-4874.2790999999997</v>
      </c>
      <c r="X29" s="180">
        <f t="shared" si="47"/>
        <v>-4853.6763000000001</v>
      </c>
      <c r="Y29" s="180">
        <f t="shared" si="47"/>
        <v>-4833.0734999999995</v>
      </c>
      <c r="Z29" s="180">
        <f t="shared" si="47"/>
        <v>-4812.4706999999999</v>
      </c>
      <c r="AA29" s="180">
        <f t="shared" si="47"/>
        <v>-4331.2236300000004</v>
      </c>
      <c r="AB29" s="180">
        <f t="shared" si="47"/>
        <v>-4310.6208299999998</v>
      </c>
      <c r="AC29" s="180">
        <f t="shared" si="47"/>
        <v>-4290.0180300000002</v>
      </c>
      <c r="AD29" s="180">
        <f t="shared" si="47"/>
        <v>-4269.4152300000005</v>
      </c>
      <c r="AE29" s="180">
        <f t="shared" si="47"/>
        <v>-4248.8124299999999</v>
      </c>
      <c r="AF29" s="180">
        <f t="shared" si="47"/>
        <v>-4228.2096300000003</v>
      </c>
      <c r="AG29" s="180">
        <f t="shared" si="47"/>
        <v>-4207.6068299999997</v>
      </c>
      <c r="AH29" s="180">
        <f t="shared" si="47"/>
        <v>-4187.0040300000001</v>
      </c>
      <c r="AI29" s="180">
        <f t="shared" si="47"/>
        <v>-4166.4012300000004</v>
      </c>
      <c r="AJ29" s="180">
        <f t="shared" si="47"/>
        <v>-4145.7984299999998</v>
      </c>
      <c r="AK29" s="180">
        <f t="shared" si="47"/>
        <v>-4125.1956300000002</v>
      </c>
      <c r="AL29" s="180">
        <f t="shared" si="47"/>
        <v>-4104.5928300000005</v>
      </c>
      <c r="AM29" s="180">
        <f t="shared" si="47"/>
        <v>-4083.9900300000004</v>
      </c>
      <c r="AN29" s="180">
        <f t="shared" si="47"/>
        <v>-4063.3872300000003</v>
      </c>
      <c r="AO29" s="180">
        <f t="shared" si="47"/>
        <v>-4042.7844300000002</v>
      </c>
      <c r="AP29" s="180">
        <f t="shared" si="47"/>
        <v>-4022.18163</v>
      </c>
      <c r="AQ29" s="180">
        <f t="shared" si="47"/>
        <v>-3619.963467</v>
      </c>
      <c r="AR29" s="180">
        <f t="shared" si="47"/>
        <v>-3599.3606670000004</v>
      </c>
      <c r="AS29" s="180">
        <f t="shared" si="47"/>
        <v>-3578.7578670000003</v>
      </c>
      <c r="AT29" s="180">
        <f t="shared" si="47"/>
        <v>-3558.1550670000001</v>
      </c>
      <c r="AU29" s="180">
        <f t="shared" si="47"/>
        <v>-3537.552267</v>
      </c>
      <c r="AV29" s="180">
        <f t="shared" si="47"/>
        <v>-3516.9494670000004</v>
      </c>
      <c r="AW29" s="180">
        <f t="shared" si="47"/>
        <v>-3496.3466670000003</v>
      </c>
      <c r="AX29" s="180">
        <f t="shared" si="47"/>
        <v>-3475.7438670000001</v>
      </c>
      <c r="AY29" s="180">
        <f t="shared" si="47"/>
        <v>-3455.141067</v>
      </c>
      <c r="AZ29" s="180">
        <f t="shared" si="47"/>
        <v>-3434.5382670000004</v>
      </c>
      <c r="BA29" s="180">
        <f t="shared" si="47"/>
        <v>-3413.9354670000002</v>
      </c>
      <c r="BB29" s="180">
        <f t="shared" si="47"/>
        <v>-3393.3326670000001</v>
      </c>
      <c r="BC29" s="180">
        <f t="shared" si="47"/>
        <v>-3372.7298670000005</v>
      </c>
      <c r="BD29" s="180">
        <f t="shared" si="47"/>
        <v>-3352.1270670000004</v>
      </c>
      <c r="BE29" s="180">
        <f t="shared" si="47"/>
        <v>-3331.5242670000002</v>
      </c>
      <c r="BF29" s="180">
        <f t="shared" si="47"/>
        <v>-3310.9214670000001</v>
      </c>
      <c r="BG29" s="180">
        <f t="shared" si="47"/>
        <v>-7900.4826750000002</v>
      </c>
      <c r="BH29" s="180">
        <f t="shared" si="47"/>
        <v>-7900.4826750000002</v>
      </c>
      <c r="BI29" s="180">
        <f t="shared" si="47"/>
        <v>-7900.4826750000002</v>
      </c>
      <c r="BJ29" s="180">
        <f t="shared" si="47"/>
        <v>-7900.4826750000002</v>
      </c>
      <c r="BK29" s="180">
        <f t="shared" si="47"/>
        <v>-7900.4826750000002</v>
      </c>
      <c r="BL29" s="180">
        <f t="shared" si="47"/>
        <v>-7900.4826750000002</v>
      </c>
      <c r="BM29" s="180">
        <f t="shared" si="47"/>
        <v>-7900.4826750000002</v>
      </c>
      <c r="BN29" s="180">
        <f t="shared" si="47"/>
        <v>-7900.4826750000002</v>
      </c>
      <c r="BO29" s="180">
        <f t="shared" si="47"/>
        <v>-7900.4826750000002</v>
      </c>
      <c r="BP29" s="180">
        <f t="shared" si="47"/>
        <v>-7900.4826750000002</v>
      </c>
      <c r="BQ29" s="180">
        <f t="shared" si="47"/>
        <v>-7900.4826750000002</v>
      </c>
      <c r="BR29" s="180">
        <f t="shared" si="47"/>
        <v>-7900.4826750000002</v>
      </c>
      <c r="BS29" s="180">
        <f t="shared" si="47"/>
        <v>-7900.4826750000002</v>
      </c>
      <c r="BT29" s="180">
        <f t="shared" si="47"/>
        <v>-7900.4826750000002</v>
      </c>
      <c r="BU29" s="180">
        <f t="shared" si="47"/>
        <v>-7900.4826750000002</v>
      </c>
      <c r="BV29" s="180">
        <f t="shared" si="47"/>
        <v>-7900.4826750000002</v>
      </c>
      <c r="BW29" s="180">
        <f t="shared" si="47"/>
        <v>-7900.4826750000002</v>
      </c>
      <c r="BX29" s="180">
        <f t="shared" ref="BX29:CI29" si="48">IF(BX16&gt;BX8,$C$7*BX8*(-1),BX16*$C$7*(-1))</f>
        <v>-7900.4826750000002</v>
      </c>
      <c r="BY29" s="180">
        <f t="shared" si="48"/>
        <v>-7900.4826750000002</v>
      </c>
      <c r="BZ29" s="180">
        <f t="shared" si="48"/>
        <v>-7900.4826750000002</v>
      </c>
      <c r="CA29" s="180">
        <f t="shared" si="48"/>
        <v>-7900.4826750000002</v>
      </c>
      <c r="CB29" s="180">
        <f t="shared" si="48"/>
        <v>-7900.4826750000002</v>
      </c>
      <c r="CC29" s="180">
        <f t="shared" si="48"/>
        <v>-7900.4826750000002</v>
      </c>
      <c r="CD29" s="180">
        <f t="shared" si="48"/>
        <v>-7900.4826750000002</v>
      </c>
      <c r="CE29" s="180">
        <f t="shared" si="48"/>
        <v>-7900.4826750000002</v>
      </c>
      <c r="CF29" s="180">
        <f t="shared" si="48"/>
        <v>-7900.4826750000002</v>
      </c>
      <c r="CG29" s="180">
        <f t="shared" si="48"/>
        <v>-7900.4826750000002</v>
      </c>
      <c r="CH29" s="180">
        <f t="shared" si="48"/>
        <v>-7900.4826750000002</v>
      </c>
      <c r="CI29" s="180">
        <f t="shared" si="48"/>
        <v>-7900.4826750000002</v>
      </c>
    </row>
    <row r="30" spans="1:87" x14ac:dyDescent="0.25">
      <c r="A30" s="181"/>
      <c r="B30" s="26"/>
      <c r="C30" s="142"/>
      <c r="D30" s="182" t="s">
        <v>756</v>
      </c>
      <c r="E30" s="183">
        <f>K40</f>
        <v>-119737.00000000001</v>
      </c>
      <c r="F30" s="26"/>
      <c r="G30" s="26"/>
      <c r="H30" s="26"/>
      <c r="I30" s="26"/>
      <c r="J30" s="179" t="s">
        <v>757</v>
      </c>
      <c r="K30" s="180">
        <f>IF(K17&gt;K9,$C$8*K9*(-1),K17*$C$8*(-1))</f>
        <v>-1342.35</v>
      </c>
      <c r="L30" s="180">
        <f t="shared" ref="L30:BW30" si="49">IF(L17&gt;L9,$C$8*L9*(-1),L17*$C$8*(-1))</f>
        <v>-1336.9499999999998</v>
      </c>
      <c r="M30" s="180">
        <f t="shared" si="49"/>
        <v>-1331.55</v>
      </c>
      <c r="N30" s="180">
        <f t="shared" si="49"/>
        <v>-1326.15</v>
      </c>
      <c r="O30" s="180">
        <f t="shared" si="49"/>
        <v>-1320.75</v>
      </c>
      <c r="P30" s="180">
        <f t="shared" si="49"/>
        <v>-1315.35</v>
      </c>
      <c r="Q30" s="180">
        <f t="shared" si="49"/>
        <v>-1309.95</v>
      </c>
      <c r="R30" s="180">
        <f t="shared" si="49"/>
        <v>-1304.5499999999997</v>
      </c>
      <c r="S30" s="180">
        <f t="shared" si="49"/>
        <v>-1299.1499999999999</v>
      </c>
      <c r="T30" s="180">
        <f t="shared" si="49"/>
        <v>-1293.75</v>
      </c>
      <c r="U30" s="180">
        <f t="shared" si="49"/>
        <v>-1288.3500000000001</v>
      </c>
      <c r="V30" s="180">
        <f t="shared" si="49"/>
        <v>-1282.9499999999998</v>
      </c>
      <c r="W30" s="180">
        <f t="shared" si="49"/>
        <v>-1277.55</v>
      </c>
      <c r="X30" s="180">
        <f t="shared" si="49"/>
        <v>-1272.1499999999999</v>
      </c>
      <c r="Y30" s="180">
        <f t="shared" si="49"/>
        <v>-1266.75</v>
      </c>
      <c r="Z30" s="180">
        <f t="shared" si="49"/>
        <v>-1261.3499999999999</v>
      </c>
      <c r="AA30" s="180">
        <f t="shared" si="49"/>
        <v>-1135.2150000000001</v>
      </c>
      <c r="AB30" s="180">
        <f t="shared" si="49"/>
        <v>-1129.8150000000001</v>
      </c>
      <c r="AC30" s="180">
        <f t="shared" si="49"/>
        <v>-1124.415</v>
      </c>
      <c r="AD30" s="180">
        <f t="shared" si="49"/>
        <v>-1119.0150000000001</v>
      </c>
      <c r="AE30" s="180">
        <f t="shared" si="49"/>
        <v>-1113.615</v>
      </c>
      <c r="AF30" s="180">
        <f t="shared" si="49"/>
        <v>-1108.2150000000001</v>
      </c>
      <c r="AG30" s="180">
        <f t="shared" si="49"/>
        <v>-1102.8150000000001</v>
      </c>
      <c r="AH30" s="180">
        <f t="shared" si="49"/>
        <v>-1097.415</v>
      </c>
      <c r="AI30" s="180">
        <f t="shared" si="49"/>
        <v>-1092.0150000000001</v>
      </c>
      <c r="AJ30" s="180">
        <f t="shared" si="49"/>
        <v>-1086.615</v>
      </c>
      <c r="AK30" s="180">
        <f t="shared" si="49"/>
        <v>-1081.2150000000001</v>
      </c>
      <c r="AL30" s="180">
        <f t="shared" si="49"/>
        <v>-1075.8150000000001</v>
      </c>
      <c r="AM30" s="180">
        <f t="shared" si="49"/>
        <v>-1070.4150000000002</v>
      </c>
      <c r="AN30" s="180">
        <f t="shared" si="49"/>
        <v>-1065.0150000000001</v>
      </c>
      <c r="AO30" s="180">
        <f t="shared" si="49"/>
        <v>-1059.6150000000002</v>
      </c>
      <c r="AP30" s="180">
        <f t="shared" si="49"/>
        <v>-1054.2150000000001</v>
      </c>
      <c r="AQ30" s="180">
        <f t="shared" si="49"/>
        <v>-948.79350000000022</v>
      </c>
      <c r="AR30" s="180">
        <f t="shared" si="49"/>
        <v>-943.39350000000013</v>
      </c>
      <c r="AS30" s="180">
        <f t="shared" si="49"/>
        <v>-937.99350000000004</v>
      </c>
      <c r="AT30" s="180">
        <f t="shared" si="49"/>
        <v>-932.59350000000018</v>
      </c>
      <c r="AU30" s="180">
        <f t="shared" si="49"/>
        <v>-927.19350000000009</v>
      </c>
      <c r="AV30" s="180">
        <f t="shared" si="49"/>
        <v>-921.79350000000011</v>
      </c>
      <c r="AW30" s="180">
        <f t="shared" si="49"/>
        <v>-916.39350000000013</v>
      </c>
      <c r="AX30" s="180">
        <f t="shared" si="49"/>
        <v>-910.99350000000015</v>
      </c>
      <c r="AY30" s="180">
        <f t="shared" si="49"/>
        <v>-905.59350000000006</v>
      </c>
      <c r="AZ30" s="180">
        <f t="shared" si="49"/>
        <v>-900.19350000000009</v>
      </c>
      <c r="BA30" s="180">
        <f t="shared" si="49"/>
        <v>-894.79350000000011</v>
      </c>
      <c r="BB30" s="180">
        <f t="shared" si="49"/>
        <v>-889.39350000000002</v>
      </c>
      <c r="BC30" s="180">
        <f t="shared" si="49"/>
        <v>-883.99350000000015</v>
      </c>
      <c r="BD30" s="180">
        <f t="shared" si="49"/>
        <v>-878.59350000000006</v>
      </c>
      <c r="BE30" s="180">
        <f t="shared" si="49"/>
        <v>-873.19350000000009</v>
      </c>
      <c r="BF30" s="180">
        <f t="shared" si="49"/>
        <v>-867.79350000000011</v>
      </c>
      <c r="BG30" s="180">
        <f t="shared" si="49"/>
        <v>-2443.4482500000004</v>
      </c>
      <c r="BH30" s="180">
        <f t="shared" si="49"/>
        <v>-2443.4482500000004</v>
      </c>
      <c r="BI30" s="180">
        <f t="shared" si="49"/>
        <v>-2443.4482500000004</v>
      </c>
      <c r="BJ30" s="180">
        <f t="shared" si="49"/>
        <v>-2443.4482500000004</v>
      </c>
      <c r="BK30" s="180">
        <f t="shared" si="49"/>
        <v>-2443.4482500000004</v>
      </c>
      <c r="BL30" s="180">
        <f t="shared" si="49"/>
        <v>-2443.4482500000004</v>
      </c>
      <c r="BM30" s="180">
        <f t="shared" si="49"/>
        <v>-2443.4482500000004</v>
      </c>
      <c r="BN30" s="180">
        <f t="shared" si="49"/>
        <v>-2443.4482500000004</v>
      </c>
      <c r="BO30" s="180">
        <f t="shared" si="49"/>
        <v>-2443.4482500000004</v>
      </c>
      <c r="BP30" s="180">
        <f t="shared" si="49"/>
        <v>-2443.4482500000004</v>
      </c>
      <c r="BQ30" s="180">
        <f t="shared" si="49"/>
        <v>-2443.4482500000004</v>
      </c>
      <c r="BR30" s="180">
        <f t="shared" si="49"/>
        <v>-2443.4482500000004</v>
      </c>
      <c r="BS30" s="180">
        <f t="shared" si="49"/>
        <v>-2443.4482500000004</v>
      </c>
      <c r="BT30" s="180">
        <f t="shared" si="49"/>
        <v>-2443.4482500000004</v>
      </c>
      <c r="BU30" s="180">
        <f t="shared" si="49"/>
        <v>-2443.4482500000004</v>
      </c>
      <c r="BV30" s="180">
        <f t="shared" si="49"/>
        <v>-2443.4482500000004</v>
      </c>
      <c r="BW30" s="180">
        <f t="shared" si="49"/>
        <v>-2443.4482500000004</v>
      </c>
      <c r="BX30" s="180">
        <f t="shared" ref="BX30:CI30" si="50">IF(BX17&gt;BX9,$C$8*BX9*(-1),BX17*$C$8*(-1))</f>
        <v>-2443.4482500000004</v>
      </c>
      <c r="BY30" s="180">
        <f t="shared" si="50"/>
        <v>-2443.4482500000004</v>
      </c>
      <c r="BZ30" s="180">
        <f t="shared" si="50"/>
        <v>-2443.4482500000004</v>
      </c>
      <c r="CA30" s="180">
        <f t="shared" si="50"/>
        <v>-2443.4482500000004</v>
      </c>
      <c r="CB30" s="180">
        <f t="shared" si="50"/>
        <v>-2443.4482500000004</v>
      </c>
      <c r="CC30" s="180">
        <f t="shared" si="50"/>
        <v>-2443.4482500000004</v>
      </c>
      <c r="CD30" s="180">
        <f t="shared" si="50"/>
        <v>-2443.4482500000004</v>
      </c>
      <c r="CE30" s="180">
        <f t="shared" si="50"/>
        <v>-2443.4482500000004</v>
      </c>
      <c r="CF30" s="180">
        <f t="shared" si="50"/>
        <v>-2443.4482500000004</v>
      </c>
      <c r="CG30" s="180">
        <f t="shared" si="50"/>
        <v>-2443.4482500000004</v>
      </c>
      <c r="CH30" s="180">
        <f t="shared" si="50"/>
        <v>-2443.4482500000004</v>
      </c>
      <c r="CI30" s="180">
        <f t="shared" si="50"/>
        <v>-2443.4482500000004</v>
      </c>
    </row>
    <row r="31" spans="1:87" x14ac:dyDescent="0.25">
      <c r="A31" s="26"/>
      <c r="B31" s="26"/>
      <c r="C31" s="142"/>
      <c r="D31" s="142" t="s">
        <v>758</v>
      </c>
      <c r="E31" s="184">
        <f>BV44</f>
        <v>660374.78000000014</v>
      </c>
      <c r="F31" s="26"/>
      <c r="G31" s="26"/>
      <c r="H31" s="26"/>
      <c r="I31" s="26"/>
      <c r="J31" s="179" t="s">
        <v>759</v>
      </c>
      <c r="K31" s="180">
        <f>IF(K14&gt;K6,$C$5*(K14-K6)*(-1),0)</f>
        <v>-4885.57</v>
      </c>
      <c r="L31" s="180">
        <f t="shared" ref="L31:BW31" si="51">IF(L14&gt;L6,$C$5*(L14-L6)*(-1),0)</f>
        <v>0</v>
      </c>
      <c r="M31" s="180">
        <f t="shared" si="51"/>
        <v>0</v>
      </c>
      <c r="N31" s="180">
        <f t="shared" si="51"/>
        <v>0</v>
      </c>
      <c r="O31" s="180">
        <f t="shared" si="51"/>
        <v>0</v>
      </c>
      <c r="P31" s="180">
        <f t="shared" si="51"/>
        <v>0</v>
      </c>
      <c r="Q31" s="180">
        <f t="shared" si="51"/>
        <v>0</v>
      </c>
      <c r="R31" s="180">
        <f t="shared" si="51"/>
        <v>-6.0100000000002183</v>
      </c>
      <c r="S31" s="180">
        <f t="shared" si="51"/>
        <v>-56.529999999998836</v>
      </c>
      <c r="T31" s="180">
        <f t="shared" si="51"/>
        <v>-107.04999999999927</v>
      </c>
      <c r="U31" s="180">
        <f t="shared" si="51"/>
        <v>-157.56999999999971</v>
      </c>
      <c r="V31" s="180">
        <f t="shared" si="51"/>
        <v>-208.09000000000015</v>
      </c>
      <c r="W31" s="180">
        <f t="shared" si="51"/>
        <v>-258.60999999999876</v>
      </c>
      <c r="X31" s="180">
        <f t="shared" si="51"/>
        <v>-309.1299999999992</v>
      </c>
      <c r="Y31" s="180">
        <f t="shared" si="51"/>
        <v>-359.64999999999964</v>
      </c>
      <c r="Z31" s="180">
        <f t="shared" si="51"/>
        <v>-410.17000000000007</v>
      </c>
      <c r="AA31" s="180">
        <f t="shared" si="51"/>
        <v>-1590.2329999999984</v>
      </c>
      <c r="AB31" s="180">
        <f t="shared" si="51"/>
        <v>-1640.7529999999988</v>
      </c>
      <c r="AC31" s="180">
        <f t="shared" si="51"/>
        <v>-1691.2729999999974</v>
      </c>
      <c r="AD31" s="180">
        <f t="shared" si="51"/>
        <v>-1741.7929999999978</v>
      </c>
      <c r="AE31" s="180">
        <f t="shared" si="51"/>
        <v>-1792.3129999999983</v>
      </c>
      <c r="AF31" s="180">
        <f t="shared" si="51"/>
        <v>-1842.8329999999987</v>
      </c>
      <c r="AG31" s="180">
        <f t="shared" si="51"/>
        <v>-1893.3529999999973</v>
      </c>
      <c r="AH31" s="180">
        <f t="shared" si="51"/>
        <v>-1943.8729999999978</v>
      </c>
      <c r="AI31" s="180">
        <f t="shared" si="51"/>
        <v>-1994.3929999999982</v>
      </c>
      <c r="AJ31" s="180">
        <f t="shared" si="51"/>
        <v>-2044.9129999999986</v>
      </c>
      <c r="AK31" s="180">
        <f t="shared" si="51"/>
        <v>-2095.4329999999991</v>
      </c>
      <c r="AL31" s="180">
        <f t="shared" si="51"/>
        <v>-2145.9529999999977</v>
      </c>
      <c r="AM31" s="180">
        <f t="shared" si="51"/>
        <v>-2196.4729999999981</v>
      </c>
      <c r="AN31" s="180">
        <f t="shared" si="51"/>
        <v>-2246.9929999999986</v>
      </c>
      <c r="AO31" s="180">
        <f t="shared" si="51"/>
        <v>-2297.512999999999</v>
      </c>
      <c r="AP31" s="180">
        <f t="shared" si="51"/>
        <v>-2348.0329999999976</v>
      </c>
      <c r="AQ31" s="180">
        <f t="shared" si="51"/>
        <v>-3334.309699999998</v>
      </c>
      <c r="AR31" s="180">
        <f t="shared" si="51"/>
        <v>-3384.8296999999984</v>
      </c>
      <c r="AS31" s="180">
        <f t="shared" si="51"/>
        <v>-3435.3496999999988</v>
      </c>
      <c r="AT31" s="180">
        <f t="shared" si="51"/>
        <v>-3485.8696999999975</v>
      </c>
      <c r="AU31" s="180">
        <f t="shared" si="51"/>
        <v>-3536.3896999999979</v>
      </c>
      <c r="AV31" s="180">
        <f t="shared" si="51"/>
        <v>-3586.9096999999983</v>
      </c>
      <c r="AW31" s="180">
        <f t="shared" si="51"/>
        <v>-3637.4296999999988</v>
      </c>
      <c r="AX31" s="180">
        <f t="shared" si="51"/>
        <v>-3687.9496999999974</v>
      </c>
      <c r="AY31" s="180">
        <f t="shared" si="51"/>
        <v>-3738.4696999999978</v>
      </c>
      <c r="AZ31" s="180">
        <f t="shared" si="51"/>
        <v>-3788.9896999999983</v>
      </c>
      <c r="BA31" s="180">
        <f t="shared" si="51"/>
        <v>-3839.5096999999987</v>
      </c>
      <c r="BB31" s="180">
        <f t="shared" si="51"/>
        <v>-3890.0296999999973</v>
      </c>
      <c r="BC31" s="180">
        <f t="shared" si="51"/>
        <v>-3940.5496999999978</v>
      </c>
      <c r="BD31" s="180">
        <f t="shared" si="51"/>
        <v>-3991.0696999999982</v>
      </c>
      <c r="BE31" s="180">
        <f t="shared" si="51"/>
        <v>-4041.5896999999977</v>
      </c>
      <c r="BF31" s="180">
        <f t="shared" si="51"/>
        <v>-4092.1096999999982</v>
      </c>
      <c r="BG31" s="180">
        <f t="shared" si="51"/>
        <v>-3.1408999999966909</v>
      </c>
      <c r="BH31" s="180">
        <f t="shared" si="51"/>
        <v>-3.1408999999966909</v>
      </c>
      <c r="BI31" s="180">
        <f t="shared" si="51"/>
        <v>-3.1408999999966909</v>
      </c>
      <c r="BJ31" s="180">
        <f t="shared" si="51"/>
        <v>-3.1408999999966909</v>
      </c>
      <c r="BK31" s="180">
        <f t="shared" si="51"/>
        <v>-3.1408999999966909</v>
      </c>
      <c r="BL31" s="180">
        <f t="shared" si="51"/>
        <v>-3.1408999999966909</v>
      </c>
      <c r="BM31" s="180">
        <f t="shared" si="51"/>
        <v>-3.1408999999966909</v>
      </c>
      <c r="BN31" s="180">
        <f t="shared" si="51"/>
        <v>-3.1408999999966909</v>
      </c>
      <c r="BO31" s="180">
        <f t="shared" si="51"/>
        <v>-3.1408999999966909</v>
      </c>
      <c r="BP31" s="180">
        <f t="shared" si="51"/>
        <v>-3.1408999999966909</v>
      </c>
      <c r="BQ31" s="180">
        <f t="shared" si="51"/>
        <v>-3.1408999999966909</v>
      </c>
      <c r="BR31" s="180">
        <f t="shared" si="51"/>
        <v>-3.1408999999966909</v>
      </c>
      <c r="BS31" s="180">
        <f t="shared" si="51"/>
        <v>-3.1408999999966909</v>
      </c>
      <c r="BT31" s="180">
        <f t="shared" si="51"/>
        <v>-3.1408999999966909</v>
      </c>
      <c r="BU31" s="180">
        <f t="shared" si="51"/>
        <v>-3.1408999999966909</v>
      </c>
      <c r="BV31" s="180">
        <f t="shared" si="51"/>
        <v>-3.1408999999966909</v>
      </c>
      <c r="BW31" s="180">
        <f t="shared" si="51"/>
        <v>-3.1408999999966909</v>
      </c>
      <c r="BX31" s="180">
        <f t="shared" ref="BX31:CI31" si="52">IF(BX14&gt;BX6,$C$5*(BX14-BX6)*(-1),0)</f>
        <v>-3.1408999999966909</v>
      </c>
      <c r="BY31" s="180">
        <f t="shared" si="52"/>
        <v>-3.1408999999966909</v>
      </c>
      <c r="BZ31" s="180">
        <f t="shared" si="52"/>
        <v>-3.1408999999966909</v>
      </c>
      <c r="CA31" s="180">
        <f t="shared" si="52"/>
        <v>-3.1408999999966909</v>
      </c>
      <c r="CB31" s="180">
        <f t="shared" si="52"/>
        <v>-3.1408999999966909</v>
      </c>
      <c r="CC31" s="180">
        <f t="shared" si="52"/>
        <v>-3.1408999999966909</v>
      </c>
      <c r="CD31" s="180">
        <f t="shared" si="52"/>
        <v>-3.1408999999966909</v>
      </c>
      <c r="CE31" s="180">
        <f t="shared" si="52"/>
        <v>-3.1408999999966909</v>
      </c>
      <c r="CF31" s="180">
        <f t="shared" si="52"/>
        <v>-3.1408999999966909</v>
      </c>
      <c r="CG31" s="180">
        <f t="shared" si="52"/>
        <v>-3.1408999999966909</v>
      </c>
      <c r="CH31" s="180">
        <f t="shared" si="52"/>
        <v>-3.1408999999966909</v>
      </c>
      <c r="CI31" s="180">
        <f t="shared" si="52"/>
        <v>-3.1408999999966909</v>
      </c>
    </row>
    <row r="32" spans="1:87" x14ac:dyDescent="0.25">
      <c r="A32" s="26"/>
      <c r="B32" s="26"/>
      <c r="C32" s="142"/>
      <c r="D32" s="142"/>
      <c r="E32" s="142"/>
      <c r="F32" s="26"/>
      <c r="G32" s="26"/>
      <c r="H32" s="26"/>
      <c r="I32" s="26"/>
      <c r="J32" s="179" t="s">
        <v>760</v>
      </c>
      <c r="K32" s="180">
        <f>IF(K15&gt;K7,$C$6*(K15-K7)*(-1),0)</f>
        <v>-3673.1869999999994</v>
      </c>
      <c r="L32" s="180">
        <f t="shared" ref="L32:BW32" si="53">IF(L15&gt;L7,$C$6*(L15-L7)*(-1),0)</f>
        <v>-884.00899999999922</v>
      </c>
      <c r="M32" s="180">
        <f t="shared" si="53"/>
        <v>-906.94099999999935</v>
      </c>
      <c r="N32" s="180">
        <f t="shared" si="53"/>
        <v>-929.87299999999891</v>
      </c>
      <c r="O32" s="180">
        <f t="shared" si="53"/>
        <v>-952.80499999999904</v>
      </c>
      <c r="P32" s="180">
        <f t="shared" si="53"/>
        <v>-975.73699999999917</v>
      </c>
      <c r="Q32" s="180">
        <f t="shared" si="53"/>
        <v>-998.6689999999993</v>
      </c>
      <c r="R32" s="180">
        <f t="shared" si="53"/>
        <v>-1021.6009999999995</v>
      </c>
      <c r="S32" s="180">
        <f t="shared" si="53"/>
        <v>-1044.532999999999</v>
      </c>
      <c r="T32" s="180">
        <f t="shared" si="53"/>
        <v>-1067.4649999999992</v>
      </c>
      <c r="U32" s="180">
        <f t="shared" si="53"/>
        <v>-1090.3969999999993</v>
      </c>
      <c r="V32" s="180">
        <f t="shared" si="53"/>
        <v>-1113.3289999999995</v>
      </c>
      <c r="W32" s="180">
        <f t="shared" si="53"/>
        <v>-1136.2609999999991</v>
      </c>
      <c r="X32" s="180">
        <f t="shared" si="53"/>
        <v>-1159.1929999999991</v>
      </c>
      <c r="Y32" s="180">
        <f t="shared" si="53"/>
        <v>-1182.1249999999993</v>
      </c>
      <c r="Z32" s="180">
        <f t="shared" si="53"/>
        <v>-1205.0569999999993</v>
      </c>
      <c r="AA32" s="180">
        <f t="shared" si="53"/>
        <v>-1740.7102999999988</v>
      </c>
      <c r="AB32" s="180">
        <f t="shared" si="53"/>
        <v>-1763.6422999999984</v>
      </c>
      <c r="AC32" s="180">
        <f t="shared" si="53"/>
        <v>-1786.5742999999984</v>
      </c>
      <c r="AD32" s="180">
        <f t="shared" si="53"/>
        <v>-1809.5062999999986</v>
      </c>
      <c r="AE32" s="180">
        <f t="shared" si="53"/>
        <v>-1832.4382999999987</v>
      </c>
      <c r="AF32" s="180">
        <f t="shared" si="53"/>
        <v>-1855.3702999999989</v>
      </c>
      <c r="AG32" s="180">
        <f t="shared" si="53"/>
        <v>-1878.3022999999985</v>
      </c>
      <c r="AH32" s="180">
        <f t="shared" si="53"/>
        <v>-1901.2342999999985</v>
      </c>
      <c r="AI32" s="180">
        <f t="shared" si="53"/>
        <v>-1924.1662999999987</v>
      </c>
      <c r="AJ32" s="180">
        <f t="shared" si="53"/>
        <v>-1947.098299999999</v>
      </c>
      <c r="AK32" s="180">
        <f t="shared" si="53"/>
        <v>-1970.0302999999983</v>
      </c>
      <c r="AL32" s="180">
        <f t="shared" si="53"/>
        <v>-1992.9622999999985</v>
      </c>
      <c r="AM32" s="180">
        <f t="shared" si="53"/>
        <v>-2015.8942999999988</v>
      </c>
      <c r="AN32" s="180">
        <f t="shared" si="53"/>
        <v>-2038.8262999999988</v>
      </c>
      <c r="AO32" s="180">
        <f t="shared" si="53"/>
        <v>-2061.7582999999986</v>
      </c>
      <c r="AP32" s="180">
        <f t="shared" si="53"/>
        <v>-2084.6902999999984</v>
      </c>
      <c r="AQ32" s="180">
        <f t="shared" si="53"/>
        <v>-2532.3802699999983</v>
      </c>
      <c r="AR32" s="180">
        <f t="shared" si="53"/>
        <v>-2555.3122699999985</v>
      </c>
      <c r="AS32" s="180">
        <f t="shared" si="53"/>
        <v>-2578.2442699999988</v>
      </c>
      <c r="AT32" s="180">
        <f t="shared" si="53"/>
        <v>-2601.1762699999981</v>
      </c>
      <c r="AU32" s="180">
        <f t="shared" si="53"/>
        <v>-2624.1082699999984</v>
      </c>
      <c r="AV32" s="180">
        <f t="shared" si="53"/>
        <v>-2647.0402699999986</v>
      </c>
      <c r="AW32" s="180">
        <f t="shared" si="53"/>
        <v>-2669.9722699999988</v>
      </c>
      <c r="AX32" s="180">
        <f t="shared" si="53"/>
        <v>-2692.9042699999982</v>
      </c>
      <c r="AY32" s="180">
        <f t="shared" si="53"/>
        <v>-2715.8362699999984</v>
      </c>
      <c r="AZ32" s="180">
        <f t="shared" si="53"/>
        <v>-2738.7682699999987</v>
      </c>
      <c r="BA32" s="180">
        <f t="shared" si="53"/>
        <v>-2761.7002699999989</v>
      </c>
      <c r="BB32" s="180">
        <f t="shared" si="53"/>
        <v>-2784.6322699999982</v>
      </c>
      <c r="BC32" s="180">
        <f t="shared" si="53"/>
        <v>-2807.5642699999985</v>
      </c>
      <c r="BD32" s="180">
        <f t="shared" si="53"/>
        <v>-2830.4962699999987</v>
      </c>
      <c r="BE32" s="180">
        <f t="shared" si="53"/>
        <v>-2853.4282699999985</v>
      </c>
      <c r="BF32" s="180">
        <f t="shared" si="53"/>
        <v>-2876.3602699999983</v>
      </c>
      <c r="BG32" s="180">
        <f t="shared" si="53"/>
        <v>-1.6501099999984943</v>
      </c>
      <c r="BH32" s="180">
        <f t="shared" si="53"/>
        <v>-1.6501099999984943</v>
      </c>
      <c r="BI32" s="180">
        <f t="shared" si="53"/>
        <v>-1.6501099999984943</v>
      </c>
      <c r="BJ32" s="180">
        <f t="shared" si="53"/>
        <v>-1.6501099999984943</v>
      </c>
      <c r="BK32" s="180">
        <f t="shared" si="53"/>
        <v>-1.6501099999984943</v>
      </c>
      <c r="BL32" s="180">
        <f t="shared" si="53"/>
        <v>-1.6501099999984943</v>
      </c>
      <c r="BM32" s="180">
        <f t="shared" si="53"/>
        <v>-1.6501099999984943</v>
      </c>
      <c r="BN32" s="180">
        <f t="shared" si="53"/>
        <v>-1.6501099999984943</v>
      </c>
      <c r="BO32" s="180">
        <f t="shared" si="53"/>
        <v>-1.6501099999984943</v>
      </c>
      <c r="BP32" s="180">
        <f t="shared" si="53"/>
        <v>-1.6501099999984943</v>
      </c>
      <c r="BQ32" s="180">
        <f t="shared" si="53"/>
        <v>-1.6501099999984943</v>
      </c>
      <c r="BR32" s="180">
        <f t="shared" si="53"/>
        <v>-1.6501099999984943</v>
      </c>
      <c r="BS32" s="180">
        <f t="shared" si="53"/>
        <v>-1.6501099999984943</v>
      </c>
      <c r="BT32" s="180">
        <f t="shared" si="53"/>
        <v>-1.6501099999984943</v>
      </c>
      <c r="BU32" s="180">
        <f t="shared" si="53"/>
        <v>-1.6501099999984943</v>
      </c>
      <c r="BV32" s="180">
        <f t="shared" si="53"/>
        <v>-1.6501099999984943</v>
      </c>
      <c r="BW32" s="180">
        <f t="shared" si="53"/>
        <v>-1.6501099999984943</v>
      </c>
      <c r="BX32" s="180">
        <f t="shared" ref="BX32:CI32" si="54">IF(BX15&gt;BX7,$C$6*(BX15-BX7)*(-1),0)</f>
        <v>-1.6501099999984943</v>
      </c>
      <c r="BY32" s="180">
        <f t="shared" si="54"/>
        <v>-1.6501099999984943</v>
      </c>
      <c r="BZ32" s="180">
        <f t="shared" si="54"/>
        <v>-1.6501099999984943</v>
      </c>
      <c r="CA32" s="180">
        <f t="shared" si="54"/>
        <v>-1.6501099999984943</v>
      </c>
      <c r="CB32" s="180">
        <f t="shared" si="54"/>
        <v>-1.6501099999984943</v>
      </c>
      <c r="CC32" s="180">
        <f t="shared" si="54"/>
        <v>-1.6501099999984943</v>
      </c>
      <c r="CD32" s="180">
        <f t="shared" si="54"/>
        <v>-1.6501099999984943</v>
      </c>
      <c r="CE32" s="180">
        <f t="shared" si="54"/>
        <v>-1.6501099999984943</v>
      </c>
      <c r="CF32" s="180">
        <f t="shared" si="54"/>
        <v>-1.6501099999984943</v>
      </c>
      <c r="CG32" s="180">
        <f t="shared" si="54"/>
        <v>-1.6501099999984943</v>
      </c>
      <c r="CH32" s="180">
        <f t="shared" si="54"/>
        <v>-1.6501099999984943</v>
      </c>
      <c r="CI32" s="180">
        <f t="shared" si="54"/>
        <v>-1.6501099999984943</v>
      </c>
    </row>
    <row r="33" spans="1:87" x14ac:dyDescent="0.25">
      <c r="A33" s="26"/>
      <c r="B33" s="26"/>
      <c r="C33" s="142"/>
      <c r="D33" s="142"/>
      <c r="E33" s="142"/>
      <c r="F33" s="26"/>
      <c r="G33" s="26"/>
      <c r="H33" s="26"/>
      <c r="I33" s="26"/>
      <c r="J33" s="179" t="s">
        <v>761</v>
      </c>
      <c r="K33" s="180">
        <f>IF(K16&gt;K8,$C$7*(K16-K8)*(-1),0)</f>
        <v>-6167.4873000000007</v>
      </c>
      <c r="L33" s="180">
        <f t="shared" ref="L33:BW33" si="55">IF(L16&gt;L8,$C$7*(L16-L8)*(-1),0)</f>
        <v>-2801.3900999999996</v>
      </c>
      <c r="M33" s="180">
        <f t="shared" si="55"/>
        <v>-2821.9928999999993</v>
      </c>
      <c r="N33" s="180">
        <f t="shared" si="55"/>
        <v>-2842.5956999999999</v>
      </c>
      <c r="O33" s="180">
        <f t="shared" si="55"/>
        <v>-2863.1984999999995</v>
      </c>
      <c r="P33" s="180">
        <f t="shared" si="55"/>
        <v>-2883.8013000000001</v>
      </c>
      <c r="Q33" s="180">
        <f t="shared" si="55"/>
        <v>-2904.4040999999997</v>
      </c>
      <c r="R33" s="180">
        <f t="shared" si="55"/>
        <v>-2925.0068999999994</v>
      </c>
      <c r="S33" s="180">
        <f t="shared" si="55"/>
        <v>-2945.6097</v>
      </c>
      <c r="T33" s="180">
        <f t="shared" si="55"/>
        <v>-2966.2124999999996</v>
      </c>
      <c r="U33" s="180">
        <f t="shared" si="55"/>
        <v>-2986.8152999999993</v>
      </c>
      <c r="V33" s="180">
        <f t="shared" si="55"/>
        <v>-3007.4180999999999</v>
      </c>
      <c r="W33" s="180">
        <f t="shared" si="55"/>
        <v>-3028.0208999999995</v>
      </c>
      <c r="X33" s="180">
        <f t="shared" si="55"/>
        <v>-3048.6236999999992</v>
      </c>
      <c r="Y33" s="180">
        <f t="shared" si="55"/>
        <v>-3069.2264999999998</v>
      </c>
      <c r="Z33" s="180">
        <f t="shared" si="55"/>
        <v>-3089.8292999999994</v>
      </c>
      <c r="AA33" s="180">
        <f t="shared" si="55"/>
        <v>-3571.0763699999989</v>
      </c>
      <c r="AB33" s="180">
        <f t="shared" si="55"/>
        <v>-3591.6791699999994</v>
      </c>
      <c r="AC33" s="180">
        <f t="shared" si="55"/>
        <v>-3612.2819699999991</v>
      </c>
      <c r="AD33" s="180">
        <f t="shared" si="55"/>
        <v>-3632.8847699999988</v>
      </c>
      <c r="AE33" s="180">
        <f t="shared" si="55"/>
        <v>-3653.4875699999993</v>
      </c>
      <c r="AF33" s="180">
        <f t="shared" si="55"/>
        <v>-3674.090369999999</v>
      </c>
      <c r="AG33" s="180">
        <f t="shared" si="55"/>
        <v>-3694.6931699999996</v>
      </c>
      <c r="AH33" s="180">
        <f t="shared" si="55"/>
        <v>-3715.2959699999992</v>
      </c>
      <c r="AI33" s="180">
        <f t="shared" si="55"/>
        <v>-3735.8987699999989</v>
      </c>
      <c r="AJ33" s="180">
        <f t="shared" si="55"/>
        <v>-3756.5015699999994</v>
      </c>
      <c r="AK33" s="180">
        <f t="shared" si="55"/>
        <v>-3777.1043699999991</v>
      </c>
      <c r="AL33" s="180">
        <f t="shared" si="55"/>
        <v>-3797.7071699999988</v>
      </c>
      <c r="AM33" s="180">
        <f t="shared" si="55"/>
        <v>-3818.3099699999989</v>
      </c>
      <c r="AN33" s="180">
        <f t="shared" si="55"/>
        <v>-3838.912769999999</v>
      </c>
      <c r="AO33" s="180">
        <f t="shared" si="55"/>
        <v>-3859.5155699999991</v>
      </c>
      <c r="AP33" s="180">
        <f t="shared" si="55"/>
        <v>-3880.1183699999992</v>
      </c>
      <c r="AQ33" s="180">
        <f t="shared" si="55"/>
        <v>-4282.3365329999997</v>
      </c>
      <c r="AR33" s="180">
        <f t="shared" si="55"/>
        <v>-4302.9393329999984</v>
      </c>
      <c r="AS33" s="180">
        <f t="shared" si="55"/>
        <v>-4323.542132999999</v>
      </c>
      <c r="AT33" s="180">
        <f t="shared" si="55"/>
        <v>-4344.1449329999996</v>
      </c>
      <c r="AU33" s="180">
        <f t="shared" si="55"/>
        <v>-4364.7477329999992</v>
      </c>
      <c r="AV33" s="180">
        <f t="shared" si="55"/>
        <v>-4385.3505329999989</v>
      </c>
      <c r="AW33" s="180">
        <f t="shared" si="55"/>
        <v>-4405.9533329999995</v>
      </c>
      <c r="AX33" s="180">
        <f t="shared" si="55"/>
        <v>-4426.5561329999991</v>
      </c>
      <c r="AY33" s="180">
        <f t="shared" si="55"/>
        <v>-4447.1589329999988</v>
      </c>
      <c r="AZ33" s="180">
        <f t="shared" si="55"/>
        <v>-4467.7617329999994</v>
      </c>
      <c r="BA33" s="180">
        <f t="shared" si="55"/>
        <v>-4488.364532999999</v>
      </c>
      <c r="BB33" s="180">
        <f t="shared" si="55"/>
        <v>-4508.9673329999987</v>
      </c>
      <c r="BC33" s="180">
        <f t="shared" si="55"/>
        <v>-4529.5701329999993</v>
      </c>
      <c r="BD33" s="180">
        <f t="shared" si="55"/>
        <v>-4550.1729329999989</v>
      </c>
      <c r="BE33" s="180">
        <f t="shared" si="55"/>
        <v>-4570.7757329999986</v>
      </c>
      <c r="BF33" s="180">
        <f t="shared" si="55"/>
        <v>-4591.3785329999992</v>
      </c>
      <c r="BG33" s="180">
        <f t="shared" si="55"/>
        <v>-1.817324999999073</v>
      </c>
      <c r="BH33" s="180">
        <f t="shared" si="55"/>
        <v>-1.817324999999073</v>
      </c>
      <c r="BI33" s="180">
        <f t="shared" si="55"/>
        <v>-1.817324999999073</v>
      </c>
      <c r="BJ33" s="180">
        <f t="shared" si="55"/>
        <v>-1.817324999999073</v>
      </c>
      <c r="BK33" s="180">
        <f t="shared" si="55"/>
        <v>-1.817324999999073</v>
      </c>
      <c r="BL33" s="180">
        <f t="shared" si="55"/>
        <v>-1.817324999999073</v>
      </c>
      <c r="BM33" s="180">
        <f t="shared" si="55"/>
        <v>-1.817324999999073</v>
      </c>
      <c r="BN33" s="180">
        <f t="shared" si="55"/>
        <v>-1.817324999999073</v>
      </c>
      <c r="BO33" s="180">
        <f t="shared" si="55"/>
        <v>-1.817324999999073</v>
      </c>
      <c r="BP33" s="180">
        <f t="shared" si="55"/>
        <v>-1.817324999999073</v>
      </c>
      <c r="BQ33" s="180">
        <f t="shared" si="55"/>
        <v>-1.817324999999073</v>
      </c>
      <c r="BR33" s="180">
        <f t="shared" si="55"/>
        <v>-1.817324999999073</v>
      </c>
      <c r="BS33" s="180">
        <f t="shared" si="55"/>
        <v>-1.817324999999073</v>
      </c>
      <c r="BT33" s="180">
        <f t="shared" si="55"/>
        <v>-1.817324999999073</v>
      </c>
      <c r="BU33" s="180">
        <f t="shared" si="55"/>
        <v>-1.817324999999073</v>
      </c>
      <c r="BV33" s="180">
        <f t="shared" si="55"/>
        <v>-1.817324999999073</v>
      </c>
      <c r="BW33" s="180">
        <f t="shared" si="55"/>
        <v>-1.817324999999073</v>
      </c>
      <c r="BX33" s="180">
        <f t="shared" ref="BX33:CI33" si="56">IF(BX16&gt;BX8,$C$7*(BX16-BX8)*(-1),0)</f>
        <v>-1.817324999999073</v>
      </c>
      <c r="BY33" s="180">
        <f t="shared" si="56"/>
        <v>-1.817324999999073</v>
      </c>
      <c r="BZ33" s="180">
        <f t="shared" si="56"/>
        <v>-1.817324999999073</v>
      </c>
      <c r="CA33" s="180">
        <f t="shared" si="56"/>
        <v>-1.817324999999073</v>
      </c>
      <c r="CB33" s="180">
        <f t="shared" si="56"/>
        <v>-1.817324999999073</v>
      </c>
      <c r="CC33" s="180">
        <f t="shared" si="56"/>
        <v>-1.817324999999073</v>
      </c>
      <c r="CD33" s="180">
        <f t="shared" si="56"/>
        <v>-1.817324999999073</v>
      </c>
      <c r="CE33" s="180">
        <f t="shared" si="56"/>
        <v>-1.817324999999073</v>
      </c>
      <c r="CF33" s="180">
        <f t="shared" si="56"/>
        <v>-1.817324999999073</v>
      </c>
      <c r="CG33" s="180">
        <f t="shared" si="56"/>
        <v>-1.817324999999073</v>
      </c>
      <c r="CH33" s="180">
        <f t="shared" si="56"/>
        <v>-1.817324999999073</v>
      </c>
      <c r="CI33" s="180">
        <f t="shared" si="56"/>
        <v>-1.817324999999073</v>
      </c>
    </row>
    <row r="34" spans="1:87" x14ac:dyDescent="0.25">
      <c r="A34" s="185"/>
      <c r="B34" s="185" t="s">
        <v>762</v>
      </c>
      <c r="C34" s="185" t="s">
        <v>763</v>
      </c>
      <c r="D34" s="185" t="s">
        <v>764</v>
      </c>
      <c r="E34" s="185" t="s">
        <v>765</v>
      </c>
      <c r="F34" s="185" t="s">
        <v>733</v>
      </c>
      <c r="G34" s="26"/>
      <c r="H34" s="26"/>
      <c r="I34" s="26"/>
      <c r="J34" s="179" t="s">
        <v>766</v>
      </c>
      <c r="K34" s="180">
        <f>IF(K17&gt;K9,$C$8*(K17-K9)*(-1),0)</f>
        <v>-2150.15</v>
      </c>
      <c r="L34" s="180">
        <f t="shared" ref="L34:BW34" si="57">IF(L17&gt;L9,$C$8*(L17-L9)*(-1),0)</f>
        <v>-1107.8</v>
      </c>
      <c r="M34" s="180">
        <f t="shared" si="57"/>
        <v>-1113.1999999999998</v>
      </c>
      <c r="N34" s="180">
        <f t="shared" si="57"/>
        <v>-1118.5999999999999</v>
      </c>
      <c r="O34" s="180">
        <f t="shared" si="57"/>
        <v>-1124</v>
      </c>
      <c r="P34" s="180">
        <f t="shared" si="57"/>
        <v>-1129.4000000000001</v>
      </c>
      <c r="Q34" s="180">
        <f t="shared" si="57"/>
        <v>-1134.8</v>
      </c>
      <c r="R34" s="180">
        <f t="shared" si="57"/>
        <v>-1140.2</v>
      </c>
      <c r="S34" s="180">
        <f t="shared" si="57"/>
        <v>-1145.5999999999999</v>
      </c>
      <c r="T34" s="180">
        <f t="shared" si="57"/>
        <v>-1151</v>
      </c>
      <c r="U34" s="180">
        <f t="shared" si="57"/>
        <v>-1156.3999999999999</v>
      </c>
      <c r="V34" s="180">
        <f t="shared" si="57"/>
        <v>-1161.8000000000002</v>
      </c>
      <c r="W34" s="180">
        <f t="shared" si="57"/>
        <v>-1167.2</v>
      </c>
      <c r="X34" s="180">
        <f t="shared" si="57"/>
        <v>-1172.6000000000001</v>
      </c>
      <c r="Y34" s="180">
        <f t="shared" si="57"/>
        <v>-1178</v>
      </c>
      <c r="Z34" s="180">
        <f t="shared" si="57"/>
        <v>-1183.4000000000001</v>
      </c>
      <c r="AA34" s="180">
        <f t="shared" si="57"/>
        <v>-1309.5349999999999</v>
      </c>
      <c r="AB34" s="180">
        <f t="shared" si="57"/>
        <v>-1314.9349999999999</v>
      </c>
      <c r="AC34" s="180">
        <f t="shared" si="57"/>
        <v>-1320.335</v>
      </c>
      <c r="AD34" s="180">
        <f t="shared" si="57"/>
        <v>-1325.7349999999997</v>
      </c>
      <c r="AE34" s="180">
        <f t="shared" si="57"/>
        <v>-1331.1349999999998</v>
      </c>
      <c r="AF34" s="180">
        <f t="shared" si="57"/>
        <v>-1336.5349999999999</v>
      </c>
      <c r="AG34" s="180">
        <f t="shared" si="57"/>
        <v>-1341.9349999999997</v>
      </c>
      <c r="AH34" s="180">
        <f t="shared" si="57"/>
        <v>-1347.335</v>
      </c>
      <c r="AI34" s="180">
        <f t="shared" si="57"/>
        <v>-1352.7349999999999</v>
      </c>
      <c r="AJ34" s="180">
        <f t="shared" si="57"/>
        <v>-1358.1349999999998</v>
      </c>
      <c r="AK34" s="180">
        <f t="shared" si="57"/>
        <v>-1363.5349999999999</v>
      </c>
      <c r="AL34" s="180">
        <f t="shared" si="57"/>
        <v>-1368.9349999999999</v>
      </c>
      <c r="AM34" s="180">
        <f t="shared" si="57"/>
        <v>-1374.3349999999998</v>
      </c>
      <c r="AN34" s="180">
        <f t="shared" si="57"/>
        <v>-1379.7350000000001</v>
      </c>
      <c r="AO34" s="180">
        <f t="shared" si="57"/>
        <v>-1385.1349999999998</v>
      </c>
      <c r="AP34" s="180">
        <f t="shared" si="57"/>
        <v>-1390.5349999999999</v>
      </c>
      <c r="AQ34" s="180">
        <f t="shared" si="57"/>
        <v>-1495.9564999999998</v>
      </c>
      <c r="AR34" s="180">
        <f t="shared" si="57"/>
        <v>-1501.3564999999999</v>
      </c>
      <c r="AS34" s="180">
        <f t="shared" si="57"/>
        <v>-1506.7565</v>
      </c>
      <c r="AT34" s="180">
        <f t="shared" si="57"/>
        <v>-1512.1564999999998</v>
      </c>
      <c r="AU34" s="180">
        <f t="shared" si="57"/>
        <v>-1517.5565000000001</v>
      </c>
      <c r="AV34" s="180">
        <f t="shared" si="57"/>
        <v>-1522.9564999999998</v>
      </c>
      <c r="AW34" s="180">
        <f t="shared" si="57"/>
        <v>-1528.3564999999999</v>
      </c>
      <c r="AX34" s="180">
        <f t="shared" si="57"/>
        <v>-1533.7564999999997</v>
      </c>
      <c r="AY34" s="180">
        <f t="shared" si="57"/>
        <v>-1539.1564999999996</v>
      </c>
      <c r="AZ34" s="180">
        <f t="shared" si="57"/>
        <v>-1544.5564999999999</v>
      </c>
      <c r="BA34" s="180">
        <f t="shared" si="57"/>
        <v>-1549.9564999999998</v>
      </c>
      <c r="BB34" s="180">
        <f t="shared" si="57"/>
        <v>-1555.3564999999999</v>
      </c>
      <c r="BC34" s="180">
        <f t="shared" si="57"/>
        <v>-1560.7565</v>
      </c>
      <c r="BD34" s="180">
        <f t="shared" si="57"/>
        <v>-1566.1564999999998</v>
      </c>
      <c r="BE34" s="180">
        <f t="shared" si="57"/>
        <v>-1571.5564999999997</v>
      </c>
      <c r="BF34" s="180">
        <f t="shared" si="57"/>
        <v>-1576.9565</v>
      </c>
      <c r="BG34" s="180">
        <f t="shared" si="57"/>
        <v>-1.3017499999995152</v>
      </c>
      <c r="BH34" s="180">
        <f t="shared" si="57"/>
        <v>-1.3017499999995152</v>
      </c>
      <c r="BI34" s="180">
        <f t="shared" si="57"/>
        <v>-1.3017499999995152</v>
      </c>
      <c r="BJ34" s="180">
        <f t="shared" si="57"/>
        <v>-1.3017499999995152</v>
      </c>
      <c r="BK34" s="180">
        <f t="shared" si="57"/>
        <v>-1.3017499999995152</v>
      </c>
      <c r="BL34" s="180">
        <f t="shared" si="57"/>
        <v>-1.3017499999995152</v>
      </c>
      <c r="BM34" s="180">
        <f t="shared" si="57"/>
        <v>-1.3017499999995152</v>
      </c>
      <c r="BN34" s="180">
        <f t="shared" si="57"/>
        <v>-1.3017499999995152</v>
      </c>
      <c r="BO34" s="180">
        <f t="shared" si="57"/>
        <v>-1.3017499999995152</v>
      </c>
      <c r="BP34" s="180">
        <f t="shared" si="57"/>
        <v>-1.3017499999995152</v>
      </c>
      <c r="BQ34" s="180">
        <f t="shared" si="57"/>
        <v>-1.3017499999995152</v>
      </c>
      <c r="BR34" s="180">
        <f t="shared" si="57"/>
        <v>-1.3017499999995152</v>
      </c>
      <c r="BS34" s="180">
        <f t="shared" si="57"/>
        <v>-1.3017499999995152</v>
      </c>
      <c r="BT34" s="180">
        <f t="shared" si="57"/>
        <v>-1.3017499999995152</v>
      </c>
      <c r="BU34" s="180">
        <f t="shared" si="57"/>
        <v>-1.3017499999995152</v>
      </c>
      <c r="BV34" s="180">
        <f t="shared" si="57"/>
        <v>-1.3017499999995152</v>
      </c>
      <c r="BW34" s="180">
        <f t="shared" si="57"/>
        <v>-1.3017499999995152</v>
      </c>
      <c r="BX34" s="180">
        <f t="shared" ref="BX34:CI34" si="58">IF(BX17&gt;BX9,$C$8*(BX17-BX9)*(-1),0)</f>
        <v>-1.3017499999995152</v>
      </c>
      <c r="BY34" s="180">
        <f t="shared" si="58"/>
        <v>-1.3017499999995152</v>
      </c>
      <c r="BZ34" s="180">
        <f t="shared" si="58"/>
        <v>-1.3017499999995152</v>
      </c>
      <c r="CA34" s="180">
        <f t="shared" si="58"/>
        <v>-1.3017499999995152</v>
      </c>
      <c r="CB34" s="180">
        <f t="shared" si="58"/>
        <v>-1.3017499999995152</v>
      </c>
      <c r="CC34" s="180">
        <f t="shared" si="58"/>
        <v>-1.3017499999995152</v>
      </c>
      <c r="CD34" s="180">
        <f t="shared" si="58"/>
        <v>-1.3017499999995152</v>
      </c>
      <c r="CE34" s="180">
        <f t="shared" si="58"/>
        <v>-1.3017499999995152</v>
      </c>
      <c r="CF34" s="180">
        <f t="shared" si="58"/>
        <v>-1.3017499999995152</v>
      </c>
      <c r="CG34" s="180">
        <f t="shared" si="58"/>
        <v>-1.3017499999995152</v>
      </c>
      <c r="CH34" s="180">
        <f t="shared" si="58"/>
        <v>-1.3017499999995152</v>
      </c>
      <c r="CI34" s="180">
        <f t="shared" si="58"/>
        <v>-1.3017499999995152</v>
      </c>
    </row>
    <row r="35" spans="1:87" ht="30" x14ac:dyDescent="0.25">
      <c r="A35" s="186" t="s">
        <v>719</v>
      </c>
      <c r="B35" s="187">
        <v>102</v>
      </c>
      <c r="C35" s="142">
        <f>F5</f>
        <v>6</v>
      </c>
      <c r="D35" s="142">
        <f>C5*B35</f>
        <v>51</v>
      </c>
      <c r="E35" s="142">
        <f>D5</f>
        <v>45</v>
      </c>
      <c r="F35" s="142">
        <f>D35-C35-E35</f>
        <v>0</v>
      </c>
      <c r="G35" s="26"/>
      <c r="H35" s="26"/>
      <c r="I35" s="26"/>
      <c r="J35" s="153" t="s">
        <v>767</v>
      </c>
      <c r="K35" s="188">
        <v>-10000</v>
      </c>
      <c r="L35" s="189">
        <v>0</v>
      </c>
      <c r="M35" s="190">
        <v>0</v>
      </c>
      <c r="N35" s="190">
        <v>0</v>
      </c>
      <c r="O35" s="190">
        <v>0</v>
      </c>
      <c r="P35" s="190">
        <v>0</v>
      </c>
      <c r="Q35" s="190">
        <v>0</v>
      </c>
      <c r="R35" s="190">
        <v>0</v>
      </c>
      <c r="S35" s="190">
        <v>0</v>
      </c>
      <c r="T35" s="190">
        <v>0</v>
      </c>
      <c r="U35" s="190">
        <v>0</v>
      </c>
      <c r="V35" s="190">
        <v>0</v>
      </c>
      <c r="W35" s="190">
        <v>0</v>
      </c>
      <c r="X35" s="190">
        <v>0</v>
      </c>
      <c r="Y35" s="190">
        <v>0</v>
      </c>
      <c r="Z35" s="190">
        <v>0</v>
      </c>
      <c r="AA35" s="190">
        <v>0</v>
      </c>
      <c r="AB35" s="190">
        <v>0</v>
      </c>
      <c r="AC35" s="190">
        <v>0</v>
      </c>
      <c r="AD35" s="190">
        <v>0</v>
      </c>
      <c r="AE35" s="190">
        <v>0</v>
      </c>
      <c r="AF35" s="190">
        <v>0</v>
      </c>
      <c r="AG35" s="190">
        <v>0</v>
      </c>
      <c r="AH35" s="190">
        <v>0</v>
      </c>
      <c r="AI35" s="190">
        <v>0</v>
      </c>
      <c r="AJ35" s="190">
        <v>0</v>
      </c>
      <c r="AK35" s="190">
        <v>0</v>
      </c>
      <c r="AL35" s="190">
        <v>0</v>
      </c>
      <c r="AM35" s="190">
        <v>0</v>
      </c>
      <c r="AN35" s="190">
        <v>0</v>
      </c>
      <c r="AO35" s="190">
        <v>0</v>
      </c>
      <c r="AP35" s="190">
        <v>0</v>
      </c>
      <c r="AQ35" s="190">
        <v>0</v>
      </c>
      <c r="AR35" s="190">
        <v>0</v>
      </c>
      <c r="AS35" s="190">
        <v>0</v>
      </c>
      <c r="AT35" s="190">
        <v>0</v>
      </c>
      <c r="AU35" s="190">
        <v>0</v>
      </c>
      <c r="AV35" s="190">
        <v>0</v>
      </c>
      <c r="AW35" s="190">
        <v>0</v>
      </c>
      <c r="AX35" s="190">
        <v>0</v>
      </c>
      <c r="AY35" s="190">
        <v>0</v>
      </c>
      <c r="AZ35" s="190">
        <v>0</v>
      </c>
      <c r="BA35" s="190">
        <v>0</v>
      </c>
      <c r="BB35" s="190">
        <v>0</v>
      </c>
      <c r="BC35" s="190">
        <v>0</v>
      </c>
      <c r="BD35" s="190">
        <v>0</v>
      </c>
      <c r="BE35" s="190">
        <v>0</v>
      </c>
      <c r="BF35" s="190">
        <v>0</v>
      </c>
      <c r="BG35" s="190">
        <v>0</v>
      </c>
      <c r="BH35" s="190">
        <v>0</v>
      </c>
      <c r="BI35" s="190">
        <v>0</v>
      </c>
      <c r="BJ35" s="190">
        <v>0</v>
      </c>
      <c r="BK35" s="190">
        <v>0</v>
      </c>
      <c r="BL35" s="190">
        <v>0</v>
      </c>
      <c r="BM35" s="190">
        <v>0</v>
      </c>
      <c r="BN35" s="190">
        <v>0</v>
      </c>
      <c r="BO35" s="190">
        <v>0</v>
      </c>
      <c r="BP35" s="190">
        <v>0</v>
      </c>
      <c r="BQ35" s="190">
        <v>0</v>
      </c>
      <c r="BR35" s="190">
        <v>0</v>
      </c>
      <c r="BS35" s="190">
        <v>0</v>
      </c>
      <c r="BT35" s="190">
        <v>0</v>
      </c>
      <c r="BU35" s="190">
        <v>0</v>
      </c>
      <c r="BV35" s="190">
        <v>0</v>
      </c>
      <c r="BW35" s="190">
        <v>0</v>
      </c>
      <c r="BX35" s="190">
        <v>0</v>
      </c>
      <c r="BY35" s="190">
        <v>0</v>
      </c>
      <c r="BZ35" s="190">
        <v>0</v>
      </c>
      <c r="CA35" s="190">
        <v>0</v>
      </c>
      <c r="CB35" s="190">
        <v>0</v>
      </c>
      <c r="CC35" s="190">
        <v>0</v>
      </c>
      <c r="CD35" s="190">
        <v>0</v>
      </c>
      <c r="CE35" s="190">
        <v>0</v>
      </c>
      <c r="CF35" s="190">
        <v>0</v>
      </c>
      <c r="CG35" s="190">
        <v>0</v>
      </c>
      <c r="CH35" s="190">
        <v>0</v>
      </c>
      <c r="CI35" s="190">
        <v>0</v>
      </c>
    </row>
    <row r="36" spans="1:87" ht="30" x14ac:dyDescent="0.25">
      <c r="A36" s="186" t="s">
        <v>721</v>
      </c>
      <c r="B36" s="191">
        <f>(75+6)/C6</f>
        <v>115.71428571428572</v>
      </c>
      <c r="C36" s="142">
        <f t="shared" ref="C36:C38" si="59">F6</f>
        <v>6</v>
      </c>
      <c r="D36" s="142">
        <f t="shared" ref="D36:D38" si="60">C6*B36</f>
        <v>81</v>
      </c>
      <c r="E36" s="142">
        <f t="shared" ref="E36:E38" si="61">D6</f>
        <v>75</v>
      </c>
      <c r="F36" s="142">
        <f t="shared" ref="F36:F38" si="62">D36-C36-E36</f>
        <v>0</v>
      </c>
      <c r="G36" s="26"/>
      <c r="H36" s="26"/>
      <c r="I36" s="26"/>
      <c r="J36" s="153" t="s">
        <v>768</v>
      </c>
      <c r="K36" s="190">
        <f>IF(C25&gt;0,C25*D5*(-1),C25*F5)</f>
        <v>-62798.400000000009</v>
      </c>
      <c r="L36" s="190">
        <v>0</v>
      </c>
      <c r="M36" s="190">
        <v>0</v>
      </c>
      <c r="N36" s="190">
        <v>0</v>
      </c>
      <c r="O36" s="190">
        <v>0</v>
      </c>
      <c r="P36" s="190">
        <v>0</v>
      </c>
      <c r="Q36" s="190">
        <v>0</v>
      </c>
      <c r="R36" s="190">
        <v>0</v>
      </c>
      <c r="S36" s="190">
        <v>0</v>
      </c>
      <c r="T36" s="190">
        <v>0</v>
      </c>
      <c r="U36" s="190">
        <v>0</v>
      </c>
      <c r="V36" s="190">
        <v>0</v>
      </c>
      <c r="W36" s="190">
        <v>0</v>
      </c>
      <c r="X36" s="190">
        <v>0</v>
      </c>
      <c r="Y36" s="190">
        <v>0</v>
      </c>
      <c r="Z36" s="190">
        <v>0</v>
      </c>
      <c r="AA36" s="190">
        <v>0</v>
      </c>
      <c r="AB36" s="190">
        <v>0</v>
      </c>
      <c r="AC36" s="190">
        <v>0</v>
      </c>
      <c r="AD36" s="190">
        <v>0</v>
      </c>
      <c r="AE36" s="190">
        <v>0</v>
      </c>
      <c r="AF36" s="190">
        <v>0</v>
      </c>
      <c r="AG36" s="190">
        <v>0</v>
      </c>
      <c r="AH36" s="190">
        <v>0</v>
      </c>
      <c r="AI36" s="190">
        <v>0</v>
      </c>
      <c r="AJ36" s="190">
        <v>0</v>
      </c>
      <c r="AK36" s="190">
        <v>0</v>
      </c>
      <c r="AL36" s="190">
        <v>0</v>
      </c>
      <c r="AM36" s="190">
        <v>0</v>
      </c>
      <c r="AN36" s="190">
        <v>0</v>
      </c>
      <c r="AO36" s="190">
        <v>0</v>
      </c>
      <c r="AP36" s="190">
        <v>0</v>
      </c>
      <c r="AQ36" s="190">
        <v>0</v>
      </c>
      <c r="AR36" s="190">
        <v>0</v>
      </c>
      <c r="AS36" s="190">
        <v>0</v>
      </c>
      <c r="AT36" s="190">
        <v>0</v>
      </c>
      <c r="AU36" s="190">
        <v>0</v>
      </c>
      <c r="AV36" s="190">
        <v>0</v>
      </c>
      <c r="AW36" s="190">
        <v>0</v>
      </c>
      <c r="AX36" s="190">
        <v>0</v>
      </c>
      <c r="AY36" s="190">
        <v>0</v>
      </c>
      <c r="AZ36" s="190">
        <v>0</v>
      </c>
      <c r="BA36" s="190">
        <v>0</v>
      </c>
      <c r="BB36" s="190">
        <v>0</v>
      </c>
      <c r="BC36" s="190">
        <v>0</v>
      </c>
      <c r="BD36" s="190">
        <v>0</v>
      </c>
      <c r="BE36" s="190">
        <v>0</v>
      </c>
      <c r="BF36" s="190">
        <v>0</v>
      </c>
      <c r="BG36" s="190">
        <v>0</v>
      </c>
      <c r="BH36" s="190">
        <v>0</v>
      </c>
      <c r="BI36" s="190">
        <v>0</v>
      </c>
      <c r="BJ36" s="190">
        <v>0</v>
      </c>
      <c r="BK36" s="190">
        <v>0</v>
      </c>
      <c r="BL36" s="190">
        <v>0</v>
      </c>
      <c r="BM36" s="190">
        <v>0</v>
      </c>
      <c r="BN36" s="190">
        <v>0</v>
      </c>
      <c r="BO36" s="190">
        <v>0</v>
      </c>
      <c r="BP36" s="190">
        <v>0</v>
      </c>
      <c r="BQ36" s="190">
        <v>0</v>
      </c>
      <c r="BR36" s="190">
        <v>0</v>
      </c>
      <c r="BS36" s="190">
        <v>0</v>
      </c>
      <c r="BT36" s="190">
        <v>0</v>
      </c>
      <c r="BU36" s="190">
        <v>0</v>
      </c>
      <c r="BV36" s="190">
        <v>0</v>
      </c>
      <c r="BW36" s="190">
        <v>0</v>
      </c>
      <c r="BX36" s="190">
        <v>0</v>
      </c>
      <c r="BY36" s="190">
        <v>0</v>
      </c>
      <c r="BZ36" s="190">
        <v>0</v>
      </c>
      <c r="CA36" s="190">
        <v>0</v>
      </c>
      <c r="CB36" s="190">
        <v>0</v>
      </c>
      <c r="CC36" s="190">
        <v>0</v>
      </c>
      <c r="CD36" s="190">
        <v>0</v>
      </c>
      <c r="CE36" s="190">
        <v>0</v>
      </c>
      <c r="CF36" s="190">
        <v>0</v>
      </c>
      <c r="CG36" s="190">
        <v>0</v>
      </c>
      <c r="CH36" s="190">
        <v>0</v>
      </c>
      <c r="CI36" s="190">
        <v>0</v>
      </c>
    </row>
    <row r="37" spans="1:87" x14ac:dyDescent="0.25">
      <c r="A37" s="186" t="s">
        <v>723</v>
      </c>
      <c r="B37" s="187">
        <v>96</v>
      </c>
      <c r="C37" s="142">
        <f t="shared" si="59"/>
        <v>6</v>
      </c>
      <c r="D37" s="142">
        <f t="shared" si="60"/>
        <v>96</v>
      </c>
      <c r="E37" s="142">
        <f t="shared" si="61"/>
        <v>90</v>
      </c>
      <c r="F37" s="142">
        <f t="shared" si="62"/>
        <v>0</v>
      </c>
      <c r="G37" s="26"/>
      <c r="H37" s="26"/>
      <c r="I37" s="26"/>
      <c r="J37" s="153" t="s">
        <v>769</v>
      </c>
      <c r="K37" s="190">
        <f>IF(C26&gt;0,C26*D6*(-1),C26*F6)</f>
        <v>-24103.800000000007</v>
      </c>
      <c r="L37" s="190">
        <v>0</v>
      </c>
      <c r="M37" s="190">
        <v>0</v>
      </c>
      <c r="N37" s="190">
        <v>0</v>
      </c>
      <c r="O37" s="190">
        <v>0</v>
      </c>
      <c r="P37" s="190">
        <v>0</v>
      </c>
      <c r="Q37" s="190">
        <v>0</v>
      </c>
      <c r="R37" s="190">
        <v>0</v>
      </c>
      <c r="S37" s="190">
        <v>0</v>
      </c>
      <c r="T37" s="190">
        <v>0</v>
      </c>
      <c r="U37" s="190">
        <v>0</v>
      </c>
      <c r="V37" s="190">
        <v>0</v>
      </c>
      <c r="W37" s="190">
        <v>0</v>
      </c>
      <c r="X37" s="190">
        <v>0</v>
      </c>
      <c r="Y37" s="190">
        <v>0</v>
      </c>
      <c r="Z37" s="190">
        <v>0</v>
      </c>
      <c r="AA37" s="190">
        <v>0</v>
      </c>
      <c r="AB37" s="190">
        <v>0</v>
      </c>
      <c r="AC37" s="190">
        <v>0</v>
      </c>
      <c r="AD37" s="190">
        <v>0</v>
      </c>
      <c r="AE37" s="190">
        <v>0</v>
      </c>
      <c r="AF37" s="190">
        <v>0</v>
      </c>
      <c r="AG37" s="190">
        <v>0</v>
      </c>
      <c r="AH37" s="190">
        <v>0</v>
      </c>
      <c r="AI37" s="190">
        <v>0</v>
      </c>
      <c r="AJ37" s="190">
        <v>0</v>
      </c>
      <c r="AK37" s="190">
        <v>0</v>
      </c>
      <c r="AL37" s="190">
        <v>0</v>
      </c>
      <c r="AM37" s="190">
        <v>0</v>
      </c>
      <c r="AN37" s="190">
        <v>0</v>
      </c>
      <c r="AO37" s="190">
        <v>0</v>
      </c>
      <c r="AP37" s="190">
        <v>0</v>
      </c>
      <c r="AQ37" s="190">
        <v>0</v>
      </c>
      <c r="AR37" s="190">
        <v>0</v>
      </c>
      <c r="AS37" s="190">
        <v>0</v>
      </c>
      <c r="AT37" s="190">
        <v>0</v>
      </c>
      <c r="AU37" s="190">
        <v>0</v>
      </c>
      <c r="AV37" s="190">
        <v>0</v>
      </c>
      <c r="AW37" s="190">
        <v>0</v>
      </c>
      <c r="AX37" s="190">
        <v>0</v>
      </c>
      <c r="AY37" s="190">
        <v>0</v>
      </c>
      <c r="AZ37" s="190">
        <v>0</v>
      </c>
      <c r="BA37" s="190">
        <v>0</v>
      </c>
      <c r="BB37" s="190">
        <v>0</v>
      </c>
      <c r="BC37" s="190">
        <v>0</v>
      </c>
      <c r="BD37" s="190">
        <v>0</v>
      </c>
      <c r="BE37" s="190">
        <v>0</v>
      </c>
      <c r="BF37" s="190">
        <v>0</v>
      </c>
      <c r="BG37" s="190">
        <v>0</v>
      </c>
      <c r="BH37" s="190">
        <v>0</v>
      </c>
      <c r="BI37" s="190">
        <v>0</v>
      </c>
      <c r="BJ37" s="190">
        <v>0</v>
      </c>
      <c r="BK37" s="190">
        <v>0</v>
      </c>
      <c r="BL37" s="190">
        <v>0</v>
      </c>
      <c r="BM37" s="190">
        <v>0</v>
      </c>
      <c r="BN37" s="190">
        <v>0</v>
      </c>
      <c r="BO37" s="190">
        <v>0</v>
      </c>
      <c r="BP37" s="190">
        <v>0</v>
      </c>
      <c r="BQ37" s="190">
        <v>0</v>
      </c>
      <c r="BR37" s="190">
        <v>0</v>
      </c>
      <c r="BS37" s="190">
        <v>0</v>
      </c>
      <c r="BT37" s="190">
        <v>0</v>
      </c>
      <c r="BU37" s="190">
        <v>0</v>
      </c>
      <c r="BV37" s="190">
        <v>0</v>
      </c>
      <c r="BW37" s="190">
        <v>0</v>
      </c>
      <c r="BX37" s="190">
        <v>0</v>
      </c>
      <c r="BY37" s="190">
        <v>0</v>
      </c>
      <c r="BZ37" s="190">
        <v>0</v>
      </c>
      <c r="CA37" s="190">
        <v>0</v>
      </c>
      <c r="CB37" s="190">
        <v>0</v>
      </c>
      <c r="CC37" s="190">
        <v>0</v>
      </c>
      <c r="CD37" s="190">
        <v>0</v>
      </c>
      <c r="CE37" s="190">
        <v>0</v>
      </c>
      <c r="CF37" s="190">
        <v>0</v>
      </c>
      <c r="CG37" s="190">
        <v>0</v>
      </c>
      <c r="CH37" s="190">
        <v>0</v>
      </c>
      <c r="CI37" s="190">
        <v>0</v>
      </c>
    </row>
    <row r="38" spans="1:87" x14ac:dyDescent="0.25">
      <c r="A38" s="186" t="s">
        <v>725</v>
      </c>
      <c r="B38" s="192">
        <f>(300+6)/C8</f>
        <v>122.4</v>
      </c>
      <c r="C38" s="142">
        <f t="shared" si="59"/>
        <v>6</v>
      </c>
      <c r="D38" s="142">
        <f t="shared" si="60"/>
        <v>306</v>
      </c>
      <c r="E38" s="142">
        <f t="shared" si="61"/>
        <v>300</v>
      </c>
      <c r="F38" s="142">
        <f t="shared" si="62"/>
        <v>0</v>
      </c>
      <c r="G38" s="26"/>
      <c r="H38" s="26"/>
      <c r="I38" s="26"/>
      <c r="J38" s="153" t="s">
        <v>770</v>
      </c>
      <c r="K38" s="190">
        <f>IF(C27&gt;0,C27*D7*(-1),C27*F7)</f>
        <v>-20320.200000000004</v>
      </c>
      <c r="L38" s="190">
        <v>0</v>
      </c>
      <c r="M38" s="190">
        <v>0</v>
      </c>
      <c r="N38" s="190">
        <v>0</v>
      </c>
      <c r="O38" s="190">
        <v>0</v>
      </c>
      <c r="P38" s="190">
        <v>0</v>
      </c>
      <c r="Q38" s="190">
        <v>0</v>
      </c>
      <c r="R38" s="190">
        <v>0</v>
      </c>
      <c r="S38" s="190">
        <v>0</v>
      </c>
      <c r="T38" s="190">
        <v>0</v>
      </c>
      <c r="U38" s="190">
        <v>0</v>
      </c>
      <c r="V38" s="190">
        <v>0</v>
      </c>
      <c r="W38" s="190">
        <v>0</v>
      </c>
      <c r="X38" s="190">
        <v>0</v>
      </c>
      <c r="Y38" s="190">
        <v>0</v>
      </c>
      <c r="Z38" s="190">
        <v>0</v>
      </c>
      <c r="AA38" s="190">
        <v>0</v>
      </c>
      <c r="AB38" s="190">
        <v>0</v>
      </c>
      <c r="AC38" s="190">
        <v>0</v>
      </c>
      <c r="AD38" s="190">
        <v>0</v>
      </c>
      <c r="AE38" s="190">
        <v>0</v>
      </c>
      <c r="AF38" s="190">
        <v>0</v>
      </c>
      <c r="AG38" s="190">
        <v>0</v>
      </c>
      <c r="AH38" s="190">
        <v>0</v>
      </c>
      <c r="AI38" s="190">
        <v>0</v>
      </c>
      <c r="AJ38" s="190">
        <v>0</v>
      </c>
      <c r="AK38" s="190">
        <v>0</v>
      </c>
      <c r="AL38" s="190">
        <v>0</v>
      </c>
      <c r="AM38" s="190">
        <v>0</v>
      </c>
      <c r="AN38" s="190">
        <v>0</v>
      </c>
      <c r="AO38" s="190">
        <v>0</v>
      </c>
      <c r="AP38" s="190">
        <v>0</v>
      </c>
      <c r="AQ38" s="190">
        <v>0</v>
      </c>
      <c r="AR38" s="190">
        <v>0</v>
      </c>
      <c r="AS38" s="190">
        <v>0</v>
      </c>
      <c r="AT38" s="190">
        <v>0</v>
      </c>
      <c r="AU38" s="190">
        <v>0</v>
      </c>
      <c r="AV38" s="190">
        <v>0</v>
      </c>
      <c r="AW38" s="190">
        <v>0</v>
      </c>
      <c r="AX38" s="190">
        <v>0</v>
      </c>
      <c r="AY38" s="190">
        <v>0</v>
      </c>
      <c r="AZ38" s="190">
        <v>0</v>
      </c>
      <c r="BA38" s="190">
        <v>0</v>
      </c>
      <c r="BB38" s="190">
        <v>0</v>
      </c>
      <c r="BC38" s="190">
        <v>0</v>
      </c>
      <c r="BD38" s="190">
        <v>0</v>
      </c>
      <c r="BE38" s="190">
        <v>0</v>
      </c>
      <c r="BF38" s="190">
        <v>0</v>
      </c>
      <c r="BG38" s="190">
        <v>0</v>
      </c>
      <c r="BH38" s="190">
        <v>0</v>
      </c>
      <c r="BI38" s="190">
        <v>0</v>
      </c>
      <c r="BJ38" s="190">
        <v>0</v>
      </c>
      <c r="BK38" s="190">
        <v>0</v>
      </c>
      <c r="BL38" s="190">
        <v>0</v>
      </c>
      <c r="BM38" s="190">
        <v>0</v>
      </c>
      <c r="BN38" s="190">
        <v>0</v>
      </c>
      <c r="BO38" s="190">
        <v>0</v>
      </c>
      <c r="BP38" s="190">
        <v>0</v>
      </c>
      <c r="BQ38" s="190">
        <v>0</v>
      </c>
      <c r="BR38" s="190">
        <v>0</v>
      </c>
      <c r="BS38" s="190">
        <v>0</v>
      </c>
      <c r="BT38" s="190">
        <v>0</v>
      </c>
      <c r="BU38" s="190">
        <v>0</v>
      </c>
      <c r="BV38" s="190">
        <v>0</v>
      </c>
      <c r="BW38" s="190">
        <v>0</v>
      </c>
      <c r="BX38" s="190">
        <v>0</v>
      </c>
      <c r="BY38" s="190">
        <v>0</v>
      </c>
      <c r="BZ38" s="190">
        <v>0</v>
      </c>
      <c r="CA38" s="190">
        <v>0</v>
      </c>
      <c r="CB38" s="190">
        <v>0</v>
      </c>
      <c r="CC38" s="190">
        <v>0</v>
      </c>
      <c r="CD38" s="190">
        <v>0</v>
      </c>
      <c r="CE38" s="190">
        <v>0</v>
      </c>
      <c r="CF38" s="190">
        <v>0</v>
      </c>
      <c r="CG38" s="190">
        <v>0</v>
      </c>
      <c r="CH38" s="190">
        <v>0</v>
      </c>
      <c r="CI38" s="190">
        <v>0</v>
      </c>
    </row>
    <row r="39" spans="1:87" x14ac:dyDescent="0.25">
      <c r="A39" s="26"/>
      <c r="B39" s="26"/>
      <c r="C39" s="142"/>
      <c r="D39" s="142"/>
      <c r="E39" s="142"/>
      <c r="F39" s="26"/>
      <c r="G39" s="26"/>
      <c r="H39" s="26"/>
      <c r="I39" s="26"/>
      <c r="J39" s="153" t="s">
        <v>771</v>
      </c>
      <c r="K39" s="190">
        <f>IF(C28&gt;0,C28*D8*(-1),C28*F8)</f>
        <v>-2514.6000000000004</v>
      </c>
      <c r="L39" s="190">
        <v>0</v>
      </c>
      <c r="M39" s="190">
        <v>0</v>
      </c>
      <c r="N39" s="190">
        <v>0</v>
      </c>
      <c r="O39" s="190">
        <v>0</v>
      </c>
      <c r="P39" s="190">
        <v>0</v>
      </c>
      <c r="Q39" s="190">
        <v>0</v>
      </c>
      <c r="R39" s="190">
        <v>0</v>
      </c>
      <c r="S39" s="190">
        <v>0</v>
      </c>
      <c r="T39" s="190">
        <v>0</v>
      </c>
      <c r="U39" s="190">
        <v>0</v>
      </c>
      <c r="V39" s="190">
        <v>0</v>
      </c>
      <c r="W39" s="190">
        <v>0</v>
      </c>
      <c r="X39" s="190">
        <v>0</v>
      </c>
      <c r="Y39" s="190">
        <v>0</v>
      </c>
      <c r="Z39" s="190">
        <v>0</v>
      </c>
      <c r="AA39" s="190">
        <v>0</v>
      </c>
      <c r="AB39" s="190">
        <v>0</v>
      </c>
      <c r="AC39" s="190">
        <v>0</v>
      </c>
      <c r="AD39" s="190">
        <v>0</v>
      </c>
      <c r="AE39" s="190">
        <v>0</v>
      </c>
      <c r="AF39" s="190">
        <v>0</v>
      </c>
      <c r="AG39" s="190">
        <v>0</v>
      </c>
      <c r="AH39" s="190">
        <v>0</v>
      </c>
      <c r="AI39" s="190">
        <v>0</v>
      </c>
      <c r="AJ39" s="190">
        <v>0</v>
      </c>
      <c r="AK39" s="190">
        <v>0</v>
      </c>
      <c r="AL39" s="190">
        <v>0</v>
      </c>
      <c r="AM39" s="190">
        <v>0</v>
      </c>
      <c r="AN39" s="190">
        <v>0</v>
      </c>
      <c r="AO39" s="190">
        <v>0</v>
      </c>
      <c r="AP39" s="190">
        <v>0</v>
      </c>
      <c r="AQ39" s="190">
        <v>0</v>
      </c>
      <c r="AR39" s="190">
        <v>0</v>
      </c>
      <c r="AS39" s="190">
        <v>0</v>
      </c>
      <c r="AT39" s="190">
        <v>0</v>
      </c>
      <c r="AU39" s="190">
        <v>0</v>
      </c>
      <c r="AV39" s="190">
        <v>0</v>
      </c>
      <c r="AW39" s="190">
        <v>0</v>
      </c>
      <c r="AX39" s="190">
        <v>0</v>
      </c>
      <c r="AY39" s="190">
        <v>0</v>
      </c>
      <c r="AZ39" s="190">
        <v>0</v>
      </c>
      <c r="BA39" s="190">
        <v>0</v>
      </c>
      <c r="BB39" s="190">
        <v>0</v>
      </c>
      <c r="BC39" s="190">
        <v>0</v>
      </c>
      <c r="BD39" s="190">
        <v>0</v>
      </c>
      <c r="BE39" s="190">
        <v>0</v>
      </c>
      <c r="BF39" s="190">
        <v>0</v>
      </c>
      <c r="BG39" s="190">
        <v>0</v>
      </c>
      <c r="BH39" s="190">
        <v>0</v>
      </c>
      <c r="BI39" s="190">
        <v>0</v>
      </c>
      <c r="BJ39" s="190">
        <v>0</v>
      </c>
      <c r="BK39" s="190">
        <v>0</v>
      </c>
      <c r="BL39" s="190">
        <v>0</v>
      </c>
      <c r="BM39" s="190">
        <v>0</v>
      </c>
      <c r="BN39" s="190">
        <v>0</v>
      </c>
      <c r="BO39" s="190">
        <v>0</v>
      </c>
      <c r="BP39" s="190">
        <v>0</v>
      </c>
      <c r="BQ39" s="190">
        <v>0</v>
      </c>
      <c r="BR39" s="190">
        <v>0</v>
      </c>
      <c r="BS39" s="190">
        <v>0</v>
      </c>
      <c r="BT39" s="190">
        <v>0</v>
      </c>
      <c r="BU39" s="190">
        <v>0</v>
      </c>
      <c r="BV39" s="190">
        <v>0</v>
      </c>
      <c r="BW39" s="190">
        <v>0</v>
      </c>
      <c r="BX39" s="190">
        <v>0</v>
      </c>
      <c r="BY39" s="190">
        <v>0</v>
      </c>
      <c r="BZ39" s="190">
        <v>0</v>
      </c>
      <c r="CA39" s="190">
        <v>0</v>
      </c>
      <c r="CB39" s="190">
        <v>0</v>
      </c>
      <c r="CC39" s="190">
        <v>0</v>
      </c>
      <c r="CD39" s="190">
        <v>0</v>
      </c>
      <c r="CE39" s="190">
        <v>0</v>
      </c>
      <c r="CF39" s="190">
        <v>0</v>
      </c>
      <c r="CG39" s="190">
        <v>0</v>
      </c>
      <c r="CH39" s="190">
        <v>0</v>
      </c>
      <c r="CI39" s="190">
        <v>0</v>
      </c>
    </row>
    <row r="40" spans="1:87" x14ac:dyDescent="0.25">
      <c r="A40" s="26"/>
      <c r="B40" s="26"/>
      <c r="C40" s="142"/>
      <c r="D40" s="142"/>
      <c r="E40" s="142"/>
      <c r="F40" s="26"/>
      <c r="G40" s="26"/>
      <c r="H40" s="26"/>
      <c r="I40" s="26"/>
      <c r="J40" s="153" t="s">
        <v>772</v>
      </c>
      <c r="K40" s="193">
        <f>K39+K38+K37+K36+K35</f>
        <v>-119737.00000000001</v>
      </c>
      <c r="L40" s="190">
        <v>0</v>
      </c>
      <c r="M40" s="190">
        <v>0</v>
      </c>
      <c r="N40" s="190">
        <v>0</v>
      </c>
      <c r="O40" s="190">
        <v>0</v>
      </c>
      <c r="P40" s="190">
        <v>0</v>
      </c>
      <c r="Q40" s="190">
        <v>0</v>
      </c>
      <c r="R40" s="190">
        <v>0</v>
      </c>
      <c r="S40" s="190">
        <v>0</v>
      </c>
      <c r="T40" s="190">
        <v>0</v>
      </c>
      <c r="U40" s="190">
        <v>0</v>
      </c>
      <c r="V40" s="190">
        <v>0</v>
      </c>
      <c r="W40" s="190">
        <v>0</v>
      </c>
      <c r="X40" s="190">
        <v>0</v>
      </c>
      <c r="Y40" s="190">
        <v>0</v>
      </c>
      <c r="Z40" s="190">
        <v>0</v>
      </c>
      <c r="AA40" s="190">
        <v>0</v>
      </c>
      <c r="AB40" s="190">
        <v>0</v>
      </c>
      <c r="AC40" s="190">
        <v>0</v>
      </c>
      <c r="AD40" s="190">
        <v>0</v>
      </c>
      <c r="AE40" s="190">
        <v>0</v>
      </c>
      <c r="AF40" s="190">
        <v>0</v>
      </c>
      <c r="AG40" s="190">
        <v>0</v>
      </c>
      <c r="AH40" s="190">
        <v>0</v>
      </c>
      <c r="AI40" s="190">
        <v>0</v>
      </c>
      <c r="AJ40" s="190">
        <v>0</v>
      </c>
      <c r="AK40" s="190">
        <v>0</v>
      </c>
      <c r="AL40" s="190">
        <v>0</v>
      </c>
      <c r="AM40" s="190">
        <v>0</v>
      </c>
      <c r="AN40" s="190">
        <v>0</v>
      </c>
      <c r="AO40" s="190">
        <v>0</v>
      </c>
      <c r="AP40" s="190">
        <v>0</v>
      </c>
      <c r="AQ40" s="190">
        <v>0</v>
      </c>
      <c r="AR40" s="190">
        <v>0</v>
      </c>
      <c r="AS40" s="190">
        <v>0</v>
      </c>
      <c r="AT40" s="190">
        <v>0</v>
      </c>
      <c r="AU40" s="190">
        <v>0</v>
      </c>
      <c r="AV40" s="190">
        <v>0</v>
      </c>
      <c r="AW40" s="190">
        <v>0</v>
      </c>
      <c r="AX40" s="190">
        <v>0</v>
      </c>
      <c r="AY40" s="190">
        <v>0</v>
      </c>
      <c r="AZ40" s="190">
        <v>0</v>
      </c>
      <c r="BA40" s="190">
        <v>0</v>
      </c>
      <c r="BB40" s="190">
        <v>0</v>
      </c>
      <c r="BC40" s="190">
        <v>0</v>
      </c>
      <c r="BD40" s="190">
        <v>0</v>
      </c>
      <c r="BE40" s="190">
        <v>0</v>
      </c>
      <c r="BF40" s="190">
        <v>0</v>
      </c>
      <c r="BG40" s="190">
        <v>0</v>
      </c>
      <c r="BH40" s="190">
        <v>0</v>
      </c>
      <c r="BI40" s="190">
        <v>0</v>
      </c>
      <c r="BJ40" s="190">
        <v>0</v>
      </c>
      <c r="BK40" s="190">
        <v>0</v>
      </c>
      <c r="BL40" s="190">
        <v>0</v>
      </c>
      <c r="BM40" s="190">
        <v>0</v>
      </c>
      <c r="BN40" s="190">
        <v>0</v>
      </c>
      <c r="BO40" s="190">
        <v>0</v>
      </c>
      <c r="BP40" s="190">
        <v>0</v>
      </c>
      <c r="BQ40" s="190">
        <v>0</v>
      </c>
      <c r="BR40" s="190">
        <v>0</v>
      </c>
      <c r="BS40" s="190">
        <v>0</v>
      </c>
      <c r="BT40" s="190">
        <v>0</v>
      </c>
      <c r="BU40" s="190">
        <v>0</v>
      </c>
      <c r="BV40" s="190">
        <v>0</v>
      </c>
      <c r="BW40" s="190">
        <v>0</v>
      </c>
      <c r="BX40" s="190">
        <v>0</v>
      </c>
      <c r="BY40" s="190">
        <v>0</v>
      </c>
      <c r="BZ40" s="190">
        <v>0</v>
      </c>
      <c r="CA40" s="190">
        <v>0</v>
      </c>
      <c r="CB40" s="190">
        <v>0</v>
      </c>
      <c r="CC40" s="190">
        <v>0</v>
      </c>
      <c r="CD40" s="190">
        <v>0</v>
      </c>
      <c r="CE40" s="190">
        <v>0</v>
      </c>
      <c r="CF40" s="190">
        <v>0</v>
      </c>
      <c r="CG40" s="190">
        <v>0</v>
      </c>
      <c r="CH40" s="190">
        <v>0</v>
      </c>
      <c r="CI40" s="190">
        <v>0</v>
      </c>
    </row>
    <row r="41" spans="1:87" x14ac:dyDescent="0.25">
      <c r="A41" s="26"/>
      <c r="B41" s="26"/>
      <c r="C41" s="142"/>
      <c r="D41" s="142"/>
      <c r="E41" s="142"/>
      <c r="F41" s="26"/>
      <c r="G41" s="26"/>
      <c r="H41" s="26"/>
      <c r="I41" s="26"/>
      <c r="J41" s="194" t="s">
        <v>773</v>
      </c>
      <c r="K41" s="195">
        <f>K26+K18+K19+K20+K21</f>
        <v>331756.36129999999</v>
      </c>
      <c r="L41" s="195">
        <f t="shared" ref="L41:BW41" si="63">L26+L18+L19+L20+L21</f>
        <v>-41599.199999999997</v>
      </c>
      <c r="M41" s="195">
        <f t="shared" si="63"/>
        <v>328752.49490000005</v>
      </c>
      <c r="N41" s="195">
        <f t="shared" si="63"/>
        <v>-41599.199999999997</v>
      </c>
      <c r="O41" s="195">
        <f t="shared" si="63"/>
        <v>325748.62849999999</v>
      </c>
      <c r="P41" s="195">
        <f t="shared" si="63"/>
        <v>-41599.199999999997</v>
      </c>
      <c r="Q41" s="195">
        <f t="shared" si="63"/>
        <v>322744.76209999999</v>
      </c>
      <c r="R41" s="195">
        <f t="shared" si="63"/>
        <v>-41599.199999999997</v>
      </c>
      <c r="S41" s="195">
        <f t="shared" si="63"/>
        <v>319740.89569999994</v>
      </c>
      <c r="T41" s="195">
        <f t="shared" si="63"/>
        <v>-41599.199999999997</v>
      </c>
      <c r="U41" s="195">
        <f t="shared" si="63"/>
        <v>316737.02929999999</v>
      </c>
      <c r="V41" s="195">
        <f t="shared" si="63"/>
        <v>-41599.199999999997</v>
      </c>
      <c r="W41" s="195">
        <f t="shared" si="63"/>
        <v>-41599.199999999997</v>
      </c>
      <c r="X41" s="195">
        <f t="shared" si="63"/>
        <v>-41599.199999999997</v>
      </c>
      <c r="Y41" s="195">
        <f t="shared" si="63"/>
        <v>310729.2965</v>
      </c>
      <c r="Z41" s="195">
        <f t="shared" si="63"/>
        <v>-41599.199999999997</v>
      </c>
      <c r="AA41" s="195">
        <f t="shared" si="63"/>
        <v>274144.70697000006</v>
      </c>
      <c r="AB41" s="195">
        <f t="shared" si="63"/>
        <v>-41599.199999999997</v>
      </c>
      <c r="AC41" s="195">
        <f t="shared" si="63"/>
        <v>271140.84057000006</v>
      </c>
      <c r="AD41" s="195">
        <f t="shared" si="63"/>
        <v>-41599.199999999997</v>
      </c>
      <c r="AE41" s="195">
        <f t="shared" si="63"/>
        <v>268136.97417</v>
      </c>
      <c r="AF41" s="195">
        <f t="shared" si="63"/>
        <v>-41599.199999999997</v>
      </c>
      <c r="AG41" s="195">
        <f t="shared" si="63"/>
        <v>265133.10777000006</v>
      </c>
      <c r="AH41" s="195">
        <f t="shared" si="63"/>
        <v>-41599.199999999997</v>
      </c>
      <c r="AI41" s="195">
        <f t="shared" si="63"/>
        <v>262129.24136999997</v>
      </c>
      <c r="AJ41" s="195">
        <f t="shared" si="63"/>
        <v>-41599.199999999997</v>
      </c>
      <c r="AK41" s="195">
        <f t="shared" si="63"/>
        <v>259125.37497000003</v>
      </c>
      <c r="AL41" s="195">
        <f t="shared" si="63"/>
        <v>-41599.199999999997</v>
      </c>
      <c r="AM41" s="195">
        <f t="shared" si="63"/>
        <v>-41599.199999999997</v>
      </c>
      <c r="AN41" s="195">
        <f t="shared" si="63"/>
        <v>254619.57537000004</v>
      </c>
      <c r="AO41" s="195">
        <f t="shared" si="63"/>
        <v>-41599.199999999997</v>
      </c>
      <c r="AP41" s="195">
        <f t="shared" si="63"/>
        <v>251615.70897000004</v>
      </c>
      <c r="AQ41" s="195">
        <f t="shared" si="63"/>
        <v>-41599.199999999997</v>
      </c>
      <c r="AR41" s="195">
        <f t="shared" si="63"/>
        <v>220792.28487300003</v>
      </c>
      <c r="AS41" s="195">
        <f t="shared" si="63"/>
        <v>-41599.199999999997</v>
      </c>
      <c r="AT41" s="195">
        <f t="shared" si="63"/>
        <v>217788.41847300006</v>
      </c>
      <c r="AU41" s="195">
        <f t="shared" si="63"/>
        <v>-41599.199999999997</v>
      </c>
      <c r="AV41" s="195">
        <f t="shared" si="63"/>
        <v>214784.55207300003</v>
      </c>
      <c r="AW41" s="195">
        <f t="shared" si="63"/>
        <v>-41599.199999999997</v>
      </c>
      <c r="AX41" s="195">
        <f t="shared" si="63"/>
        <v>211780.68567300009</v>
      </c>
      <c r="AY41" s="195">
        <f t="shared" si="63"/>
        <v>-41599.199999999997</v>
      </c>
      <c r="AZ41" s="195">
        <f t="shared" si="63"/>
        <v>208776.81927300006</v>
      </c>
      <c r="BA41" s="195">
        <f t="shared" si="63"/>
        <v>-41599.199999999997</v>
      </c>
      <c r="BB41" s="195">
        <f t="shared" si="63"/>
        <v>-41599.199999999997</v>
      </c>
      <c r="BC41" s="195">
        <f t="shared" si="63"/>
        <v>-41599.199999999997</v>
      </c>
      <c r="BD41" s="195">
        <f t="shared" si="63"/>
        <v>202769.08647300003</v>
      </c>
      <c r="BE41" s="195">
        <f t="shared" si="63"/>
        <v>-41599.199999999997</v>
      </c>
      <c r="BF41" s="195">
        <f t="shared" si="63"/>
        <v>199765.22007300003</v>
      </c>
      <c r="BG41" s="195">
        <f t="shared" si="63"/>
        <v>-41599.199999999997</v>
      </c>
      <c r="BH41" s="195">
        <f t="shared" si="63"/>
        <v>407338.90072500007</v>
      </c>
      <c r="BI41" s="195">
        <f t="shared" si="63"/>
        <v>-41599.199999999997</v>
      </c>
      <c r="BJ41" s="195">
        <f t="shared" si="63"/>
        <v>407338.90072500007</v>
      </c>
      <c r="BK41" s="195">
        <f t="shared" si="63"/>
        <v>-41599.199999999997</v>
      </c>
      <c r="BL41" s="195">
        <f t="shared" si="63"/>
        <v>407338.90072500007</v>
      </c>
      <c r="BM41" s="195">
        <f t="shared" si="63"/>
        <v>-41599.199999999997</v>
      </c>
      <c r="BN41" s="195">
        <f t="shared" si="63"/>
        <v>407338.90072500007</v>
      </c>
      <c r="BO41" s="195">
        <f t="shared" si="63"/>
        <v>-41599.199999999997</v>
      </c>
      <c r="BP41" s="195">
        <f t="shared" si="63"/>
        <v>407338.90072500007</v>
      </c>
      <c r="BQ41" s="195">
        <f t="shared" si="63"/>
        <v>-41599.199999999997</v>
      </c>
      <c r="BR41" s="195">
        <f t="shared" si="63"/>
        <v>-41599.199999999997</v>
      </c>
      <c r="BS41" s="195">
        <f t="shared" si="63"/>
        <v>-41599.199999999997</v>
      </c>
      <c r="BT41" s="195">
        <f t="shared" si="63"/>
        <v>407338.90072500007</v>
      </c>
      <c r="BU41" s="195">
        <f t="shared" si="63"/>
        <v>-41599.199999999997</v>
      </c>
      <c r="BV41" s="195">
        <f t="shared" si="63"/>
        <v>407338.90072500007</v>
      </c>
      <c r="BW41" s="195">
        <f t="shared" si="63"/>
        <v>-41599.199999999997</v>
      </c>
      <c r="BX41" s="195">
        <f t="shared" ref="BX41:CI41" si="64">BX26+BX18+BX19+BX20+BX21</f>
        <v>407338.90072500007</v>
      </c>
      <c r="BY41" s="195">
        <f t="shared" si="64"/>
        <v>-41599.199999999997</v>
      </c>
      <c r="BZ41" s="195">
        <f t="shared" si="64"/>
        <v>407338.90072500007</v>
      </c>
      <c r="CA41" s="195">
        <f t="shared" si="64"/>
        <v>-41599.199999999997</v>
      </c>
      <c r="CB41" s="195">
        <f t="shared" si="64"/>
        <v>407338.90072500007</v>
      </c>
      <c r="CC41" s="195">
        <f t="shared" si="64"/>
        <v>-41599.199999999997</v>
      </c>
      <c r="CD41" s="195">
        <f t="shared" si="64"/>
        <v>407338.90072500007</v>
      </c>
      <c r="CE41" s="195">
        <f t="shared" si="64"/>
        <v>-41599.199999999997</v>
      </c>
      <c r="CF41" s="195">
        <f t="shared" si="64"/>
        <v>407338.90072500007</v>
      </c>
      <c r="CG41" s="195">
        <f t="shared" si="64"/>
        <v>-41599.199999999997</v>
      </c>
      <c r="CH41" s="195">
        <f t="shared" si="64"/>
        <v>-41599.199999999997</v>
      </c>
      <c r="CI41" s="195">
        <f t="shared" si="64"/>
        <v>-41599.199999999997</v>
      </c>
    </row>
    <row r="42" spans="1:87" x14ac:dyDescent="0.25">
      <c r="A42" s="26"/>
      <c r="B42" s="26"/>
      <c r="C42" s="142"/>
      <c r="D42" s="142"/>
      <c r="E42" s="142"/>
      <c r="F42" s="26"/>
      <c r="G42" s="26"/>
      <c r="H42" s="26"/>
      <c r="I42" s="26"/>
      <c r="J42" s="194" t="s">
        <v>774</v>
      </c>
      <c r="K42" s="195">
        <f>K27+K28+K29+K30+K31+K32+K33+K34+K35+K36+K37+K38+K39+K22+K23+K24+K25</f>
        <v>212019.36129999996</v>
      </c>
      <c r="L42" s="195">
        <f t="shared" ref="L42:BW42" si="65">L27+L28+L29+L30+L31+L32+L33+L34+L35+L36+L37+L38+L39+L22+L23+L24+L25</f>
        <v>-29119.439999999995</v>
      </c>
      <c r="M42" s="195">
        <f t="shared" si="65"/>
        <v>337779.99489999999</v>
      </c>
      <c r="N42" s="195">
        <f t="shared" si="65"/>
        <v>-29119.439999999995</v>
      </c>
      <c r="O42" s="195">
        <f t="shared" si="65"/>
        <v>336190.68849999999</v>
      </c>
      <c r="P42" s="195">
        <f t="shared" si="65"/>
        <v>-29119.439999999995</v>
      </c>
      <c r="Q42" s="195">
        <f t="shared" si="65"/>
        <v>334601.38209999999</v>
      </c>
      <c r="R42" s="195">
        <f t="shared" si="65"/>
        <v>-29119.439999999995</v>
      </c>
      <c r="S42" s="195">
        <f t="shared" si="65"/>
        <v>332220.65569999994</v>
      </c>
      <c r="T42" s="195">
        <f t="shared" si="65"/>
        <v>-29119.440000000002</v>
      </c>
      <c r="U42" s="195">
        <f t="shared" si="65"/>
        <v>329216.7893</v>
      </c>
      <c r="V42" s="195">
        <f t="shared" si="65"/>
        <v>-29119.439999999995</v>
      </c>
      <c r="W42" s="195">
        <f t="shared" si="65"/>
        <v>-29119.439999999995</v>
      </c>
      <c r="X42" s="195">
        <f t="shared" si="65"/>
        <v>-29119.439999999999</v>
      </c>
      <c r="Y42" s="195">
        <f t="shared" si="65"/>
        <v>323209.05650000001</v>
      </c>
      <c r="Z42" s="195">
        <f t="shared" si="65"/>
        <v>-29119.439999999995</v>
      </c>
      <c r="AA42" s="195">
        <f t="shared" si="65"/>
        <v>286624.46697000007</v>
      </c>
      <c r="AB42" s="195">
        <f t="shared" si="65"/>
        <v>-29119.440000000002</v>
      </c>
      <c r="AC42" s="195">
        <f t="shared" si="65"/>
        <v>283620.60057000007</v>
      </c>
      <c r="AD42" s="195">
        <f t="shared" si="65"/>
        <v>-29119.439999999995</v>
      </c>
      <c r="AE42" s="195">
        <f t="shared" si="65"/>
        <v>280616.73417000001</v>
      </c>
      <c r="AF42" s="195">
        <f t="shared" si="65"/>
        <v>-29119.439999999995</v>
      </c>
      <c r="AG42" s="195">
        <f t="shared" si="65"/>
        <v>277612.86777000001</v>
      </c>
      <c r="AH42" s="195">
        <f t="shared" si="65"/>
        <v>-29119.439999999999</v>
      </c>
      <c r="AI42" s="195">
        <f t="shared" si="65"/>
        <v>274609.00137000001</v>
      </c>
      <c r="AJ42" s="195">
        <f t="shared" si="65"/>
        <v>-29119.439999999999</v>
      </c>
      <c r="AK42" s="195">
        <f t="shared" si="65"/>
        <v>271605.13497000001</v>
      </c>
      <c r="AL42" s="195">
        <f t="shared" si="65"/>
        <v>-29119.439999999999</v>
      </c>
      <c r="AM42" s="195">
        <f t="shared" si="65"/>
        <v>-29119.439999999999</v>
      </c>
      <c r="AN42" s="195">
        <f t="shared" si="65"/>
        <v>267099.33537000004</v>
      </c>
      <c r="AO42" s="195">
        <f t="shared" si="65"/>
        <v>-29119.439999999999</v>
      </c>
      <c r="AP42" s="195">
        <f t="shared" si="65"/>
        <v>264095.46897000005</v>
      </c>
      <c r="AQ42" s="195">
        <f t="shared" si="65"/>
        <v>-29119.439999999995</v>
      </c>
      <c r="AR42" s="195">
        <f t="shared" si="65"/>
        <v>233272.04487300004</v>
      </c>
      <c r="AS42" s="195">
        <f t="shared" si="65"/>
        <v>-29119.439999999999</v>
      </c>
      <c r="AT42" s="195">
        <f t="shared" si="65"/>
        <v>230268.17847300007</v>
      </c>
      <c r="AU42" s="195">
        <f t="shared" si="65"/>
        <v>-29119.439999999999</v>
      </c>
      <c r="AV42" s="195">
        <f t="shared" si="65"/>
        <v>227264.31207300001</v>
      </c>
      <c r="AW42" s="195">
        <f t="shared" si="65"/>
        <v>-29119.439999999995</v>
      </c>
      <c r="AX42" s="195">
        <f t="shared" si="65"/>
        <v>224260.44567300004</v>
      </c>
      <c r="AY42" s="195">
        <f t="shared" si="65"/>
        <v>-29119.439999999999</v>
      </c>
      <c r="AZ42" s="195">
        <f t="shared" si="65"/>
        <v>221256.57927300004</v>
      </c>
      <c r="BA42" s="195">
        <f t="shared" si="65"/>
        <v>-29119.439999999995</v>
      </c>
      <c r="BB42" s="195">
        <f t="shared" si="65"/>
        <v>-29119.439999999995</v>
      </c>
      <c r="BC42" s="195">
        <f t="shared" si="65"/>
        <v>-29119.439999999999</v>
      </c>
      <c r="BD42" s="195">
        <f t="shared" si="65"/>
        <v>215248.84647300004</v>
      </c>
      <c r="BE42" s="195">
        <f t="shared" si="65"/>
        <v>-29119.439999999999</v>
      </c>
      <c r="BF42" s="195">
        <f t="shared" si="65"/>
        <v>212244.98007300001</v>
      </c>
      <c r="BG42" s="195">
        <f t="shared" si="65"/>
        <v>-29119.439999999995</v>
      </c>
      <c r="BH42" s="195">
        <f t="shared" si="65"/>
        <v>419818.66072500008</v>
      </c>
      <c r="BI42" s="195">
        <f t="shared" si="65"/>
        <v>-29119.439999999995</v>
      </c>
      <c r="BJ42" s="195">
        <f t="shared" si="65"/>
        <v>419818.66072500008</v>
      </c>
      <c r="BK42" s="195">
        <f t="shared" si="65"/>
        <v>-29119.439999999995</v>
      </c>
      <c r="BL42" s="195">
        <f t="shared" si="65"/>
        <v>419818.66072500008</v>
      </c>
      <c r="BM42" s="195">
        <f t="shared" si="65"/>
        <v>-29119.439999999995</v>
      </c>
      <c r="BN42" s="195">
        <f t="shared" si="65"/>
        <v>419818.66072500008</v>
      </c>
      <c r="BO42" s="195">
        <f t="shared" si="65"/>
        <v>-29119.439999999995</v>
      </c>
      <c r="BP42" s="195">
        <f t="shared" si="65"/>
        <v>419818.66072500008</v>
      </c>
      <c r="BQ42" s="195">
        <f t="shared" si="65"/>
        <v>-29119.439999999995</v>
      </c>
      <c r="BR42" s="195">
        <f t="shared" si="65"/>
        <v>-29119.439999999995</v>
      </c>
      <c r="BS42" s="195">
        <f t="shared" si="65"/>
        <v>-29119.439999999995</v>
      </c>
      <c r="BT42" s="195">
        <f t="shared" si="65"/>
        <v>419818.66072500008</v>
      </c>
      <c r="BU42" s="195">
        <f t="shared" si="65"/>
        <v>-29119.439999999995</v>
      </c>
      <c r="BV42" s="195">
        <f t="shared" si="65"/>
        <v>419818.66072500008</v>
      </c>
      <c r="BW42" s="195">
        <f t="shared" si="65"/>
        <v>-29119.439999999995</v>
      </c>
      <c r="BX42" s="195">
        <f t="shared" ref="BX42:CI42" si="66">BX27+BX28+BX29+BX30+BX31+BX32+BX33+BX34+BX35+BX36+BX37+BX38+BX39+BX22+BX23+BX24+BX25</f>
        <v>419818.66072500008</v>
      </c>
      <c r="BY42" s="195">
        <f t="shared" si="66"/>
        <v>-29119.439999999995</v>
      </c>
      <c r="BZ42" s="195">
        <f t="shared" si="66"/>
        <v>419818.66072500008</v>
      </c>
      <c r="CA42" s="195">
        <f t="shared" si="66"/>
        <v>-29119.439999999995</v>
      </c>
      <c r="CB42" s="195">
        <f t="shared" si="66"/>
        <v>419818.66072500008</v>
      </c>
      <c r="CC42" s="195">
        <f t="shared" si="66"/>
        <v>-29119.439999999995</v>
      </c>
      <c r="CD42" s="195">
        <f t="shared" si="66"/>
        <v>419818.66072500008</v>
      </c>
      <c r="CE42" s="195">
        <f t="shared" si="66"/>
        <v>-29119.439999999995</v>
      </c>
      <c r="CF42" s="195">
        <f t="shared" si="66"/>
        <v>419818.66072500008</v>
      </c>
      <c r="CG42" s="195">
        <f t="shared" si="66"/>
        <v>-29119.439999999995</v>
      </c>
      <c r="CH42" s="195">
        <f t="shared" si="66"/>
        <v>-29119.439999999995</v>
      </c>
      <c r="CI42" s="195">
        <f t="shared" si="66"/>
        <v>-29119.439999999995</v>
      </c>
    </row>
    <row r="43" spans="1:87" ht="18.75" x14ac:dyDescent="0.3">
      <c r="A43" s="196"/>
      <c r="B43" s="26"/>
      <c r="C43" s="197"/>
      <c r="D43" s="197"/>
      <c r="E43" s="197"/>
      <c r="F43" s="196"/>
      <c r="G43" s="196"/>
      <c r="H43" s="196"/>
      <c r="I43" s="196"/>
      <c r="J43" s="198" t="s">
        <v>749</v>
      </c>
      <c r="K43" s="199">
        <f>K42-K41</f>
        <v>-119737.00000000003</v>
      </c>
      <c r="L43" s="199">
        <f t="shared" ref="L43:BW43" si="67">L42-L41</f>
        <v>12479.760000000002</v>
      </c>
      <c r="M43" s="199">
        <f t="shared" si="67"/>
        <v>9027.4999999999418</v>
      </c>
      <c r="N43" s="199">
        <f t="shared" si="67"/>
        <v>12479.760000000002</v>
      </c>
      <c r="O43" s="199">
        <f t="shared" si="67"/>
        <v>10442.059999999998</v>
      </c>
      <c r="P43" s="199">
        <f t="shared" si="67"/>
        <v>12479.760000000002</v>
      </c>
      <c r="Q43" s="199">
        <f t="shared" si="67"/>
        <v>11856.619999999995</v>
      </c>
      <c r="R43" s="199">
        <f t="shared" si="67"/>
        <v>12479.760000000002</v>
      </c>
      <c r="S43" s="199">
        <f t="shared" si="67"/>
        <v>12479.760000000009</v>
      </c>
      <c r="T43" s="199">
        <f t="shared" si="67"/>
        <v>12479.759999999995</v>
      </c>
      <c r="U43" s="199">
        <f t="shared" si="67"/>
        <v>12479.760000000009</v>
      </c>
      <c r="V43" s="199">
        <f t="shared" si="67"/>
        <v>12479.760000000002</v>
      </c>
      <c r="W43" s="199">
        <f t="shared" si="67"/>
        <v>12479.760000000002</v>
      </c>
      <c r="X43" s="199">
        <f t="shared" si="67"/>
        <v>12479.759999999998</v>
      </c>
      <c r="Y43" s="199">
        <f t="shared" si="67"/>
        <v>12479.760000000009</v>
      </c>
      <c r="Z43" s="199">
        <f t="shared" si="67"/>
        <v>12479.760000000002</v>
      </c>
      <c r="AA43" s="199">
        <f t="shared" si="67"/>
        <v>12479.760000000009</v>
      </c>
      <c r="AB43" s="199">
        <f t="shared" si="67"/>
        <v>12479.759999999995</v>
      </c>
      <c r="AC43" s="199">
        <f t="shared" si="67"/>
        <v>12479.760000000009</v>
      </c>
      <c r="AD43" s="199">
        <f t="shared" si="67"/>
        <v>12479.760000000002</v>
      </c>
      <c r="AE43" s="199">
        <f t="shared" si="67"/>
        <v>12479.760000000009</v>
      </c>
      <c r="AF43" s="199">
        <f t="shared" si="67"/>
        <v>12479.760000000002</v>
      </c>
      <c r="AG43" s="199">
        <f t="shared" si="67"/>
        <v>12479.759999999951</v>
      </c>
      <c r="AH43" s="199">
        <f t="shared" si="67"/>
        <v>12479.759999999998</v>
      </c>
      <c r="AI43" s="199">
        <f t="shared" si="67"/>
        <v>12479.760000000038</v>
      </c>
      <c r="AJ43" s="199">
        <f t="shared" si="67"/>
        <v>12479.759999999998</v>
      </c>
      <c r="AK43" s="199">
        <f t="shared" si="67"/>
        <v>12479.75999999998</v>
      </c>
      <c r="AL43" s="199">
        <f t="shared" si="67"/>
        <v>12479.759999999998</v>
      </c>
      <c r="AM43" s="199">
        <f t="shared" si="67"/>
        <v>12479.759999999998</v>
      </c>
      <c r="AN43" s="199">
        <f t="shared" si="67"/>
        <v>12479.760000000009</v>
      </c>
      <c r="AO43" s="199">
        <f t="shared" si="67"/>
        <v>12479.759999999998</v>
      </c>
      <c r="AP43" s="199">
        <f t="shared" si="67"/>
        <v>12479.760000000009</v>
      </c>
      <c r="AQ43" s="199">
        <f t="shared" si="67"/>
        <v>12479.760000000002</v>
      </c>
      <c r="AR43" s="199">
        <f t="shared" si="67"/>
        <v>12479.760000000009</v>
      </c>
      <c r="AS43" s="199">
        <f t="shared" si="67"/>
        <v>12479.759999999998</v>
      </c>
      <c r="AT43" s="199">
        <f t="shared" si="67"/>
        <v>12479.760000000009</v>
      </c>
      <c r="AU43" s="199">
        <f t="shared" si="67"/>
        <v>12479.759999999998</v>
      </c>
      <c r="AV43" s="199">
        <f t="shared" si="67"/>
        <v>12479.75999999998</v>
      </c>
      <c r="AW43" s="199">
        <f t="shared" si="67"/>
        <v>12479.760000000002</v>
      </c>
      <c r="AX43" s="199">
        <f t="shared" si="67"/>
        <v>12479.759999999951</v>
      </c>
      <c r="AY43" s="199">
        <f t="shared" si="67"/>
        <v>12479.759999999998</v>
      </c>
      <c r="AZ43" s="199">
        <f t="shared" si="67"/>
        <v>12479.75999999998</v>
      </c>
      <c r="BA43" s="199">
        <f t="shared" si="67"/>
        <v>12479.760000000002</v>
      </c>
      <c r="BB43" s="199">
        <f t="shared" si="67"/>
        <v>12479.760000000002</v>
      </c>
      <c r="BC43" s="199">
        <f t="shared" si="67"/>
        <v>12479.759999999998</v>
      </c>
      <c r="BD43" s="199">
        <f t="shared" si="67"/>
        <v>12479.760000000009</v>
      </c>
      <c r="BE43" s="199">
        <f t="shared" si="67"/>
        <v>12479.759999999998</v>
      </c>
      <c r="BF43" s="199">
        <f t="shared" si="67"/>
        <v>12479.75999999998</v>
      </c>
      <c r="BG43" s="199">
        <f t="shared" si="67"/>
        <v>12479.760000000002</v>
      </c>
      <c r="BH43" s="199">
        <f t="shared" si="67"/>
        <v>12479.760000000009</v>
      </c>
      <c r="BI43" s="199">
        <f t="shared" si="67"/>
        <v>12479.760000000002</v>
      </c>
      <c r="BJ43" s="199">
        <f t="shared" si="67"/>
        <v>12479.760000000009</v>
      </c>
      <c r="BK43" s="199">
        <f t="shared" si="67"/>
        <v>12479.760000000002</v>
      </c>
      <c r="BL43" s="199">
        <f t="shared" si="67"/>
        <v>12479.760000000009</v>
      </c>
      <c r="BM43" s="199">
        <f t="shared" si="67"/>
        <v>12479.760000000002</v>
      </c>
      <c r="BN43" s="199">
        <f t="shared" si="67"/>
        <v>12479.760000000009</v>
      </c>
      <c r="BO43" s="199">
        <f t="shared" si="67"/>
        <v>12479.760000000002</v>
      </c>
      <c r="BP43" s="199">
        <f t="shared" si="67"/>
        <v>12479.760000000009</v>
      </c>
      <c r="BQ43" s="199">
        <f t="shared" si="67"/>
        <v>12479.760000000002</v>
      </c>
      <c r="BR43" s="199">
        <f t="shared" si="67"/>
        <v>12479.760000000002</v>
      </c>
      <c r="BS43" s="199">
        <f t="shared" si="67"/>
        <v>12479.760000000002</v>
      </c>
      <c r="BT43" s="199">
        <f t="shared" si="67"/>
        <v>12479.760000000009</v>
      </c>
      <c r="BU43" s="199">
        <f t="shared" si="67"/>
        <v>12479.760000000002</v>
      </c>
      <c r="BV43" s="199">
        <f t="shared" si="67"/>
        <v>12479.760000000009</v>
      </c>
      <c r="BW43" s="199">
        <f t="shared" si="67"/>
        <v>12479.760000000002</v>
      </c>
      <c r="BX43" s="199">
        <f t="shared" ref="BX43:CI43" si="68">BX42-BX41</f>
        <v>12479.760000000009</v>
      </c>
      <c r="BY43" s="199">
        <f t="shared" si="68"/>
        <v>12479.760000000002</v>
      </c>
      <c r="BZ43" s="199">
        <f t="shared" si="68"/>
        <v>12479.760000000009</v>
      </c>
      <c r="CA43" s="199">
        <f t="shared" si="68"/>
        <v>12479.760000000002</v>
      </c>
      <c r="CB43" s="199">
        <f t="shared" si="68"/>
        <v>12479.760000000009</v>
      </c>
      <c r="CC43" s="199">
        <f t="shared" si="68"/>
        <v>12479.760000000002</v>
      </c>
      <c r="CD43" s="199">
        <f t="shared" si="68"/>
        <v>12479.760000000009</v>
      </c>
      <c r="CE43" s="199">
        <f t="shared" si="68"/>
        <v>12479.760000000002</v>
      </c>
      <c r="CF43" s="199">
        <f t="shared" si="68"/>
        <v>12479.760000000009</v>
      </c>
      <c r="CG43" s="199">
        <f t="shared" si="68"/>
        <v>12479.760000000002</v>
      </c>
      <c r="CH43" s="199">
        <f t="shared" si="68"/>
        <v>12479.760000000002</v>
      </c>
      <c r="CI43" s="199">
        <f t="shared" si="68"/>
        <v>12479.760000000002</v>
      </c>
    </row>
    <row r="44" spans="1:87" ht="18.75" x14ac:dyDescent="0.3">
      <c r="A44" s="196"/>
      <c r="B44" s="26"/>
      <c r="C44" s="197"/>
      <c r="D44" s="197"/>
      <c r="E44" s="197"/>
      <c r="F44" s="196"/>
      <c r="G44" s="196"/>
      <c r="H44" s="196"/>
      <c r="I44" s="196"/>
      <c r="J44" s="200" t="s">
        <v>775</v>
      </c>
      <c r="K44" s="201">
        <f>K43</f>
        <v>-119737.00000000003</v>
      </c>
      <c r="L44" s="201">
        <f>K44+L43</f>
        <v>-107257.24000000002</v>
      </c>
      <c r="M44" s="201">
        <f t="shared" ref="M44:BX44" si="69">L44+M43</f>
        <v>-98229.740000000078</v>
      </c>
      <c r="N44" s="201">
        <f t="shared" si="69"/>
        <v>-85749.980000000069</v>
      </c>
      <c r="O44" s="201">
        <f t="shared" si="69"/>
        <v>-75307.920000000071</v>
      </c>
      <c r="P44" s="201">
        <f t="shared" si="69"/>
        <v>-62828.160000000069</v>
      </c>
      <c r="Q44" s="201">
        <f t="shared" si="69"/>
        <v>-50971.540000000074</v>
      </c>
      <c r="R44" s="201">
        <f t="shared" si="69"/>
        <v>-38491.780000000072</v>
      </c>
      <c r="S44" s="201">
        <f t="shared" si="69"/>
        <v>-26012.020000000062</v>
      </c>
      <c r="T44" s="201">
        <f t="shared" si="69"/>
        <v>-13532.260000000068</v>
      </c>
      <c r="U44" s="201">
        <f t="shared" si="69"/>
        <v>-1052.5000000000582</v>
      </c>
      <c r="V44" s="201">
        <f t="shared" si="69"/>
        <v>11427.259999999944</v>
      </c>
      <c r="W44" s="201">
        <f t="shared" si="69"/>
        <v>23907.019999999946</v>
      </c>
      <c r="X44" s="201">
        <f t="shared" si="69"/>
        <v>36386.779999999941</v>
      </c>
      <c r="Y44" s="201">
        <f t="shared" si="69"/>
        <v>48866.53999999995</v>
      </c>
      <c r="Z44" s="201">
        <f t="shared" si="69"/>
        <v>61346.299999999952</v>
      </c>
      <c r="AA44" s="201">
        <f t="shared" si="69"/>
        <v>73826.059999999969</v>
      </c>
      <c r="AB44" s="201">
        <f t="shared" si="69"/>
        <v>86305.819999999963</v>
      </c>
      <c r="AC44" s="201">
        <f t="shared" si="69"/>
        <v>98785.579999999973</v>
      </c>
      <c r="AD44" s="201">
        <f t="shared" si="69"/>
        <v>111265.33999999997</v>
      </c>
      <c r="AE44" s="201">
        <f t="shared" si="69"/>
        <v>123745.09999999998</v>
      </c>
      <c r="AF44" s="201">
        <f t="shared" si="69"/>
        <v>136224.85999999999</v>
      </c>
      <c r="AG44" s="201">
        <f t="shared" si="69"/>
        <v>148704.61999999994</v>
      </c>
      <c r="AH44" s="201">
        <f t="shared" si="69"/>
        <v>161184.37999999995</v>
      </c>
      <c r="AI44" s="201">
        <f t="shared" si="69"/>
        <v>173664.13999999998</v>
      </c>
      <c r="AJ44" s="201">
        <f t="shared" si="69"/>
        <v>186143.9</v>
      </c>
      <c r="AK44" s="201">
        <f t="shared" si="69"/>
        <v>198623.65999999997</v>
      </c>
      <c r="AL44" s="201">
        <f t="shared" si="69"/>
        <v>211103.41999999998</v>
      </c>
      <c r="AM44" s="201">
        <f t="shared" si="69"/>
        <v>223583.18</v>
      </c>
      <c r="AN44" s="201">
        <f t="shared" si="69"/>
        <v>236062.94</v>
      </c>
      <c r="AO44" s="201">
        <f t="shared" si="69"/>
        <v>248542.7</v>
      </c>
      <c r="AP44" s="201">
        <f t="shared" si="69"/>
        <v>261022.46000000002</v>
      </c>
      <c r="AQ44" s="201">
        <f t="shared" si="69"/>
        <v>273502.22000000003</v>
      </c>
      <c r="AR44" s="201">
        <f t="shared" si="69"/>
        <v>285981.98000000004</v>
      </c>
      <c r="AS44" s="201">
        <f t="shared" si="69"/>
        <v>298461.74000000005</v>
      </c>
      <c r="AT44" s="201">
        <f t="shared" si="69"/>
        <v>310941.50000000006</v>
      </c>
      <c r="AU44" s="201">
        <f t="shared" si="69"/>
        <v>323421.26000000007</v>
      </c>
      <c r="AV44" s="201">
        <f t="shared" si="69"/>
        <v>335901.02</v>
      </c>
      <c r="AW44" s="201">
        <f t="shared" si="69"/>
        <v>348380.78</v>
      </c>
      <c r="AX44" s="201">
        <f t="shared" si="69"/>
        <v>360860.54</v>
      </c>
      <c r="AY44" s="201">
        <f t="shared" si="69"/>
        <v>373340.3</v>
      </c>
      <c r="AZ44" s="201">
        <f t="shared" si="69"/>
        <v>385820.05999999994</v>
      </c>
      <c r="BA44" s="201">
        <f t="shared" si="69"/>
        <v>398299.81999999995</v>
      </c>
      <c r="BB44" s="201">
        <f t="shared" si="69"/>
        <v>410779.57999999996</v>
      </c>
      <c r="BC44" s="201">
        <f t="shared" si="69"/>
        <v>423259.33999999997</v>
      </c>
      <c r="BD44" s="201">
        <f t="shared" si="69"/>
        <v>435739.1</v>
      </c>
      <c r="BE44" s="201">
        <f t="shared" si="69"/>
        <v>448218.86</v>
      </c>
      <c r="BF44" s="201">
        <f t="shared" si="69"/>
        <v>460698.62</v>
      </c>
      <c r="BG44" s="201">
        <f t="shared" si="69"/>
        <v>473178.38</v>
      </c>
      <c r="BH44" s="201">
        <f t="shared" si="69"/>
        <v>485658.14</v>
      </c>
      <c r="BI44" s="201">
        <f t="shared" si="69"/>
        <v>498137.9</v>
      </c>
      <c r="BJ44" s="201">
        <f t="shared" si="69"/>
        <v>510617.66000000003</v>
      </c>
      <c r="BK44" s="201">
        <f t="shared" si="69"/>
        <v>523097.42000000004</v>
      </c>
      <c r="BL44" s="201">
        <f t="shared" si="69"/>
        <v>535577.18000000005</v>
      </c>
      <c r="BM44" s="201">
        <f t="shared" si="69"/>
        <v>548056.94000000006</v>
      </c>
      <c r="BN44" s="201">
        <f t="shared" si="69"/>
        <v>560536.70000000007</v>
      </c>
      <c r="BO44" s="201">
        <f t="shared" si="69"/>
        <v>573016.46000000008</v>
      </c>
      <c r="BP44" s="201">
        <f t="shared" si="69"/>
        <v>585496.22000000009</v>
      </c>
      <c r="BQ44" s="201">
        <f t="shared" si="69"/>
        <v>597975.9800000001</v>
      </c>
      <c r="BR44" s="201">
        <f t="shared" si="69"/>
        <v>610455.74000000011</v>
      </c>
      <c r="BS44" s="201">
        <f t="shared" si="69"/>
        <v>622935.50000000012</v>
      </c>
      <c r="BT44" s="201">
        <f t="shared" si="69"/>
        <v>635415.26000000013</v>
      </c>
      <c r="BU44" s="201">
        <f t="shared" si="69"/>
        <v>647895.02000000014</v>
      </c>
      <c r="BV44" s="201">
        <f t="shared" si="69"/>
        <v>660374.78000000014</v>
      </c>
      <c r="BW44" s="201">
        <f t="shared" si="69"/>
        <v>672854.54000000015</v>
      </c>
      <c r="BX44" s="201">
        <f t="shared" si="69"/>
        <v>685334.30000000016</v>
      </c>
      <c r="BY44" s="201">
        <f t="shared" ref="BY44:CI44" si="70">BX44+BY43</f>
        <v>697814.06000000017</v>
      </c>
      <c r="BZ44" s="201">
        <f t="shared" si="70"/>
        <v>710293.82000000018</v>
      </c>
      <c r="CA44" s="201">
        <f t="shared" si="70"/>
        <v>722773.58000000019</v>
      </c>
      <c r="CB44" s="201">
        <f t="shared" si="70"/>
        <v>735253.3400000002</v>
      </c>
      <c r="CC44" s="201">
        <f t="shared" si="70"/>
        <v>747733.10000000021</v>
      </c>
      <c r="CD44" s="201">
        <f t="shared" si="70"/>
        <v>760212.86000000022</v>
      </c>
      <c r="CE44" s="201">
        <f t="shared" si="70"/>
        <v>772692.62000000023</v>
      </c>
      <c r="CF44" s="201">
        <f t="shared" si="70"/>
        <v>785172.38000000024</v>
      </c>
      <c r="CG44" s="201">
        <f t="shared" si="70"/>
        <v>797652.14000000025</v>
      </c>
      <c r="CH44" s="201">
        <f t="shared" si="70"/>
        <v>810131.90000000026</v>
      </c>
      <c r="CI44" s="201">
        <f t="shared" si="70"/>
        <v>822611.66000000027</v>
      </c>
    </row>
    <row r="45" spans="1:87" x14ac:dyDescent="0.25">
      <c r="A45" s="26"/>
      <c r="B45" s="26"/>
      <c r="C45" s="142"/>
      <c r="D45" s="142"/>
      <c r="E45" s="142"/>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c r="BM45" s="26"/>
      <c r="BN45" s="26"/>
      <c r="BO45" s="26"/>
      <c r="BP45" s="26"/>
      <c r="BQ45" s="26"/>
      <c r="BR45" s="26"/>
      <c r="BS45" s="26"/>
      <c r="BT45" s="26"/>
      <c r="BU45" s="26"/>
      <c r="BV45" s="26"/>
      <c r="BW45" s="26"/>
      <c r="BX45" s="26"/>
      <c r="BY45" s="26"/>
      <c r="BZ45" s="26"/>
      <c r="CA45" s="26"/>
      <c r="CB45" s="26"/>
      <c r="CC45" s="26"/>
      <c r="CD45" s="26"/>
      <c r="CE45" s="26"/>
      <c r="CF45" s="26"/>
      <c r="CG45" s="26"/>
      <c r="CH45" s="26"/>
      <c r="CI45" s="26"/>
    </row>
    <row r="46" spans="1:87" x14ac:dyDescent="0.25">
      <c r="A46" s="26"/>
      <c r="B46" s="26"/>
      <c r="C46" s="142"/>
      <c r="D46" s="142"/>
      <c r="E46" s="142"/>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c r="BM46" s="26"/>
      <c r="BN46" s="26"/>
      <c r="BO46" s="26"/>
      <c r="BP46" s="26"/>
      <c r="BQ46" s="26"/>
      <c r="BR46" s="26"/>
      <c r="BS46" s="26"/>
      <c r="BT46" s="26"/>
      <c r="BU46" s="26"/>
      <c r="BV46" s="26"/>
      <c r="BW46" s="26"/>
      <c r="BX46" s="26"/>
      <c r="BY46" s="26"/>
      <c r="BZ46" s="26"/>
      <c r="CA46" s="26"/>
      <c r="CB46" s="26"/>
      <c r="CC46" s="26"/>
      <c r="CD46" s="26"/>
      <c r="CE46" s="26"/>
      <c r="CF46" s="26"/>
      <c r="CG46" s="26"/>
      <c r="CH46" s="26"/>
      <c r="CI46" s="26"/>
    </row>
    <row r="47" spans="1:87" x14ac:dyDescent="0.25">
      <c r="A47" s="26"/>
      <c r="B47" s="26"/>
      <c r="C47" s="142"/>
      <c r="D47" s="142"/>
      <c r="E47" s="142"/>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c r="BM47" s="26"/>
      <c r="BN47" s="26"/>
      <c r="BO47" s="26"/>
      <c r="BP47" s="26"/>
      <c r="BQ47" s="26"/>
      <c r="BR47" s="26"/>
      <c r="BS47" s="26"/>
      <c r="BT47" s="26"/>
      <c r="BU47" s="26"/>
      <c r="BV47" s="26"/>
      <c r="BW47" s="26"/>
      <c r="BX47" s="26"/>
      <c r="BY47" s="26"/>
      <c r="BZ47" s="26"/>
      <c r="CA47" s="26"/>
      <c r="CB47" s="26"/>
      <c r="CC47" s="26"/>
      <c r="CD47" s="26"/>
      <c r="CE47" s="26"/>
      <c r="CF47" s="26"/>
      <c r="CG47" s="26"/>
      <c r="CH47" s="26"/>
      <c r="CI47" s="26"/>
    </row>
    <row r="48" spans="1:87" x14ac:dyDescent="0.25">
      <c r="A48" s="26"/>
      <c r="B48" s="26"/>
      <c r="C48" s="142"/>
      <c r="D48" s="142"/>
      <c r="E48" s="142"/>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c r="BM48" s="26"/>
      <c r="BN48" s="26"/>
      <c r="BO48" s="26"/>
      <c r="BP48" s="26"/>
      <c r="BQ48" s="26"/>
      <c r="BR48" s="26"/>
      <c r="BS48" s="26"/>
      <c r="BT48" s="26"/>
      <c r="BU48" s="26"/>
      <c r="BV48" s="26"/>
      <c r="BW48" s="26"/>
      <c r="BX48" s="26"/>
      <c r="BY48" s="26"/>
      <c r="BZ48" s="26"/>
      <c r="CA48" s="26"/>
      <c r="CB48" s="26"/>
      <c r="CC48" s="26"/>
      <c r="CD48" s="26"/>
      <c r="CE48" s="26"/>
      <c r="CF48" s="26"/>
      <c r="CG48" s="26"/>
      <c r="CH48" s="26"/>
      <c r="CI48" s="26"/>
    </row>
    <row r="49" spans="1:87" x14ac:dyDescent="0.25">
      <c r="A49" s="26"/>
      <c r="B49" s="26"/>
      <c r="C49" s="142"/>
      <c r="D49" s="142"/>
      <c r="E49" s="142"/>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c r="BM49" s="26"/>
      <c r="BN49" s="26"/>
      <c r="BO49" s="26"/>
      <c r="BP49" s="26"/>
      <c r="BQ49" s="26"/>
      <c r="BR49" s="26"/>
      <c r="BS49" s="26"/>
      <c r="BT49" s="26"/>
      <c r="BU49" s="26"/>
      <c r="BV49" s="26"/>
      <c r="BW49" s="26"/>
      <c r="BX49" s="26"/>
      <c r="BY49" s="26"/>
      <c r="BZ49" s="26"/>
      <c r="CA49" s="26"/>
      <c r="CB49" s="26"/>
      <c r="CC49" s="26"/>
      <c r="CD49" s="26"/>
      <c r="CE49" s="26"/>
      <c r="CF49" s="26"/>
      <c r="CG49" s="26"/>
      <c r="CH49" s="26"/>
      <c r="CI49" s="26"/>
    </row>
    <row r="50" spans="1:87" x14ac:dyDescent="0.25">
      <c r="A50" s="26"/>
      <c r="B50" s="26"/>
      <c r="C50" s="142"/>
      <c r="D50" s="142"/>
      <c r="E50" s="142"/>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c r="BM50" s="26"/>
      <c r="BN50" s="26"/>
      <c r="BO50" s="26"/>
      <c r="BP50" s="26"/>
      <c r="BQ50" s="26"/>
      <c r="BR50" s="26"/>
      <c r="BS50" s="26"/>
      <c r="BT50" s="26"/>
      <c r="BU50" s="26"/>
      <c r="BV50" s="26"/>
      <c r="BW50" s="26"/>
      <c r="BX50" s="26"/>
      <c r="BY50" s="26"/>
      <c r="BZ50" s="26"/>
      <c r="CA50" s="26"/>
      <c r="CB50" s="26"/>
      <c r="CC50" s="26"/>
      <c r="CD50" s="26"/>
      <c r="CE50" s="26"/>
      <c r="CF50" s="26"/>
      <c r="CG50" s="26"/>
      <c r="CH50" s="26"/>
      <c r="CI50" s="26"/>
    </row>
    <row r="51" spans="1:87" x14ac:dyDescent="0.25">
      <c r="A51" s="26"/>
      <c r="B51" s="26"/>
      <c r="C51" s="142"/>
      <c r="D51" s="142"/>
      <c r="E51" s="142"/>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c r="BL51" s="26"/>
      <c r="BM51" s="26"/>
      <c r="BN51" s="26"/>
      <c r="BO51" s="26"/>
      <c r="BP51" s="26"/>
      <c r="BQ51" s="26"/>
      <c r="BR51" s="26"/>
      <c r="BS51" s="26"/>
      <c r="BT51" s="26"/>
      <c r="BU51" s="26"/>
      <c r="BV51" s="26"/>
      <c r="BW51" s="26"/>
      <c r="BX51" s="26"/>
      <c r="BY51" s="26"/>
      <c r="BZ51" s="26"/>
      <c r="CA51" s="26"/>
      <c r="CB51" s="26"/>
      <c r="CC51" s="26"/>
      <c r="CD51" s="26"/>
      <c r="CE51" s="26"/>
      <c r="CF51" s="26"/>
      <c r="CG51" s="26"/>
      <c r="CH51" s="26"/>
      <c r="CI51" s="26"/>
    </row>
    <row r="52" spans="1:87" x14ac:dyDescent="0.25">
      <c r="A52" s="26"/>
      <c r="B52" s="26"/>
      <c r="C52" s="142"/>
      <c r="D52" s="142"/>
      <c r="E52" s="142"/>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c r="BG52" s="26"/>
      <c r="BH52" s="26"/>
      <c r="BI52" s="26"/>
      <c r="BJ52" s="26"/>
      <c r="BK52" s="26"/>
      <c r="BL52" s="26"/>
      <c r="BM52" s="26"/>
      <c r="BN52" s="26"/>
      <c r="BO52" s="26"/>
      <c r="BP52" s="26"/>
      <c r="BQ52" s="26"/>
      <c r="BR52" s="26"/>
      <c r="BS52" s="26"/>
      <c r="BT52" s="26"/>
      <c r="BU52" s="26"/>
      <c r="BV52" s="26"/>
      <c r="BW52" s="26"/>
      <c r="BX52" s="26"/>
      <c r="BY52" s="26"/>
      <c r="BZ52" s="26"/>
      <c r="CA52" s="26"/>
      <c r="CB52" s="26"/>
      <c r="CC52" s="26"/>
      <c r="CD52" s="26"/>
      <c r="CE52" s="26"/>
      <c r="CF52" s="26"/>
      <c r="CG52" s="26"/>
      <c r="CH52" s="26"/>
      <c r="CI52" s="26"/>
    </row>
    <row r="53" spans="1:87" x14ac:dyDescent="0.25">
      <c r="A53" s="26"/>
      <c r="B53" s="26"/>
      <c r="C53" s="142"/>
      <c r="D53" s="142"/>
      <c r="E53" s="142"/>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c r="BM53" s="26"/>
      <c r="BN53" s="26"/>
      <c r="BO53" s="26"/>
      <c r="BP53" s="26"/>
      <c r="BQ53" s="26"/>
      <c r="BR53" s="26"/>
      <c r="BS53" s="26"/>
      <c r="BT53" s="26"/>
      <c r="BU53" s="26"/>
      <c r="BV53" s="26"/>
      <c r="BW53" s="26"/>
      <c r="BX53" s="26"/>
      <c r="BY53" s="26"/>
      <c r="BZ53" s="26"/>
      <c r="CA53" s="26"/>
      <c r="CB53" s="26"/>
      <c r="CC53" s="26"/>
      <c r="CD53" s="26"/>
      <c r="CE53" s="26"/>
      <c r="CF53" s="26"/>
      <c r="CG53" s="26"/>
      <c r="CH53" s="26"/>
      <c r="CI53" s="26"/>
    </row>
    <row r="54" spans="1:87" x14ac:dyDescent="0.25">
      <c r="A54" s="26"/>
      <c r="B54" s="26"/>
      <c r="C54" s="142"/>
      <c r="D54" s="142"/>
      <c r="E54" s="142"/>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c r="BG54" s="26"/>
      <c r="BH54" s="26"/>
      <c r="BI54" s="26"/>
      <c r="BJ54" s="26"/>
      <c r="BK54" s="26"/>
      <c r="BL54" s="26"/>
      <c r="BM54" s="26"/>
      <c r="BN54" s="26"/>
      <c r="BO54" s="26"/>
      <c r="BP54" s="26"/>
      <c r="BQ54" s="26"/>
      <c r="BR54" s="26"/>
      <c r="BS54" s="26"/>
      <c r="BT54" s="26"/>
      <c r="BU54" s="26"/>
      <c r="BV54" s="26"/>
      <c r="BW54" s="26"/>
      <c r="BX54" s="26"/>
      <c r="BY54" s="26"/>
      <c r="BZ54" s="26"/>
      <c r="CA54" s="26"/>
      <c r="CB54" s="26"/>
      <c r="CC54" s="26"/>
      <c r="CD54" s="26"/>
      <c r="CE54" s="26"/>
      <c r="CF54" s="26"/>
      <c r="CG54" s="26"/>
      <c r="CH54" s="26"/>
      <c r="CI54" s="26"/>
    </row>
    <row r="55" spans="1:87" x14ac:dyDescent="0.25">
      <c r="A55" s="26"/>
      <c r="B55" s="26"/>
      <c r="C55" s="142"/>
      <c r="D55" s="142"/>
      <c r="E55" s="142"/>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c r="BM55" s="26"/>
      <c r="BN55" s="26"/>
      <c r="BO55" s="26"/>
      <c r="BP55" s="26"/>
      <c r="BQ55" s="26"/>
      <c r="BR55" s="26"/>
      <c r="BS55" s="26"/>
      <c r="BT55" s="26"/>
      <c r="BU55" s="26"/>
      <c r="BV55" s="26"/>
      <c r="BW55" s="26"/>
      <c r="BX55" s="26"/>
      <c r="BY55" s="26"/>
      <c r="BZ55" s="26"/>
      <c r="CA55" s="26"/>
      <c r="CB55" s="26"/>
      <c r="CC55" s="26"/>
      <c r="CD55" s="26"/>
      <c r="CE55" s="26"/>
      <c r="CF55" s="26"/>
      <c r="CG55" s="26"/>
      <c r="CH55" s="26"/>
      <c r="CI55" s="26"/>
    </row>
    <row r="56" spans="1:87" x14ac:dyDescent="0.25">
      <c r="A56" s="26"/>
      <c r="B56" s="26"/>
      <c r="C56" s="142"/>
      <c r="D56" s="142"/>
      <c r="E56" s="142"/>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c r="BM56" s="26"/>
      <c r="BN56" s="26"/>
      <c r="BO56" s="26"/>
      <c r="BP56" s="26"/>
      <c r="BQ56" s="26"/>
      <c r="BR56" s="26"/>
      <c r="BS56" s="26"/>
      <c r="BT56" s="26"/>
      <c r="BU56" s="26"/>
      <c r="BV56" s="26"/>
      <c r="BW56" s="26"/>
      <c r="BX56" s="26"/>
      <c r="BY56" s="26"/>
      <c r="BZ56" s="26"/>
      <c r="CA56" s="26"/>
      <c r="CB56" s="26"/>
      <c r="CC56" s="26"/>
      <c r="CD56" s="26"/>
      <c r="CE56" s="26"/>
      <c r="CF56" s="26"/>
      <c r="CG56" s="26"/>
      <c r="CH56" s="26"/>
      <c r="CI56" s="26"/>
    </row>
    <row r="57" spans="1:87" x14ac:dyDescent="0.25">
      <c r="A57" s="26"/>
      <c r="B57" s="26"/>
      <c r="C57" s="142"/>
      <c r="D57" s="142"/>
      <c r="E57" s="142"/>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26"/>
      <c r="BG57" s="26"/>
      <c r="BH57" s="26"/>
      <c r="BI57" s="26"/>
      <c r="BJ57" s="26"/>
      <c r="BK57" s="26"/>
      <c r="BL57" s="26"/>
      <c r="BM57" s="26"/>
      <c r="BN57" s="26"/>
      <c r="BO57" s="26"/>
      <c r="BP57" s="26"/>
      <c r="BQ57" s="26"/>
      <c r="BR57" s="26"/>
      <c r="BS57" s="26"/>
      <c r="BT57" s="26"/>
      <c r="BU57" s="26"/>
      <c r="BV57" s="26"/>
      <c r="BW57" s="26"/>
      <c r="BX57" s="26"/>
      <c r="BY57" s="26"/>
      <c r="BZ57" s="26"/>
      <c r="CA57" s="26"/>
      <c r="CB57" s="26"/>
      <c r="CC57" s="26"/>
      <c r="CD57" s="26"/>
      <c r="CE57" s="26"/>
      <c r="CF57" s="26"/>
      <c r="CG57" s="26"/>
      <c r="CH57" s="26"/>
      <c r="CI57" s="26"/>
    </row>
    <row r="58" spans="1:87" x14ac:dyDescent="0.25">
      <c r="A58" s="26"/>
      <c r="B58" s="26"/>
      <c r="C58" s="142"/>
      <c r="D58" s="142"/>
      <c r="E58" s="142"/>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c r="AZ58" s="26"/>
      <c r="BA58" s="26"/>
      <c r="BB58" s="26"/>
      <c r="BC58" s="26"/>
      <c r="BD58" s="26"/>
      <c r="BE58" s="26"/>
      <c r="BF58" s="26"/>
      <c r="BG58" s="26"/>
      <c r="BH58" s="26"/>
      <c r="BI58" s="26"/>
      <c r="BJ58" s="26"/>
      <c r="BK58" s="26"/>
      <c r="BL58" s="26"/>
      <c r="BM58" s="26"/>
      <c r="BN58" s="26"/>
      <c r="BO58" s="26"/>
      <c r="BP58" s="26"/>
      <c r="BQ58" s="26"/>
      <c r="BR58" s="26"/>
      <c r="BS58" s="26"/>
      <c r="BT58" s="26"/>
      <c r="BU58" s="26"/>
      <c r="BV58" s="26"/>
      <c r="BW58" s="26"/>
      <c r="BX58" s="26"/>
      <c r="BY58" s="26"/>
      <c r="BZ58" s="26"/>
      <c r="CA58" s="26"/>
      <c r="CB58" s="26"/>
      <c r="CC58" s="26"/>
      <c r="CD58" s="26"/>
      <c r="CE58" s="26"/>
      <c r="CF58" s="26"/>
      <c r="CG58" s="26"/>
      <c r="CH58" s="26"/>
      <c r="CI58" s="26"/>
    </row>
    <row r="59" spans="1:87" x14ac:dyDescent="0.25">
      <c r="A59" s="26"/>
      <c r="B59" s="26"/>
      <c r="C59" s="142"/>
      <c r="D59" s="142"/>
      <c r="E59" s="142"/>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c r="AK59" s="26"/>
      <c r="AL59" s="26"/>
      <c r="AM59" s="26"/>
      <c r="AN59" s="26"/>
      <c r="AO59" s="26"/>
      <c r="AP59" s="26"/>
      <c r="AQ59" s="26"/>
      <c r="AR59" s="26"/>
      <c r="AS59" s="26"/>
      <c r="AT59" s="26"/>
      <c r="AU59" s="26"/>
      <c r="AV59" s="26"/>
      <c r="AW59" s="26"/>
      <c r="AX59" s="26"/>
      <c r="AY59" s="26"/>
      <c r="AZ59" s="26"/>
      <c r="BA59" s="26"/>
      <c r="BB59" s="26"/>
      <c r="BC59" s="26"/>
      <c r="BD59" s="26"/>
      <c r="BE59" s="26"/>
      <c r="BF59" s="26"/>
      <c r="BG59" s="26"/>
      <c r="BH59" s="26"/>
      <c r="BI59" s="26"/>
      <c r="BJ59" s="26"/>
      <c r="BK59" s="26"/>
      <c r="BL59" s="26"/>
      <c r="BM59" s="26"/>
      <c r="BN59" s="26"/>
      <c r="BO59" s="26"/>
      <c r="BP59" s="26"/>
      <c r="BQ59" s="26"/>
      <c r="BR59" s="26"/>
      <c r="BS59" s="26"/>
      <c r="BT59" s="26"/>
      <c r="BU59" s="26"/>
      <c r="BV59" s="26"/>
      <c r="BW59" s="26"/>
      <c r="BX59" s="26"/>
      <c r="BY59" s="26"/>
      <c r="BZ59" s="26"/>
      <c r="CA59" s="26"/>
      <c r="CB59" s="26"/>
      <c r="CC59" s="26"/>
      <c r="CD59" s="26"/>
      <c r="CE59" s="26"/>
      <c r="CF59" s="26"/>
      <c r="CG59" s="26"/>
      <c r="CH59" s="26"/>
      <c r="CI59" s="26"/>
    </row>
    <row r="60" spans="1:87" x14ac:dyDescent="0.25">
      <c r="A60" s="26"/>
      <c r="B60" s="26"/>
      <c r="C60" s="142"/>
      <c r="D60" s="142"/>
      <c r="E60" s="142"/>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c r="AK60" s="26"/>
      <c r="AL60" s="26"/>
      <c r="AM60" s="26"/>
      <c r="AN60" s="26"/>
      <c r="AO60" s="26"/>
      <c r="AP60" s="26"/>
      <c r="AQ60" s="26"/>
      <c r="AR60" s="26"/>
      <c r="AS60" s="26"/>
      <c r="AT60" s="26"/>
      <c r="AU60" s="26"/>
      <c r="AV60" s="26"/>
      <c r="AW60" s="26"/>
      <c r="AX60" s="26"/>
      <c r="AY60" s="26"/>
      <c r="AZ60" s="26"/>
      <c r="BA60" s="26"/>
      <c r="BB60" s="26"/>
      <c r="BC60" s="26"/>
      <c r="BD60" s="26"/>
      <c r="BE60" s="26"/>
      <c r="BF60" s="26"/>
      <c r="BG60" s="26"/>
      <c r="BH60" s="26"/>
      <c r="BI60" s="26"/>
      <c r="BJ60" s="26"/>
      <c r="BK60" s="26"/>
      <c r="BL60" s="26"/>
      <c r="BM60" s="26"/>
      <c r="BN60" s="26"/>
      <c r="BO60" s="26"/>
      <c r="BP60" s="26"/>
      <c r="BQ60" s="26"/>
      <c r="BR60" s="26"/>
      <c r="BS60" s="26"/>
      <c r="BT60" s="26"/>
      <c r="BU60" s="26"/>
      <c r="BV60" s="26"/>
      <c r="BW60" s="26"/>
      <c r="BX60" s="26"/>
      <c r="BY60" s="26"/>
      <c r="BZ60" s="26"/>
      <c r="CA60" s="26"/>
      <c r="CB60" s="26"/>
      <c r="CC60" s="26"/>
      <c r="CD60" s="26"/>
      <c r="CE60" s="26"/>
      <c r="CF60" s="26"/>
      <c r="CG60" s="26"/>
      <c r="CH60" s="26"/>
      <c r="CI60" s="26"/>
    </row>
    <row r="61" spans="1:87" x14ac:dyDescent="0.25">
      <c r="A61" s="26"/>
      <c r="B61" s="26"/>
      <c r="C61" s="142"/>
      <c r="D61" s="142"/>
      <c r="E61" s="142"/>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6"/>
      <c r="AZ61" s="26"/>
      <c r="BA61" s="26"/>
      <c r="BB61" s="26"/>
      <c r="BC61" s="26"/>
      <c r="BD61" s="26"/>
      <c r="BE61" s="26"/>
      <c r="BF61" s="26"/>
      <c r="BG61" s="26"/>
      <c r="BH61" s="26"/>
      <c r="BI61" s="26"/>
      <c r="BJ61" s="26"/>
      <c r="BK61" s="26"/>
      <c r="BL61" s="26"/>
      <c r="BM61" s="26"/>
      <c r="BN61" s="26"/>
      <c r="BO61" s="26"/>
      <c r="BP61" s="26"/>
      <c r="BQ61" s="26"/>
      <c r="BR61" s="26"/>
      <c r="BS61" s="26"/>
      <c r="BT61" s="26"/>
      <c r="BU61" s="26"/>
      <c r="BV61" s="26"/>
      <c r="BW61" s="26"/>
      <c r="BX61" s="26"/>
      <c r="BY61" s="26"/>
      <c r="BZ61" s="26"/>
      <c r="CA61" s="26"/>
      <c r="CB61" s="26"/>
      <c r="CC61" s="26"/>
      <c r="CD61" s="26"/>
      <c r="CE61" s="26"/>
      <c r="CF61" s="26"/>
      <c r="CG61" s="26"/>
      <c r="CH61" s="26"/>
      <c r="CI61" s="26"/>
    </row>
    <row r="62" spans="1:87" x14ac:dyDescent="0.25">
      <c r="A62" s="26"/>
      <c r="B62" s="26"/>
      <c r="C62" s="142"/>
      <c r="D62" s="142"/>
      <c r="E62" s="142"/>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c r="AK62" s="26"/>
      <c r="AL62" s="26"/>
      <c r="AM62" s="26"/>
      <c r="AN62" s="26"/>
      <c r="AO62" s="26"/>
      <c r="AP62" s="26"/>
      <c r="AQ62" s="26"/>
      <c r="AR62" s="26"/>
      <c r="AS62" s="26"/>
      <c r="AT62" s="26"/>
      <c r="AU62" s="26"/>
      <c r="AV62" s="26"/>
      <c r="AW62" s="26"/>
      <c r="AX62" s="26"/>
      <c r="AY62" s="26"/>
      <c r="AZ62" s="26"/>
      <c r="BA62" s="26"/>
      <c r="BB62" s="26"/>
      <c r="BC62" s="26"/>
      <c r="BD62" s="26"/>
      <c r="BE62" s="26"/>
      <c r="BF62" s="26"/>
      <c r="BG62" s="26"/>
      <c r="BH62" s="26"/>
      <c r="BI62" s="26"/>
      <c r="BJ62" s="26"/>
      <c r="BK62" s="26"/>
      <c r="BL62" s="26"/>
      <c r="BM62" s="26"/>
      <c r="BN62" s="26"/>
      <c r="BO62" s="26"/>
      <c r="BP62" s="26"/>
      <c r="BQ62" s="26"/>
      <c r="BR62" s="26"/>
      <c r="BS62" s="26"/>
      <c r="BT62" s="26"/>
      <c r="BU62" s="26"/>
      <c r="BV62" s="26"/>
      <c r="BW62" s="26"/>
      <c r="BX62" s="26"/>
      <c r="BY62" s="26"/>
      <c r="BZ62" s="26"/>
      <c r="CA62" s="26"/>
      <c r="CB62" s="26"/>
      <c r="CC62" s="26"/>
      <c r="CD62" s="26"/>
      <c r="CE62" s="26"/>
      <c r="CF62" s="26"/>
      <c r="CG62" s="26"/>
      <c r="CH62" s="26"/>
      <c r="CI62" s="26"/>
    </row>
    <row r="63" spans="1:87" x14ac:dyDescent="0.25">
      <c r="A63" s="26"/>
      <c r="B63" s="26"/>
      <c r="C63" s="142"/>
      <c r="D63" s="142"/>
      <c r="E63" s="142"/>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c r="AK63" s="26"/>
      <c r="AL63" s="26"/>
      <c r="AM63" s="26"/>
      <c r="AN63" s="26"/>
      <c r="AO63" s="26"/>
      <c r="AP63" s="26"/>
      <c r="AQ63" s="26"/>
      <c r="AR63" s="26"/>
      <c r="AS63" s="26"/>
      <c r="AT63" s="26"/>
      <c r="AU63" s="26"/>
      <c r="AV63" s="26"/>
      <c r="AW63" s="26"/>
      <c r="AX63" s="26"/>
      <c r="AY63" s="26"/>
      <c r="AZ63" s="26"/>
      <c r="BA63" s="26"/>
      <c r="BB63" s="26"/>
      <c r="BC63" s="26"/>
      <c r="BD63" s="26"/>
      <c r="BE63" s="26"/>
      <c r="BF63" s="26"/>
      <c r="BG63" s="26"/>
      <c r="BH63" s="26"/>
      <c r="BI63" s="26"/>
      <c r="BJ63" s="26"/>
      <c r="BK63" s="26"/>
      <c r="BL63" s="26"/>
      <c r="BM63" s="26"/>
      <c r="BN63" s="26"/>
      <c r="BO63" s="26"/>
      <c r="BP63" s="26"/>
      <c r="BQ63" s="26"/>
      <c r="BR63" s="26"/>
      <c r="BS63" s="26"/>
      <c r="BT63" s="26"/>
      <c r="BU63" s="26"/>
      <c r="BV63" s="26"/>
      <c r="BW63" s="26"/>
      <c r="BX63" s="26"/>
      <c r="BY63" s="26"/>
      <c r="BZ63" s="26"/>
      <c r="CA63" s="26"/>
      <c r="CB63" s="26"/>
      <c r="CC63" s="26"/>
      <c r="CD63" s="26"/>
      <c r="CE63" s="26"/>
      <c r="CF63" s="26"/>
      <c r="CG63" s="26"/>
      <c r="CH63" s="26"/>
      <c r="CI63" s="26"/>
    </row>
    <row r="64" spans="1:87" x14ac:dyDescent="0.25">
      <c r="A64" s="26"/>
      <c r="B64" s="26"/>
      <c r="C64" s="142"/>
      <c r="D64" s="142"/>
      <c r="E64" s="142"/>
      <c r="F64" s="26"/>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c r="AY64" s="26"/>
      <c r="AZ64" s="26"/>
      <c r="BA64" s="26"/>
      <c r="BB64" s="26"/>
      <c r="BC64" s="26"/>
      <c r="BD64" s="26"/>
      <c r="BE64" s="26"/>
      <c r="BF64" s="26"/>
      <c r="BG64" s="26"/>
      <c r="BH64" s="26"/>
      <c r="BI64" s="26"/>
      <c r="BJ64" s="26"/>
      <c r="BK64" s="26"/>
      <c r="BL64" s="26"/>
      <c r="BM64" s="26"/>
      <c r="BN64" s="26"/>
      <c r="BO64" s="26"/>
      <c r="BP64" s="26"/>
      <c r="BQ64" s="26"/>
      <c r="BR64" s="26"/>
      <c r="BS64" s="26"/>
      <c r="BT64" s="26"/>
      <c r="BU64" s="26"/>
      <c r="BV64" s="26"/>
      <c r="BW64" s="26"/>
      <c r="BX64" s="26"/>
      <c r="BY64" s="26"/>
      <c r="BZ64" s="26"/>
      <c r="CA64" s="26"/>
      <c r="CB64" s="26"/>
      <c r="CC64" s="26"/>
      <c r="CD64" s="26"/>
      <c r="CE64" s="26"/>
      <c r="CF64" s="26"/>
      <c r="CG64" s="26"/>
      <c r="CH64" s="26"/>
      <c r="CI64" s="26"/>
    </row>
    <row r="65" spans="1:87" x14ac:dyDescent="0.25">
      <c r="A65" s="26"/>
      <c r="B65" s="26"/>
      <c r="C65" s="142"/>
      <c r="D65" s="142"/>
      <c r="E65" s="142"/>
      <c r="F65" s="26"/>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c r="AY65" s="26"/>
      <c r="AZ65" s="26"/>
      <c r="BA65" s="26"/>
      <c r="BB65" s="26"/>
      <c r="BC65" s="26"/>
      <c r="BD65" s="26"/>
      <c r="BE65" s="26"/>
      <c r="BF65" s="26"/>
      <c r="BG65" s="26"/>
      <c r="BH65" s="26"/>
      <c r="BI65" s="26"/>
      <c r="BJ65" s="26"/>
      <c r="BK65" s="26"/>
      <c r="BL65" s="26"/>
      <c r="BM65" s="26"/>
      <c r="BN65" s="26"/>
      <c r="BO65" s="26"/>
      <c r="BP65" s="26"/>
      <c r="BQ65" s="26"/>
      <c r="BR65" s="26"/>
      <c r="BS65" s="26"/>
      <c r="BT65" s="26"/>
      <c r="BU65" s="26"/>
      <c r="BV65" s="26"/>
      <c r="BW65" s="26"/>
      <c r="BX65" s="26"/>
      <c r="BY65" s="26"/>
      <c r="BZ65" s="26"/>
      <c r="CA65" s="26"/>
      <c r="CB65" s="26"/>
      <c r="CC65" s="26"/>
      <c r="CD65" s="26"/>
      <c r="CE65" s="26"/>
      <c r="CF65" s="26"/>
      <c r="CG65" s="26"/>
      <c r="CH65" s="26"/>
      <c r="CI65" s="26"/>
    </row>
    <row r="66" spans="1:87" x14ac:dyDescent="0.25">
      <c r="A66" s="26"/>
      <c r="B66" s="26"/>
      <c r="C66" s="142"/>
      <c r="D66" s="142"/>
      <c r="E66" s="142"/>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6"/>
      <c r="AZ66" s="26"/>
      <c r="BA66" s="26"/>
      <c r="BB66" s="26"/>
      <c r="BC66" s="26"/>
      <c r="BD66" s="26"/>
      <c r="BE66" s="26"/>
      <c r="BF66" s="26"/>
      <c r="BG66" s="26"/>
      <c r="BH66" s="26"/>
      <c r="BI66" s="26"/>
      <c r="BJ66" s="26"/>
      <c r="BK66" s="26"/>
      <c r="BL66" s="26"/>
      <c r="BM66" s="26"/>
      <c r="BN66" s="26"/>
      <c r="BO66" s="26"/>
      <c r="BP66" s="26"/>
      <c r="BQ66" s="26"/>
      <c r="BR66" s="26"/>
      <c r="BS66" s="26"/>
      <c r="BT66" s="26"/>
      <c r="BU66" s="26"/>
      <c r="BV66" s="26"/>
      <c r="BW66" s="26"/>
      <c r="BX66" s="26"/>
      <c r="BY66" s="26"/>
      <c r="BZ66" s="26"/>
      <c r="CA66" s="26"/>
      <c r="CB66" s="26"/>
      <c r="CC66" s="26"/>
      <c r="CD66" s="26"/>
      <c r="CE66" s="26"/>
      <c r="CF66" s="26"/>
      <c r="CG66" s="26"/>
      <c r="CH66" s="26"/>
      <c r="CI66" s="26"/>
    </row>
    <row r="67" spans="1:87" x14ac:dyDescent="0.25">
      <c r="A67" s="26"/>
      <c r="B67" s="26"/>
      <c r="C67" s="142"/>
      <c r="D67" s="142"/>
      <c r="E67" s="142"/>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c r="AK67" s="26"/>
      <c r="AL67" s="26"/>
      <c r="AM67" s="26"/>
      <c r="AN67" s="26"/>
      <c r="AO67" s="26"/>
      <c r="AP67" s="26"/>
      <c r="AQ67" s="26"/>
      <c r="AR67" s="26"/>
      <c r="AS67" s="26"/>
      <c r="AT67" s="26"/>
      <c r="AU67" s="26"/>
      <c r="AV67" s="26"/>
      <c r="AW67" s="26"/>
      <c r="AX67" s="26"/>
      <c r="AY67" s="26"/>
      <c r="AZ67" s="26"/>
      <c r="BA67" s="26"/>
      <c r="BB67" s="26"/>
      <c r="BC67" s="26"/>
      <c r="BD67" s="26"/>
      <c r="BE67" s="26"/>
      <c r="BF67" s="26"/>
      <c r="BG67" s="26"/>
      <c r="BH67" s="26"/>
      <c r="BI67" s="26"/>
      <c r="BJ67" s="26"/>
      <c r="BK67" s="26"/>
      <c r="BL67" s="26"/>
      <c r="BM67" s="26"/>
      <c r="BN67" s="26"/>
      <c r="BO67" s="26"/>
      <c r="BP67" s="26"/>
      <c r="BQ67" s="26"/>
      <c r="BR67" s="26"/>
      <c r="BS67" s="26"/>
      <c r="BT67" s="26"/>
      <c r="BU67" s="26"/>
      <c r="BV67" s="26"/>
      <c r="BW67" s="26"/>
      <c r="BX67" s="26"/>
      <c r="BY67" s="26"/>
      <c r="BZ67" s="26"/>
      <c r="CA67" s="26"/>
      <c r="CB67" s="26"/>
      <c r="CC67" s="26"/>
      <c r="CD67" s="26"/>
      <c r="CE67" s="26"/>
      <c r="CF67" s="26"/>
      <c r="CG67" s="26"/>
      <c r="CH67" s="26"/>
      <c r="CI67" s="26"/>
    </row>
    <row r="68" spans="1:87" x14ac:dyDescent="0.25">
      <c r="A68" s="26"/>
      <c r="B68" s="26"/>
      <c r="C68" s="142"/>
      <c r="D68" s="142"/>
      <c r="E68" s="142"/>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c r="AK68" s="26"/>
      <c r="AL68" s="26"/>
      <c r="AM68" s="26"/>
      <c r="AN68" s="26"/>
      <c r="AO68" s="26"/>
      <c r="AP68" s="26"/>
      <c r="AQ68" s="26"/>
      <c r="AR68" s="26"/>
      <c r="AS68" s="26"/>
      <c r="AT68" s="26"/>
      <c r="AU68" s="26"/>
      <c r="AV68" s="26"/>
      <c r="AW68" s="26"/>
      <c r="AX68" s="26"/>
      <c r="AY68" s="26"/>
      <c r="AZ68" s="26"/>
      <c r="BA68" s="26"/>
      <c r="BB68" s="26"/>
      <c r="BC68" s="26"/>
      <c r="BD68" s="26"/>
      <c r="BE68" s="26"/>
      <c r="BF68" s="26"/>
      <c r="BG68" s="26"/>
      <c r="BH68" s="26"/>
      <c r="BI68" s="26"/>
      <c r="BJ68" s="26"/>
      <c r="BK68" s="26"/>
      <c r="BL68" s="26"/>
      <c r="BM68" s="26"/>
      <c r="BN68" s="26"/>
      <c r="BO68" s="26"/>
      <c r="BP68" s="26"/>
      <c r="BQ68" s="26"/>
      <c r="BR68" s="26"/>
      <c r="BS68" s="26"/>
      <c r="BT68" s="26"/>
      <c r="BU68" s="26"/>
      <c r="BV68" s="26"/>
      <c r="BW68" s="26"/>
      <c r="BX68" s="26"/>
      <c r="BY68" s="26"/>
      <c r="BZ68" s="26"/>
      <c r="CA68" s="26"/>
      <c r="CB68" s="26"/>
      <c r="CC68" s="26"/>
      <c r="CD68" s="26"/>
      <c r="CE68" s="26"/>
      <c r="CF68" s="26"/>
      <c r="CG68" s="26"/>
      <c r="CH68" s="26"/>
      <c r="CI68" s="26"/>
    </row>
    <row r="69" spans="1:87" x14ac:dyDescent="0.25">
      <c r="A69" s="26"/>
      <c r="B69" s="26"/>
      <c r="C69" s="142"/>
      <c r="D69" s="142"/>
      <c r="E69" s="142"/>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c r="AL69" s="26"/>
      <c r="AM69" s="26"/>
      <c r="AN69" s="26"/>
      <c r="AO69" s="26"/>
      <c r="AP69" s="26"/>
      <c r="AQ69" s="26"/>
      <c r="AR69" s="26"/>
      <c r="AS69" s="26"/>
      <c r="AT69" s="26"/>
      <c r="AU69" s="26"/>
      <c r="AV69" s="26"/>
      <c r="AW69" s="26"/>
      <c r="AX69" s="26"/>
      <c r="AY69" s="26"/>
      <c r="AZ69" s="26"/>
      <c r="BA69" s="26"/>
      <c r="BB69" s="26"/>
      <c r="BC69" s="26"/>
      <c r="BD69" s="26"/>
      <c r="BE69" s="26"/>
      <c r="BF69" s="26"/>
      <c r="BG69" s="26"/>
      <c r="BH69" s="26"/>
      <c r="BI69" s="26"/>
      <c r="BJ69" s="26"/>
      <c r="BK69" s="26"/>
      <c r="BL69" s="26"/>
      <c r="BM69" s="26"/>
      <c r="BN69" s="26"/>
      <c r="BO69" s="26"/>
      <c r="BP69" s="26"/>
      <c r="BQ69" s="26"/>
      <c r="BR69" s="26"/>
      <c r="BS69" s="26"/>
      <c r="BT69" s="26"/>
      <c r="BU69" s="26"/>
      <c r="BV69" s="26"/>
      <c r="BW69" s="26"/>
      <c r="BX69" s="26"/>
      <c r="BY69" s="26"/>
      <c r="BZ69" s="26"/>
      <c r="CA69" s="26"/>
      <c r="CB69" s="26"/>
      <c r="CC69" s="26"/>
      <c r="CD69" s="26"/>
      <c r="CE69" s="26"/>
      <c r="CF69" s="26"/>
      <c r="CG69" s="26"/>
      <c r="CH69" s="26"/>
      <c r="CI69" s="26"/>
    </row>
    <row r="70" spans="1:87" x14ac:dyDescent="0.25">
      <c r="A70" s="26"/>
      <c r="B70" s="26"/>
      <c r="C70" s="142"/>
      <c r="D70" s="142"/>
      <c r="E70" s="142"/>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c r="AY70" s="26"/>
      <c r="AZ70" s="26"/>
      <c r="BA70" s="26"/>
      <c r="BB70" s="26"/>
      <c r="BC70" s="26"/>
      <c r="BD70" s="26"/>
      <c r="BE70" s="26"/>
      <c r="BF70" s="26"/>
      <c r="BG70" s="26"/>
      <c r="BH70" s="26"/>
      <c r="BI70" s="26"/>
      <c r="BJ70" s="26"/>
      <c r="BK70" s="26"/>
      <c r="BL70" s="26"/>
      <c r="BM70" s="26"/>
      <c r="BN70" s="26"/>
      <c r="BO70" s="26"/>
      <c r="BP70" s="26"/>
      <c r="BQ70" s="26"/>
      <c r="BR70" s="26"/>
      <c r="BS70" s="26"/>
      <c r="BT70" s="26"/>
      <c r="BU70" s="26"/>
      <c r="BV70" s="26"/>
      <c r="BW70" s="26"/>
      <c r="BX70" s="26"/>
      <c r="BY70" s="26"/>
      <c r="BZ70" s="26"/>
      <c r="CA70" s="26"/>
      <c r="CB70" s="26"/>
      <c r="CC70" s="26"/>
      <c r="CD70" s="26"/>
      <c r="CE70" s="26"/>
      <c r="CF70" s="26"/>
      <c r="CG70" s="26"/>
      <c r="CH70" s="26"/>
      <c r="CI70" s="26"/>
    </row>
    <row r="71" spans="1:87" x14ac:dyDescent="0.25">
      <c r="A71" s="26"/>
      <c r="B71" s="26"/>
      <c r="C71" s="142"/>
      <c r="D71" s="142"/>
      <c r="E71" s="142"/>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6"/>
      <c r="AZ71" s="26"/>
      <c r="BA71" s="26"/>
      <c r="BB71" s="26"/>
      <c r="BC71" s="26"/>
      <c r="BD71" s="26"/>
      <c r="BE71" s="26"/>
      <c r="BF71" s="26"/>
      <c r="BG71" s="26"/>
      <c r="BH71" s="26"/>
      <c r="BI71" s="26"/>
      <c r="BJ71" s="26"/>
      <c r="BK71" s="26"/>
      <c r="BL71" s="26"/>
      <c r="BM71" s="26"/>
      <c r="BN71" s="26"/>
      <c r="BO71" s="26"/>
      <c r="BP71" s="26"/>
      <c r="BQ71" s="26"/>
      <c r="BR71" s="26"/>
      <c r="BS71" s="26"/>
      <c r="BT71" s="26"/>
      <c r="BU71" s="26"/>
      <c r="BV71" s="26"/>
      <c r="BW71" s="26"/>
      <c r="BX71" s="26"/>
      <c r="BY71" s="26"/>
      <c r="BZ71" s="26"/>
      <c r="CA71" s="26"/>
      <c r="CB71" s="26"/>
      <c r="CC71" s="26"/>
      <c r="CD71" s="26"/>
      <c r="CE71" s="26"/>
      <c r="CF71" s="26"/>
      <c r="CG71" s="26"/>
      <c r="CH71" s="26"/>
      <c r="CI71" s="26"/>
    </row>
    <row r="72" spans="1:87" x14ac:dyDescent="0.25">
      <c r="A72" s="26"/>
      <c r="B72" s="26"/>
      <c r="C72" s="142"/>
      <c r="D72" s="142"/>
      <c r="E72" s="142"/>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c r="AL72" s="26"/>
      <c r="AM72" s="26"/>
      <c r="AN72" s="26"/>
      <c r="AO72" s="26"/>
      <c r="AP72" s="26"/>
      <c r="AQ72" s="26"/>
      <c r="AR72" s="26"/>
      <c r="AS72" s="26"/>
      <c r="AT72" s="26"/>
      <c r="AU72" s="26"/>
      <c r="AV72" s="26"/>
      <c r="AW72" s="26"/>
      <c r="AX72" s="26"/>
      <c r="AY72" s="26"/>
      <c r="AZ72" s="26"/>
      <c r="BA72" s="26"/>
      <c r="BB72" s="26"/>
      <c r="BC72" s="26"/>
      <c r="BD72" s="26"/>
      <c r="BE72" s="26"/>
      <c r="BF72" s="26"/>
      <c r="BG72" s="26"/>
      <c r="BH72" s="26"/>
      <c r="BI72" s="26"/>
      <c r="BJ72" s="26"/>
      <c r="BK72" s="26"/>
      <c r="BL72" s="26"/>
      <c r="BM72" s="26"/>
      <c r="BN72" s="26"/>
      <c r="BO72" s="26"/>
      <c r="BP72" s="26"/>
      <c r="BQ72" s="26"/>
      <c r="BR72" s="26"/>
      <c r="BS72" s="26"/>
      <c r="BT72" s="26"/>
      <c r="BU72" s="26"/>
      <c r="BV72" s="26"/>
      <c r="BW72" s="26"/>
      <c r="BX72" s="26"/>
      <c r="BY72" s="26"/>
      <c r="BZ72" s="26"/>
      <c r="CA72" s="26"/>
      <c r="CB72" s="26"/>
      <c r="CC72" s="26"/>
      <c r="CD72" s="26"/>
      <c r="CE72" s="26"/>
      <c r="CF72" s="26"/>
      <c r="CG72" s="26"/>
      <c r="CH72" s="26"/>
      <c r="CI72" s="26"/>
    </row>
    <row r="73" spans="1:87" x14ac:dyDescent="0.25">
      <c r="A73" s="26"/>
      <c r="B73" s="26"/>
      <c r="C73" s="142"/>
      <c r="D73" s="142"/>
      <c r="E73" s="142"/>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c r="AK73" s="26"/>
      <c r="AL73" s="26"/>
      <c r="AM73" s="26"/>
      <c r="AN73" s="26"/>
      <c r="AO73" s="26"/>
      <c r="AP73" s="26"/>
      <c r="AQ73" s="26"/>
      <c r="AR73" s="26"/>
      <c r="AS73" s="26"/>
      <c r="AT73" s="26"/>
      <c r="AU73" s="26"/>
      <c r="AV73" s="26"/>
      <c r="AW73" s="26"/>
      <c r="AX73" s="26"/>
      <c r="AY73" s="26"/>
      <c r="AZ73" s="26"/>
      <c r="BA73" s="26"/>
      <c r="BB73" s="26"/>
      <c r="BC73" s="26"/>
      <c r="BD73" s="26"/>
      <c r="BE73" s="26"/>
      <c r="BF73" s="26"/>
      <c r="BG73" s="26"/>
      <c r="BH73" s="26"/>
      <c r="BI73" s="26"/>
      <c r="BJ73" s="26"/>
      <c r="BK73" s="26"/>
      <c r="BL73" s="26"/>
      <c r="BM73" s="26"/>
      <c r="BN73" s="26"/>
      <c r="BO73" s="26"/>
      <c r="BP73" s="26"/>
      <c r="BQ73" s="26"/>
      <c r="BR73" s="26"/>
      <c r="BS73" s="26"/>
      <c r="BT73" s="26"/>
      <c r="BU73" s="26"/>
      <c r="BV73" s="26"/>
      <c r="BW73" s="26"/>
      <c r="BX73" s="26"/>
      <c r="BY73" s="26"/>
      <c r="BZ73" s="26"/>
      <c r="CA73" s="26"/>
      <c r="CB73" s="26"/>
      <c r="CC73" s="26"/>
      <c r="CD73" s="26"/>
      <c r="CE73" s="26"/>
      <c r="CF73" s="26"/>
      <c r="CG73" s="26"/>
      <c r="CH73" s="26"/>
      <c r="CI73" s="26"/>
    </row>
    <row r="74" spans="1:87" x14ac:dyDescent="0.25">
      <c r="A74" s="26"/>
      <c r="B74" s="26"/>
      <c r="C74" s="142"/>
      <c r="D74" s="142"/>
      <c r="E74" s="142"/>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c r="AK74" s="26"/>
      <c r="AL74" s="26"/>
      <c r="AM74" s="26"/>
      <c r="AN74" s="26"/>
      <c r="AO74" s="26"/>
      <c r="AP74" s="26"/>
      <c r="AQ74" s="26"/>
      <c r="AR74" s="26"/>
      <c r="AS74" s="26"/>
      <c r="AT74" s="26"/>
      <c r="AU74" s="26"/>
      <c r="AV74" s="26"/>
      <c r="AW74" s="26"/>
      <c r="AX74" s="26"/>
      <c r="AY74" s="26"/>
      <c r="AZ74" s="26"/>
      <c r="BA74" s="26"/>
      <c r="BB74" s="26"/>
      <c r="BC74" s="26"/>
      <c r="BD74" s="26"/>
      <c r="BE74" s="26"/>
      <c r="BF74" s="26"/>
      <c r="BG74" s="26"/>
      <c r="BH74" s="26"/>
      <c r="BI74" s="26"/>
      <c r="BJ74" s="26"/>
      <c r="BK74" s="26"/>
      <c r="BL74" s="26"/>
      <c r="BM74" s="26"/>
      <c r="BN74" s="26"/>
      <c r="BO74" s="26"/>
      <c r="BP74" s="26"/>
      <c r="BQ74" s="26"/>
      <c r="BR74" s="26"/>
      <c r="BS74" s="26"/>
      <c r="BT74" s="26"/>
      <c r="BU74" s="26"/>
      <c r="BV74" s="26"/>
      <c r="BW74" s="26"/>
      <c r="BX74" s="26"/>
      <c r="BY74" s="26"/>
      <c r="BZ74" s="26"/>
      <c r="CA74" s="26"/>
      <c r="CB74" s="26"/>
      <c r="CC74" s="26"/>
      <c r="CD74" s="26"/>
      <c r="CE74" s="26"/>
      <c r="CF74" s="26"/>
      <c r="CG74" s="26"/>
      <c r="CH74" s="26"/>
      <c r="CI74" s="26"/>
    </row>
    <row r="75" spans="1:87" x14ac:dyDescent="0.25">
      <c r="A75" s="26"/>
      <c r="B75" s="26"/>
      <c r="C75" s="142"/>
      <c r="D75" s="142"/>
      <c r="E75" s="142"/>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c r="BE75" s="26"/>
      <c r="BF75" s="26"/>
      <c r="BG75" s="26"/>
      <c r="BH75" s="26"/>
      <c r="BI75" s="26"/>
      <c r="BJ75" s="26"/>
      <c r="BK75" s="26"/>
      <c r="BL75" s="26"/>
      <c r="BM75" s="26"/>
      <c r="BN75" s="26"/>
      <c r="BO75" s="26"/>
      <c r="BP75" s="26"/>
      <c r="BQ75" s="26"/>
      <c r="BR75" s="26"/>
      <c r="BS75" s="26"/>
      <c r="BT75" s="26"/>
      <c r="BU75" s="26"/>
      <c r="BV75" s="26"/>
      <c r="BW75" s="26"/>
      <c r="BX75" s="26"/>
      <c r="BY75" s="26"/>
      <c r="BZ75" s="26"/>
      <c r="CA75" s="26"/>
      <c r="CB75" s="26"/>
      <c r="CC75" s="26"/>
      <c r="CD75" s="26"/>
      <c r="CE75" s="26"/>
      <c r="CF75" s="26"/>
      <c r="CG75" s="26"/>
      <c r="CH75" s="26"/>
      <c r="CI75" s="26"/>
    </row>
    <row r="76" spans="1:87" x14ac:dyDescent="0.25">
      <c r="A76" s="26"/>
      <c r="B76" s="26"/>
      <c r="C76" s="142"/>
      <c r="D76" s="142"/>
      <c r="E76" s="142"/>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c r="BF76" s="26"/>
      <c r="BG76" s="26"/>
      <c r="BH76" s="26"/>
      <c r="BI76" s="26"/>
      <c r="BJ76" s="26"/>
      <c r="BK76" s="26"/>
      <c r="BL76" s="26"/>
      <c r="BM76" s="26"/>
      <c r="BN76" s="26"/>
      <c r="BO76" s="26"/>
      <c r="BP76" s="26"/>
      <c r="BQ76" s="26"/>
      <c r="BR76" s="26"/>
      <c r="BS76" s="26"/>
      <c r="BT76" s="26"/>
      <c r="BU76" s="26"/>
      <c r="BV76" s="26"/>
      <c r="BW76" s="26"/>
      <c r="BX76" s="26"/>
      <c r="BY76" s="26"/>
      <c r="BZ76" s="26"/>
      <c r="CA76" s="26"/>
      <c r="CB76" s="26"/>
      <c r="CC76" s="26"/>
      <c r="CD76" s="26"/>
      <c r="CE76" s="26"/>
      <c r="CF76" s="26"/>
      <c r="CG76" s="26"/>
      <c r="CH76" s="26"/>
      <c r="CI76" s="26"/>
    </row>
    <row r="77" spans="1:87" x14ac:dyDescent="0.25">
      <c r="A77" s="26"/>
      <c r="B77" s="26"/>
      <c r="C77" s="142"/>
      <c r="D77" s="142"/>
      <c r="E77" s="142"/>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6"/>
      <c r="BK77" s="26"/>
      <c r="BL77" s="26"/>
      <c r="BM77" s="26"/>
      <c r="BN77" s="26"/>
      <c r="BO77" s="26"/>
      <c r="BP77" s="26"/>
      <c r="BQ77" s="26"/>
      <c r="BR77" s="26"/>
      <c r="BS77" s="26"/>
      <c r="BT77" s="26"/>
      <c r="BU77" s="26"/>
      <c r="BV77" s="26"/>
      <c r="BW77" s="26"/>
      <c r="BX77" s="26"/>
      <c r="BY77" s="26"/>
      <c r="BZ77" s="26"/>
      <c r="CA77" s="26"/>
      <c r="CB77" s="26"/>
      <c r="CC77" s="26"/>
      <c r="CD77" s="26"/>
      <c r="CE77" s="26"/>
      <c r="CF77" s="26"/>
      <c r="CG77" s="26"/>
      <c r="CH77" s="26"/>
      <c r="CI77" s="26"/>
    </row>
    <row r="78" spans="1:87" x14ac:dyDescent="0.25">
      <c r="A78" s="26"/>
      <c r="B78" s="26"/>
      <c r="C78" s="142"/>
      <c r="D78" s="142"/>
      <c r="E78" s="142"/>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6"/>
      <c r="BA78" s="26"/>
      <c r="BB78" s="26"/>
      <c r="BC78" s="26"/>
      <c r="BD78" s="26"/>
      <c r="BE78" s="26"/>
      <c r="BF78" s="26"/>
      <c r="BG78" s="26"/>
      <c r="BH78" s="26"/>
      <c r="BI78" s="26"/>
      <c r="BJ78" s="26"/>
      <c r="BK78" s="26"/>
      <c r="BL78" s="26"/>
      <c r="BM78" s="26"/>
      <c r="BN78" s="26"/>
      <c r="BO78" s="26"/>
      <c r="BP78" s="26"/>
      <c r="BQ78" s="26"/>
      <c r="BR78" s="26"/>
      <c r="BS78" s="26"/>
      <c r="BT78" s="26"/>
      <c r="BU78" s="26"/>
      <c r="BV78" s="26"/>
      <c r="BW78" s="26"/>
      <c r="BX78" s="26"/>
      <c r="BY78" s="26"/>
      <c r="BZ78" s="26"/>
      <c r="CA78" s="26"/>
      <c r="CB78" s="26"/>
      <c r="CC78" s="26"/>
      <c r="CD78" s="26"/>
      <c r="CE78" s="26"/>
      <c r="CF78" s="26"/>
      <c r="CG78" s="26"/>
      <c r="CH78" s="26"/>
      <c r="CI78" s="26"/>
    </row>
    <row r="79" spans="1:87" x14ac:dyDescent="0.25">
      <c r="A79" s="26"/>
      <c r="B79" s="26"/>
      <c r="C79" s="142"/>
      <c r="D79" s="142"/>
      <c r="E79" s="142"/>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c r="AK79" s="26"/>
      <c r="AL79" s="26"/>
      <c r="AM79" s="26"/>
      <c r="AN79" s="26"/>
      <c r="AO79" s="26"/>
      <c r="AP79" s="26"/>
      <c r="AQ79" s="26"/>
      <c r="AR79" s="26"/>
      <c r="AS79" s="26"/>
      <c r="AT79" s="26"/>
      <c r="AU79" s="26"/>
      <c r="AV79" s="26"/>
      <c r="AW79" s="26"/>
      <c r="AX79" s="26"/>
      <c r="AY79" s="26"/>
      <c r="AZ79" s="26"/>
      <c r="BA79" s="26"/>
      <c r="BB79" s="26"/>
      <c r="BC79" s="26"/>
      <c r="BD79" s="26"/>
      <c r="BE79" s="26"/>
      <c r="BF79" s="26"/>
      <c r="BG79" s="26"/>
      <c r="BH79" s="26"/>
      <c r="BI79" s="26"/>
      <c r="BJ79" s="26"/>
      <c r="BK79" s="26"/>
      <c r="BL79" s="26"/>
      <c r="BM79" s="26"/>
      <c r="BN79" s="26"/>
      <c r="BO79" s="26"/>
      <c r="BP79" s="26"/>
      <c r="BQ79" s="26"/>
      <c r="BR79" s="26"/>
      <c r="BS79" s="26"/>
      <c r="BT79" s="26"/>
      <c r="BU79" s="26"/>
      <c r="BV79" s="26"/>
      <c r="BW79" s="26"/>
      <c r="BX79" s="26"/>
      <c r="BY79" s="26"/>
      <c r="BZ79" s="26"/>
      <c r="CA79" s="26"/>
      <c r="CB79" s="26"/>
      <c r="CC79" s="26"/>
      <c r="CD79" s="26"/>
      <c r="CE79" s="26"/>
      <c r="CF79" s="26"/>
      <c r="CG79" s="26"/>
      <c r="CH79" s="26"/>
      <c r="CI79" s="26"/>
    </row>
    <row r="80" spans="1:87" x14ac:dyDescent="0.25">
      <c r="A80" s="26"/>
      <c r="B80" s="26"/>
      <c r="C80" s="142"/>
      <c r="D80" s="142"/>
      <c r="E80" s="142"/>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c r="AK80" s="26"/>
      <c r="AL80" s="26"/>
      <c r="AM80" s="26"/>
      <c r="AN80" s="26"/>
      <c r="AO80" s="26"/>
      <c r="AP80" s="26"/>
      <c r="AQ80" s="26"/>
      <c r="AR80" s="26"/>
      <c r="AS80" s="26"/>
      <c r="AT80" s="26"/>
      <c r="AU80" s="26"/>
      <c r="AV80" s="26"/>
      <c r="AW80" s="26"/>
      <c r="AX80" s="26"/>
      <c r="AY80" s="26"/>
      <c r="AZ80" s="26"/>
      <c r="BA80" s="26"/>
      <c r="BB80" s="26"/>
      <c r="BC80" s="26"/>
      <c r="BD80" s="26"/>
      <c r="BE80" s="26"/>
      <c r="BF80" s="26"/>
      <c r="BG80" s="26"/>
      <c r="BH80" s="26"/>
      <c r="BI80" s="26"/>
      <c r="BJ80" s="26"/>
      <c r="BK80" s="26"/>
      <c r="BL80" s="26"/>
      <c r="BM80" s="26"/>
      <c r="BN80" s="26"/>
      <c r="BO80" s="26"/>
      <c r="BP80" s="26"/>
      <c r="BQ80" s="26"/>
      <c r="BR80" s="26"/>
      <c r="BS80" s="26"/>
      <c r="BT80" s="26"/>
      <c r="BU80" s="26"/>
      <c r="BV80" s="26"/>
      <c r="BW80" s="26"/>
      <c r="BX80" s="26"/>
      <c r="BY80" s="26"/>
      <c r="BZ80" s="26"/>
      <c r="CA80" s="26"/>
      <c r="CB80" s="26"/>
      <c r="CC80" s="26"/>
      <c r="CD80" s="26"/>
      <c r="CE80" s="26"/>
      <c r="CF80" s="26"/>
      <c r="CG80" s="26"/>
      <c r="CH80" s="26"/>
      <c r="CI80" s="26"/>
    </row>
    <row r="81" spans="1:87" x14ac:dyDescent="0.25">
      <c r="A81" s="26"/>
      <c r="B81" s="26"/>
      <c r="C81" s="142"/>
      <c r="D81" s="142"/>
      <c r="E81" s="142"/>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c r="AK81" s="26"/>
      <c r="AL81" s="26"/>
      <c r="AM81" s="26"/>
      <c r="AN81" s="26"/>
      <c r="AO81" s="26"/>
      <c r="AP81" s="26"/>
      <c r="AQ81" s="26"/>
      <c r="AR81" s="26"/>
      <c r="AS81" s="26"/>
      <c r="AT81" s="26"/>
      <c r="AU81" s="26"/>
      <c r="AV81" s="26"/>
      <c r="AW81" s="26"/>
      <c r="AX81" s="26"/>
      <c r="AY81" s="26"/>
      <c r="AZ81" s="26"/>
      <c r="BA81" s="26"/>
      <c r="BB81" s="26"/>
      <c r="BC81" s="26"/>
      <c r="BD81" s="26"/>
      <c r="BE81" s="26"/>
      <c r="BF81" s="26"/>
      <c r="BG81" s="26"/>
      <c r="BH81" s="26"/>
      <c r="BI81" s="26"/>
      <c r="BJ81" s="26"/>
      <c r="BK81" s="26"/>
      <c r="BL81" s="26"/>
      <c r="BM81" s="26"/>
      <c r="BN81" s="26"/>
      <c r="BO81" s="26"/>
      <c r="BP81" s="26"/>
      <c r="BQ81" s="26"/>
      <c r="BR81" s="26"/>
      <c r="BS81" s="26"/>
      <c r="BT81" s="26"/>
      <c r="BU81" s="26"/>
      <c r="BV81" s="26"/>
      <c r="BW81" s="26"/>
      <c r="BX81" s="26"/>
      <c r="BY81" s="26"/>
      <c r="BZ81" s="26"/>
      <c r="CA81" s="26"/>
      <c r="CB81" s="26"/>
      <c r="CC81" s="26"/>
      <c r="CD81" s="26"/>
      <c r="CE81" s="26"/>
      <c r="CF81" s="26"/>
      <c r="CG81" s="26"/>
      <c r="CH81" s="26"/>
      <c r="CI81" s="26"/>
    </row>
    <row r="82" spans="1:87" x14ac:dyDescent="0.25">
      <c r="A82" s="26"/>
      <c r="B82" s="26"/>
      <c r="C82" s="142"/>
      <c r="D82" s="142"/>
      <c r="E82" s="142"/>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c r="AK82" s="26"/>
      <c r="AL82" s="26"/>
      <c r="AM82" s="26"/>
      <c r="AN82" s="26"/>
      <c r="AO82" s="26"/>
      <c r="AP82" s="26"/>
      <c r="AQ82" s="26"/>
      <c r="AR82" s="26"/>
      <c r="AS82" s="26"/>
      <c r="AT82" s="26"/>
      <c r="AU82" s="26"/>
      <c r="AV82" s="26"/>
      <c r="AW82" s="26"/>
      <c r="AX82" s="26"/>
      <c r="AY82" s="26"/>
      <c r="AZ82" s="26"/>
      <c r="BA82" s="26"/>
      <c r="BB82" s="26"/>
      <c r="BC82" s="26"/>
      <c r="BD82" s="26"/>
      <c r="BE82" s="26"/>
      <c r="BF82" s="26"/>
      <c r="BG82" s="26"/>
      <c r="BH82" s="26"/>
      <c r="BI82" s="26"/>
      <c r="BJ82" s="26"/>
      <c r="BK82" s="26"/>
      <c r="BL82" s="26"/>
      <c r="BM82" s="26"/>
      <c r="BN82" s="26"/>
      <c r="BO82" s="26"/>
      <c r="BP82" s="26"/>
      <c r="BQ82" s="26"/>
      <c r="BR82" s="26"/>
      <c r="BS82" s="26"/>
      <c r="BT82" s="26"/>
      <c r="BU82" s="26"/>
      <c r="BV82" s="26"/>
      <c r="BW82" s="26"/>
      <c r="BX82" s="26"/>
      <c r="BY82" s="26"/>
      <c r="BZ82" s="26"/>
      <c r="CA82" s="26"/>
      <c r="CB82" s="26"/>
      <c r="CC82" s="26"/>
      <c r="CD82" s="26"/>
      <c r="CE82" s="26"/>
      <c r="CF82" s="26"/>
      <c r="CG82" s="26"/>
      <c r="CH82" s="26"/>
      <c r="CI82" s="26"/>
    </row>
    <row r="83" spans="1:87" x14ac:dyDescent="0.25">
      <c r="A83" s="26"/>
      <c r="B83" s="26"/>
      <c r="C83" s="142"/>
      <c r="D83" s="142"/>
      <c r="E83" s="142"/>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c r="AK83" s="26"/>
      <c r="AL83" s="26"/>
      <c r="AM83" s="26"/>
      <c r="AN83" s="26"/>
      <c r="AO83" s="26"/>
      <c r="AP83" s="26"/>
      <c r="AQ83" s="26"/>
      <c r="AR83" s="26"/>
      <c r="AS83" s="26"/>
      <c r="AT83" s="26"/>
      <c r="AU83" s="26"/>
      <c r="AV83" s="26"/>
      <c r="AW83" s="26"/>
      <c r="AX83" s="26"/>
      <c r="AY83" s="26"/>
      <c r="AZ83" s="26"/>
      <c r="BA83" s="26"/>
      <c r="BB83" s="26"/>
      <c r="BC83" s="26"/>
      <c r="BD83" s="26"/>
      <c r="BE83" s="26"/>
      <c r="BF83" s="26"/>
      <c r="BG83" s="26"/>
      <c r="BH83" s="26"/>
      <c r="BI83" s="26"/>
      <c r="BJ83" s="26"/>
      <c r="BK83" s="26"/>
      <c r="BL83" s="26"/>
      <c r="BM83" s="26"/>
      <c r="BN83" s="26"/>
      <c r="BO83" s="26"/>
      <c r="BP83" s="26"/>
      <c r="BQ83" s="26"/>
      <c r="BR83" s="26"/>
      <c r="BS83" s="26"/>
      <c r="BT83" s="26"/>
      <c r="BU83" s="26"/>
      <c r="BV83" s="26"/>
      <c r="BW83" s="26"/>
      <c r="BX83" s="26"/>
      <c r="BY83" s="26"/>
      <c r="BZ83" s="26"/>
      <c r="CA83" s="26"/>
      <c r="CB83" s="26"/>
      <c r="CC83" s="26"/>
      <c r="CD83" s="26"/>
      <c r="CE83" s="26"/>
      <c r="CF83" s="26"/>
      <c r="CG83" s="26"/>
      <c r="CH83" s="26"/>
      <c r="CI83" s="26"/>
    </row>
    <row r="84" spans="1:87" x14ac:dyDescent="0.25">
      <c r="A84" s="26"/>
      <c r="B84" s="26"/>
      <c r="C84" s="142"/>
      <c r="D84" s="142"/>
      <c r="E84" s="142"/>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26"/>
      <c r="AX84" s="26"/>
      <c r="AY84" s="26"/>
      <c r="AZ84" s="26"/>
      <c r="BA84" s="26"/>
      <c r="BB84" s="26"/>
      <c r="BC84" s="26"/>
      <c r="BD84" s="26"/>
      <c r="BE84" s="26"/>
      <c r="BF84" s="26"/>
      <c r="BG84" s="26"/>
      <c r="BH84" s="26"/>
      <c r="BI84" s="26"/>
      <c r="BJ84" s="26"/>
      <c r="BK84" s="26"/>
      <c r="BL84" s="26"/>
      <c r="BM84" s="26"/>
      <c r="BN84" s="26"/>
      <c r="BO84" s="26"/>
      <c r="BP84" s="26"/>
      <c r="BQ84" s="26"/>
      <c r="BR84" s="26"/>
      <c r="BS84" s="26"/>
      <c r="BT84" s="26"/>
      <c r="BU84" s="26"/>
      <c r="BV84" s="26"/>
      <c r="BW84" s="26"/>
      <c r="BX84" s="26"/>
      <c r="BY84" s="26"/>
      <c r="BZ84" s="26"/>
      <c r="CA84" s="26"/>
      <c r="CB84" s="26"/>
      <c r="CC84" s="26"/>
      <c r="CD84" s="26"/>
      <c r="CE84" s="26"/>
      <c r="CF84" s="26"/>
      <c r="CG84" s="26"/>
      <c r="CH84" s="26"/>
      <c r="CI84" s="26"/>
    </row>
    <row r="85" spans="1:87" x14ac:dyDescent="0.25">
      <c r="A85" s="26"/>
      <c r="B85" s="26"/>
      <c r="C85" s="142"/>
      <c r="D85" s="142"/>
      <c r="E85" s="142"/>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26"/>
      <c r="AX85" s="26"/>
      <c r="AY85" s="26"/>
      <c r="AZ85" s="26"/>
      <c r="BA85" s="26"/>
      <c r="BB85" s="26"/>
      <c r="BC85" s="26"/>
      <c r="BD85" s="26"/>
      <c r="BE85" s="26"/>
      <c r="BF85" s="26"/>
      <c r="BG85" s="26"/>
      <c r="BH85" s="26"/>
      <c r="BI85" s="26"/>
      <c r="BJ85" s="26"/>
      <c r="BK85" s="26"/>
      <c r="BL85" s="26"/>
      <c r="BM85" s="26"/>
      <c r="BN85" s="26"/>
      <c r="BO85" s="26"/>
      <c r="BP85" s="26"/>
      <c r="BQ85" s="26"/>
      <c r="BR85" s="26"/>
      <c r="BS85" s="26"/>
      <c r="BT85" s="26"/>
      <c r="BU85" s="26"/>
      <c r="BV85" s="26"/>
      <c r="BW85" s="26"/>
      <c r="BX85" s="26"/>
      <c r="BY85" s="26"/>
      <c r="BZ85" s="26"/>
      <c r="CA85" s="26"/>
      <c r="CB85" s="26"/>
      <c r="CC85" s="26"/>
      <c r="CD85" s="26"/>
      <c r="CE85" s="26"/>
      <c r="CF85" s="26"/>
      <c r="CG85" s="26"/>
      <c r="CH85" s="26"/>
      <c r="CI85" s="26"/>
    </row>
    <row r="86" spans="1:87" x14ac:dyDescent="0.25">
      <c r="A86" s="26"/>
      <c r="B86" s="26"/>
      <c r="C86" s="142"/>
      <c r="D86" s="142"/>
      <c r="E86" s="142"/>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6"/>
      <c r="AZ86" s="26"/>
      <c r="BA86" s="26"/>
      <c r="BB86" s="26"/>
      <c r="BC86" s="26"/>
      <c r="BD86" s="26"/>
      <c r="BE86" s="26"/>
      <c r="BF86" s="26"/>
      <c r="BG86" s="26"/>
      <c r="BH86" s="26"/>
      <c r="BI86" s="26"/>
      <c r="BJ86" s="26"/>
      <c r="BK86" s="26"/>
      <c r="BL86" s="26"/>
      <c r="BM86" s="26"/>
      <c r="BN86" s="26"/>
      <c r="BO86" s="26"/>
      <c r="BP86" s="26"/>
      <c r="BQ86" s="26"/>
      <c r="BR86" s="26"/>
      <c r="BS86" s="26"/>
      <c r="BT86" s="26"/>
      <c r="BU86" s="26"/>
      <c r="BV86" s="26"/>
      <c r="BW86" s="26"/>
      <c r="BX86" s="26"/>
      <c r="BY86" s="26"/>
      <c r="BZ86" s="26"/>
      <c r="CA86" s="26"/>
      <c r="CB86" s="26"/>
      <c r="CC86" s="26"/>
      <c r="CD86" s="26"/>
      <c r="CE86" s="26"/>
      <c r="CF86" s="26"/>
      <c r="CG86" s="26"/>
      <c r="CH86" s="26"/>
      <c r="CI86" s="26"/>
    </row>
    <row r="87" spans="1:87" x14ac:dyDescent="0.25">
      <c r="A87" s="26"/>
      <c r="B87" s="26"/>
      <c r="C87" s="142"/>
      <c r="D87" s="142"/>
      <c r="E87" s="142"/>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c r="AK87" s="26"/>
      <c r="AL87" s="26"/>
      <c r="AM87" s="26"/>
      <c r="AN87" s="26"/>
      <c r="AO87" s="26"/>
      <c r="AP87" s="26"/>
      <c r="AQ87" s="26"/>
      <c r="AR87" s="26"/>
      <c r="AS87" s="26"/>
      <c r="AT87" s="26"/>
      <c r="AU87" s="26"/>
      <c r="AV87" s="26"/>
      <c r="AW87" s="26"/>
      <c r="AX87" s="26"/>
      <c r="AY87" s="26"/>
      <c r="AZ87" s="26"/>
      <c r="BA87" s="26"/>
      <c r="BB87" s="26"/>
      <c r="BC87" s="26"/>
      <c r="BD87" s="26"/>
      <c r="BE87" s="26"/>
      <c r="BF87" s="26"/>
      <c r="BG87" s="26"/>
      <c r="BH87" s="26"/>
      <c r="BI87" s="26"/>
      <c r="BJ87" s="26"/>
      <c r="BK87" s="26"/>
      <c r="BL87" s="26"/>
      <c r="BM87" s="26"/>
      <c r="BN87" s="26"/>
      <c r="BO87" s="26"/>
      <c r="BP87" s="26"/>
      <c r="BQ87" s="26"/>
      <c r="BR87" s="26"/>
      <c r="BS87" s="26"/>
      <c r="BT87" s="26"/>
      <c r="BU87" s="26"/>
      <c r="BV87" s="26"/>
      <c r="BW87" s="26"/>
      <c r="BX87" s="26"/>
      <c r="BY87" s="26"/>
      <c r="BZ87" s="26"/>
      <c r="CA87" s="26"/>
      <c r="CB87" s="26"/>
      <c r="CC87" s="26"/>
      <c r="CD87" s="26"/>
      <c r="CE87" s="26"/>
      <c r="CF87" s="26"/>
      <c r="CG87" s="26"/>
      <c r="CH87" s="26"/>
      <c r="CI87" s="26"/>
    </row>
    <row r="88" spans="1:87" x14ac:dyDescent="0.25">
      <c r="A88" s="26"/>
      <c r="B88" s="26"/>
      <c r="C88" s="142"/>
      <c r="D88" s="142"/>
      <c r="E88" s="142"/>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6"/>
      <c r="AZ88" s="26"/>
      <c r="BA88" s="26"/>
      <c r="BB88" s="26"/>
      <c r="BC88" s="26"/>
      <c r="BD88" s="26"/>
      <c r="BE88" s="26"/>
      <c r="BF88" s="26"/>
      <c r="BG88" s="26"/>
      <c r="BH88" s="26"/>
      <c r="BI88" s="26"/>
      <c r="BJ88" s="26"/>
      <c r="BK88" s="26"/>
      <c r="BL88" s="26"/>
      <c r="BM88" s="26"/>
      <c r="BN88" s="26"/>
      <c r="BO88" s="26"/>
      <c r="BP88" s="26"/>
      <c r="BQ88" s="26"/>
      <c r="BR88" s="26"/>
      <c r="BS88" s="26"/>
      <c r="BT88" s="26"/>
      <c r="BU88" s="26"/>
      <c r="BV88" s="26"/>
      <c r="BW88" s="26"/>
      <c r="BX88" s="26"/>
      <c r="BY88" s="26"/>
      <c r="BZ88" s="26"/>
      <c r="CA88" s="26"/>
      <c r="CB88" s="26"/>
      <c r="CC88" s="26"/>
      <c r="CD88" s="26"/>
      <c r="CE88" s="26"/>
      <c r="CF88" s="26"/>
      <c r="CG88" s="26"/>
      <c r="CH88" s="26"/>
      <c r="CI88" s="26"/>
    </row>
    <row r="89" spans="1:87" x14ac:dyDescent="0.25">
      <c r="A89" s="26"/>
      <c r="B89" s="26"/>
      <c r="C89" s="142"/>
      <c r="D89" s="142"/>
      <c r="E89" s="142"/>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6"/>
      <c r="AZ89" s="26"/>
      <c r="BA89" s="26"/>
      <c r="BB89" s="26"/>
      <c r="BC89" s="26"/>
      <c r="BD89" s="26"/>
      <c r="BE89" s="26"/>
      <c r="BF89" s="26"/>
      <c r="BG89" s="26"/>
      <c r="BH89" s="26"/>
      <c r="BI89" s="26"/>
      <c r="BJ89" s="26"/>
      <c r="BK89" s="26"/>
      <c r="BL89" s="26"/>
      <c r="BM89" s="26"/>
      <c r="BN89" s="26"/>
      <c r="BO89" s="26"/>
      <c r="BP89" s="26"/>
      <c r="BQ89" s="26"/>
      <c r="BR89" s="26"/>
      <c r="BS89" s="26"/>
      <c r="BT89" s="26"/>
      <c r="BU89" s="26"/>
      <c r="BV89" s="26"/>
      <c r="BW89" s="26"/>
      <c r="BX89" s="26"/>
      <c r="BY89" s="26"/>
      <c r="BZ89" s="26"/>
      <c r="CA89" s="26"/>
      <c r="CB89" s="26"/>
      <c r="CC89" s="26"/>
      <c r="CD89" s="26"/>
      <c r="CE89" s="26"/>
      <c r="CF89" s="26"/>
      <c r="CG89" s="26"/>
      <c r="CH89" s="26"/>
      <c r="CI89" s="26"/>
    </row>
    <row r="90" spans="1:87" x14ac:dyDescent="0.25">
      <c r="A90" s="26"/>
      <c r="B90" s="26"/>
      <c r="C90" s="142"/>
      <c r="D90" s="142"/>
      <c r="E90" s="142"/>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6"/>
      <c r="AZ90" s="26"/>
      <c r="BA90" s="26"/>
      <c r="BB90" s="26"/>
      <c r="BC90" s="26"/>
      <c r="BD90" s="26"/>
      <c r="BE90" s="26"/>
      <c r="BF90" s="26"/>
      <c r="BG90" s="26"/>
      <c r="BH90" s="26"/>
      <c r="BI90" s="26"/>
      <c r="BJ90" s="26"/>
      <c r="BK90" s="26"/>
      <c r="BL90" s="26"/>
      <c r="BM90" s="26"/>
      <c r="BN90" s="26"/>
      <c r="BO90" s="26"/>
      <c r="BP90" s="26"/>
      <c r="BQ90" s="26"/>
      <c r="BR90" s="26"/>
      <c r="BS90" s="26"/>
      <c r="BT90" s="26"/>
      <c r="BU90" s="26"/>
      <c r="BV90" s="26"/>
      <c r="BW90" s="26"/>
      <c r="BX90" s="26"/>
      <c r="BY90" s="26"/>
      <c r="BZ90" s="26"/>
      <c r="CA90" s="26"/>
      <c r="CB90" s="26"/>
      <c r="CC90" s="26"/>
      <c r="CD90" s="26"/>
      <c r="CE90" s="26"/>
      <c r="CF90" s="26"/>
      <c r="CG90" s="26"/>
      <c r="CH90" s="26"/>
      <c r="CI90" s="26"/>
    </row>
    <row r="91" spans="1:87" x14ac:dyDescent="0.25">
      <c r="A91" s="26"/>
      <c r="B91" s="26"/>
      <c r="C91" s="142"/>
      <c r="D91" s="142"/>
      <c r="E91" s="142"/>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c r="AK91" s="26"/>
      <c r="AL91" s="26"/>
      <c r="AM91" s="26"/>
      <c r="AN91" s="26"/>
      <c r="AO91" s="26"/>
      <c r="AP91" s="26"/>
      <c r="AQ91" s="26"/>
      <c r="AR91" s="26"/>
      <c r="AS91" s="26"/>
      <c r="AT91" s="26"/>
      <c r="AU91" s="26"/>
      <c r="AV91" s="26"/>
      <c r="AW91" s="26"/>
      <c r="AX91" s="26"/>
      <c r="AY91" s="26"/>
      <c r="AZ91" s="26"/>
      <c r="BA91" s="26"/>
      <c r="BB91" s="26"/>
      <c r="BC91" s="26"/>
      <c r="BD91" s="26"/>
      <c r="BE91" s="26"/>
      <c r="BF91" s="26"/>
      <c r="BG91" s="26"/>
      <c r="BH91" s="26"/>
      <c r="BI91" s="26"/>
      <c r="BJ91" s="26"/>
      <c r="BK91" s="26"/>
      <c r="BL91" s="26"/>
      <c r="BM91" s="26"/>
      <c r="BN91" s="26"/>
      <c r="BO91" s="26"/>
      <c r="BP91" s="26"/>
      <c r="BQ91" s="26"/>
      <c r="BR91" s="26"/>
      <c r="BS91" s="26"/>
      <c r="BT91" s="26"/>
      <c r="BU91" s="26"/>
      <c r="BV91" s="26"/>
      <c r="BW91" s="26"/>
      <c r="BX91" s="26"/>
      <c r="BY91" s="26"/>
      <c r="BZ91" s="26"/>
      <c r="CA91" s="26"/>
      <c r="CB91" s="26"/>
      <c r="CC91" s="26"/>
      <c r="CD91" s="26"/>
      <c r="CE91" s="26"/>
      <c r="CF91" s="26"/>
      <c r="CG91" s="26"/>
      <c r="CH91" s="26"/>
      <c r="CI91" s="26"/>
    </row>
    <row r="92" spans="1:87" x14ac:dyDescent="0.25">
      <c r="A92" s="26"/>
      <c r="B92" s="26"/>
      <c r="C92" s="142"/>
      <c r="D92" s="142"/>
      <c r="E92" s="142"/>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c r="AK92" s="26"/>
      <c r="AL92" s="26"/>
      <c r="AM92" s="26"/>
      <c r="AN92" s="26"/>
      <c r="AO92" s="26"/>
      <c r="AP92" s="26"/>
      <c r="AQ92" s="26"/>
      <c r="AR92" s="26"/>
      <c r="AS92" s="26"/>
      <c r="AT92" s="26"/>
      <c r="AU92" s="26"/>
      <c r="AV92" s="26"/>
      <c r="AW92" s="26"/>
      <c r="AX92" s="26"/>
      <c r="AY92" s="26"/>
      <c r="AZ92" s="26"/>
      <c r="BA92" s="26"/>
      <c r="BB92" s="26"/>
      <c r="BC92" s="26"/>
      <c r="BD92" s="26"/>
      <c r="BE92" s="26"/>
      <c r="BF92" s="26"/>
      <c r="BG92" s="26"/>
      <c r="BH92" s="26"/>
      <c r="BI92" s="26"/>
      <c r="BJ92" s="26"/>
      <c r="BK92" s="26"/>
      <c r="BL92" s="26"/>
      <c r="BM92" s="26"/>
      <c r="BN92" s="26"/>
      <c r="BO92" s="26"/>
      <c r="BP92" s="26"/>
      <c r="BQ92" s="26"/>
      <c r="BR92" s="26"/>
      <c r="BS92" s="26"/>
      <c r="BT92" s="26"/>
      <c r="BU92" s="26"/>
      <c r="BV92" s="26"/>
      <c r="BW92" s="26"/>
      <c r="BX92" s="26"/>
      <c r="BY92" s="26"/>
      <c r="BZ92" s="26"/>
      <c r="CA92" s="26"/>
      <c r="CB92" s="26"/>
      <c r="CC92" s="26"/>
      <c r="CD92" s="26"/>
      <c r="CE92" s="26"/>
      <c r="CF92" s="26"/>
      <c r="CG92" s="26"/>
      <c r="CH92" s="26"/>
      <c r="CI92" s="26"/>
    </row>
    <row r="93" spans="1:87" x14ac:dyDescent="0.25">
      <c r="A93" s="26"/>
      <c r="B93" s="26"/>
      <c r="C93" s="142"/>
      <c r="D93" s="142"/>
      <c r="E93" s="142"/>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26"/>
      <c r="AX93" s="26"/>
      <c r="AY93" s="26"/>
      <c r="AZ93" s="26"/>
      <c r="BA93" s="26"/>
      <c r="BB93" s="26"/>
      <c r="BC93" s="26"/>
      <c r="BD93" s="26"/>
      <c r="BE93" s="26"/>
      <c r="BF93" s="26"/>
      <c r="BG93" s="26"/>
      <c r="BH93" s="26"/>
      <c r="BI93" s="26"/>
      <c r="BJ93" s="26"/>
      <c r="BK93" s="26"/>
      <c r="BL93" s="26"/>
      <c r="BM93" s="26"/>
      <c r="BN93" s="26"/>
      <c r="BO93" s="26"/>
      <c r="BP93" s="26"/>
      <c r="BQ93" s="26"/>
      <c r="BR93" s="26"/>
      <c r="BS93" s="26"/>
      <c r="BT93" s="26"/>
      <c r="BU93" s="26"/>
      <c r="BV93" s="26"/>
      <c r="BW93" s="26"/>
      <c r="BX93" s="26"/>
      <c r="BY93" s="26"/>
      <c r="BZ93" s="26"/>
      <c r="CA93" s="26"/>
      <c r="CB93" s="26"/>
      <c r="CC93" s="26"/>
      <c r="CD93" s="26"/>
      <c r="CE93" s="26"/>
      <c r="CF93" s="26"/>
      <c r="CG93" s="26"/>
      <c r="CH93" s="26"/>
      <c r="CI93" s="26"/>
    </row>
    <row r="94" spans="1:87" x14ac:dyDescent="0.25">
      <c r="A94" s="26"/>
      <c r="B94" s="26"/>
      <c r="C94" s="142"/>
      <c r="D94" s="142"/>
      <c r="E94" s="142"/>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c r="AK94" s="26"/>
      <c r="AL94" s="26"/>
      <c r="AM94" s="26"/>
      <c r="AN94" s="26"/>
      <c r="AO94" s="26"/>
      <c r="AP94" s="26"/>
      <c r="AQ94" s="26"/>
      <c r="AR94" s="26"/>
      <c r="AS94" s="26"/>
      <c r="AT94" s="26"/>
      <c r="AU94" s="26"/>
      <c r="AV94" s="26"/>
      <c r="AW94" s="26"/>
      <c r="AX94" s="26"/>
      <c r="AY94" s="26"/>
      <c r="AZ94" s="26"/>
      <c r="BA94" s="26"/>
      <c r="BB94" s="26"/>
      <c r="BC94" s="26"/>
      <c r="BD94" s="26"/>
      <c r="BE94" s="26"/>
      <c r="BF94" s="26"/>
      <c r="BG94" s="26"/>
      <c r="BH94" s="26"/>
      <c r="BI94" s="26"/>
      <c r="BJ94" s="26"/>
      <c r="BK94" s="26"/>
      <c r="BL94" s="26"/>
      <c r="BM94" s="26"/>
      <c r="BN94" s="26"/>
      <c r="BO94" s="26"/>
      <c r="BP94" s="26"/>
      <c r="BQ94" s="26"/>
      <c r="BR94" s="26"/>
      <c r="BS94" s="26"/>
      <c r="BT94" s="26"/>
      <c r="BU94" s="26"/>
      <c r="BV94" s="26"/>
      <c r="BW94" s="26"/>
      <c r="BX94" s="26"/>
      <c r="BY94" s="26"/>
      <c r="BZ94" s="26"/>
      <c r="CA94" s="26"/>
      <c r="CB94" s="26"/>
      <c r="CC94" s="26"/>
      <c r="CD94" s="26"/>
      <c r="CE94" s="26"/>
      <c r="CF94" s="26"/>
      <c r="CG94" s="26"/>
      <c r="CH94" s="26"/>
      <c r="CI94" s="26"/>
    </row>
    <row r="95" spans="1:87" x14ac:dyDescent="0.25">
      <c r="A95" s="26"/>
      <c r="B95" s="26"/>
      <c r="C95" s="142"/>
      <c r="D95" s="142"/>
      <c r="E95" s="142"/>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26"/>
      <c r="AX95" s="26"/>
      <c r="AY95" s="26"/>
      <c r="AZ95" s="26"/>
      <c r="BA95" s="26"/>
      <c r="BB95" s="26"/>
      <c r="BC95" s="26"/>
      <c r="BD95" s="26"/>
      <c r="BE95" s="26"/>
      <c r="BF95" s="26"/>
      <c r="BG95" s="26"/>
      <c r="BH95" s="26"/>
      <c r="BI95" s="26"/>
      <c r="BJ95" s="26"/>
      <c r="BK95" s="26"/>
      <c r="BL95" s="26"/>
      <c r="BM95" s="26"/>
      <c r="BN95" s="26"/>
      <c r="BO95" s="26"/>
      <c r="BP95" s="26"/>
      <c r="BQ95" s="26"/>
      <c r="BR95" s="26"/>
      <c r="BS95" s="26"/>
      <c r="BT95" s="26"/>
      <c r="BU95" s="26"/>
      <c r="BV95" s="26"/>
      <c r="BW95" s="26"/>
      <c r="BX95" s="26"/>
      <c r="BY95" s="26"/>
      <c r="BZ95" s="26"/>
      <c r="CA95" s="26"/>
      <c r="CB95" s="26"/>
      <c r="CC95" s="26"/>
      <c r="CD95" s="26"/>
      <c r="CE95" s="26"/>
      <c r="CF95" s="26"/>
      <c r="CG95" s="26"/>
      <c r="CH95" s="26"/>
      <c r="CI95" s="26"/>
    </row>
    <row r="96" spans="1:87" x14ac:dyDescent="0.25">
      <c r="A96" s="26"/>
      <c r="B96" s="26"/>
      <c r="C96" s="142"/>
      <c r="D96" s="142"/>
      <c r="E96" s="142"/>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c r="AZ96" s="26"/>
      <c r="BA96" s="26"/>
      <c r="BB96" s="26"/>
      <c r="BC96" s="26"/>
      <c r="BD96" s="26"/>
      <c r="BE96" s="26"/>
      <c r="BF96" s="26"/>
      <c r="BG96" s="26"/>
      <c r="BH96" s="26"/>
      <c r="BI96" s="26"/>
      <c r="BJ96" s="26"/>
      <c r="BK96" s="26"/>
      <c r="BL96" s="26"/>
      <c r="BM96" s="26"/>
      <c r="BN96" s="26"/>
      <c r="BO96" s="26"/>
      <c r="BP96" s="26"/>
      <c r="BQ96" s="26"/>
      <c r="BR96" s="26"/>
      <c r="BS96" s="26"/>
      <c r="BT96" s="26"/>
      <c r="BU96" s="26"/>
      <c r="BV96" s="26"/>
      <c r="BW96" s="26"/>
      <c r="BX96" s="26"/>
      <c r="BY96" s="26"/>
      <c r="BZ96" s="26"/>
      <c r="CA96" s="26"/>
      <c r="CB96" s="26"/>
      <c r="CC96" s="26"/>
      <c r="CD96" s="26"/>
      <c r="CE96" s="26"/>
      <c r="CF96" s="26"/>
      <c r="CG96" s="26"/>
      <c r="CH96" s="26"/>
      <c r="CI96" s="26"/>
    </row>
    <row r="97" spans="1:87" x14ac:dyDescent="0.25">
      <c r="A97" s="26"/>
      <c r="B97" s="26"/>
      <c r="C97" s="142"/>
      <c r="D97" s="142"/>
      <c r="E97" s="142"/>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c r="AK97" s="26"/>
      <c r="AL97" s="26"/>
      <c r="AM97" s="26"/>
      <c r="AN97" s="26"/>
      <c r="AO97" s="26"/>
      <c r="AP97" s="26"/>
      <c r="AQ97" s="26"/>
      <c r="AR97" s="26"/>
      <c r="AS97" s="26"/>
      <c r="AT97" s="26"/>
      <c r="AU97" s="26"/>
      <c r="AV97" s="26"/>
      <c r="AW97" s="26"/>
      <c r="AX97" s="26"/>
      <c r="AY97" s="26"/>
      <c r="AZ97" s="26"/>
      <c r="BA97" s="26"/>
      <c r="BB97" s="26"/>
      <c r="BC97" s="26"/>
      <c r="BD97" s="26"/>
      <c r="BE97" s="26"/>
      <c r="BF97" s="26"/>
      <c r="BG97" s="26"/>
      <c r="BH97" s="26"/>
      <c r="BI97" s="26"/>
      <c r="BJ97" s="26"/>
      <c r="BK97" s="26"/>
      <c r="BL97" s="26"/>
      <c r="BM97" s="26"/>
      <c r="BN97" s="26"/>
      <c r="BO97" s="26"/>
      <c r="BP97" s="26"/>
      <c r="BQ97" s="26"/>
      <c r="BR97" s="26"/>
      <c r="BS97" s="26"/>
      <c r="BT97" s="26"/>
      <c r="BU97" s="26"/>
      <c r="BV97" s="26"/>
      <c r="BW97" s="26"/>
      <c r="BX97" s="26"/>
      <c r="BY97" s="26"/>
      <c r="BZ97" s="26"/>
      <c r="CA97" s="26"/>
      <c r="CB97" s="26"/>
      <c r="CC97" s="26"/>
      <c r="CD97" s="26"/>
      <c r="CE97" s="26"/>
      <c r="CF97" s="26"/>
      <c r="CG97" s="26"/>
      <c r="CH97" s="26"/>
      <c r="CI97" s="26"/>
    </row>
    <row r="98" spans="1:87" x14ac:dyDescent="0.25">
      <c r="A98" s="26"/>
      <c r="B98" s="26"/>
      <c r="C98" s="142"/>
      <c r="D98" s="142"/>
      <c r="E98" s="142"/>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26"/>
      <c r="AX98" s="26"/>
      <c r="AY98" s="26"/>
      <c r="AZ98" s="26"/>
      <c r="BA98" s="26"/>
      <c r="BB98" s="26"/>
      <c r="BC98" s="26"/>
      <c r="BD98" s="26"/>
      <c r="BE98" s="26"/>
      <c r="BF98" s="26"/>
      <c r="BG98" s="26"/>
      <c r="BH98" s="26"/>
      <c r="BI98" s="26"/>
      <c r="BJ98" s="26"/>
      <c r="BK98" s="26"/>
      <c r="BL98" s="26"/>
      <c r="BM98" s="26"/>
      <c r="BN98" s="26"/>
      <c r="BO98" s="26"/>
      <c r="BP98" s="26"/>
      <c r="BQ98" s="26"/>
      <c r="BR98" s="26"/>
      <c r="BS98" s="26"/>
      <c r="BT98" s="26"/>
      <c r="BU98" s="26"/>
      <c r="BV98" s="26"/>
      <c r="BW98" s="26"/>
      <c r="BX98" s="26"/>
      <c r="BY98" s="26"/>
      <c r="BZ98" s="26"/>
      <c r="CA98" s="26"/>
      <c r="CB98" s="26"/>
      <c r="CC98" s="26"/>
      <c r="CD98" s="26"/>
      <c r="CE98" s="26"/>
      <c r="CF98" s="26"/>
      <c r="CG98" s="26"/>
      <c r="CH98" s="26"/>
      <c r="CI98" s="26"/>
    </row>
    <row r="99" spans="1:87" x14ac:dyDescent="0.25">
      <c r="A99" s="26"/>
      <c r="B99" s="26"/>
      <c r="C99" s="142"/>
      <c r="D99" s="142"/>
      <c r="E99" s="142"/>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c r="AK99" s="26"/>
      <c r="AL99" s="26"/>
      <c r="AM99" s="26"/>
      <c r="AN99" s="26"/>
      <c r="AO99" s="26"/>
      <c r="AP99" s="26"/>
      <c r="AQ99" s="26"/>
      <c r="AR99" s="26"/>
      <c r="AS99" s="26"/>
      <c r="AT99" s="26"/>
      <c r="AU99" s="26"/>
      <c r="AV99" s="26"/>
      <c r="AW99" s="26"/>
      <c r="AX99" s="26"/>
      <c r="AY99" s="26"/>
      <c r="AZ99" s="26"/>
      <c r="BA99" s="26"/>
      <c r="BB99" s="26"/>
      <c r="BC99" s="26"/>
      <c r="BD99" s="26"/>
      <c r="BE99" s="26"/>
      <c r="BF99" s="26"/>
      <c r="BG99" s="26"/>
      <c r="BH99" s="26"/>
      <c r="BI99" s="26"/>
      <c r="BJ99" s="26"/>
      <c r="BK99" s="26"/>
      <c r="BL99" s="26"/>
      <c r="BM99" s="26"/>
      <c r="BN99" s="26"/>
      <c r="BO99" s="26"/>
      <c r="BP99" s="26"/>
      <c r="BQ99" s="26"/>
      <c r="BR99" s="26"/>
      <c r="BS99" s="26"/>
      <c r="BT99" s="26"/>
      <c r="BU99" s="26"/>
      <c r="BV99" s="26"/>
      <c r="BW99" s="26"/>
      <c r="BX99" s="26"/>
      <c r="BY99" s="26"/>
      <c r="BZ99" s="26"/>
      <c r="CA99" s="26"/>
      <c r="CB99" s="26"/>
      <c r="CC99" s="26"/>
      <c r="CD99" s="26"/>
      <c r="CE99" s="26"/>
      <c r="CF99" s="26"/>
      <c r="CG99" s="26"/>
      <c r="CH99" s="26"/>
      <c r="CI99" s="26"/>
    </row>
    <row r="100" spans="1:87" x14ac:dyDescent="0.25">
      <c r="A100" s="26"/>
      <c r="B100" s="26"/>
      <c r="C100" s="142"/>
      <c r="D100" s="142"/>
      <c r="E100" s="142"/>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c r="AK100" s="26"/>
      <c r="AL100" s="26"/>
      <c r="AM100" s="26"/>
      <c r="AN100" s="26"/>
      <c r="AO100" s="26"/>
      <c r="AP100" s="26"/>
      <c r="AQ100" s="26"/>
      <c r="AR100" s="26"/>
      <c r="AS100" s="26"/>
      <c r="AT100" s="26"/>
      <c r="AU100" s="26"/>
      <c r="AV100" s="26"/>
      <c r="AW100" s="26"/>
      <c r="AX100" s="26"/>
      <c r="AY100" s="26"/>
      <c r="AZ100" s="26"/>
      <c r="BA100" s="26"/>
      <c r="BB100" s="26"/>
      <c r="BC100" s="26"/>
      <c r="BD100" s="26"/>
      <c r="BE100" s="26"/>
      <c r="BF100" s="26"/>
      <c r="BG100" s="26"/>
      <c r="BH100" s="26"/>
      <c r="BI100" s="26"/>
      <c r="BJ100" s="26"/>
      <c r="BK100" s="26"/>
      <c r="BL100" s="26"/>
      <c r="BM100" s="26"/>
      <c r="BN100" s="26"/>
      <c r="BO100" s="26"/>
      <c r="BP100" s="26"/>
      <c r="BQ100" s="26"/>
      <c r="BR100" s="26"/>
      <c r="BS100" s="26"/>
      <c r="BT100" s="26"/>
      <c r="BU100" s="26"/>
      <c r="BV100" s="26"/>
      <c r="BW100" s="26"/>
      <c r="BX100" s="26"/>
      <c r="BY100" s="26"/>
      <c r="BZ100" s="26"/>
      <c r="CA100" s="26"/>
      <c r="CB100" s="26"/>
      <c r="CC100" s="26"/>
      <c r="CD100" s="26"/>
      <c r="CE100" s="26"/>
      <c r="CF100" s="26"/>
      <c r="CG100" s="26"/>
      <c r="CH100" s="26"/>
      <c r="CI100" s="26"/>
    </row>
    <row r="101" spans="1:87" x14ac:dyDescent="0.25">
      <c r="A101" s="26"/>
      <c r="B101" s="26"/>
      <c r="C101" s="142"/>
      <c r="D101" s="142"/>
      <c r="E101" s="142"/>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c r="AK101" s="26"/>
      <c r="AL101" s="26"/>
      <c r="AM101" s="26"/>
      <c r="AN101" s="26"/>
      <c r="AO101" s="26"/>
      <c r="AP101" s="26"/>
      <c r="AQ101" s="26"/>
      <c r="AR101" s="26"/>
      <c r="AS101" s="26"/>
      <c r="AT101" s="26"/>
      <c r="AU101" s="26"/>
      <c r="AV101" s="26"/>
      <c r="AW101" s="26"/>
      <c r="AX101" s="26"/>
      <c r="AY101" s="26"/>
      <c r="AZ101" s="26"/>
      <c r="BA101" s="26"/>
      <c r="BB101" s="26"/>
      <c r="BC101" s="26"/>
      <c r="BD101" s="26"/>
      <c r="BE101" s="26"/>
      <c r="BF101" s="26"/>
      <c r="BG101" s="26"/>
      <c r="BH101" s="26"/>
      <c r="BI101" s="26"/>
      <c r="BJ101" s="26"/>
      <c r="BK101" s="26"/>
      <c r="BL101" s="26"/>
      <c r="BM101" s="26"/>
      <c r="BN101" s="26"/>
      <c r="BO101" s="26"/>
      <c r="BP101" s="26"/>
      <c r="BQ101" s="26"/>
      <c r="BR101" s="26"/>
      <c r="BS101" s="26"/>
      <c r="BT101" s="26"/>
      <c r="BU101" s="26"/>
      <c r="BV101" s="26"/>
      <c r="BW101" s="26"/>
      <c r="BX101" s="26"/>
      <c r="BY101" s="26"/>
      <c r="BZ101" s="26"/>
      <c r="CA101" s="26"/>
      <c r="CB101" s="26"/>
      <c r="CC101" s="26"/>
      <c r="CD101" s="26"/>
      <c r="CE101" s="26"/>
      <c r="CF101" s="26"/>
      <c r="CG101" s="26"/>
      <c r="CH101" s="26"/>
      <c r="CI101" s="26"/>
    </row>
    <row r="102" spans="1:87" x14ac:dyDescent="0.25">
      <c r="A102" s="26"/>
      <c r="B102" s="26"/>
      <c r="C102" s="142"/>
      <c r="D102" s="142"/>
      <c r="E102" s="142"/>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c r="AK102" s="26"/>
      <c r="AL102" s="26"/>
      <c r="AM102" s="26"/>
      <c r="AN102" s="26"/>
      <c r="AO102" s="26"/>
      <c r="AP102" s="26"/>
      <c r="AQ102" s="26"/>
      <c r="AR102" s="26"/>
      <c r="AS102" s="26"/>
      <c r="AT102" s="26"/>
      <c r="AU102" s="26"/>
      <c r="AV102" s="26"/>
      <c r="AW102" s="26"/>
      <c r="AX102" s="26"/>
      <c r="AY102" s="26"/>
      <c r="AZ102" s="26"/>
      <c r="BA102" s="26"/>
      <c r="BB102" s="26"/>
      <c r="BC102" s="26"/>
      <c r="BD102" s="26"/>
      <c r="BE102" s="26"/>
      <c r="BF102" s="26"/>
      <c r="BG102" s="26"/>
      <c r="BH102" s="26"/>
      <c r="BI102" s="26"/>
      <c r="BJ102" s="26"/>
      <c r="BK102" s="26"/>
      <c r="BL102" s="26"/>
      <c r="BM102" s="26"/>
      <c r="BN102" s="26"/>
      <c r="BO102" s="26"/>
      <c r="BP102" s="26"/>
      <c r="BQ102" s="26"/>
      <c r="BR102" s="26"/>
      <c r="BS102" s="26"/>
      <c r="BT102" s="26"/>
      <c r="BU102" s="26"/>
      <c r="BV102" s="26"/>
      <c r="BW102" s="26"/>
      <c r="BX102" s="26"/>
      <c r="BY102" s="26"/>
      <c r="BZ102" s="26"/>
      <c r="CA102" s="26"/>
      <c r="CB102" s="26"/>
      <c r="CC102" s="26"/>
      <c r="CD102" s="26"/>
      <c r="CE102" s="26"/>
      <c r="CF102" s="26"/>
      <c r="CG102" s="26"/>
      <c r="CH102" s="26"/>
      <c r="CI102" s="26"/>
    </row>
    <row r="103" spans="1:87" x14ac:dyDescent="0.25">
      <c r="A103" s="26"/>
      <c r="B103" s="26"/>
      <c r="C103" s="142"/>
      <c r="D103" s="142"/>
      <c r="E103" s="142"/>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c r="AK103" s="26"/>
      <c r="AL103" s="26"/>
      <c r="AM103" s="26"/>
      <c r="AN103" s="26"/>
      <c r="AO103" s="26"/>
      <c r="AP103" s="26"/>
      <c r="AQ103" s="26"/>
      <c r="AR103" s="26"/>
      <c r="AS103" s="26"/>
      <c r="AT103" s="26"/>
      <c r="AU103" s="26"/>
      <c r="AV103" s="26"/>
      <c r="AW103" s="26"/>
      <c r="AX103" s="26"/>
      <c r="AY103" s="26"/>
      <c r="AZ103" s="26"/>
      <c r="BA103" s="26"/>
      <c r="BB103" s="26"/>
      <c r="BC103" s="26"/>
      <c r="BD103" s="26"/>
      <c r="BE103" s="26"/>
      <c r="BF103" s="26"/>
      <c r="BG103" s="26"/>
      <c r="BH103" s="26"/>
      <c r="BI103" s="26"/>
      <c r="BJ103" s="26"/>
      <c r="BK103" s="26"/>
      <c r="BL103" s="26"/>
      <c r="BM103" s="26"/>
      <c r="BN103" s="26"/>
      <c r="BO103" s="26"/>
      <c r="BP103" s="26"/>
      <c r="BQ103" s="26"/>
      <c r="BR103" s="26"/>
      <c r="BS103" s="26"/>
      <c r="BT103" s="26"/>
      <c r="BU103" s="26"/>
      <c r="BV103" s="26"/>
      <c r="BW103" s="26"/>
      <c r="BX103" s="26"/>
      <c r="BY103" s="26"/>
      <c r="BZ103" s="26"/>
      <c r="CA103" s="26"/>
      <c r="CB103" s="26"/>
      <c r="CC103" s="26"/>
      <c r="CD103" s="26"/>
      <c r="CE103" s="26"/>
      <c r="CF103" s="26"/>
      <c r="CG103" s="26"/>
      <c r="CH103" s="26"/>
      <c r="CI103" s="26"/>
    </row>
    <row r="104" spans="1:87" x14ac:dyDescent="0.25">
      <c r="A104" s="26"/>
      <c r="B104" s="26"/>
      <c r="C104" s="142"/>
      <c r="D104" s="142"/>
      <c r="E104" s="142"/>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c r="AK104" s="26"/>
      <c r="AL104" s="26"/>
      <c r="AM104" s="26"/>
      <c r="AN104" s="26"/>
      <c r="AO104" s="26"/>
      <c r="AP104" s="26"/>
      <c r="AQ104" s="26"/>
      <c r="AR104" s="26"/>
      <c r="AS104" s="26"/>
      <c r="AT104" s="26"/>
      <c r="AU104" s="26"/>
      <c r="AV104" s="26"/>
      <c r="AW104" s="26"/>
      <c r="AX104" s="26"/>
      <c r="AY104" s="26"/>
      <c r="AZ104" s="26"/>
      <c r="BA104" s="26"/>
      <c r="BB104" s="26"/>
      <c r="BC104" s="26"/>
      <c r="BD104" s="26"/>
      <c r="BE104" s="26"/>
      <c r="BF104" s="26"/>
      <c r="BG104" s="26"/>
      <c r="BH104" s="26"/>
      <c r="BI104" s="26"/>
      <c r="BJ104" s="26"/>
      <c r="BK104" s="26"/>
      <c r="BL104" s="26"/>
      <c r="BM104" s="26"/>
      <c r="BN104" s="26"/>
      <c r="BO104" s="26"/>
      <c r="BP104" s="26"/>
      <c r="BQ104" s="26"/>
      <c r="BR104" s="26"/>
      <c r="BS104" s="26"/>
      <c r="BT104" s="26"/>
      <c r="BU104" s="26"/>
      <c r="BV104" s="26"/>
      <c r="BW104" s="26"/>
      <c r="BX104" s="26"/>
      <c r="BY104" s="26"/>
      <c r="BZ104" s="26"/>
      <c r="CA104" s="26"/>
      <c r="CB104" s="26"/>
      <c r="CC104" s="26"/>
      <c r="CD104" s="26"/>
      <c r="CE104" s="26"/>
      <c r="CF104" s="26"/>
      <c r="CG104" s="26"/>
      <c r="CH104" s="26"/>
      <c r="CI104" s="26"/>
    </row>
    <row r="105" spans="1:87" x14ac:dyDescent="0.25">
      <c r="A105" s="26"/>
      <c r="B105" s="26"/>
      <c r="C105" s="142"/>
      <c r="D105" s="142"/>
      <c r="E105" s="142"/>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c r="AK105" s="26"/>
      <c r="AL105" s="26"/>
      <c r="AM105" s="26"/>
      <c r="AN105" s="26"/>
      <c r="AO105" s="26"/>
      <c r="AP105" s="26"/>
      <c r="AQ105" s="26"/>
      <c r="AR105" s="26"/>
      <c r="AS105" s="26"/>
      <c r="AT105" s="26"/>
      <c r="AU105" s="26"/>
      <c r="AV105" s="26"/>
      <c r="AW105" s="26"/>
      <c r="AX105" s="26"/>
      <c r="AY105" s="26"/>
      <c r="AZ105" s="26"/>
      <c r="BA105" s="26"/>
      <c r="BB105" s="26"/>
      <c r="BC105" s="26"/>
      <c r="BD105" s="26"/>
      <c r="BE105" s="26"/>
      <c r="BF105" s="26"/>
      <c r="BG105" s="26"/>
      <c r="BH105" s="26"/>
      <c r="BI105" s="26"/>
      <c r="BJ105" s="26"/>
      <c r="BK105" s="26"/>
      <c r="BL105" s="26"/>
      <c r="BM105" s="26"/>
      <c r="BN105" s="26"/>
      <c r="BO105" s="26"/>
      <c r="BP105" s="26"/>
      <c r="BQ105" s="26"/>
      <c r="BR105" s="26"/>
      <c r="BS105" s="26"/>
      <c r="BT105" s="26"/>
      <c r="BU105" s="26"/>
      <c r="BV105" s="26"/>
      <c r="BW105" s="26"/>
      <c r="BX105" s="26"/>
      <c r="BY105" s="26"/>
      <c r="BZ105" s="26"/>
      <c r="CA105" s="26"/>
      <c r="CB105" s="26"/>
      <c r="CC105" s="26"/>
      <c r="CD105" s="26"/>
      <c r="CE105" s="26"/>
      <c r="CF105" s="26"/>
      <c r="CG105" s="26"/>
      <c r="CH105" s="26"/>
      <c r="CI105" s="26"/>
    </row>
    <row r="106" spans="1:87" x14ac:dyDescent="0.25">
      <c r="A106" s="26"/>
      <c r="B106" s="26"/>
      <c r="C106" s="142"/>
      <c r="D106" s="142"/>
      <c r="E106" s="142"/>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c r="AK106" s="26"/>
      <c r="AL106" s="26"/>
      <c r="AM106" s="26"/>
      <c r="AN106" s="26"/>
      <c r="AO106" s="26"/>
      <c r="AP106" s="26"/>
      <c r="AQ106" s="26"/>
      <c r="AR106" s="26"/>
      <c r="AS106" s="26"/>
      <c r="AT106" s="26"/>
      <c r="AU106" s="26"/>
      <c r="AV106" s="26"/>
      <c r="AW106" s="26"/>
      <c r="AX106" s="26"/>
      <c r="AY106" s="26"/>
      <c r="AZ106" s="26"/>
      <c r="BA106" s="26"/>
      <c r="BB106" s="26"/>
      <c r="BC106" s="26"/>
      <c r="BD106" s="26"/>
      <c r="BE106" s="26"/>
      <c r="BF106" s="26"/>
      <c r="BG106" s="26"/>
      <c r="BH106" s="26"/>
      <c r="BI106" s="26"/>
      <c r="BJ106" s="26"/>
      <c r="BK106" s="26"/>
      <c r="BL106" s="26"/>
      <c r="BM106" s="26"/>
      <c r="BN106" s="26"/>
      <c r="BO106" s="26"/>
      <c r="BP106" s="26"/>
      <c r="BQ106" s="26"/>
      <c r="BR106" s="26"/>
      <c r="BS106" s="26"/>
      <c r="BT106" s="26"/>
      <c r="BU106" s="26"/>
      <c r="BV106" s="26"/>
      <c r="BW106" s="26"/>
      <c r="BX106" s="26"/>
      <c r="BY106" s="26"/>
      <c r="BZ106" s="26"/>
      <c r="CA106" s="26"/>
      <c r="CB106" s="26"/>
      <c r="CC106" s="26"/>
      <c r="CD106" s="26"/>
      <c r="CE106" s="26"/>
      <c r="CF106" s="26"/>
      <c r="CG106" s="26"/>
      <c r="CH106" s="26"/>
      <c r="CI106" s="26"/>
    </row>
    <row r="107" spans="1:87" x14ac:dyDescent="0.25">
      <c r="A107" s="26"/>
      <c r="B107" s="26"/>
      <c r="C107" s="142"/>
      <c r="D107" s="142"/>
      <c r="E107" s="142"/>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c r="AK107" s="26"/>
      <c r="AL107" s="26"/>
      <c r="AM107" s="26"/>
      <c r="AN107" s="26"/>
      <c r="AO107" s="26"/>
      <c r="AP107" s="26"/>
      <c r="AQ107" s="26"/>
      <c r="AR107" s="26"/>
      <c r="AS107" s="26"/>
      <c r="AT107" s="26"/>
      <c r="AU107" s="26"/>
      <c r="AV107" s="26"/>
      <c r="AW107" s="26"/>
      <c r="AX107" s="26"/>
      <c r="AY107" s="26"/>
      <c r="AZ107" s="26"/>
      <c r="BA107" s="26"/>
      <c r="BB107" s="26"/>
      <c r="BC107" s="26"/>
      <c r="BD107" s="26"/>
      <c r="BE107" s="26"/>
      <c r="BF107" s="26"/>
      <c r="BG107" s="26"/>
      <c r="BH107" s="26"/>
      <c r="BI107" s="26"/>
      <c r="BJ107" s="26"/>
      <c r="BK107" s="26"/>
      <c r="BL107" s="26"/>
      <c r="BM107" s="26"/>
      <c r="BN107" s="26"/>
      <c r="BO107" s="26"/>
      <c r="BP107" s="26"/>
      <c r="BQ107" s="26"/>
      <c r="BR107" s="26"/>
      <c r="BS107" s="26"/>
      <c r="BT107" s="26"/>
      <c r="BU107" s="26"/>
      <c r="BV107" s="26"/>
      <c r="BW107" s="26"/>
      <c r="BX107" s="26"/>
      <c r="BY107" s="26"/>
      <c r="BZ107" s="26"/>
      <c r="CA107" s="26"/>
      <c r="CB107" s="26"/>
      <c r="CC107" s="26"/>
      <c r="CD107" s="26"/>
      <c r="CE107" s="26"/>
      <c r="CF107" s="26"/>
      <c r="CG107" s="26"/>
      <c r="CH107" s="26"/>
      <c r="CI107" s="26"/>
    </row>
    <row r="108" spans="1:87" x14ac:dyDescent="0.25">
      <c r="A108" s="26"/>
      <c r="B108" s="26"/>
      <c r="C108" s="142"/>
      <c r="D108" s="142"/>
      <c r="E108" s="142"/>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c r="AK108" s="26"/>
      <c r="AL108" s="26"/>
      <c r="AM108" s="26"/>
      <c r="AN108" s="26"/>
      <c r="AO108" s="26"/>
      <c r="AP108" s="26"/>
      <c r="AQ108" s="26"/>
      <c r="AR108" s="26"/>
      <c r="AS108" s="26"/>
      <c r="AT108" s="26"/>
      <c r="AU108" s="26"/>
      <c r="AV108" s="26"/>
      <c r="AW108" s="26"/>
      <c r="AX108" s="26"/>
      <c r="AY108" s="26"/>
      <c r="AZ108" s="26"/>
      <c r="BA108" s="26"/>
      <c r="BB108" s="26"/>
      <c r="BC108" s="26"/>
      <c r="BD108" s="26"/>
      <c r="BE108" s="26"/>
      <c r="BF108" s="26"/>
      <c r="BG108" s="26"/>
      <c r="BH108" s="26"/>
      <c r="BI108" s="26"/>
      <c r="BJ108" s="26"/>
      <c r="BK108" s="26"/>
      <c r="BL108" s="26"/>
      <c r="BM108" s="26"/>
      <c r="BN108" s="26"/>
      <c r="BO108" s="26"/>
      <c r="BP108" s="26"/>
      <c r="BQ108" s="26"/>
      <c r="BR108" s="26"/>
      <c r="BS108" s="26"/>
      <c r="BT108" s="26"/>
      <c r="BU108" s="26"/>
      <c r="BV108" s="26"/>
      <c r="BW108" s="26"/>
      <c r="BX108" s="26"/>
      <c r="BY108" s="26"/>
      <c r="BZ108" s="26"/>
      <c r="CA108" s="26"/>
      <c r="CB108" s="26"/>
      <c r="CC108" s="26"/>
      <c r="CD108" s="26"/>
      <c r="CE108" s="26"/>
      <c r="CF108" s="26"/>
      <c r="CG108" s="26"/>
      <c r="CH108" s="26"/>
      <c r="CI108" s="26"/>
    </row>
    <row r="109" spans="1:87" x14ac:dyDescent="0.25">
      <c r="A109" s="26"/>
      <c r="B109" s="26"/>
      <c r="C109" s="142"/>
      <c r="D109" s="142"/>
      <c r="E109" s="142"/>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c r="AK109" s="26"/>
      <c r="AL109" s="26"/>
      <c r="AM109" s="26"/>
      <c r="AN109" s="26"/>
      <c r="AO109" s="26"/>
      <c r="AP109" s="26"/>
      <c r="AQ109" s="26"/>
      <c r="AR109" s="26"/>
      <c r="AS109" s="26"/>
      <c r="AT109" s="26"/>
      <c r="AU109" s="26"/>
      <c r="AV109" s="26"/>
      <c r="AW109" s="26"/>
      <c r="AX109" s="26"/>
      <c r="AY109" s="26"/>
      <c r="AZ109" s="26"/>
      <c r="BA109" s="26"/>
      <c r="BB109" s="26"/>
      <c r="BC109" s="26"/>
      <c r="BD109" s="26"/>
      <c r="BE109" s="26"/>
      <c r="BF109" s="26"/>
      <c r="BG109" s="26"/>
      <c r="BH109" s="26"/>
      <c r="BI109" s="26"/>
      <c r="BJ109" s="26"/>
      <c r="BK109" s="26"/>
      <c r="BL109" s="26"/>
      <c r="BM109" s="26"/>
      <c r="BN109" s="26"/>
      <c r="BO109" s="26"/>
      <c r="BP109" s="26"/>
      <c r="BQ109" s="26"/>
      <c r="BR109" s="26"/>
      <c r="BS109" s="26"/>
      <c r="BT109" s="26"/>
      <c r="BU109" s="26"/>
      <c r="BV109" s="26"/>
      <c r="BW109" s="26"/>
      <c r="BX109" s="26"/>
      <c r="BY109" s="26"/>
      <c r="BZ109" s="26"/>
      <c r="CA109" s="26"/>
      <c r="CB109" s="26"/>
      <c r="CC109" s="26"/>
      <c r="CD109" s="26"/>
      <c r="CE109" s="26"/>
      <c r="CF109" s="26"/>
      <c r="CG109" s="26"/>
      <c r="CH109" s="26"/>
      <c r="CI109" s="26"/>
    </row>
    <row r="110" spans="1:87" x14ac:dyDescent="0.25">
      <c r="A110" s="26"/>
      <c r="B110" s="26"/>
      <c r="C110" s="142"/>
      <c r="D110" s="142"/>
      <c r="E110" s="142"/>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c r="AK110" s="26"/>
      <c r="AL110" s="26"/>
      <c r="AM110" s="26"/>
      <c r="AN110" s="26"/>
      <c r="AO110" s="26"/>
      <c r="AP110" s="26"/>
      <c r="AQ110" s="26"/>
      <c r="AR110" s="26"/>
      <c r="AS110" s="26"/>
      <c r="AT110" s="26"/>
      <c r="AU110" s="26"/>
      <c r="AV110" s="26"/>
      <c r="AW110" s="26"/>
      <c r="AX110" s="26"/>
      <c r="AY110" s="26"/>
      <c r="AZ110" s="26"/>
      <c r="BA110" s="26"/>
      <c r="BB110" s="26"/>
      <c r="BC110" s="26"/>
      <c r="BD110" s="26"/>
      <c r="BE110" s="26"/>
      <c r="BF110" s="26"/>
      <c r="BG110" s="26"/>
      <c r="BH110" s="26"/>
      <c r="BI110" s="26"/>
      <c r="BJ110" s="26"/>
      <c r="BK110" s="26"/>
      <c r="BL110" s="26"/>
      <c r="BM110" s="26"/>
      <c r="BN110" s="26"/>
      <c r="BO110" s="26"/>
      <c r="BP110" s="26"/>
      <c r="BQ110" s="26"/>
      <c r="BR110" s="26"/>
      <c r="BS110" s="26"/>
      <c r="BT110" s="26"/>
      <c r="BU110" s="26"/>
      <c r="BV110" s="26"/>
      <c r="BW110" s="26"/>
      <c r="BX110" s="26"/>
      <c r="BY110" s="26"/>
      <c r="BZ110" s="26"/>
      <c r="CA110" s="26"/>
      <c r="CB110" s="26"/>
      <c r="CC110" s="26"/>
      <c r="CD110" s="26"/>
      <c r="CE110" s="26"/>
      <c r="CF110" s="26"/>
      <c r="CG110" s="26"/>
      <c r="CH110" s="26"/>
      <c r="CI110" s="26"/>
    </row>
    <row r="111" spans="1:87" x14ac:dyDescent="0.25">
      <c r="A111" s="26"/>
      <c r="B111" s="26"/>
      <c r="C111" s="142"/>
      <c r="D111" s="142"/>
      <c r="E111" s="142"/>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c r="AK111" s="26"/>
      <c r="AL111" s="26"/>
      <c r="AM111" s="26"/>
      <c r="AN111" s="26"/>
      <c r="AO111" s="26"/>
      <c r="AP111" s="26"/>
      <c r="AQ111" s="26"/>
      <c r="AR111" s="26"/>
      <c r="AS111" s="26"/>
      <c r="AT111" s="26"/>
      <c r="AU111" s="26"/>
      <c r="AV111" s="26"/>
      <c r="AW111" s="26"/>
      <c r="AX111" s="26"/>
      <c r="AY111" s="26"/>
      <c r="AZ111" s="26"/>
      <c r="BA111" s="26"/>
      <c r="BB111" s="26"/>
      <c r="BC111" s="26"/>
      <c r="BD111" s="26"/>
      <c r="BE111" s="26"/>
      <c r="BF111" s="26"/>
      <c r="BG111" s="26"/>
      <c r="BH111" s="26"/>
      <c r="BI111" s="26"/>
      <c r="BJ111" s="26"/>
      <c r="BK111" s="26"/>
      <c r="BL111" s="26"/>
      <c r="BM111" s="26"/>
      <c r="BN111" s="26"/>
      <c r="BO111" s="26"/>
      <c r="BP111" s="26"/>
      <c r="BQ111" s="26"/>
      <c r="BR111" s="26"/>
      <c r="BS111" s="26"/>
      <c r="BT111" s="26"/>
      <c r="BU111" s="26"/>
      <c r="BV111" s="26"/>
      <c r="BW111" s="26"/>
      <c r="BX111" s="26"/>
      <c r="BY111" s="26"/>
      <c r="BZ111" s="26"/>
      <c r="CA111" s="26"/>
      <c r="CB111" s="26"/>
      <c r="CC111" s="26"/>
      <c r="CD111" s="26"/>
      <c r="CE111" s="26"/>
      <c r="CF111" s="26"/>
      <c r="CG111" s="26"/>
      <c r="CH111" s="26"/>
      <c r="CI111" s="26"/>
    </row>
    <row r="112" spans="1:87" x14ac:dyDescent="0.25">
      <c r="A112" s="26"/>
      <c r="B112" s="26"/>
      <c r="C112" s="142"/>
      <c r="D112" s="142"/>
      <c r="E112" s="142"/>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c r="AK112" s="26"/>
      <c r="AL112" s="26"/>
      <c r="AM112" s="26"/>
      <c r="AN112" s="26"/>
      <c r="AO112" s="26"/>
      <c r="AP112" s="26"/>
      <c r="AQ112" s="26"/>
      <c r="AR112" s="26"/>
      <c r="AS112" s="26"/>
      <c r="AT112" s="26"/>
      <c r="AU112" s="26"/>
      <c r="AV112" s="26"/>
      <c r="AW112" s="26"/>
      <c r="AX112" s="26"/>
      <c r="AY112" s="26"/>
      <c r="AZ112" s="26"/>
      <c r="BA112" s="26"/>
      <c r="BB112" s="26"/>
      <c r="BC112" s="26"/>
      <c r="BD112" s="26"/>
      <c r="BE112" s="26"/>
      <c r="BF112" s="26"/>
      <c r="BG112" s="26"/>
      <c r="BH112" s="26"/>
      <c r="BI112" s="26"/>
      <c r="BJ112" s="26"/>
      <c r="BK112" s="26"/>
      <c r="BL112" s="26"/>
      <c r="BM112" s="26"/>
      <c r="BN112" s="26"/>
      <c r="BO112" s="26"/>
      <c r="BP112" s="26"/>
      <c r="BQ112" s="26"/>
      <c r="BR112" s="26"/>
      <c r="BS112" s="26"/>
      <c r="BT112" s="26"/>
      <c r="BU112" s="26"/>
      <c r="BV112" s="26"/>
      <c r="BW112" s="26"/>
      <c r="BX112" s="26"/>
      <c r="BY112" s="26"/>
      <c r="BZ112" s="26"/>
      <c r="CA112" s="26"/>
      <c r="CB112" s="26"/>
      <c r="CC112" s="26"/>
      <c r="CD112" s="26"/>
      <c r="CE112" s="26"/>
      <c r="CF112" s="26"/>
      <c r="CG112" s="26"/>
      <c r="CH112" s="26"/>
      <c r="CI112" s="26"/>
    </row>
    <row r="113" spans="1:87" x14ac:dyDescent="0.25">
      <c r="A113" s="26"/>
      <c r="B113" s="26"/>
      <c r="C113" s="142"/>
      <c r="D113" s="142"/>
      <c r="E113" s="142"/>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c r="AK113" s="26"/>
      <c r="AL113" s="26"/>
      <c r="AM113" s="26"/>
      <c r="AN113" s="26"/>
      <c r="AO113" s="26"/>
      <c r="AP113" s="26"/>
      <c r="AQ113" s="26"/>
      <c r="AR113" s="26"/>
      <c r="AS113" s="26"/>
      <c r="AT113" s="26"/>
      <c r="AU113" s="26"/>
      <c r="AV113" s="26"/>
      <c r="AW113" s="26"/>
      <c r="AX113" s="26"/>
      <c r="AY113" s="26"/>
      <c r="AZ113" s="26"/>
      <c r="BA113" s="26"/>
      <c r="BB113" s="26"/>
      <c r="BC113" s="26"/>
      <c r="BD113" s="26"/>
      <c r="BE113" s="26"/>
      <c r="BF113" s="26"/>
      <c r="BG113" s="26"/>
      <c r="BH113" s="26"/>
      <c r="BI113" s="26"/>
      <c r="BJ113" s="26"/>
      <c r="BK113" s="26"/>
      <c r="BL113" s="26"/>
      <c r="BM113" s="26"/>
      <c r="BN113" s="26"/>
      <c r="BO113" s="26"/>
      <c r="BP113" s="26"/>
      <c r="BQ113" s="26"/>
      <c r="BR113" s="26"/>
      <c r="BS113" s="26"/>
      <c r="BT113" s="26"/>
      <c r="BU113" s="26"/>
      <c r="BV113" s="26"/>
      <c r="BW113" s="26"/>
      <c r="BX113" s="26"/>
      <c r="BY113" s="26"/>
      <c r="BZ113" s="26"/>
      <c r="CA113" s="26"/>
      <c r="CB113" s="26"/>
      <c r="CC113" s="26"/>
      <c r="CD113" s="26"/>
      <c r="CE113" s="26"/>
      <c r="CF113" s="26"/>
      <c r="CG113" s="26"/>
      <c r="CH113" s="26"/>
      <c r="CI113" s="26"/>
    </row>
    <row r="114" spans="1:87" x14ac:dyDescent="0.25">
      <c r="A114" s="26"/>
      <c r="B114" s="26"/>
      <c r="C114" s="142"/>
      <c r="D114" s="142"/>
      <c r="E114" s="142"/>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c r="AK114" s="26"/>
      <c r="AL114" s="26"/>
      <c r="AM114" s="26"/>
      <c r="AN114" s="26"/>
      <c r="AO114" s="26"/>
      <c r="AP114" s="26"/>
      <c r="AQ114" s="26"/>
      <c r="AR114" s="26"/>
      <c r="AS114" s="26"/>
      <c r="AT114" s="26"/>
      <c r="AU114" s="26"/>
      <c r="AV114" s="26"/>
      <c r="AW114" s="26"/>
      <c r="AX114" s="26"/>
      <c r="AY114" s="26"/>
      <c r="AZ114" s="26"/>
      <c r="BA114" s="26"/>
      <c r="BB114" s="26"/>
      <c r="BC114" s="26"/>
      <c r="BD114" s="26"/>
      <c r="BE114" s="26"/>
      <c r="BF114" s="26"/>
      <c r="BG114" s="26"/>
      <c r="BH114" s="26"/>
      <c r="BI114" s="26"/>
      <c r="BJ114" s="26"/>
      <c r="BK114" s="26"/>
      <c r="BL114" s="26"/>
      <c r="BM114" s="26"/>
      <c r="BN114" s="26"/>
      <c r="BO114" s="26"/>
      <c r="BP114" s="26"/>
      <c r="BQ114" s="26"/>
      <c r="BR114" s="26"/>
      <c r="BS114" s="26"/>
      <c r="BT114" s="26"/>
      <c r="BU114" s="26"/>
      <c r="BV114" s="26"/>
      <c r="BW114" s="26"/>
      <c r="BX114" s="26"/>
      <c r="BY114" s="26"/>
      <c r="BZ114" s="26"/>
      <c r="CA114" s="26"/>
      <c r="CB114" s="26"/>
      <c r="CC114" s="26"/>
      <c r="CD114" s="26"/>
      <c r="CE114" s="26"/>
      <c r="CF114" s="26"/>
      <c r="CG114" s="26"/>
      <c r="CH114" s="26"/>
      <c r="CI114" s="26"/>
    </row>
    <row r="115" spans="1:87" x14ac:dyDescent="0.25">
      <c r="A115" s="26"/>
      <c r="B115" s="26"/>
      <c r="C115" s="142"/>
      <c r="D115" s="142"/>
      <c r="E115" s="142"/>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c r="AK115" s="26"/>
      <c r="AL115" s="26"/>
      <c r="AM115" s="26"/>
      <c r="AN115" s="26"/>
      <c r="AO115" s="26"/>
      <c r="AP115" s="26"/>
      <c r="AQ115" s="26"/>
      <c r="AR115" s="26"/>
      <c r="AS115" s="26"/>
      <c r="AT115" s="26"/>
      <c r="AU115" s="26"/>
      <c r="AV115" s="26"/>
      <c r="AW115" s="26"/>
      <c r="AX115" s="26"/>
      <c r="AY115" s="26"/>
      <c r="AZ115" s="26"/>
      <c r="BA115" s="26"/>
      <c r="BB115" s="26"/>
      <c r="BC115" s="26"/>
      <c r="BD115" s="26"/>
      <c r="BE115" s="26"/>
      <c r="BF115" s="26"/>
      <c r="BG115" s="26"/>
      <c r="BH115" s="26"/>
      <c r="BI115" s="26"/>
      <c r="BJ115" s="26"/>
      <c r="BK115" s="26"/>
      <c r="BL115" s="26"/>
      <c r="BM115" s="26"/>
      <c r="BN115" s="26"/>
      <c r="BO115" s="26"/>
      <c r="BP115" s="26"/>
      <c r="BQ115" s="26"/>
      <c r="BR115" s="26"/>
      <c r="BS115" s="26"/>
      <c r="BT115" s="26"/>
      <c r="BU115" s="26"/>
      <c r="BV115" s="26"/>
      <c r="BW115" s="26"/>
      <c r="BX115" s="26"/>
      <c r="BY115" s="26"/>
      <c r="BZ115" s="26"/>
      <c r="CA115" s="26"/>
      <c r="CB115" s="26"/>
      <c r="CC115" s="26"/>
      <c r="CD115" s="26"/>
      <c r="CE115" s="26"/>
      <c r="CF115" s="26"/>
      <c r="CG115" s="26"/>
      <c r="CH115" s="26"/>
      <c r="CI115" s="26"/>
    </row>
    <row r="116" spans="1:87" x14ac:dyDescent="0.25">
      <c r="A116" s="26"/>
      <c r="B116" s="26"/>
      <c r="C116" s="142"/>
      <c r="D116" s="142"/>
      <c r="E116" s="142"/>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c r="AK116" s="26"/>
      <c r="AL116" s="26"/>
      <c r="AM116" s="26"/>
      <c r="AN116" s="26"/>
      <c r="AO116" s="26"/>
      <c r="AP116" s="26"/>
      <c r="AQ116" s="26"/>
      <c r="AR116" s="26"/>
      <c r="AS116" s="26"/>
      <c r="AT116" s="26"/>
      <c r="AU116" s="26"/>
      <c r="AV116" s="26"/>
      <c r="AW116" s="26"/>
      <c r="AX116" s="26"/>
      <c r="AY116" s="26"/>
      <c r="AZ116" s="26"/>
      <c r="BA116" s="26"/>
      <c r="BB116" s="26"/>
      <c r="BC116" s="26"/>
      <c r="BD116" s="26"/>
      <c r="BE116" s="26"/>
      <c r="BF116" s="26"/>
      <c r="BG116" s="26"/>
      <c r="BH116" s="26"/>
      <c r="BI116" s="26"/>
      <c r="BJ116" s="26"/>
      <c r="BK116" s="26"/>
      <c r="BL116" s="26"/>
      <c r="BM116" s="26"/>
      <c r="BN116" s="26"/>
      <c r="BO116" s="26"/>
      <c r="BP116" s="26"/>
      <c r="BQ116" s="26"/>
      <c r="BR116" s="26"/>
      <c r="BS116" s="26"/>
      <c r="BT116" s="26"/>
      <c r="BU116" s="26"/>
      <c r="BV116" s="26"/>
      <c r="BW116" s="26"/>
      <c r="BX116" s="26"/>
      <c r="BY116" s="26"/>
      <c r="BZ116" s="26"/>
      <c r="CA116" s="26"/>
      <c r="CB116" s="26"/>
      <c r="CC116" s="26"/>
      <c r="CD116" s="26"/>
      <c r="CE116" s="26"/>
      <c r="CF116" s="26"/>
      <c r="CG116" s="26"/>
      <c r="CH116" s="26"/>
      <c r="CI116" s="26"/>
    </row>
    <row r="117" spans="1:87" x14ac:dyDescent="0.25">
      <c r="A117" s="26"/>
      <c r="B117" s="26"/>
      <c r="C117" s="142"/>
      <c r="D117" s="142"/>
      <c r="E117" s="142"/>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c r="AK117" s="26"/>
      <c r="AL117" s="26"/>
      <c r="AM117" s="26"/>
      <c r="AN117" s="26"/>
      <c r="AO117" s="26"/>
      <c r="AP117" s="26"/>
      <c r="AQ117" s="26"/>
      <c r="AR117" s="26"/>
      <c r="AS117" s="26"/>
      <c r="AT117" s="26"/>
      <c r="AU117" s="26"/>
      <c r="AV117" s="26"/>
      <c r="AW117" s="26"/>
      <c r="AX117" s="26"/>
      <c r="AY117" s="26"/>
      <c r="AZ117" s="26"/>
      <c r="BA117" s="26"/>
      <c r="BB117" s="26"/>
      <c r="BC117" s="26"/>
      <c r="BD117" s="26"/>
      <c r="BE117" s="26"/>
      <c r="BF117" s="26"/>
      <c r="BG117" s="26"/>
      <c r="BH117" s="26"/>
      <c r="BI117" s="26"/>
      <c r="BJ117" s="26"/>
      <c r="BK117" s="26"/>
      <c r="BL117" s="26"/>
      <c r="BM117" s="26"/>
      <c r="BN117" s="26"/>
      <c r="BO117" s="26"/>
      <c r="BP117" s="26"/>
      <c r="BQ117" s="26"/>
      <c r="BR117" s="26"/>
      <c r="BS117" s="26"/>
      <c r="BT117" s="26"/>
      <c r="BU117" s="26"/>
      <c r="BV117" s="26"/>
      <c r="BW117" s="26"/>
      <c r="BX117" s="26"/>
      <c r="BY117" s="26"/>
      <c r="BZ117" s="26"/>
      <c r="CA117" s="26"/>
      <c r="CB117" s="26"/>
      <c r="CC117" s="26"/>
      <c r="CD117" s="26"/>
      <c r="CE117" s="26"/>
      <c r="CF117" s="26"/>
      <c r="CG117" s="26"/>
      <c r="CH117" s="26"/>
      <c r="CI117" s="26"/>
    </row>
    <row r="118" spans="1:87" x14ac:dyDescent="0.25">
      <c r="A118" s="26"/>
      <c r="B118" s="26"/>
      <c r="C118" s="142"/>
      <c r="D118" s="142"/>
      <c r="E118" s="142"/>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c r="AK118" s="26"/>
      <c r="AL118" s="26"/>
      <c r="AM118" s="26"/>
      <c r="AN118" s="26"/>
      <c r="AO118" s="26"/>
      <c r="AP118" s="26"/>
      <c r="AQ118" s="26"/>
      <c r="AR118" s="26"/>
      <c r="AS118" s="26"/>
      <c r="AT118" s="26"/>
      <c r="AU118" s="26"/>
      <c r="AV118" s="26"/>
      <c r="AW118" s="26"/>
      <c r="AX118" s="26"/>
      <c r="AY118" s="26"/>
      <c r="AZ118" s="26"/>
      <c r="BA118" s="26"/>
      <c r="BB118" s="26"/>
      <c r="BC118" s="26"/>
      <c r="BD118" s="26"/>
      <c r="BE118" s="26"/>
      <c r="BF118" s="26"/>
      <c r="BG118" s="26"/>
      <c r="BH118" s="26"/>
      <c r="BI118" s="26"/>
      <c r="BJ118" s="26"/>
      <c r="BK118" s="26"/>
      <c r="BL118" s="26"/>
      <c r="BM118" s="26"/>
      <c r="BN118" s="26"/>
      <c r="BO118" s="26"/>
      <c r="BP118" s="26"/>
      <c r="BQ118" s="26"/>
      <c r="BR118" s="26"/>
      <c r="BS118" s="26"/>
      <c r="BT118" s="26"/>
      <c r="BU118" s="26"/>
      <c r="BV118" s="26"/>
      <c r="BW118" s="26"/>
      <c r="BX118" s="26"/>
      <c r="BY118" s="26"/>
      <c r="BZ118" s="26"/>
      <c r="CA118" s="26"/>
      <c r="CB118" s="26"/>
      <c r="CC118" s="26"/>
      <c r="CD118" s="26"/>
      <c r="CE118" s="26"/>
      <c r="CF118" s="26"/>
      <c r="CG118" s="26"/>
      <c r="CH118" s="26"/>
      <c r="CI118" s="26"/>
    </row>
    <row r="119" spans="1:87" x14ac:dyDescent="0.25">
      <c r="A119" s="26"/>
      <c r="B119" s="26"/>
      <c r="C119" s="142"/>
      <c r="D119" s="142"/>
      <c r="E119" s="142"/>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c r="AK119" s="26"/>
      <c r="AL119" s="26"/>
      <c r="AM119" s="26"/>
      <c r="AN119" s="26"/>
      <c r="AO119" s="26"/>
      <c r="AP119" s="26"/>
      <c r="AQ119" s="26"/>
      <c r="AR119" s="26"/>
      <c r="AS119" s="26"/>
      <c r="AT119" s="26"/>
      <c r="AU119" s="26"/>
      <c r="AV119" s="26"/>
      <c r="AW119" s="26"/>
      <c r="AX119" s="26"/>
      <c r="AY119" s="26"/>
      <c r="AZ119" s="26"/>
      <c r="BA119" s="26"/>
      <c r="BB119" s="26"/>
      <c r="BC119" s="26"/>
      <c r="BD119" s="26"/>
      <c r="BE119" s="26"/>
      <c r="BF119" s="26"/>
      <c r="BG119" s="26"/>
      <c r="BH119" s="26"/>
      <c r="BI119" s="26"/>
      <c r="BJ119" s="26"/>
      <c r="BK119" s="26"/>
      <c r="BL119" s="26"/>
      <c r="BM119" s="26"/>
      <c r="BN119" s="26"/>
      <c r="BO119" s="26"/>
      <c r="BP119" s="26"/>
      <c r="BQ119" s="26"/>
      <c r="BR119" s="26"/>
      <c r="BS119" s="26"/>
      <c r="BT119" s="26"/>
      <c r="BU119" s="26"/>
      <c r="BV119" s="26"/>
      <c r="BW119" s="26"/>
      <c r="BX119" s="26"/>
      <c r="BY119" s="26"/>
      <c r="BZ119" s="26"/>
      <c r="CA119" s="26"/>
      <c r="CB119" s="26"/>
      <c r="CC119" s="26"/>
      <c r="CD119" s="26"/>
      <c r="CE119" s="26"/>
      <c r="CF119" s="26"/>
      <c r="CG119" s="26"/>
      <c r="CH119" s="26"/>
      <c r="CI119" s="26"/>
    </row>
    <row r="120" spans="1:87" x14ac:dyDescent="0.25">
      <c r="A120" s="26"/>
      <c r="B120" s="26"/>
      <c r="C120" s="142"/>
      <c r="D120" s="142"/>
      <c r="E120" s="142"/>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c r="AK120" s="26"/>
      <c r="AL120" s="26"/>
      <c r="AM120" s="26"/>
      <c r="AN120" s="26"/>
      <c r="AO120" s="26"/>
      <c r="AP120" s="26"/>
      <c r="AQ120" s="26"/>
      <c r="AR120" s="26"/>
      <c r="AS120" s="26"/>
      <c r="AT120" s="26"/>
      <c r="AU120" s="26"/>
      <c r="AV120" s="26"/>
      <c r="AW120" s="26"/>
      <c r="AX120" s="26"/>
      <c r="AY120" s="26"/>
      <c r="AZ120" s="26"/>
      <c r="BA120" s="26"/>
      <c r="BB120" s="26"/>
      <c r="BC120" s="26"/>
      <c r="BD120" s="26"/>
      <c r="BE120" s="26"/>
      <c r="BF120" s="26"/>
      <c r="BG120" s="26"/>
      <c r="BH120" s="26"/>
      <c r="BI120" s="26"/>
      <c r="BJ120" s="26"/>
      <c r="BK120" s="26"/>
      <c r="BL120" s="26"/>
      <c r="BM120" s="26"/>
      <c r="BN120" s="26"/>
      <c r="BO120" s="26"/>
      <c r="BP120" s="26"/>
      <c r="BQ120" s="26"/>
      <c r="BR120" s="26"/>
      <c r="BS120" s="26"/>
      <c r="BT120" s="26"/>
      <c r="BU120" s="26"/>
      <c r="BV120" s="26"/>
      <c r="BW120" s="26"/>
      <c r="BX120" s="26"/>
      <c r="BY120" s="26"/>
      <c r="BZ120" s="26"/>
      <c r="CA120" s="26"/>
      <c r="CB120" s="26"/>
      <c r="CC120" s="26"/>
      <c r="CD120" s="26"/>
      <c r="CE120" s="26"/>
      <c r="CF120" s="26"/>
      <c r="CG120" s="26"/>
      <c r="CH120" s="26"/>
      <c r="CI120" s="26"/>
    </row>
    <row r="121" spans="1:87" x14ac:dyDescent="0.25">
      <c r="A121" s="26"/>
      <c r="B121" s="26"/>
      <c r="C121" s="142"/>
      <c r="D121" s="142"/>
      <c r="E121" s="142"/>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c r="AK121" s="26"/>
      <c r="AL121" s="26"/>
      <c r="AM121" s="26"/>
      <c r="AN121" s="26"/>
      <c r="AO121" s="26"/>
      <c r="AP121" s="26"/>
      <c r="AQ121" s="26"/>
      <c r="AR121" s="26"/>
      <c r="AS121" s="26"/>
      <c r="AT121" s="26"/>
      <c r="AU121" s="26"/>
      <c r="AV121" s="26"/>
      <c r="AW121" s="26"/>
      <c r="AX121" s="26"/>
      <c r="AY121" s="26"/>
      <c r="AZ121" s="26"/>
      <c r="BA121" s="26"/>
      <c r="BB121" s="26"/>
      <c r="BC121" s="26"/>
      <c r="BD121" s="26"/>
      <c r="BE121" s="26"/>
      <c r="BF121" s="26"/>
      <c r="BG121" s="26"/>
      <c r="BH121" s="26"/>
      <c r="BI121" s="26"/>
      <c r="BJ121" s="26"/>
      <c r="BK121" s="26"/>
      <c r="BL121" s="26"/>
      <c r="BM121" s="26"/>
      <c r="BN121" s="26"/>
      <c r="BO121" s="26"/>
      <c r="BP121" s="26"/>
      <c r="BQ121" s="26"/>
      <c r="BR121" s="26"/>
      <c r="BS121" s="26"/>
      <c r="BT121" s="26"/>
      <c r="BU121" s="26"/>
      <c r="BV121" s="26"/>
      <c r="BW121" s="26"/>
      <c r="BX121" s="26"/>
      <c r="BY121" s="26"/>
      <c r="BZ121" s="26"/>
      <c r="CA121" s="26"/>
      <c r="CB121" s="26"/>
      <c r="CC121" s="26"/>
      <c r="CD121" s="26"/>
      <c r="CE121" s="26"/>
      <c r="CF121" s="26"/>
      <c r="CG121" s="26"/>
      <c r="CH121" s="26"/>
      <c r="CI121" s="26"/>
    </row>
    <row r="122" spans="1:87" x14ac:dyDescent="0.25">
      <c r="A122" s="26"/>
      <c r="B122" s="26"/>
      <c r="C122" s="142"/>
      <c r="D122" s="142"/>
      <c r="E122" s="142"/>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c r="AK122" s="26"/>
      <c r="AL122" s="26"/>
      <c r="AM122" s="26"/>
      <c r="AN122" s="26"/>
      <c r="AO122" s="26"/>
      <c r="AP122" s="26"/>
      <c r="AQ122" s="26"/>
      <c r="AR122" s="26"/>
      <c r="AS122" s="26"/>
      <c r="AT122" s="26"/>
      <c r="AU122" s="26"/>
      <c r="AV122" s="26"/>
      <c r="AW122" s="26"/>
      <c r="AX122" s="26"/>
      <c r="AY122" s="26"/>
      <c r="AZ122" s="26"/>
      <c r="BA122" s="26"/>
      <c r="BB122" s="26"/>
      <c r="BC122" s="26"/>
      <c r="BD122" s="26"/>
      <c r="BE122" s="26"/>
      <c r="BF122" s="26"/>
      <c r="BG122" s="26"/>
      <c r="BH122" s="26"/>
      <c r="BI122" s="26"/>
      <c r="BJ122" s="26"/>
      <c r="BK122" s="26"/>
      <c r="BL122" s="26"/>
      <c r="BM122" s="26"/>
      <c r="BN122" s="26"/>
      <c r="BO122" s="26"/>
      <c r="BP122" s="26"/>
      <c r="BQ122" s="26"/>
      <c r="BR122" s="26"/>
      <c r="BS122" s="26"/>
      <c r="BT122" s="26"/>
      <c r="BU122" s="26"/>
      <c r="BV122" s="26"/>
      <c r="BW122" s="26"/>
      <c r="BX122" s="26"/>
      <c r="BY122" s="26"/>
      <c r="BZ122" s="26"/>
      <c r="CA122" s="26"/>
      <c r="CB122" s="26"/>
      <c r="CC122" s="26"/>
      <c r="CD122" s="26"/>
      <c r="CE122" s="26"/>
      <c r="CF122" s="26"/>
      <c r="CG122" s="26"/>
      <c r="CH122" s="26"/>
      <c r="CI122" s="26"/>
    </row>
    <row r="123" spans="1:87" x14ac:dyDescent="0.25">
      <c r="A123" s="26"/>
      <c r="B123" s="26"/>
      <c r="C123" s="142"/>
      <c r="D123" s="142"/>
      <c r="E123" s="142"/>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c r="AK123" s="26"/>
      <c r="AL123" s="26"/>
      <c r="AM123" s="26"/>
      <c r="AN123" s="26"/>
      <c r="AO123" s="26"/>
      <c r="AP123" s="26"/>
      <c r="AQ123" s="26"/>
      <c r="AR123" s="26"/>
      <c r="AS123" s="26"/>
      <c r="AT123" s="26"/>
      <c r="AU123" s="26"/>
      <c r="AV123" s="26"/>
      <c r="AW123" s="26"/>
      <c r="AX123" s="26"/>
      <c r="AY123" s="26"/>
      <c r="AZ123" s="26"/>
      <c r="BA123" s="26"/>
      <c r="BB123" s="26"/>
      <c r="BC123" s="26"/>
      <c r="BD123" s="26"/>
      <c r="BE123" s="26"/>
      <c r="BF123" s="26"/>
      <c r="BG123" s="26"/>
      <c r="BH123" s="26"/>
      <c r="BI123" s="26"/>
      <c r="BJ123" s="26"/>
      <c r="BK123" s="26"/>
      <c r="BL123" s="26"/>
      <c r="BM123" s="26"/>
      <c r="BN123" s="26"/>
      <c r="BO123" s="26"/>
      <c r="BP123" s="26"/>
      <c r="BQ123" s="26"/>
      <c r="BR123" s="26"/>
      <c r="BS123" s="26"/>
      <c r="BT123" s="26"/>
      <c r="BU123" s="26"/>
      <c r="BV123" s="26"/>
      <c r="BW123" s="26"/>
      <c r="BX123" s="26"/>
      <c r="BY123" s="26"/>
      <c r="BZ123" s="26"/>
      <c r="CA123" s="26"/>
      <c r="CB123" s="26"/>
      <c r="CC123" s="26"/>
      <c r="CD123" s="26"/>
      <c r="CE123" s="26"/>
      <c r="CF123" s="26"/>
      <c r="CG123" s="26"/>
      <c r="CH123" s="26"/>
      <c r="CI123" s="26"/>
    </row>
    <row r="124" spans="1:87" x14ac:dyDescent="0.25">
      <c r="A124" s="26"/>
      <c r="B124" s="26"/>
      <c r="C124" s="142"/>
      <c r="D124" s="142"/>
      <c r="E124" s="142"/>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c r="AK124" s="26"/>
      <c r="AL124" s="26"/>
      <c r="AM124" s="26"/>
      <c r="AN124" s="26"/>
      <c r="AO124" s="26"/>
      <c r="AP124" s="26"/>
      <c r="AQ124" s="26"/>
      <c r="AR124" s="26"/>
      <c r="AS124" s="26"/>
      <c r="AT124" s="26"/>
      <c r="AU124" s="26"/>
      <c r="AV124" s="26"/>
      <c r="AW124" s="26"/>
      <c r="AX124" s="26"/>
      <c r="AY124" s="26"/>
      <c r="AZ124" s="26"/>
      <c r="BA124" s="26"/>
      <c r="BB124" s="26"/>
      <c r="BC124" s="26"/>
      <c r="BD124" s="26"/>
      <c r="BE124" s="26"/>
      <c r="BF124" s="26"/>
      <c r="BG124" s="26"/>
      <c r="BH124" s="26"/>
      <c r="BI124" s="26"/>
      <c r="BJ124" s="26"/>
      <c r="BK124" s="26"/>
      <c r="BL124" s="26"/>
      <c r="BM124" s="26"/>
      <c r="BN124" s="26"/>
      <c r="BO124" s="26"/>
      <c r="BP124" s="26"/>
      <c r="BQ124" s="26"/>
      <c r="BR124" s="26"/>
      <c r="BS124" s="26"/>
      <c r="BT124" s="26"/>
      <c r="BU124" s="26"/>
      <c r="BV124" s="26"/>
      <c r="BW124" s="26"/>
      <c r="BX124" s="26"/>
      <c r="BY124" s="26"/>
      <c r="BZ124" s="26"/>
      <c r="CA124" s="26"/>
      <c r="CB124" s="26"/>
      <c r="CC124" s="26"/>
      <c r="CD124" s="26"/>
      <c r="CE124" s="26"/>
      <c r="CF124" s="26"/>
      <c r="CG124" s="26"/>
      <c r="CH124" s="26"/>
      <c r="CI124" s="26"/>
    </row>
    <row r="125" spans="1:87" x14ac:dyDescent="0.25">
      <c r="A125" s="26"/>
      <c r="B125" s="26"/>
      <c r="C125" s="142"/>
      <c r="D125" s="142"/>
      <c r="E125" s="142"/>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c r="AK125" s="26"/>
      <c r="AL125" s="26"/>
      <c r="AM125" s="26"/>
      <c r="AN125" s="26"/>
      <c r="AO125" s="26"/>
      <c r="AP125" s="26"/>
      <c r="AQ125" s="26"/>
      <c r="AR125" s="26"/>
      <c r="AS125" s="26"/>
      <c r="AT125" s="26"/>
      <c r="AU125" s="26"/>
      <c r="AV125" s="26"/>
      <c r="AW125" s="26"/>
      <c r="AX125" s="26"/>
      <c r="AY125" s="26"/>
      <c r="AZ125" s="26"/>
      <c r="BA125" s="26"/>
      <c r="BB125" s="26"/>
      <c r="BC125" s="26"/>
      <c r="BD125" s="26"/>
      <c r="BE125" s="26"/>
      <c r="BF125" s="26"/>
      <c r="BG125" s="26"/>
      <c r="BH125" s="26"/>
      <c r="BI125" s="26"/>
      <c r="BJ125" s="26"/>
      <c r="BK125" s="26"/>
      <c r="BL125" s="26"/>
      <c r="BM125" s="26"/>
      <c r="BN125" s="26"/>
      <c r="BO125" s="26"/>
      <c r="BP125" s="26"/>
      <c r="BQ125" s="26"/>
      <c r="BR125" s="26"/>
      <c r="BS125" s="26"/>
      <c r="BT125" s="26"/>
      <c r="BU125" s="26"/>
      <c r="BV125" s="26"/>
      <c r="BW125" s="26"/>
      <c r="BX125" s="26"/>
      <c r="BY125" s="26"/>
      <c r="BZ125" s="26"/>
      <c r="CA125" s="26"/>
      <c r="CB125" s="26"/>
      <c r="CC125" s="26"/>
      <c r="CD125" s="26"/>
      <c r="CE125" s="26"/>
      <c r="CF125" s="26"/>
      <c r="CG125" s="26"/>
      <c r="CH125" s="26"/>
      <c r="CI125" s="26"/>
    </row>
    <row r="126" spans="1:87" x14ac:dyDescent="0.25">
      <c r="A126" s="26"/>
      <c r="B126" s="26"/>
      <c r="C126" s="142"/>
      <c r="D126" s="142"/>
      <c r="E126" s="142"/>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c r="AK126" s="26"/>
      <c r="AL126" s="26"/>
      <c r="AM126" s="26"/>
      <c r="AN126" s="26"/>
      <c r="AO126" s="26"/>
      <c r="AP126" s="26"/>
      <c r="AQ126" s="26"/>
      <c r="AR126" s="26"/>
      <c r="AS126" s="26"/>
      <c r="AT126" s="26"/>
      <c r="AU126" s="26"/>
      <c r="AV126" s="26"/>
      <c r="AW126" s="26"/>
      <c r="AX126" s="26"/>
      <c r="AY126" s="26"/>
      <c r="AZ126" s="26"/>
      <c r="BA126" s="26"/>
      <c r="BB126" s="26"/>
      <c r="BC126" s="26"/>
      <c r="BD126" s="26"/>
      <c r="BE126" s="26"/>
      <c r="BF126" s="26"/>
      <c r="BG126" s="26"/>
      <c r="BH126" s="26"/>
      <c r="BI126" s="26"/>
      <c r="BJ126" s="26"/>
      <c r="BK126" s="26"/>
      <c r="BL126" s="26"/>
      <c r="BM126" s="26"/>
      <c r="BN126" s="26"/>
      <c r="BO126" s="26"/>
      <c r="BP126" s="26"/>
      <c r="BQ126" s="26"/>
      <c r="BR126" s="26"/>
      <c r="BS126" s="26"/>
      <c r="BT126" s="26"/>
      <c r="BU126" s="26"/>
      <c r="BV126" s="26"/>
      <c r="BW126" s="26"/>
      <c r="BX126" s="26"/>
      <c r="BY126" s="26"/>
      <c r="BZ126" s="26"/>
      <c r="CA126" s="26"/>
      <c r="CB126" s="26"/>
      <c r="CC126" s="26"/>
      <c r="CD126" s="26"/>
      <c r="CE126" s="26"/>
      <c r="CF126" s="26"/>
      <c r="CG126" s="26"/>
      <c r="CH126" s="26"/>
      <c r="CI126" s="26"/>
    </row>
    <row r="127" spans="1:87" x14ac:dyDescent="0.25">
      <c r="A127" s="26"/>
      <c r="B127" s="26"/>
      <c r="C127" s="142"/>
      <c r="D127" s="142"/>
      <c r="E127" s="142"/>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c r="AK127" s="26"/>
      <c r="AL127" s="26"/>
      <c r="AM127" s="26"/>
      <c r="AN127" s="26"/>
      <c r="AO127" s="26"/>
      <c r="AP127" s="26"/>
      <c r="AQ127" s="26"/>
      <c r="AR127" s="26"/>
      <c r="AS127" s="26"/>
      <c r="AT127" s="26"/>
      <c r="AU127" s="26"/>
      <c r="AV127" s="26"/>
      <c r="AW127" s="26"/>
      <c r="AX127" s="26"/>
      <c r="AY127" s="26"/>
      <c r="AZ127" s="26"/>
      <c r="BA127" s="26"/>
      <c r="BB127" s="26"/>
      <c r="BC127" s="26"/>
      <c r="BD127" s="26"/>
      <c r="BE127" s="26"/>
      <c r="BF127" s="26"/>
      <c r="BG127" s="26"/>
      <c r="BH127" s="26"/>
      <c r="BI127" s="26"/>
      <c r="BJ127" s="26"/>
      <c r="BK127" s="26"/>
      <c r="BL127" s="26"/>
      <c r="BM127" s="26"/>
      <c r="BN127" s="26"/>
      <c r="BO127" s="26"/>
      <c r="BP127" s="26"/>
      <c r="BQ127" s="26"/>
      <c r="BR127" s="26"/>
      <c r="BS127" s="26"/>
      <c r="BT127" s="26"/>
      <c r="BU127" s="26"/>
      <c r="BV127" s="26"/>
      <c r="BW127" s="26"/>
      <c r="BX127" s="26"/>
      <c r="BY127" s="26"/>
      <c r="BZ127" s="26"/>
      <c r="CA127" s="26"/>
      <c r="CB127" s="26"/>
      <c r="CC127" s="26"/>
      <c r="CD127" s="26"/>
      <c r="CE127" s="26"/>
      <c r="CF127" s="26"/>
      <c r="CG127" s="26"/>
      <c r="CH127" s="26"/>
      <c r="CI127" s="26"/>
    </row>
    <row r="128" spans="1:87" x14ac:dyDescent="0.25">
      <c r="A128" s="26"/>
      <c r="B128" s="26"/>
      <c r="C128" s="142"/>
      <c r="D128" s="142"/>
      <c r="E128" s="142"/>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c r="AK128" s="26"/>
      <c r="AL128" s="26"/>
      <c r="AM128" s="26"/>
      <c r="AN128" s="26"/>
      <c r="AO128" s="26"/>
      <c r="AP128" s="26"/>
      <c r="AQ128" s="26"/>
      <c r="AR128" s="26"/>
      <c r="AS128" s="26"/>
      <c r="AT128" s="26"/>
      <c r="AU128" s="26"/>
      <c r="AV128" s="26"/>
      <c r="AW128" s="26"/>
      <c r="AX128" s="26"/>
      <c r="AY128" s="26"/>
      <c r="AZ128" s="26"/>
      <c r="BA128" s="26"/>
      <c r="BB128" s="26"/>
      <c r="BC128" s="26"/>
      <c r="BD128" s="26"/>
      <c r="BE128" s="26"/>
      <c r="BF128" s="26"/>
      <c r="BG128" s="26"/>
      <c r="BH128" s="26"/>
      <c r="BI128" s="26"/>
      <c r="BJ128" s="26"/>
      <c r="BK128" s="26"/>
      <c r="BL128" s="26"/>
      <c r="BM128" s="26"/>
      <c r="BN128" s="26"/>
      <c r="BO128" s="26"/>
      <c r="BP128" s="26"/>
      <c r="BQ128" s="26"/>
      <c r="BR128" s="26"/>
      <c r="BS128" s="26"/>
      <c r="BT128" s="26"/>
      <c r="BU128" s="26"/>
      <c r="BV128" s="26"/>
      <c r="BW128" s="26"/>
      <c r="BX128" s="26"/>
      <c r="BY128" s="26"/>
      <c r="BZ128" s="26"/>
      <c r="CA128" s="26"/>
      <c r="CB128" s="26"/>
      <c r="CC128" s="26"/>
      <c r="CD128" s="26"/>
      <c r="CE128" s="26"/>
      <c r="CF128" s="26"/>
      <c r="CG128" s="26"/>
      <c r="CH128" s="26"/>
      <c r="CI128" s="26"/>
    </row>
    <row r="129" spans="1:87" x14ac:dyDescent="0.25">
      <c r="A129" s="26"/>
      <c r="B129" s="26"/>
      <c r="C129" s="142"/>
      <c r="D129" s="142"/>
      <c r="E129" s="142"/>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c r="AK129" s="26"/>
      <c r="AL129" s="26"/>
      <c r="AM129" s="26"/>
      <c r="AN129" s="26"/>
      <c r="AO129" s="26"/>
      <c r="AP129" s="26"/>
      <c r="AQ129" s="26"/>
      <c r="AR129" s="26"/>
      <c r="AS129" s="26"/>
      <c r="AT129" s="26"/>
      <c r="AU129" s="26"/>
      <c r="AV129" s="26"/>
      <c r="AW129" s="26"/>
      <c r="AX129" s="26"/>
      <c r="AY129" s="26"/>
      <c r="AZ129" s="26"/>
      <c r="BA129" s="26"/>
      <c r="BB129" s="26"/>
      <c r="BC129" s="26"/>
      <c r="BD129" s="26"/>
      <c r="BE129" s="26"/>
      <c r="BF129" s="26"/>
      <c r="BG129" s="26"/>
      <c r="BH129" s="26"/>
      <c r="BI129" s="26"/>
      <c r="BJ129" s="26"/>
      <c r="BK129" s="26"/>
      <c r="BL129" s="26"/>
      <c r="BM129" s="26"/>
      <c r="BN129" s="26"/>
      <c r="BO129" s="26"/>
      <c r="BP129" s="26"/>
      <c r="BQ129" s="26"/>
      <c r="BR129" s="26"/>
      <c r="BS129" s="26"/>
      <c r="BT129" s="26"/>
      <c r="BU129" s="26"/>
      <c r="BV129" s="26"/>
      <c r="BW129" s="26"/>
      <c r="BX129" s="26"/>
      <c r="BY129" s="26"/>
      <c r="BZ129" s="26"/>
      <c r="CA129" s="26"/>
      <c r="CB129" s="26"/>
      <c r="CC129" s="26"/>
      <c r="CD129" s="26"/>
      <c r="CE129" s="26"/>
      <c r="CF129" s="26"/>
      <c r="CG129" s="26"/>
      <c r="CH129" s="26"/>
      <c r="CI129" s="26"/>
    </row>
    <row r="130" spans="1:87" x14ac:dyDescent="0.25">
      <c r="A130" s="26"/>
      <c r="B130" s="26"/>
      <c r="C130" s="142"/>
      <c r="D130" s="142"/>
      <c r="E130" s="142"/>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c r="AK130" s="26"/>
      <c r="AL130" s="26"/>
      <c r="AM130" s="26"/>
      <c r="AN130" s="26"/>
      <c r="AO130" s="26"/>
      <c r="AP130" s="26"/>
      <c r="AQ130" s="26"/>
      <c r="AR130" s="26"/>
      <c r="AS130" s="26"/>
      <c r="AT130" s="26"/>
      <c r="AU130" s="26"/>
      <c r="AV130" s="26"/>
      <c r="AW130" s="26"/>
      <c r="AX130" s="26"/>
      <c r="AY130" s="26"/>
      <c r="AZ130" s="26"/>
      <c r="BA130" s="26"/>
      <c r="BB130" s="26"/>
      <c r="BC130" s="26"/>
      <c r="BD130" s="26"/>
      <c r="BE130" s="26"/>
      <c r="BF130" s="26"/>
      <c r="BG130" s="26"/>
      <c r="BH130" s="26"/>
      <c r="BI130" s="26"/>
      <c r="BJ130" s="26"/>
      <c r="BK130" s="26"/>
      <c r="BL130" s="26"/>
      <c r="BM130" s="26"/>
      <c r="BN130" s="26"/>
      <c r="BO130" s="26"/>
      <c r="BP130" s="26"/>
      <c r="BQ130" s="26"/>
      <c r="BR130" s="26"/>
      <c r="BS130" s="26"/>
      <c r="BT130" s="26"/>
      <c r="BU130" s="26"/>
      <c r="BV130" s="26"/>
      <c r="BW130" s="26"/>
      <c r="BX130" s="26"/>
      <c r="BY130" s="26"/>
      <c r="BZ130" s="26"/>
      <c r="CA130" s="26"/>
      <c r="CB130" s="26"/>
      <c r="CC130" s="26"/>
      <c r="CD130" s="26"/>
      <c r="CE130" s="26"/>
      <c r="CF130" s="26"/>
      <c r="CG130" s="26"/>
      <c r="CH130" s="26"/>
      <c r="CI130" s="26"/>
    </row>
    <row r="131" spans="1:87" x14ac:dyDescent="0.25">
      <c r="A131" s="26"/>
      <c r="B131" s="26"/>
      <c r="C131" s="142"/>
      <c r="D131" s="142"/>
      <c r="E131" s="142"/>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c r="AK131" s="26"/>
      <c r="AL131" s="26"/>
      <c r="AM131" s="26"/>
      <c r="AN131" s="26"/>
      <c r="AO131" s="26"/>
      <c r="AP131" s="26"/>
      <c r="AQ131" s="26"/>
      <c r="AR131" s="26"/>
      <c r="AS131" s="26"/>
      <c r="AT131" s="26"/>
      <c r="AU131" s="26"/>
      <c r="AV131" s="26"/>
      <c r="AW131" s="26"/>
      <c r="AX131" s="26"/>
      <c r="AY131" s="26"/>
      <c r="AZ131" s="26"/>
      <c r="BA131" s="26"/>
      <c r="BB131" s="26"/>
      <c r="BC131" s="26"/>
      <c r="BD131" s="26"/>
      <c r="BE131" s="26"/>
      <c r="BF131" s="26"/>
      <c r="BG131" s="26"/>
      <c r="BH131" s="26"/>
      <c r="BI131" s="26"/>
      <c r="BJ131" s="26"/>
      <c r="BK131" s="26"/>
      <c r="BL131" s="26"/>
      <c r="BM131" s="26"/>
      <c r="BN131" s="26"/>
      <c r="BO131" s="26"/>
      <c r="BP131" s="26"/>
      <c r="BQ131" s="26"/>
      <c r="BR131" s="26"/>
      <c r="BS131" s="26"/>
      <c r="BT131" s="26"/>
      <c r="BU131" s="26"/>
      <c r="BV131" s="26"/>
      <c r="BW131" s="26"/>
      <c r="BX131" s="26"/>
      <c r="BY131" s="26"/>
      <c r="BZ131" s="26"/>
      <c r="CA131" s="26"/>
      <c r="CB131" s="26"/>
      <c r="CC131" s="26"/>
      <c r="CD131" s="26"/>
      <c r="CE131" s="26"/>
      <c r="CF131" s="26"/>
      <c r="CG131" s="26"/>
      <c r="CH131" s="26"/>
      <c r="CI131" s="26"/>
    </row>
    <row r="132" spans="1:87" x14ac:dyDescent="0.25">
      <c r="A132" s="26"/>
      <c r="B132" s="26"/>
      <c r="C132" s="142"/>
      <c r="D132" s="142"/>
      <c r="E132" s="142"/>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c r="AK132" s="26"/>
      <c r="AL132" s="26"/>
      <c r="AM132" s="26"/>
      <c r="AN132" s="26"/>
      <c r="AO132" s="26"/>
      <c r="AP132" s="26"/>
      <c r="AQ132" s="26"/>
      <c r="AR132" s="26"/>
      <c r="AS132" s="26"/>
      <c r="AT132" s="26"/>
      <c r="AU132" s="26"/>
      <c r="AV132" s="26"/>
      <c r="AW132" s="26"/>
      <c r="AX132" s="26"/>
      <c r="AY132" s="26"/>
      <c r="AZ132" s="26"/>
      <c r="BA132" s="26"/>
      <c r="BB132" s="26"/>
      <c r="BC132" s="26"/>
      <c r="BD132" s="26"/>
      <c r="BE132" s="26"/>
      <c r="BF132" s="26"/>
      <c r="BG132" s="26"/>
      <c r="BH132" s="26"/>
      <c r="BI132" s="26"/>
      <c r="BJ132" s="26"/>
      <c r="BK132" s="26"/>
      <c r="BL132" s="26"/>
      <c r="BM132" s="26"/>
      <c r="BN132" s="26"/>
      <c r="BO132" s="26"/>
      <c r="BP132" s="26"/>
      <c r="BQ132" s="26"/>
      <c r="BR132" s="26"/>
      <c r="BS132" s="26"/>
      <c r="BT132" s="26"/>
      <c r="BU132" s="26"/>
      <c r="BV132" s="26"/>
      <c r="BW132" s="26"/>
      <c r="BX132" s="26"/>
      <c r="BY132" s="26"/>
      <c r="BZ132" s="26"/>
      <c r="CA132" s="26"/>
      <c r="CB132" s="26"/>
      <c r="CC132" s="26"/>
      <c r="CD132" s="26"/>
      <c r="CE132" s="26"/>
      <c r="CF132" s="26"/>
      <c r="CG132" s="26"/>
      <c r="CH132" s="26"/>
      <c r="CI132" s="26"/>
    </row>
    <row r="133" spans="1:87" x14ac:dyDescent="0.25">
      <c r="A133" s="26"/>
      <c r="B133" s="26"/>
      <c r="C133" s="142"/>
      <c r="D133" s="142"/>
      <c r="E133" s="142"/>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c r="AK133" s="26"/>
      <c r="AL133" s="26"/>
      <c r="AM133" s="26"/>
      <c r="AN133" s="26"/>
      <c r="AO133" s="26"/>
      <c r="AP133" s="26"/>
      <c r="AQ133" s="26"/>
      <c r="AR133" s="26"/>
      <c r="AS133" s="26"/>
      <c r="AT133" s="26"/>
      <c r="AU133" s="26"/>
      <c r="AV133" s="26"/>
      <c r="AW133" s="26"/>
      <c r="AX133" s="26"/>
      <c r="AY133" s="26"/>
      <c r="AZ133" s="26"/>
      <c r="BA133" s="26"/>
      <c r="BB133" s="26"/>
      <c r="BC133" s="26"/>
      <c r="BD133" s="26"/>
      <c r="BE133" s="26"/>
      <c r="BF133" s="26"/>
      <c r="BG133" s="26"/>
      <c r="BH133" s="26"/>
      <c r="BI133" s="26"/>
      <c r="BJ133" s="26"/>
      <c r="BK133" s="26"/>
      <c r="BL133" s="26"/>
      <c r="BM133" s="26"/>
      <c r="BN133" s="26"/>
      <c r="BO133" s="26"/>
      <c r="BP133" s="26"/>
      <c r="BQ133" s="26"/>
      <c r="BR133" s="26"/>
      <c r="BS133" s="26"/>
      <c r="BT133" s="26"/>
      <c r="BU133" s="26"/>
      <c r="BV133" s="26"/>
      <c r="BW133" s="26"/>
      <c r="BX133" s="26"/>
      <c r="BY133" s="26"/>
      <c r="BZ133" s="26"/>
      <c r="CA133" s="26"/>
      <c r="CB133" s="26"/>
      <c r="CC133" s="26"/>
      <c r="CD133" s="26"/>
      <c r="CE133" s="26"/>
      <c r="CF133" s="26"/>
      <c r="CG133" s="26"/>
      <c r="CH133" s="26"/>
      <c r="CI133" s="26"/>
    </row>
    <row r="134" spans="1:87" x14ac:dyDescent="0.25">
      <c r="A134" s="26"/>
      <c r="B134" s="26"/>
      <c r="C134" s="142"/>
      <c r="D134" s="142"/>
      <c r="E134" s="142"/>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c r="AK134" s="26"/>
      <c r="AL134" s="26"/>
      <c r="AM134" s="26"/>
      <c r="AN134" s="26"/>
      <c r="AO134" s="26"/>
      <c r="AP134" s="26"/>
      <c r="AQ134" s="26"/>
      <c r="AR134" s="26"/>
      <c r="AS134" s="26"/>
      <c r="AT134" s="26"/>
      <c r="AU134" s="26"/>
      <c r="AV134" s="26"/>
      <c r="AW134" s="26"/>
      <c r="AX134" s="26"/>
      <c r="AY134" s="26"/>
      <c r="AZ134" s="26"/>
      <c r="BA134" s="26"/>
      <c r="BB134" s="26"/>
      <c r="BC134" s="26"/>
      <c r="BD134" s="26"/>
      <c r="BE134" s="26"/>
      <c r="BF134" s="26"/>
      <c r="BG134" s="26"/>
      <c r="BH134" s="26"/>
      <c r="BI134" s="26"/>
      <c r="BJ134" s="26"/>
      <c r="BK134" s="26"/>
      <c r="BL134" s="26"/>
      <c r="BM134" s="26"/>
      <c r="BN134" s="26"/>
      <c r="BO134" s="26"/>
      <c r="BP134" s="26"/>
      <c r="BQ134" s="26"/>
      <c r="BR134" s="26"/>
      <c r="BS134" s="26"/>
      <c r="BT134" s="26"/>
      <c r="BU134" s="26"/>
      <c r="BV134" s="26"/>
      <c r="BW134" s="26"/>
      <c r="BX134" s="26"/>
      <c r="BY134" s="26"/>
      <c r="BZ134" s="26"/>
      <c r="CA134" s="26"/>
      <c r="CB134" s="26"/>
      <c r="CC134" s="26"/>
      <c r="CD134" s="26"/>
      <c r="CE134" s="26"/>
      <c r="CF134" s="26"/>
      <c r="CG134" s="26"/>
      <c r="CH134" s="26"/>
      <c r="CI134" s="26"/>
    </row>
    <row r="135" spans="1:87" x14ac:dyDescent="0.25">
      <c r="A135" s="26"/>
      <c r="B135" s="26"/>
      <c r="C135" s="142"/>
      <c r="D135" s="142"/>
      <c r="E135" s="142"/>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c r="AK135" s="26"/>
      <c r="AL135" s="26"/>
      <c r="AM135" s="26"/>
      <c r="AN135" s="26"/>
      <c r="AO135" s="26"/>
      <c r="AP135" s="26"/>
      <c r="AQ135" s="26"/>
      <c r="AR135" s="26"/>
      <c r="AS135" s="26"/>
      <c r="AT135" s="26"/>
      <c r="AU135" s="26"/>
      <c r="AV135" s="26"/>
      <c r="AW135" s="26"/>
      <c r="AX135" s="26"/>
      <c r="AY135" s="26"/>
      <c r="AZ135" s="26"/>
      <c r="BA135" s="26"/>
      <c r="BB135" s="26"/>
      <c r="BC135" s="26"/>
      <c r="BD135" s="26"/>
      <c r="BE135" s="26"/>
      <c r="BF135" s="26"/>
      <c r="BG135" s="26"/>
      <c r="BH135" s="26"/>
      <c r="BI135" s="26"/>
      <c r="BJ135" s="26"/>
      <c r="BK135" s="26"/>
      <c r="BL135" s="26"/>
      <c r="BM135" s="26"/>
      <c r="BN135" s="26"/>
      <c r="BO135" s="26"/>
      <c r="BP135" s="26"/>
      <c r="BQ135" s="26"/>
      <c r="BR135" s="26"/>
      <c r="BS135" s="26"/>
      <c r="BT135" s="26"/>
      <c r="BU135" s="26"/>
      <c r="BV135" s="26"/>
      <c r="BW135" s="26"/>
      <c r="BX135" s="26"/>
      <c r="BY135" s="26"/>
      <c r="BZ135" s="26"/>
      <c r="CA135" s="26"/>
      <c r="CB135" s="26"/>
      <c r="CC135" s="26"/>
      <c r="CD135" s="26"/>
      <c r="CE135" s="26"/>
      <c r="CF135" s="26"/>
      <c r="CG135" s="26"/>
      <c r="CH135" s="26"/>
      <c r="CI135" s="26"/>
    </row>
    <row r="136" spans="1:87" x14ac:dyDescent="0.25">
      <c r="A136" s="26"/>
      <c r="B136" s="26"/>
      <c r="C136" s="142"/>
      <c r="D136" s="142"/>
      <c r="E136" s="142"/>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c r="AK136" s="26"/>
      <c r="AL136" s="26"/>
      <c r="AM136" s="26"/>
      <c r="AN136" s="26"/>
      <c r="AO136" s="26"/>
      <c r="AP136" s="26"/>
      <c r="AQ136" s="26"/>
      <c r="AR136" s="26"/>
      <c r="AS136" s="26"/>
      <c r="AT136" s="26"/>
      <c r="AU136" s="26"/>
      <c r="AV136" s="26"/>
      <c r="AW136" s="26"/>
      <c r="AX136" s="26"/>
      <c r="AY136" s="26"/>
      <c r="AZ136" s="26"/>
      <c r="BA136" s="26"/>
      <c r="BB136" s="26"/>
      <c r="BC136" s="26"/>
      <c r="BD136" s="26"/>
      <c r="BE136" s="26"/>
      <c r="BF136" s="26"/>
      <c r="BG136" s="26"/>
      <c r="BH136" s="26"/>
      <c r="BI136" s="26"/>
      <c r="BJ136" s="26"/>
      <c r="BK136" s="26"/>
      <c r="BL136" s="26"/>
      <c r="BM136" s="26"/>
      <c r="BN136" s="26"/>
      <c r="BO136" s="26"/>
      <c r="BP136" s="26"/>
      <c r="BQ136" s="26"/>
      <c r="BR136" s="26"/>
      <c r="BS136" s="26"/>
      <c r="BT136" s="26"/>
      <c r="BU136" s="26"/>
      <c r="BV136" s="26"/>
      <c r="BW136" s="26"/>
      <c r="BX136" s="26"/>
      <c r="BY136" s="26"/>
      <c r="BZ136" s="26"/>
      <c r="CA136" s="26"/>
      <c r="CB136" s="26"/>
      <c r="CC136" s="26"/>
      <c r="CD136" s="26"/>
      <c r="CE136" s="26"/>
      <c r="CF136" s="26"/>
      <c r="CG136" s="26"/>
      <c r="CH136" s="26"/>
      <c r="CI136" s="26"/>
    </row>
    <row r="137" spans="1:87" x14ac:dyDescent="0.25">
      <c r="A137" s="26"/>
      <c r="B137" s="26"/>
      <c r="C137" s="142"/>
      <c r="D137" s="142"/>
      <c r="E137" s="142"/>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c r="AK137" s="26"/>
      <c r="AL137" s="26"/>
      <c r="AM137" s="26"/>
      <c r="AN137" s="26"/>
      <c r="AO137" s="26"/>
      <c r="AP137" s="26"/>
      <c r="AQ137" s="26"/>
      <c r="AR137" s="26"/>
      <c r="AS137" s="26"/>
      <c r="AT137" s="26"/>
      <c r="AU137" s="26"/>
      <c r="AV137" s="26"/>
      <c r="AW137" s="26"/>
      <c r="AX137" s="26"/>
      <c r="AY137" s="26"/>
      <c r="AZ137" s="26"/>
      <c r="BA137" s="26"/>
      <c r="BB137" s="26"/>
      <c r="BC137" s="26"/>
      <c r="BD137" s="26"/>
      <c r="BE137" s="26"/>
      <c r="BF137" s="26"/>
      <c r="BG137" s="26"/>
      <c r="BH137" s="26"/>
      <c r="BI137" s="26"/>
      <c r="BJ137" s="26"/>
      <c r="BK137" s="26"/>
      <c r="BL137" s="26"/>
      <c r="BM137" s="26"/>
      <c r="BN137" s="26"/>
      <c r="BO137" s="26"/>
      <c r="BP137" s="26"/>
      <c r="BQ137" s="26"/>
      <c r="BR137" s="26"/>
      <c r="BS137" s="26"/>
      <c r="BT137" s="26"/>
      <c r="BU137" s="26"/>
      <c r="BV137" s="26"/>
      <c r="BW137" s="26"/>
      <c r="BX137" s="26"/>
      <c r="BY137" s="26"/>
      <c r="BZ137" s="26"/>
      <c r="CA137" s="26"/>
      <c r="CB137" s="26"/>
      <c r="CC137" s="26"/>
      <c r="CD137" s="26"/>
      <c r="CE137" s="26"/>
      <c r="CF137" s="26"/>
      <c r="CG137" s="26"/>
      <c r="CH137" s="26"/>
      <c r="CI137" s="26"/>
    </row>
    <row r="138" spans="1:87" x14ac:dyDescent="0.25">
      <c r="A138" s="26"/>
      <c r="B138" s="26"/>
      <c r="C138" s="142"/>
      <c r="D138" s="142"/>
      <c r="E138" s="142"/>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c r="AK138" s="26"/>
      <c r="AL138" s="26"/>
      <c r="AM138" s="26"/>
      <c r="AN138" s="26"/>
      <c r="AO138" s="26"/>
      <c r="AP138" s="26"/>
      <c r="AQ138" s="26"/>
      <c r="AR138" s="26"/>
      <c r="AS138" s="26"/>
      <c r="AT138" s="26"/>
      <c r="AU138" s="26"/>
      <c r="AV138" s="26"/>
      <c r="AW138" s="26"/>
      <c r="AX138" s="26"/>
      <c r="AY138" s="26"/>
      <c r="AZ138" s="26"/>
      <c r="BA138" s="26"/>
      <c r="BB138" s="26"/>
      <c r="BC138" s="26"/>
      <c r="BD138" s="26"/>
      <c r="BE138" s="26"/>
      <c r="BF138" s="26"/>
      <c r="BG138" s="26"/>
      <c r="BH138" s="26"/>
      <c r="BI138" s="26"/>
      <c r="BJ138" s="26"/>
      <c r="BK138" s="26"/>
      <c r="BL138" s="26"/>
      <c r="BM138" s="26"/>
      <c r="BN138" s="26"/>
      <c r="BO138" s="26"/>
      <c r="BP138" s="26"/>
      <c r="BQ138" s="26"/>
      <c r="BR138" s="26"/>
      <c r="BS138" s="26"/>
      <c r="BT138" s="26"/>
      <c r="BU138" s="26"/>
      <c r="BV138" s="26"/>
      <c r="BW138" s="26"/>
      <c r="BX138" s="26"/>
      <c r="BY138" s="26"/>
      <c r="BZ138" s="26"/>
      <c r="CA138" s="26"/>
      <c r="CB138" s="26"/>
      <c r="CC138" s="26"/>
      <c r="CD138" s="26"/>
      <c r="CE138" s="26"/>
      <c r="CF138" s="26"/>
      <c r="CG138" s="26"/>
      <c r="CH138" s="26"/>
      <c r="CI138" s="26"/>
    </row>
    <row r="139" spans="1:87" x14ac:dyDescent="0.25">
      <c r="A139" s="26"/>
      <c r="B139" s="26"/>
      <c r="C139" s="142"/>
      <c r="D139" s="142"/>
      <c r="E139" s="142"/>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c r="AK139" s="26"/>
      <c r="AL139" s="26"/>
      <c r="AM139" s="26"/>
      <c r="AN139" s="26"/>
      <c r="AO139" s="26"/>
      <c r="AP139" s="26"/>
      <c r="AQ139" s="26"/>
      <c r="AR139" s="26"/>
      <c r="AS139" s="26"/>
      <c r="AT139" s="26"/>
      <c r="AU139" s="26"/>
      <c r="AV139" s="26"/>
      <c r="AW139" s="26"/>
      <c r="AX139" s="26"/>
      <c r="AY139" s="26"/>
      <c r="AZ139" s="26"/>
      <c r="BA139" s="26"/>
      <c r="BB139" s="26"/>
      <c r="BC139" s="26"/>
      <c r="BD139" s="26"/>
      <c r="BE139" s="26"/>
      <c r="BF139" s="26"/>
      <c r="BG139" s="26"/>
      <c r="BH139" s="26"/>
      <c r="BI139" s="26"/>
      <c r="BJ139" s="26"/>
      <c r="BK139" s="26"/>
      <c r="BL139" s="26"/>
      <c r="BM139" s="26"/>
      <c r="BN139" s="26"/>
      <c r="BO139" s="26"/>
      <c r="BP139" s="26"/>
      <c r="BQ139" s="26"/>
      <c r="BR139" s="26"/>
      <c r="BS139" s="26"/>
      <c r="BT139" s="26"/>
      <c r="BU139" s="26"/>
      <c r="BV139" s="26"/>
      <c r="BW139" s="26"/>
      <c r="BX139" s="26"/>
      <c r="BY139" s="26"/>
      <c r="BZ139" s="26"/>
      <c r="CA139" s="26"/>
      <c r="CB139" s="26"/>
      <c r="CC139" s="26"/>
      <c r="CD139" s="26"/>
      <c r="CE139" s="26"/>
      <c r="CF139" s="26"/>
      <c r="CG139" s="26"/>
      <c r="CH139" s="26"/>
      <c r="CI139" s="26"/>
    </row>
    <row r="140" spans="1:87" x14ac:dyDescent="0.25">
      <c r="A140" s="26"/>
      <c r="B140" s="26"/>
      <c r="C140" s="142"/>
      <c r="D140" s="142"/>
      <c r="E140" s="142"/>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c r="AK140" s="26"/>
      <c r="AL140" s="26"/>
      <c r="AM140" s="26"/>
      <c r="AN140" s="26"/>
      <c r="AO140" s="26"/>
      <c r="AP140" s="26"/>
      <c r="AQ140" s="26"/>
      <c r="AR140" s="26"/>
      <c r="AS140" s="26"/>
      <c r="AT140" s="26"/>
      <c r="AU140" s="26"/>
      <c r="AV140" s="26"/>
      <c r="AW140" s="26"/>
      <c r="AX140" s="26"/>
      <c r="AY140" s="26"/>
      <c r="AZ140" s="26"/>
      <c r="BA140" s="26"/>
      <c r="BB140" s="26"/>
      <c r="BC140" s="26"/>
      <c r="BD140" s="26"/>
      <c r="BE140" s="26"/>
      <c r="BF140" s="26"/>
      <c r="BG140" s="26"/>
      <c r="BH140" s="26"/>
      <c r="BI140" s="26"/>
      <c r="BJ140" s="26"/>
      <c r="BK140" s="26"/>
      <c r="BL140" s="26"/>
      <c r="BM140" s="26"/>
      <c r="BN140" s="26"/>
      <c r="BO140" s="26"/>
      <c r="BP140" s="26"/>
      <c r="BQ140" s="26"/>
      <c r="BR140" s="26"/>
      <c r="BS140" s="26"/>
      <c r="BT140" s="26"/>
      <c r="BU140" s="26"/>
      <c r="BV140" s="26"/>
      <c r="BW140" s="26"/>
      <c r="BX140" s="26"/>
      <c r="BY140" s="26"/>
      <c r="BZ140" s="26"/>
      <c r="CA140" s="26"/>
      <c r="CB140" s="26"/>
      <c r="CC140" s="26"/>
      <c r="CD140" s="26"/>
      <c r="CE140" s="26"/>
      <c r="CF140" s="26"/>
      <c r="CG140" s="26"/>
      <c r="CH140" s="26"/>
      <c r="CI140" s="26"/>
    </row>
    <row r="141" spans="1:87" x14ac:dyDescent="0.25">
      <c r="A141" s="26"/>
      <c r="B141" s="26"/>
      <c r="C141" s="142"/>
      <c r="D141" s="142"/>
      <c r="E141" s="142"/>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c r="AK141" s="26"/>
      <c r="AL141" s="26"/>
      <c r="AM141" s="26"/>
      <c r="AN141" s="26"/>
      <c r="AO141" s="26"/>
      <c r="AP141" s="26"/>
      <c r="AQ141" s="26"/>
      <c r="AR141" s="26"/>
      <c r="AS141" s="26"/>
      <c r="AT141" s="26"/>
      <c r="AU141" s="26"/>
      <c r="AV141" s="26"/>
      <c r="AW141" s="26"/>
      <c r="AX141" s="26"/>
      <c r="AY141" s="26"/>
      <c r="AZ141" s="26"/>
      <c r="BA141" s="26"/>
      <c r="BB141" s="26"/>
      <c r="BC141" s="26"/>
      <c r="BD141" s="26"/>
      <c r="BE141" s="26"/>
      <c r="BF141" s="26"/>
      <c r="BG141" s="26"/>
      <c r="BH141" s="26"/>
      <c r="BI141" s="26"/>
      <c r="BJ141" s="26"/>
      <c r="BK141" s="26"/>
      <c r="BL141" s="26"/>
      <c r="BM141" s="26"/>
      <c r="BN141" s="26"/>
      <c r="BO141" s="26"/>
      <c r="BP141" s="26"/>
      <c r="BQ141" s="26"/>
      <c r="BR141" s="26"/>
      <c r="BS141" s="26"/>
      <c r="BT141" s="26"/>
      <c r="BU141" s="26"/>
      <c r="BV141" s="26"/>
      <c r="BW141" s="26"/>
      <c r="BX141" s="26"/>
      <c r="BY141" s="26"/>
      <c r="BZ141" s="26"/>
      <c r="CA141" s="26"/>
      <c r="CB141" s="26"/>
      <c r="CC141" s="26"/>
      <c r="CD141" s="26"/>
      <c r="CE141" s="26"/>
      <c r="CF141" s="26"/>
      <c r="CG141" s="26"/>
      <c r="CH141" s="26"/>
      <c r="CI141" s="26"/>
    </row>
    <row r="142" spans="1:87" x14ac:dyDescent="0.25">
      <c r="A142" s="26"/>
      <c r="B142" s="26"/>
      <c r="C142" s="142"/>
      <c r="D142" s="142"/>
      <c r="E142" s="142"/>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c r="AK142" s="26"/>
      <c r="AL142" s="26"/>
      <c r="AM142" s="26"/>
      <c r="AN142" s="26"/>
      <c r="AO142" s="26"/>
      <c r="AP142" s="26"/>
      <c r="AQ142" s="26"/>
      <c r="AR142" s="26"/>
      <c r="AS142" s="26"/>
      <c r="AT142" s="26"/>
      <c r="AU142" s="26"/>
      <c r="AV142" s="26"/>
      <c r="AW142" s="26"/>
      <c r="AX142" s="26"/>
      <c r="AY142" s="26"/>
      <c r="AZ142" s="26"/>
      <c r="BA142" s="26"/>
      <c r="BB142" s="26"/>
      <c r="BC142" s="26"/>
      <c r="BD142" s="26"/>
      <c r="BE142" s="26"/>
      <c r="BF142" s="26"/>
      <c r="BG142" s="26"/>
      <c r="BH142" s="26"/>
      <c r="BI142" s="26"/>
      <c r="BJ142" s="26"/>
      <c r="BK142" s="26"/>
      <c r="BL142" s="26"/>
      <c r="BM142" s="26"/>
      <c r="BN142" s="26"/>
      <c r="BO142" s="26"/>
      <c r="BP142" s="26"/>
      <c r="BQ142" s="26"/>
      <c r="BR142" s="26"/>
      <c r="BS142" s="26"/>
      <c r="BT142" s="26"/>
      <c r="BU142" s="26"/>
      <c r="BV142" s="26"/>
      <c r="BW142" s="26"/>
      <c r="BX142" s="26"/>
      <c r="BY142" s="26"/>
      <c r="BZ142" s="26"/>
      <c r="CA142" s="26"/>
      <c r="CB142" s="26"/>
      <c r="CC142" s="26"/>
      <c r="CD142" s="26"/>
      <c r="CE142" s="26"/>
      <c r="CF142" s="26"/>
      <c r="CG142" s="26"/>
      <c r="CH142" s="26"/>
      <c r="CI142" s="26"/>
    </row>
    <row r="143" spans="1:87" x14ac:dyDescent="0.25">
      <c r="A143" s="26"/>
      <c r="B143" s="26"/>
      <c r="C143" s="142"/>
      <c r="D143" s="142"/>
      <c r="E143" s="142"/>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c r="AK143" s="26"/>
      <c r="AL143" s="26"/>
      <c r="AM143" s="26"/>
      <c r="AN143" s="26"/>
      <c r="AO143" s="26"/>
      <c r="AP143" s="26"/>
      <c r="AQ143" s="26"/>
      <c r="AR143" s="26"/>
      <c r="AS143" s="26"/>
      <c r="AT143" s="26"/>
      <c r="AU143" s="26"/>
      <c r="AV143" s="26"/>
      <c r="AW143" s="26"/>
      <c r="AX143" s="26"/>
      <c r="AY143" s="26"/>
      <c r="AZ143" s="26"/>
      <c r="BA143" s="26"/>
      <c r="BB143" s="26"/>
      <c r="BC143" s="26"/>
      <c r="BD143" s="26"/>
      <c r="BE143" s="26"/>
      <c r="BF143" s="26"/>
      <c r="BG143" s="26"/>
      <c r="BH143" s="26"/>
      <c r="BI143" s="26"/>
      <c r="BJ143" s="26"/>
      <c r="BK143" s="26"/>
      <c r="BL143" s="26"/>
      <c r="BM143" s="26"/>
      <c r="BN143" s="26"/>
      <c r="BO143" s="26"/>
      <c r="BP143" s="26"/>
      <c r="BQ143" s="26"/>
      <c r="BR143" s="26"/>
      <c r="BS143" s="26"/>
      <c r="BT143" s="26"/>
      <c r="BU143" s="26"/>
      <c r="BV143" s="26"/>
      <c r="BW143" s="26"/>
      <c r="BX143" s="26"/>
      <c r="BY143" s="26"/>
      <c r="BZ143" s="26"/>
      <c r="CA143" s="26"/>
      <c r="CB143" s="26"/>
      <c r="CC143" s="26"/>
      <c r="CD143" s="26"/>
      <c r="CE143" s="26"/>
      <c r="CF143" s="26"/>
      <c r="CG143" s="26"/>
      <c r="CH143" s="26"/>
      <c r="CI143" s="26"/>
    </row>
    <row r="144" spans="1:87" x14ac:dyDescent="0.25">
      <c r="A144" s="26"/>
      <c r="B144" s="26"/>
      <c r="C144" s="142"/>
      <c r="D144" s="142"/>
      <c r="E144" s="142"/>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c r="AK144" s="26"/>
      <c r="AL144" s="26"/>
      <c r="AM144" s="26"/>
      <c r="AN144" s="26"/>
      <c r="AO144" s="26"/>
      <c r="AP144" s="26"/>
      <c r="AQ144" s="26"/>
      <c r="AR144" s="26"/>
      <c r="AS144" s="26"/>
      <c r="AT144" s="26"/>
      <c r="AU144" s="26"/>
      <c r="AV144" s="26"/>
      <c r="AW144" s="26"/>
      <c r="AX144" s="26"/>
      <c r="AY144" s="26"/>
      <c r="AZ144" s="26"/>
      <c r="BA144" s="26"/>
      <c r="BB144" s="26"/>
      <c r="BC144" s="26"/>
      <c r="BD144" s="26"/>
      <c r="BE144" s="26"/>
      <c r="BF144" s="26"/>
      <c r="BG144" s="26"/>
      <c r="BH144" s="26"/>
      <c r="BI144" s="26"/>
      <c r="BJ144" s="26"/>
      <c r="BK144" s="26"/>
      <c r="BL144" s="26"/>
      <c r="BM144" s="26"/>
      <c r="BN144" s="26"/>
      <c r="BO144" s="26"/>
      <c r="BP144" s="26"/>
      <c r="BQ144" s="26"/>
      <c r="BR144" s="26"/>
      <c r="BS144" s="26"/>
      <c r="BT144" s="26"/>
      <c r="BU144" s="26"/>
      <c r="BV144" s="26"/>
      <c r="BW144" s="26"/>
      <c r="BX144" s="26"/>
      <c r="BY144" s="26"/>
      <c r="BZ144" s="26"/>
      <c r="CA144" s="26"/>
      <c r="CB144" s="26"/>
      <c r="CC144" s="26"/>
      <c r="CD144" s="26"/>
      <c r="CE144" s="26"/>
      <c r="CF144" s="26"/>
      <c r="CG144" s="26"/>
      <c r="CH144" s="26"/>
      <c r="CI144" s="26"/>
    </row>
    <row r="145" spans="1:87" x14ac:dyDescent="0.25">
      <c r="A145" s="26"/>
      <c r="B145" s="26"/>
      <c r="C145" s="142"/>
      <c r="D145" s="142"/>
      <c r="E145" s="142"/>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c r="AK145" s="26"/>
      <c r="AL145" s="26"/>
      <c r="AM145" s="26"/>
      <c r="AN145" s="26"/>
      <c r="AO145" s="26"/>
      <c r="AP145" s="26"/>
      <c r="AQ145" s="26"/>
      <c r="AR145" s="26"/>
      <c r="AS145" s="26"/>
      <c r="AT145" s="26"/>
      <c r="AU145" s="26"/>
      <c r="AV145" s="26"/>
      <c r="AW145" s="26"/>
      <c r="AX145" s="26"/>
      <c r="AY145" s="26"/>
      <c r="AZ145" s="26"/>
      <c r="BA145" s="26"/>
      <c r="BB145" s="26"/>
      <c r="BC145" s="26"/>
      <c r="BD145" s="26"/>
      <c r="BE145" s="26"/>
      <c r="BF145" s="26"/>
      <c r="BG145" s="26"/>
      <c r="BH145" s="26"/>
      <c r="BI145" s="26"/>
      <c r="BJ145" s="26"/>
      <c r="BK145" s="26"/>
      <c r="BL145" s="26"/>
      <c r="BM145" s="26"/>
      <c r="BN145" s="26"/>
      <c r="BO145" s="26"/>
      <c r="BP145" s="26"/>
      <c r="BQ145" s="26"/>
      <c r="BR145" s="26"/>
      <c r="BS145" s="26"/>
      <c r="BT145" s="26"/>
      <c r="BU145" s="26"/>
      <c r="BV145" s="26"/>
      <c r="BW145" s="26"/>
      <c r="BX145" s="26"/>
      <c r="BY145" s="26"/>
      <c r="BZ145" s="26"/>
      <c r="CA145" s="26"/>
      <c r="CB145" s="26"/>
      <c r="CC145" s="26"/>
      <c r="CD145" s="26"/>
      <c r="CE145" s="26"/>
      <c r="CF145" s="26"/>
      <c r="CG145" s="26"/>
      <c r="CH145" s="26"/>
      <c r="CI145" s="26"/>
    </row>
    <row r="146" spans="1:87" x14ac:dyDescent="0.25">
      <c r="A146" s="26"/>
      <c r="B146" s="26"/>
      <c r="C146" s="142"/>
      <c r="D146" s="142"/>
      <c r="E146" s="142"/>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c r="AK146" s="26"/>
      <c r="AL146" s="26"/>
      <c r="AM146" s="26"/>
      <c r="AN146" s="26"/>
      <c r="AO146" s="26"/>
      <c r="AP146" s="26"/>
      <c r="AQ146" s="26"/>
      <c r="AR146" s="26"/>
      <c r="AS146" s="26"/>
      <c r="AT146" s="26"/>
      <c r="AU146" s="26"/>
      <c r="AV146" s="26"/>
      <c r="AW146" s="26"/>
      <c r="AX146" s="26"/>
      <c r="AY146" s="26"/>
      <c r="AZ146" s="26"/>
      <c r="BA146" s="26"/>
      <c r="BB146" s="26"/>
      <c r="BC146" s="26"/>
      <c r="BD146" s="26"/>
      <c r="BE146" s="26"/>
      <c r="BF146" s="26"/>
      <c r="BG146" s="26"/>
      <c r="BH146" s="26"/>
      <c r="BI146" s="26"/>
      <c r="BJ146" s="26"/>
      <c r="BK146" s="26"/>
      <c r="BL146" s="26"/>
      <c r="BM146" s="26"/>
      <c r="BN146" s="26"/>
      <c r="BO146" s="26"/>
      <c r="BP146" s="26"/>
      <c r="BQ146" s="26"/>
      <c r="BR146" s="26"/>
      <c r="BS146" s="26"/>
      <c r="BT146" s="26"/>
      <c r="BU146" s="26"/>
      <c r="BV146" s="26"/>
      <c r="BW146" s="26"/>
      <c r="BX146" s="26"/>
      <c r="BY146" s="26"/>
      <c r="BZ146" s="26"/>
      <c r="CA146" s="26"/>
      <c r="CB146" s="26"/>
      <c r="CC146" s="26"/>
      <c r="CD146" s="26"/>
      <c r="CE146" s="26"/>
      <c r="CF146" s="26"/>
      <c r="CG146" s="26"/>
      <c r="CH146" s="26"/>
      <c r="CI146" s="26"/>
    </row>
    <row r="147" spans="1:87" x14ac:dyDescent="0.25">
      <c r="A147" s="26"/>
      <c r="B147" s="26"/>
      <c r="C147" s="142"/>
      <c r="D147" s="142"/>
      <c r="E147" s="142"/>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c r="AK147" s="26"/>
      <c r="AL147" s="26"/>
      <c r="AM147" s="26"/>
      <c r="AN147" s="26"/>
      <c r="AO147" s="26"/>
      <c r="AP147" s="26"/>
      <c r="AQ147" s="26"/>
      <c r="AR147" s="26"/>
      <c r="AS147" s="26"/>
      <c r="AT147" s="26"/>
      <c r="AU147" s="26"/>
      <c r="AV147" s="26"/>
      <c r="AW147" s="26"/>
      <c r="AX147" s="26"/>
      <c r="AY147" s="26"/>
      <c r="AZ147" s="26"/>
      <c r="BA147" s="26"/>
      <c r="BB147" s="26"/>
      <c r="BC147" s="26"/>
      <c r="BD147" s="26"/>
      <c r="BE147" s="26"/>
      <c r="BF147" s="26"/>
      <c r="BG147" s="26"/>
      <c r="BH147" s="26"/>
      <c r="BI147" s="26"/>
      <c r="BJ147" s="26"/>
      <c r="BK147" s="26"/>
      <c r="BL147" s="26"/>
      <c r="BM147" s="26"/>
      <c r="BN147" s="26"/>
      <c r="BO147" s="26"/>
      <c r="BP147" s="26"/>
      <c r="BQ147" s="26"/>
      <c r="BR147" s="26"/>
      <c r="BS147" s="26"/>
      <c r="BT147" s="26"/>
      <c r="BU147" s="26"/>
      <c r="BV147" s="26"/>
      <c r="BW147" s="26"/>
      <c r="BX147" s="26"/>
      <c r="BY147" s="26"/>
      <c r="BZ147" s="26"/>
      <c r="CA147" s="26"/>
      <c r="CB147" s="26"/>
      <c r="CC147" s="26"/>
      <c r="CD147" s="26"/>
      <c r="CE147" s="26"/>
      <c r="CF147" s="26"/>
      <c r="CG147" s="26"/>
      <c r="CH147" s="26"/>
      <c r="CI147" s="26"/>
    </row>
    <row r="148" spans="1:87" x14ac:dyDescent="0.25">
      <c r="A148" s="26"/>
      <c r="B148" s="26"/>
      <c r="C148" s="142"/>
      <c r="D148" s="142"/>
      <c r="E148" s="142"/>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c r="AK148" s="26"/>
      <c r="AL148" s="26"/>
      <c r="AM148" s="26"/>
      <c r="AN148" s="26"/>
      <c r="AO148" s="26"/>
      <c r="AP148" s="26"/>
      <c r="AQ148" s="26"/>
      <c r="AR148" s="26"/>
      <c r="AS148" s="26"/>
      <c r="AT148" s="26"/>
      <c r="AU148" s="26"/>
      <c r="AV148" s="26"/>
      <c r="AW148" s="26"/>
      <c r="AX148" s="26"/>
      <c r="AY148" s="26"/>
      <c r="AZ148" s="26"/>
      <c r="BA148" s="26"/>
      <c r="BB148" s="26"/>
      <c r="BC148" s="26"/>
      <c r="BD148" s="26"/>
      <c r="BE148" s="26"/>
      <c r="BF148" s="26"/>
      <c r="BG148" s="26"/>
      <c r="BH148" s="26"/>
      <c r="BI148" s="26"/>
      <c r="BJ148" s="26"/>
      <c r="BK148" s="26"/>
      <c r="BL148" s="26"/>
      <c r="BM148" s="26"/>
      <c r="BN148" s="26"/>
      <c r="BO148" s="26"/>
      <c r="BP148" s="26"/>
      <c r="BQ148" s="26"/>
      <c r="BR148" s="26"/>
      <c r="BS148" s="26"/>
      <c r="BT148" s="26"/>
      <c r="BU148" s="26"/>
      <c r="BV148" s="26"/>
      <c r="BW148" s="26"/>
      <c r="BX148" s="26"/>
      <c r="BY148" s="26"/>
      <c r="BZ148" s="26"/>
      <c r="CA148" s="26"/>
      <c r="CB148" s="26"/>
      <c r="CC148" s="26"/>
      <c r="CD148" s="26"/>
      <c r="CE148" s="26"/>
      <c r="CF148" s="26"/>
      <c r="CG148" s="26"/>
      <c r="CH148" s="26"/>
      <c r="CI148" s="26"/>
    </row>
    <row r="149" spans="1:87" x14ac:dyDescent="0.25">
      <c r="A149" s="26"/>
      <c r="B149" s="26"/>
      <c r="C149" s="142"/>
      <c r="D149" s="142"/>
      <c r="E149" s="142"/>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c r="AK149" s="26"/>
      <c r="AL149" s="26"/>
      <c r="AM149" s="26"/>
      <c r="AN149" s="26"/>
      <c r="AO149" s="26"/>
      <c r="AP149" s="26"/>
      <c r="AQ149" s="26"/>
      <c r="AR149" s="26"/>
      <c r="AS149" s="26"/>
      <c r="AT149" s="26"/>
      <c r="AU149" s="26"/>
      <c r="AV149" s="26"/>
      <c r="AW149" s="26"/>
      <c r="AX149" s="26"/>
      <c r="AY149" s="26"/>
      <c r="AZ149" s="26"/>
      <c r="BA149" s="26"/>
      <c r="BB149" s="26"/>
      <c r="BC149" s="26"/>
      <c r="BD149" s="26"/>
      <c r="BE149" s="26"/>
      <c r="BF149" s="26"/>
      <c r="BG149" s="26"/>
      <c r="BH149" s="26"/>
      <c r="BI149" s="26"/>
      <c r="BJ149" s="26"/>
      <c r="BK149" s="26"/>
      <c r="BL149" s="26"/>
      <c r="BM149" s="26"/>
      <c r="BN149" s="26"/>
      <c r="BO149" s="26"/>
      <c r="BP149" s="26"/>
      <c r="BQ149" s="26"/>
      <c r="BR149" s="26"/>
      <c r="BS149" s="26"/>
      <c r="BT149" s="26"/>
      <c r="BU149" s="26"/>
      <c r="BV149" s="26"/>
      <c r="BW149" s="26"/>
      <c r="BX149" s="26"/>
      <c r="BY149" s="26"/>
      <c r="BZ149" s="26"/>
      <c r="CA149" s="26"/>
      <c r="CB149" s="26"/>
      <c r="CC149" s="26"/>
      <c r="CD149" s="26"/>
      <c r="CE149" s="26"/>
      <c r="CF149" s="26"/>
      <c r="CG149" s="26"/>
      <c r="CH149" s="26"/>
      <c r="CI149" s="26"/>
    </row>
    <row r="150" spans="1:87" x14ac:dyDescent="0.25">
      <c r="A150" s="26"/>
      <c r="B150" s="26"/>
      <c r="C150" s="142"/>
      <c r="D150" s="142"/>
      <c r="E150" s="142"/>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c r="AK150" s="26"/>
      <c r="AL150" s="26"/>
      <c r="AM150" s="26"/>
      <c r="AN150" s="26"/>
      <c r="AO150" s="26"/>
      <c r="AP150" s="26"/>
      <c r="AQ150" s="26"/>
      <c r="AR150" s="26"/>
      <c r="AS150" s="26"/>
      <c r="AT150" s="26"/>
      <c r="AU150" s="26"/>
      <c r="AV150" s="26"/>
      <c r="AW150" s="26"/>
      <c r="AX150" s="26"/>
      <c r="AY150" s="26"/>
      <c r="AZ150" s="26"/>
      <c r="BA150" s="26"/>
      <c r="BB150" s="26"/>
      <c r="BC150" s="26"/>
      <c r="BD150" s="26"/>
      <c r="BE150" s="26"/>
      <c r="BF150" s="26"/>
      <c r="BG150" s="26"/>
      <c r="BH150" s="26"/>
      <c r="BI150" s="26"/>
      <c r="BJ150" s="26"/>
      <c r="BK150" s="26"/>
      <c r="BL150" s="26"/>
      <c r="BM150" s="26"/>
      <c r="BN150" s="26"/>
      <c r="BO150" s="26"/>
      <c r="BP150" s="26"/>
      <c r="BQ150" s="26"/>
      <c r="BR150" s="26"/>
      <c r="BS150" s="26"/>
      <c r="BT150" s="26"/>
      <c r="BU150" s="26"/>
      <c r="BV150" s="26"/>
      <c r="BW150" s="26"/>
      <c r="BX150" s="26"/>
      <c r="BY150" s="26"/>
      <c r="BZ150" s="26"/>
      <c r="CA150" s="26"/>
      <c r="CB150" s="26"/>
      <c r="CC150" s="26"/>
      <c r="CD150" s="26"/>
      <c r="CE150" s="26"/>
      <c r="CF150" s="26"/>
      <c r="CG150" s="26"/>
      <c r="CH150" s="26"/>
      <c r="CI150" s="26"/>
    </row>
    <row r="151" spans="1:87" x14ac:dyDescent="0.25">
      <c r="A151" s="26"/>
      <c r="B151" s="26"/>
      <c r="C151" s="142"/>
      <c r="D151" s="142"/>
      <c r="E151" s="142"/>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c r="AK151" s="26"/>
      <c r="AL151" s="26"/>
      <c r="AM151" s="26"/>
      <c r="AN151" s="26"/>
      <c r="AO151" s="26"/>
      <c r="AP151" s="26"/>
      <c r="AQ151" s="26"/>
      <c r="AR151" s="26"/>
      <c r="AS151" s="26"/>
      <c r="AT151" s="26"/>
      <c r="AU151" s="26"/>
      <c r="AV151" s="26"/>
      <c r="AW151" s="26"/>
      <c r="AX151" s="26"/>
      <c r="AY151" s="26"/>
      <c r="AZ151" s="26"/>
      <c r="BA151" s="26"/>
      <c r="BB151" s="26"/>
      <c r="BC151" s="26"/>
      <c r="BD151" s="26"/>
      <c r="BE151" s="26"/>
      <c r="BF151" s="26"/>
      <c r="BG151" s="26"/>
      <c r="BH151" s="26"/>
      <c r="BI151" s="26"/>
      <c r="BJ151" s="26"/>
      <c r="BK151" s="26"/>
      <c r="BL151" s="26"/>
      <c r="BM151" s="26"/>
      <c r="BN151" s="26"/>
      <c r="BO151" s="26"/>
      <c r="BP151" s="26"/>
      <c r="BQ151" s="26"/>
      <c r="BR151" s="26"/>
      <c r="BS151" s="26"/>
      <c r="BT151" s="26"/>
      <c r="BU151" s="26"/>
      <c r="BV151" s="26"/>
      <c r="BW151" s="26"/>
      <c r="BX151" s="26"/>
      <c r="BY151" s="26"/>
      <c r="BZ151" s="26"/>
      <c r="CA151" s="26"/>
      <c r="CB151" s="26"/>
      <c r="CC151" s="26"/>
      <c r="CD151" s="26"/>
      <c r="CE151" s="26"/>
      <c r="CF151" s="26"/>
      <c r="CG151" s="26"/>
      <c r="CH151" s="26"/>
      <c r="CI151" s="26"/>
    </row>
    <row r="152" spans="1:87" x14ac:dyDescent="0.25">
      <c r="A152" s="26"/>
      <c r="B152" s="26"/>
      <c r="C152" s="142"/>
      <c r="D152" s="142"/>
      <c r="E152" s="142"/>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c r="AK152" s="26"/>
      <c r="AL152" s="26"/>
      <c r="AM152" s="26"/>
      <c r="AN152" s="26"/>
      <c r="AO152" s="26"/>
      <c r="AP152" s="26"/>
      <c r="AQ152" s="26"/>
      <c r="AR152" s="26"/>
      <c r="AS152" s="26"/>
      <c r="AT152" s="26"/>
      <c r="AU152" s="26"/>
      <c r="AV152" s="26"/>
      <c r="AW152" s="26"/>
      <c r="AX152" s="26"/>
      <c r="AY152" s="26"/>
      <c r="AZ152" s="26"/>
      <c r="BA152" s="26"/>
      <c r="BB152" s="26"/>
      <c r="BC152" s="26"/>
      <c r="BD152" s="26"/>
      <c r="BE152" s="26"/>
      <c r="BF152" s="26"/>
      <c r="BG152" s="26"/>
      <c r="BH152" s="26"/>
      <c r="BI152" s="26"/>
      <c r="BJ152" s="26"/>
      <c r="BK152" s="26"/>
      <c r="BL152" s="26"/>
      <c r="BM152" s="26"/>
      <c r="BN152" s="26"/>
      <c r="BO152" s="26"/>
      <c r="BP152" s="26"/>
      <c r="BQ152" s="26"/>
      <c r="BR152" s="26"/>
      <c r="BS152" s="26"/>
      <c r="BT152" s="26"/>
      <c r="BU152" s="26"/>
      <c r="BV152" s="26"/>
      <c r="BW152" s="26"/>
      <c r="BX152" s="26"/>
      <c r="BY152" s="26"/>
      <c r="BZ152" s="26"/>
      <c r="CA152" s="26"/>
      <c r="CB152" s="26"/>
      <c r="CC152" s="26"/>
      <c r="CD152" s="26"/>
      <c r="CE152" s="26"/>
      <c r="CF152" s="26"/>
      <c r="CG152" s="26"/>
      <c r="CH152" s="26"/>
      <c r="CI152" s="26"/>
    </row>
    <row r="153" spans="1:87" x14ac:dyDescent="0.25">
      <c r="A153" s="26"/>
      <c r="B153" s="26"/>
      <c r="C153" s="142"/>
      <c r="D153" s="142"/>
      <c r="E153" s="142"/>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c r="AK153" s="26"/>
      <c r="AL153" s="26"/>
      <c r="AM153" s="26"/>
      <c r="AN153" s="26"/>
      <c r="AO153" s="26"/>
      <c r="AP153" s="26"/>
      <c r="AQ153" s="26"/>
      <c r="AR153" s="26"/>
      <c r="AS153" s="26"/>
      <c r="AT153" s="26"/>
      <c r="AU153" s="26"/>
      <c r="AV153" s="26"/>
      <c r="AW153" s="26"/>
      <c r="AX153" s="26"/>
      <c r="AY153" s="26"/>
      <c r="AZ153" s="26"/>
      <c r="BA153" s="26"/>
      <c r="BB153" s="26"/>
      <c r="BC153" s="26"/>
      <c r="BD153" s="26"/>
      <c r="BE153" s="26"/>
      <c r="BF153" s="26"/>
      <c r="BG153" s="26"/>
      <c r="BH153" s="26"/>
      <c r="BI153" s="26"/>
      <c r="BJ153" s="26"/>
      <c r="BK153" s="26"/>
      <c r="BL153" s="26"/>
      <c r="BM153" s="26"/>
      <c r="BN153" s="26"/>
      <c r="BO153" s="26"/>
      <c r="BP153" s="26"/>
      <c r="BQ153" s="26"/>
      <c r="BR153" s="26"/>
      <c r="BS153" s="26"/>
      <c r="BT153" s="26"/>
      <c r="BU153" s="26"/>
      <c r="BV153" s="26"/>
      <c r="BW153" s="26"/>
      <c r="BX153" s="26"/>
      <c r="BY153" s="26"/>
      <c r="BZ153" s="26"/>
      <c r="CA153" s="26"/>
      <c r="CB153" s="26"/>
      <c r="CC153" s="26"/>
      <c r="CD153" s="26"/>
      <c r="CE153" s="26"/>
      <c r="CF153" s="26"/>
      <c r="CG153" s="26"/>
      <c r="CH153" s="26"/>
      <c r="CI153" s="26"/>
    </row>
    <row r="154" spans="1:87" x14ac:dyDescent="0.25">
      <c r="A154" s="26"/>
      <c r="B154" s="26"/>
      <c r="C154" s="142"/>
      <c r="D154" s="142"/>
      <c r="E154" s="142"/>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c r="AK154" s="26"/>
      <c r="AL154" s="26"/>
      <c r="AM154" s="26"/>
      <c r="AN154" s="26"/>
      <c r="AO154" s="26"/>
      <c r="AP154" s="26"/>
      <c r="AQ154" s="26"/>
      <c r="AR154" s="26"/>
      <c r="AS154" s="26"/>
      <c r="AT154" s="26"/>
      <c r="AU154" s="26"/>
      <c r="AV154" s="26"/>
      <c r="AW154" s="26"/>
      <c r="AX154" s="26"/>
      <c r="AY154" s="26"/>
      <c r="AZ154" s="26"/>
      <c r="BA154" s="26"/>
      <c r="BB154" s="26"/>
      <c r="BC154" s="26"/>
      <c r="BD154" s="26"/>
      <c r="BE154" s="26"/>
      <c r="BF154" s="26"/>
      <c r="BG154" s="26"/>
      <c r="BH154" s="26"/>
      <c r="BI154" s="26"/>
      <c r="BJ154" s="26"/>
      <c r="BK154" s="26"/>
      <c r="BL154" s="26"/>
      <c r="BM154" s="26"/>
      <c r="BN154" s="26"/>
      <c r="BO154" s="26"/>
      <c r="BP154" s="26"/>
      <c r="BQ154" s="26"/>
      <c r="BR154" s="26"/>
      <c r="BS154" s="26"/>
      <c r="BT154" s="26"/>
      <c r="BU154" s="26"/>
      <c r="BV154" s="26"/>
      <c r="BW154" s="26"/>
      <c r="BX154" s="26"/>
      <c r="BY154" s="26"/>
      <c r="BZ154" s="26"/>
      <c r="CA154" s="26"/>
      <c r="CB154" s="26"/>
      <c r="CC154" s="26"/>
      <c r="CD154" s="26"/>
      <c r="CE154" s="26"/>
      <c r="CF154" s="26"/>
      <c r="CG154" s="26"/>
      <c r="CH154" s="26"/>
      <c r="CI154" s="26"/>
    </row>
    <row r="155" spans="1:87" x14ac:dyDescent="0.25">
      <c r="A155" s="26"/>
      <c r="B155" s="26"/>
      <c r="C155" s="142"/>
      <c r="D155" s="142"/>
      <c r="E155" s="142"/>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c r="AK155" s="26"/>
      <c r="AL155" s="26"/>
      <c r="AM155" s="26"/>
      <c r="AN155" s="26"/>
      <c r="AO155" s="26"/>
      <c r="AP155" s="26"/>
      <c r="AQ155" s="26"/>
      <c r="AR155" s="26"/>
      <c r="AS155" s="26"/>
      <c r="AT155" s="26"/>
      <c r="AU155" s="26"/>
      <c r="AV155" s="26"/>
      <c r="AW155" s="26"/>
      <c r="AX155" s="26"/>
      <c r="AY155" s="26"/>
      <c r="AZ155" s="26"/>
      <c r="BA155" s="26"/>
      <c r="BB155" s="26"/>
      <c r="BC155" s="26"/>
      <c r="BD155" s="26"/>
      <c r="BE155" s="26"/>
      <c r="BF155" s="26"/>
      <c r="BG155" s="26"/>
      <c r="BH155" s="26"/>
      <c r="BI155" s="26"/>
      <c r="BJ155" s="26"/>
      <c r="BK155" s="26"/>
      <c r="BL155" s="26"/>
      <c r="BM155" s="26"/>
      <c r="BN155" s="26"/>
      <c r="BO155" s="26"/>
      <c r="BP155" s="26"/>
      <c r="BQ155" s="26"/>
      <c r="BR155" s="26"/>
      <c r="BS155" s="26"/>
      <c r="BT155" s="26"/>
      <c r="BU155" s="26"/>
      <c r="BV155" s="26"/>
      <c r="BW155" s="26"/>
      <c r="BX155" s="26"/>
      <c r="BY155" s="26"/>
      <c r="BZ155" s="26"/>
      <c r="CA155" s="26"/>
      <c r="CB155" s="26"/>
      <c r="CC155" s="26"/>
      <c r="CD155" s="26"/>
      <c r="CE155" s="26"/>
      <c r="CF155" s="26"/>
      <c r="CG155" s="26"/>
      <c r="CH155" s="26"/>
      <c r="CI155" s="26"/>
    </row>
    <row r="156" spans="1:87" x14ac:dyDescent="0.25">
      <c r="A156" s="26"/>
      <c r="B156" s="26"/>
      <c r="C156" s="142"/>
      <c r="D156" s="142"/>
      <c r="E156" s="142"/>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c r="AK156" s="26"/>
      <c r="AL156" s="26"/>
      <c r="AM156" s="26"/>
      <c r="AN156" s="26"/>
      <c r="AO156" s="26"/>
      <c r="AP156" s="26"/>
      <c r="AQ156" s="26"/>
      <c r="AR156" s="26"/>
      <c r="AS156" s="26"/>
      <c r="AT156" s="26"/>
      <c r="AU156" s="26"/>
      <c r="AV156" s="26"/>
      <c r="AW156" s="26"/>
      <c r="AX156" s="26"/>
      <c r="AY156" s="26"/>
      <c r="AZ156" s="26"/>
      <c r="BA156" s="26"/>
      <c r="BB156" s="26"/>
      <c r="BC156" s="26"/>
      <c r="BD156" s="26"/>
      <c r="BE156" s="26"/>
      <c r="BF156" s="26"/>
      <c r="BG156" s="26"/>
      <c r="BH156" s="26"/>
      <c r="BI156" s="26"/>
      <c r="BJ156" s="26"/>
      <c r="BK156" s="26"/>
      <c r="BL156" s="26"/>
      <c r="BM156" s="26"/>
      <c r="BN156" s="26"/>
      <c r="BO156" s="26"/>
      <c r="BP156" s="26"/>
      <c r="BQ156" s="26"/>
      <c r="BR156" s="26"/>
      <c r="BS156" s="26"/>
      <c r="BT156" s="26"/>
      <c r="BU156" s="26"/>
      <c r="BV156" s="26"/>
      <c r="BW156" s="26"/>
      <c r="BX156" s="26"/>
      <c r="BY156" s="26"/>
      <c r="BZ156" s="26"/>
      <c r="CA156" s="26"/>
      <c r="CB156" s="26"/>
      <c r="CC156" s="26"/>
      <c r="CD156" s="26"/>
      <c r="CE156" s="26"/>
      <c r="CF156" s="26"/>
      <c r="CG156" s="26"/>
      <c r="CH156" s="26"/>
      <c r="CI156" s="26"/>
    </row>
    <row r="157" spans="1:87" x14ac:dyDescent="0.25">
      <c r="A157" s="26"/>
      <c r="B157" s="26"/>
      <c r="C157" s="142"/>
      <c r="D157" s="142"/>
      <c r="E157" s="142"/>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c r="AK157" s="26"/>
      <c r="AL157" s="26"/>
      <c r="AM157" s="26"/>
      <c r="AN157" s="26"/>
      <c r="AO157" s="26"/>
      <c r="AP157" s="26"/>
      <c r="AQ157" s="26"/>
      <c r="AR157" s="26"/>
      <c r="AS157" s="26"/>
      <c r="AT157" s="26"/>
      <c r="AU157" s="26"/>
      <c r="AV157" s="26"/>
      <c r="AW157" s="26"/>
      <c r="AX157" s="26"/>
      <c r="AY157" s="26"/>
      <c r="AZ157" s="26"/>
      <c r="BA157" s="26"/>
      <c r="BB157" s="26"/>
      <c r="BC157" s="26"/>
      <c r="BD157" s="26"/>
      <c r="BE157" s="26"/>
      <c r="BF157" s="26"/>
      <c r="BG157" s="26"/>
      <c r="BH157" s="26"/>
      <c r="BI157" s="26"/>
      <c r="BJ157" s="26"/>
      <c r="BK157" s="26"/>
      <c r="BL157" s="26"/>
      <c r="BM157" s="26"/>
      <c r="BN157" s="26"/>
      <c r="BO157" s="26"/>
      <c r="BP157" s="26"/>
      <c r="BQ157" s="26"/>
      <c r="BR157" s="26"/>
      <c r="BS157" s="26"/>
      <c r="BT157" s="26"/>
      <c r="BU157" s="26"/>
      <c r="BV157" s="26"/>
      <c r="BW157" s="26"/>
      <c r="BX157" s="26"/>
      <c r="BY157" s="26"/>
      <c r="BZ157" s="26"/>
      <c r="CA157" s="26"/>
      <c r="CB157" s="26"/>
      <c r="CC157" s="26"/>
      <c r="CD157" s="26"/>
      <c r="CE157" s="26"/>
      <c r="CF157" s="26"/>
      <c r="CG157" s="26"/>
      <c r="CH157" s="26"/>
      <c r="CI157" s="26"/>
    </row>
    <row r="158" spans="1:87" x14ac:dyDescent="0.25">
      <c r="A158" s="26"/>
      <c r="B158" s="26"/>
      <c r="C158" s="142"/>
      <c r="D158" s="142"/>
      <c r="E158" s="142"/>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c r="AK158" s="26"/>
      <c r="AL158" s="26"/>
      <c r="AM158" s="26"/>
      <c r="AN158" s="26"/>
      <c r="AO158" s="26"/>
      <c r="AP158" s="26"/>
      <c r="AQ158" s="26"/>
      <c r="AR158" s="26"/>
      <c r="AS158" s="26"/>
      <c r="AT158" s="26"/>
      <c r="AU158" s="26"/>
      <c r="AV158" s="26"/>
      <c r="AW158" s="26"/>
      <c r="AX158" s="26"/>
      <c r="AY158" s="26"/>
      <c r="AZ158" s="26"/>
      <c r="BA158" s="26"/>
      <c r="BB158" s="26"/>
      <c r="BC158" s="26"/>
      <c r="BD158" s="26"/>
      <c r="BE158" s="26"/>
      <c r="BF158" s="26"/>
      <c r="BG158" s="26"/>
      <c r="BH158" s="26"/>
      <c r="BI158" s="26"/>
      <c r="BJ158" s="26"/>
      <c r="BK158" s="26"/>
      <c r="BL158" s="26"/>
      <c r="BM158" s="26"/>
      <c r="BN158" s="26"/>
      <c r="BO158" s="26"/>
      <c r="BP158" s="26"/>
      <c r="BQ158" s="26"/>
      <c r="BR158" s="26"/>
      <c r="BS158" s="26"/>
      <c r="BT158" s="26"/>
      <c r="BU158" s="26"/>
      <c r="BV158" s="26"/>
      <c r="BW158" s="26"/>
      <c r="BX158" s="26"/>
      <c r="BY158" s="26"/>
      <c r="BZ158" s="26"/>
      <c r="CA158" s="26"/>
      <c r="CB158" s="26"/>
      <c r="CC158" s="26"/>
      <c r="CD158" s="26"/>
      <c r="CE158" s="26"/>
      <c r="CF158" s="26"/>
      <c r="CG158" s="26"/>
      <c r="CH158" s="26"/>
      <c r="CI158" s="26"/>
    </row>
    <row r="159" spans="1:87" x14ac:dyDescent="0.25">
      <c r="A159" s="26"/>
      <c r="B159" s="26"/>
      <c r="C159" s="142"/>
      <c r="D159" s="142"/>
      <c r="E159" s="142"/>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c r="AK159" s="26"/>
      <c r="AL159" s="26"/>
      <c r="AM159" s="26"/>
      <c r="AN159" s="26"/>
      <c r="AO159" s="26"/>
      <c r="AP159" s="26"/>
      <c r="AQ159" s="26"/>
      <c r="AR159" s="26"/>
      <c r="AS159" s="26"/>
      <c r="AT159" s="26"/>
      <c r="AU159" s="26"/>
      <c r="AV159" s="26"/>
      <c r="AW159" s="26"/>
      <c r="AX159" s="26"/>
      <c r="AY159" s="26"/>
      <c r="AZ159" s="26"/>
      <c r="BA159" s="26"/>
      <c r="BB159" s="26"/>
      <c r="BC159" s="26"/>
      <c r="BD159" s="26"/>
      <c r="BE159" s="26"/>
      <c r="BF159" s="26"/>
      <c r="BG159" s="26"/>
      <c r="BH159" s="26"/>
      <c r="BI159" s="26"/>
      <c r="BJ159" s="26"/>
      <c r="BK159" s="26"/>
      <c r="BL159" s="26"/>
      <c r="BM159" s="26"/>
      <c r="BN159" s="26"/>
      <c r="BO159" s="26"/>
      <c r="BP159" s="26"/>
      <c r="BQ159" s="26"/>
      <c r="BR159" s="26"/>
      <c r="BS159" s="26"/>
      <c r="BT159" s="26"/>
      <c r="BU159" s="26"/>
      <c r="BV159" s="26"/>
      <c r="BW159" s="26"/>
      <c r="BX159" s="26"/>
      <c r="BY159" s="26"/>
      <c r="BZ159" s="26"/>
      <c r="CA159" s="26"/>
      <c r="CB159" s="26"/>
      <c r="CC159" s="26"/>
      <c r="CD159" s="26"/>
      <c r="CE159" s="26"/>
      <c r="CF159" s="26"/>
      <c r="CG159" s="26"/>
      <c r="CH159" s="26"/>
      <c r="CI159" s="26"/>
    </row>
    <row r="160" spans="1:87" x14ac:dyDescent="0.25">
      <c r="A160" s="26"/>
      <c r="B160" s="26"/>
      <c r="C160" s="142"/>
      <c r="D160" s="142"/>
      <c r="E160" s="142"/>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c r="AK160" s="26"/>
      <c r="AL160" s="26"/>
      <c r="AM160" s="26"/>
      <c r="AN160" s="26"/>
      <c r="AO160" s="26"/>
      <c r="AP160" s="26"/>
      <c r="AQ160" s="26"/>
      <c r="AR160" s="26"/>
      <c r="AS160" s="26"/>
      <c r="AT160" s="26"/>
      <c r="AU160" s="26"/>
      <c r="AV160" s="26"/>
      <c r="AW160" s="26"/>
      <c r="AX160" s="26"/>
      <c r="AY160" s="26"/>
      <c r="AZ160" s="26"/>
      <c r="BA160" s="26"/>
      <c r="BB160" s="26"/>
      <c r="BC160" s="26"/>
      <c r="BD160" s="26"/>
      <c r="BE160" s="26"/>
      <c r="BF160" s="26"/>
      <c r="BG160" s="26"/>
      <c r="BH160" s="26"/>
      <c r="BI160" s="26"/>
      <c r="BJ160" s="26"/>
      <c r="BK160" s="26"/>
      <c r="BL160" s="26"/>
      <c r="BM160" s="26"/>
      <c r="BN160" s="26"/>
      <c r="BO160" s="26"/>
      <c r="BP160" s="26"/>
      <c r="BQ160" s="26"/>
      <c r="BR160" s="26"/>
      <c r="BS160" s="26"/>
      <c r="BT160" s="26"/>
      <c r="BU160" s="26"/>
      <c r="BV160" s="26"/>
      <c r="BW160" s="26"/>
      <c r="BX160" s="26"/>
      <c r="BY160" s="26"/>
      <c r="BZ160" s="26"/>
      <c r="CA160" s="26"/>
      <c r="CB160" s="26"/>
      <c r="CC160" s="26"/>
      <c r="CD160" s="26"/>
      <c r="CE160" s="26"/>
      <c r="CF160" s="26"/>
      <c r="CG160" s="26"/>
      <c r="CH160" s="26"/>
      <c r="CI160" s="26"/>
    </row>
    <row r="161" spans="1:87" x14ac:dyDescent="0.25">
      <c r="A161" s="26"/>
      <c r="B161" s="26"/>
      <c r="C161" s="142"/>
      <c r="D161" s="142"/>
      <c r="E161" s="142"/>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c r="AK161" s="26"/>
      <c r="AL161" s="26"/>
      <c r="AM161" s="26"/>
      <c r="AN161" s="26"/>
      <c r="AO161" s="26"/>
      <c r="AP161" s="26"/>
      <c r="AQ161" s="26"/>
      <c r="AR161" s="26"/>
      <c r="AS161" s="26"/>
      <c r="AT161" s="26"/>
      <c r="AU161" s="26"/>
      <c r="AV161" s="26"/>
      <c r="AW161" s="26"/>
      <c r="AX161" s="26"/>
      <c r="AY161" s="26"/>
      <c r="AZ161" s="26"/>
      <c r="BA161" s="26"/>
      <c r="BB161" s="26"/>
      <c r="BC161" s="26"/>
      <c r="BD161" s="26"/>
      <c r="BE161" s="26"/>
      <c r="BF161" s="26"/>
      <c r="BG161" s="26"/>
      <c r="BH161" s="26"/>
      <c r="BI161" s="26"/>
      <c r="BJ161" s="26"/>
      <c r="BK161" s="26"/>
      <c r="BL161" s="26"/>
      <c r="BM161" s="26"/>
      <c r="BN161" s="26"/>
      <c r="BO161" s="26"/>
      <c r="BP161" s="26"/>
      <c r="BQ161" s="26"/>
      <c r="BR161" s="26"/>
      <c r="BS161" s="26"/>
      <c r="BT161" s="26"/>
      <c r="BU161" s="26"/>
      <c r="BV161" s="26"/>
      <c r="BW161" s="26"/>
      <c r="BX161" s="26"/>
      <c r="BY161" s="26"/>
      <c r="BZ161" s="26"/>
      <c r="CA161" s="26"/>
      <c r="CB161" s="26"/>
      <c r="CC161" s="26"/>
      <c r="CD161" s="26"/>
      <c r="CE161" s="26"/>
      <c r="CF161" s="26"/>
      <c r="CG161" s="26"/>
      <c r="CH161" s="26"/>
      <c r="CI161" s="26"/>
    </row>
    <row r="162" spans="1:87" x14ac:dyDescent="0.25">
      <c r="A162" s="26"/>
      <c r="B162" s="26"/>
      <c r="C162" s="142"/>
      <c r="D162" s="142"/>
      <c r="E162" s="142"/>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c r="AK162" s="26"/>
      <c r="AL162" s="26"/>
      <c r="AM162" s="26"/>
      <c r="AN162" s="26"/>
      <c r="AO162" s="26"/>
      <c r="AP162" s="26"/>
      <c r="AQ162" s="26"/>
      <c r="AR162" s="26"/>
      <c r="AS162" s="26"/>
      <c r="AT162" s="26"/>
      <c r="AU162" s="26"/>
      <c r="AV162" s="26"/>
      <c r="AW162" s="26"/>
      <c r="AX162" s="26"/>
      <c r="AY162" s="26"/>
      <c r="AZ162" s="26"/>
      <c r="BA162" s="26"/>
      <c r="BB162" s="26"/>
      <c r="BC162" s="26"/>
      <c r="BD162" s="26"/>
      <c r="BE162" s="26"/>
      <c r="BF162" s="26"/>
      <c r="BG162" s="26"/>
      <c r="BH162" s="26"/>
      <c r="BI162" s="26"/>
      <c r="BJ162" s="26"/>
      <c r="BK162" s="26"/>
      <c r="BL162" s="26"/>
      <c r="BM162" s="26"/>
      <c r="BN162" s="26"/>
      <c r="BO162" s="26"/>
      <c r="BP162" s="26"/>
      <c r="BQ162" s="26"/>
      <c r="BR162" s="26"/>
      <c r="BS162" s="26"/>
      <c r="BT162" s="26"/>
      <c r="BU162" s="26"/>
      <c r="BV162" s="26"/>
      <c r="BW162" s="26"/>
      <c r="BX162" s="26"/>
      <c r="BY162" s="26"/>
      <c r="BZ162" s="26"/>
      <c r="CA162" s="26"/>
      <c r="CB162" s="26"/>
      <c r="CC162" s="26"/>
      <c r="CD162" s="26"/>
      <c r="CE162" s="26"/>
      <c r="CF162" s="26"/>
      <c r="CG162" s="26"/>
      <c r="CH162" s="26"/>
      <c r="CI162" s="26"/>
    </row>
    <row r="163" spans="1:87" x14ac:dyDescent="0.25">
      <c r="A163" s="26"/>
      <c r="B163" s="26"/>
      <c r="C163" s="142"/>
      <c r="D163" s="142"/>
      <c r="E163" s="142"/>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c r="AK163" s="26"/>
      <c r="AL163" s="26"/>
      <c r="AM163" s="26"/>
      <c r="AN163" s="26"/>
      <c r="AO163" s="26"/>
      <c r="AP163" s="26"/>
      <c r="AQ163" s="26"/>
      <c r="AR163" s="26"/>
      <c r="AS163" s="26"/>
      <c r="AT163" s="26"/>
      <c r="AU163" s="26"/>
      <c r="AV163" s="26"/>
      <c r="AW163" s="26"/>
      <c r="AX163" s="26"/>
      <c r="AY163" s="26"/>
      <c r="AZ163" s="26"/>
      <c r="BA163" s="26"/>
      <c r="BB163" s="26"/>
      <c r="BC163" s="26"/>
      <c r="BD163" s="26"/>
      <c r="BE163" s="26"/>
      <c r="BF163" s="26"/>
      <c r="BG163" s="26"/>
      <c r="BH163" s="26"/>
      <c r="BI163" s="26"/>
      <c r="BJ163" s="26"/>
      <c r="BK163" s="26"/>
      <c r="BL163" s="26"/>
      <c r="BM163" s="26"/>
      <c r="BN163" s="26"/>
      <c r="BO163" s="26"/>
      <c r="BP163" s="26"/>
      <c r="BQ163" s="26"/>
      <c r="BR163" s="26"/>
      <c r="BS163" s="26"/>
      <c r="BT163" s="26"/>
      <c r="BU163" s="26"/>
      <c r="BV163" s="26"/>
      <c r="BW163" s="26"/>
      <c r="BX163" s="26"/>
      <c r="BY163" s="26"/>
      <c r="BZ163" s="26"/>
      <c r="CA163" s="26"/>
      <c r="CB163" s="26"/>
      <c r="CC163" s="26"/>
      <c r="CD163" s="26"/>
      <c r="CE163" s="26"/>
      <c r="CF163" s="26"/>
      <c r="CG163" s="26"/>
      <c r="CH163" s="26"/>
      <c r="CI163" s="26"/>
    </row>
    <row r="164" spans="1:87" x14ac:dyDescent="0.25">
      <c r="A164" s="26"/>
      <c r="B164" s="26"/>
      <c r="C164" s="142"/>
      <c r="D164" s="142"/>
      <c r="E164" s="142"/>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c r="AK164" s="26"/>
      <c r="AL164" s="26"/>
      <c r="AM164" s="26"/>
      <c r="AN164" s="26"/>
      <c r="AO164" s="26"/>
      <c r="AP164" s="26"/>
      <c r="AQ164" s="26"/>
      <c r="AR164" s="26"/>
      <c r="AS164" s="26"/>
      <c r="AT164" s="26"/>
      <c r="AU164" s="26"/>
      <c r="AV164" s="26"/>
      <c r="AW164" s="26"/>
      <c r="AX164" s="26"/>
      <c r="AY164" s="26"/>
      <c r="AZ164" s="26"/>
      <c r="BA164" s="26"/>
      <c r="BB164" s="26"/>
      <c r="BC164" s="26"/>
      <c r="BD164" s="26"/>
      <c r="BE164" s="26"/>
      <c r="BF164" s="26"/>
      <c r="BG164" s="26"/>
      <c r="BH164" s="26"/>
      <c r="BI164" s="26"/>
      <c r="BJ164" s="26"/>
      <c r="BK164" s="26"/>
      <c r="BL164" s="26"/>
      <c r="BM164" s="26"/>
      <c r="BN164" s="26"/>
      <c r="BO164" s="26"/>
      <c r="BP164" s="26"/>
      <c r="BQ164" s="26"/>
      <c r="BR164" s="26"/>
      <c r="BS164" s="26"/>
      <c r="BT164" s="26"/>
      <c r="BU164" s="26"/>
      <c r="BV164" s="26"/>
      <c r="BW164" s="26"/>
      <c r="BX164" s="26"/>
      <c r="BY164" s="26"/>
      <c r="BZ164" s="26"/>
      <c r="CA164" s="26"/>
      <c r="CB164" s="26"/>
      <c r="CC164" s="26"/>
      <c r="CD164" s="26"/>
      <c r="CE164" s="26"/>
      <c r="CF164" s="26"/>
      <c r="CG164" s="26"/>
      <c r="CH164" s="26"/>
      <c r="CI164" s="26"/>
    </row>
    <row r="165" spans="1:87" x14ac:dyDescent="0.25">
      <c r="A165" s="26"/>
      <c r="B165" s="26"/>
      <c r="C165" s="142"/>
      <c r="D165" s="142"/>
      <c r="E165" s="142"/>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c r="AK165" s="26"/>
      <c r="AL165" s="26"/>
      <c r="AM165" s="26"/>
      <c r="AN165" s="26"/>
      <c r="AO165" s="26"/>
      <c r="AP165" s="26"/>
      <c r="AQ165" s="26"/>
      <c r="AR165" s="26"/>
      <c r="AS165" s="26"/>
      <c r="AT165" s="26"/>
      <c r="AU165" s="26"/>
      <c r="AV165" s="26"/>
      <c r="AW165" s="26"/>
      <c r="AX165" s="26"/>
      <c r="AY165" s="26"/>
      <c r="AZ165" s="26"/>
      <c r="BA165" s="26"/>
      <c r="BB165" s="26"/>
      <c r="BC165" s="26"/>
      <c r="BD165" s="26"/>
      <c r="BE165" s="26"/>
      <c r="BF165" s="26"/>
      <c r="BG165" s="26"/>
      <c r="BH165" s="26"/>
      <c r="BI165" s="26"/>
      <c r="BJ165" s="26"/>
      <c r="BK165" s="26"/>
      <c r="BL165" s="26"/>
      <c r="BM165" s="26"/>
      <c r="BN165" s="26"/>
      <c r="BO165" s="26"/>
      <c r="BP165" s="26"/>
      <c r="BQ165" s="26"/>
      <c r="BR165" s="26"/>
      <c r="BS165" s="26"/>
      <c r="BT165" s="26"/>
      <c r="BU165" s="26"/>
      <c r="BV165" s="26"/>
      <c r="BW165" s="26"/>
      <c r="BX165" s="26"/>
      <c r="BY165" s="26"/>
      <c r="BZ165" s="26"/>
      <c r="CA165" s="26"/>
      <c r="CB165" s="26"/>
      <c r="CC165" s="26"/>
      <c r="CD165" s="26"/>
      <c r="CE165" s="26"/>
      <c r="CF165" s="26"/>
      <c r="CG165" s="26"/>
      <c r="CH165" s="26"/>
      <c r="CI165" s="26"/>
    </row>
    <row r="166" spans="1:87" x14ac:dyDescent="0.25">
      <c r="A166" s="26"/>
      <c r="B166" s="26"/>
      <c r="C166" s="142"/>
      <c r="D166" s="142"/>
      <c r="E166" s="142"/>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c r="AK166" s="26"/>
      <c r="AL166" s="26"/>
      <c r="AM166" s="26"/>
      <c r="AN166" s="26"/>
      <c r="AO166" s="26"/>
      <c r="AP166" s="26"/>
      <c r="AQ166" s="26"/>
      <c r="AR166" s="26"/>
      <c r="AS166" s="26"/>
      <c r="AT166" s="26"/>
      <c r="AU166" s="26"/>
      <c r="AV166" s="26"/>
      <c r="AW166" s="26"/>
      <c r="AX166" s="26"/>
      <c r="AY166" s="26"/>
      <c r="AZ166" s="26"/>
      <c r="BA166" s="26"/>
      <c r="BB166" s="26"/>
      <c r="BC166" s="26"/>
      <c r="BD166" s="26"/>
      <c r="BE166" s="26"/>
      <c r="BF166" s="26"/>
      <c r="BG166" s="26"/>
      <c r="BH166" s="26"/>
      <c r="BI166" s="26"/>
      <c r="BJ166" s="26"/>
      <c r="BK166" s="26"/>
      <c r="BL166" s="26"/>
      <c r="BM166" s="26"/>
      <c r="BN166" s="26"/>
      <c r="BO166" s="26"/>
      <c r="BP166" s="26"/>
      <c r="BQ166" s="26"/>
      <c r="BR166" s="26"/>
      <c r="BS166" s="26"/>
      <c r="BT166" s="26"/>
      <c r="BU166" s="26"/>
      <c r="BV166" s="26"/>
      <c r="BW166" s="26"/>
      <c r="BX166" s="26"/>
      <c r="BY166" s="26"/>
      <c r="BZ166" s="26"/>
      <c r="CA166" s="26"/>
      <c r="CB166" s="26"/>
      <c r="CC166" s="26"/>
      <c r="CD166" s="26"/>
      <c r="CE166" s="26"/>
      <c r="CF166" s="26"/>
      <c r="CG166" s="26"/>
      <c r="CH166" s="26"/>
      <c r="CI166" s="26"/>
    </row>
    <row r="167" spans="1:87" x14ac:dyDescent="0.25">
      <c r="A167" s="26"/>
      <c r="B167" s="26"/>
      <c r="C167" s="142"/>
      <c r="D167" s="142"/>
      <c r="E167" s="142"/>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c r="AK167" s="26"/>
      <c r="AL167" s="26"/>
      <c r="AM167" s="26"/>
      <c r="AN167" s="26"/>
      <c r="AO167" s="26"/>
      <c r="AP167" s="26"/>
      <c r="AQ167" s="26"/>
      <c r="AR167" s="26"/>
      <c r="AS167" s="26"/>
      <c r="AT167" s="26"/>
      <c r="AU167" s="26"/>
      <c r="AV167" s="26"/>
      <c r="AW167" s="26"/>
      <c r="AX167" s="26"/>
      <c r="AY167" s="26"/>
      <c r="AZ167" s="26"/>
      <c r="BA167" s="26"/>
      <c r="BB167" s="26"/>
      <c r="BC167" s="26"/>
      <c r="BD167" s="26"/>
      <c r="BE167" s="26"/>
      <c r="BF167" s="26"/>
      <c r="BG167" s="26"/>
      <c r="BH167" s="26"/>
      <c r="BI167" s="26"/>
      <c r="BJ167" s="26"/>
      <c r="BK167" s="26"/>
      <c r="BL167" s="26"/>
      <c r="BM167" s="26"/>
      <c r="BN167" s="26"/>
      <c r="BO167" s="26"/>
      <c r="BP167" s="26"/>
      <c r="BQ167" s="26"/>
      <c r="BR167" s="26"/>
      <c r="BS167" s="26"/>
      <c r="BT167" s="26"/>
      <c r="BU167" s="26"/>
      <c r="BV167" s="26"/>
      <c r="BW167" s="26"/>
      <c r="BX167" s="26"/>
      <c r="BY167" s="26"/>
      <c r="BZ167" s="26"/>
      <c r="CA167" s="26"/>
      <c r="CB167" s="26"/>
      <c r="CC167" s="26"/>
      <c r="CD167" s="26"/>
      <c r="CE167" s="26"/>
      <c r="CF167" s="26"/>
      <c r="CG167" s="26"/>
      <c r="CH167" s="26"/>
      <c r="CI167" s="26"/>
    </row>
    <row r="168" spans="1:87" x14ac:dyDescent="0.25">
      <c r="A168" s="26"/>
      <c r="B168" s="26"/>
      <c r="C168" s="142"/>
      <c r="D168" s="142"/>
      <c r="E168" s="142"/>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c r="AK168" s="26"/>
      <c r="AL168" s="26"/>
      <c r="AM168" s="26"/>
      <c r="AN168" s="26"/>
      <c r="AO168" s="26"/>
      <c r="AP168" s="26"/>
      <c r="AQ168" s="26"/>
      <c r="AR168" s="26"/>
      <c r="AS168" s="26"/>
      <c r="AT168" s="26"/>
      <c r="AU168" s="26"/>
      <c r="AV168" s="26"/>
      <c r="AW168" s="26"/>
      <c r="AX168" s="26"/>
      <c r="AY168" s="26"/>
      <c r="AZ168" s="26"/>
      <c r="BA168" s="26"/>
      <c r="BB168" s="26"/>
      <c r="BC168" s="26"/>
      <c r="BD168" s="26"/>
      <c r="BE168" s="26"/>
      <c r="BF168" s="26"/>
      <c r="BG168" s="26"/>
      <c r="BH168" s="26"/>
      <c r="BI168" s="26"/>
      <c r="BJ168" s="26"/>
      <c r="BK168" s="26"/>
      <c r="BL168" s="26"/>
      <c r="BM168" s="26"/>
      <c r="BN168" s="26"/>
      <c r="BO168" s="26"/>
      <c r="BP168" s="26"/>
      <c r="BQ168" s="26"/>
      <c r="BR168" s="26"/>
      <c r="BS168" s="26"/>
      <c r="BT168" s="26"/>
      <c r="BU168" s="26"/>
      <c r="BV168" s="26"/>
      <c r="BW168" s="26"/>
      <c r="BX168" s="26"/>
      <c r="BY168" s="26"/>
      <c r="BZ168" s="26"/>
      <c r="CA168" s="26"/>
      <c r="CB168" s="26"/>
      <c r="CC168" s="26"/>
      <c r="CD168" s="26"/>
      <c r="CE168" s="26"/>
      <c r="CF168" s="26"/>
      <c r="CG168" s="26"/>
      <c r="CH168" s="26"/>
      <c r="CI168" s="26"/>
    </row>
    <row r="169" spans="1:87" x14ac:dyDescent="0.25">
      <c r="A169" s="26"/>
      <c r="B169" s="26"/>
      <c r="C169" s="142"/>
      <c r="D169" s="142"/>
      <c r="E169" s="142"/>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c r="AK169" s="26"/>
      <c r="AL169" s="26"/>
      <c r="AM169" s="26"/>
      <c r="AN169" s="26"/>
      <c r="AO169" s="26"/>
      <c r="AP169" s="26"/>
      <c r="AQ169" s="26"/>
      <c r="AR169" s="26"/>
      <c r="AS169" s="26"/>
      <c r="AT169" s="26"/>
      <c r="AU169" s="26"/>
      <c r="AV169" s="26"/>
      <c r="AW169" s="26"/>
      <c r="AX169" s="26"/>
      <c r="AY169" s="26"/>
      <c r="AZ169" s="26"/>
      <c r="BA169" s="26"/>
      <c r="BB169" s="26"/>
      <c r="BC169" s="26"/>
      <c r="BD169" s="26"/>
      <c r="BE169" s="26"/>
      <c r="BF169" s="26"/>
      <c r="BG169" s="26"/>
      <c r="BH169" s="26"/>
      <c r="BI169" s="26"/>
      <c r="BJ169" s="26"/>
      <c r="BK169" s="26"/>
      <c r="BL169" s="26"/>
      <c r="BM169" s="26"/>
      <c r="BN169" s="26"/>
      <c r="BO169" s="26"/>
      <c r="BP169" s="26"/>
      <c r="BQ169" s="26"/>
      <c r="BR169" s="26"/>
      <c r="BS169" s="26"/>
      <c r="BT169" s="26"/>
      <c r="BU169" s="26"/>
      <c r="BV169" s="26"/>
      <c r="BW169" s="26"/>
      <c r="BX169" s="26"/>
      <c r="BY169" s="26"/>
      <c r="BZ169" s="26"/>
      <c r="CA169" s="26"/>
      <c r="CB169" s="26"/>
      <c r="CC169" s="26"/>
      <c r="CD169" s="26"/>
      <c r="CE169" s="26"/>
      <c r="CF169" s="26"/>
      <c r="CG169" s="26"/>
      <c r="CH169" s="26"/>
      <c r="CI169" s="26"/>
    </row>
    <row r="170" spans="1:87" x14ac:dyDescent="0.25">
      <c r="A170" s="26"/>
      <c r="B170" s="26"/>
      <c r="C170" s="142"/>
      <c r="D170" s="142"/>
      <c r="E170" s="142"/>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c r="AK170" s="26"/>
      <c r="AL170" s="26"/>
      <c r="AM170" s="26"/>
      <c r="AN170" s="26"/>
      <c r="AO170" s="26"/>
      <c r="AP170" s="26"/>
      <c r="AQ170" s="26"/>
      <c r="AR170" s="26"/>
      <c r="AS170" s="26"/>
      <c r="AT170" s="26"/>
      <c r="AU170" s="26"/>
      <c r="AV170" s="26"/>
      <c r="AW170" s="26"/>
      <c r="AX170" s="26"/>
      <c r="AY170" s="26"/>
      <c r="AZ170" s="26"/>
      <c r="BA170" s="26"/>
      <c r="BB170" s="26"/>
      <c r="BC170" s="26"/>
      <c r="BD170" s="26"/>
      <c r="BE170" s="26"/>
      <c r="BF170" s="26"/>
      <c r="BG170" s="26"/>
      <c r="BH170" s="26"/>
      <c r="BI170" s="26"/>
      <c r="BJ170" s="26"/>
      <c r="BK170" s="26"/>
      <c r="BL170" s="26"/>
      <c r="BM170" s="26"/>
      <c r="BN170" s="26"/>
      <c r="BO170" s="26"/>
      <c r="BP170" s="26"/>
      <c r="BQ170" s="26"/>
      <c r="BR170" s="26"/>
      <c r="BS170" s="26"/>
      <c r="BT170" s="26"/>
      <c r="BU170" s="26"/>
      <c r="BV170" s="26"/>
      <c r="BW170" s="26"/>
      <c r="BX170" s="26"/>
      <c r="BY170" s="26"/>
      <c r="BZ170" s="26"/>
      <c r="CA170" s="26"/>
      <c r="CB170" s="26"/>
      <c r="CC170" s="26"/>
      <c r="CD170" s="26"/>
      <c r="CE170" s="26"/>
      <c r="CF170" s="26"/>
      <c r="CG170" s="26"/>
      <c r="CH170" s="26"/>
      <c r="CI170" s="26"/>
    </row>
    <row r="171" spans="1:87" x14ac:dyDescent="0.25">
      <c r="A171" s="26"/>
      <c r="B171" s="26"/>
      <c r="C171" s="142"/>
      <c r="D171" s="142"/>
      <c r="E171" s="142"/>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c r="AK171" s="26"/>
      <c r="AL171" s="26"/>
      <c r="AM171" s="26"/>
      <c r="AN171" s="26"/>
      <c r="AO171" s="26"/>
      <c r="AP171" s="26"/>
      <c r="AQ171" s="26"/>
      <c r="AR171" s="26"/>
      <c r="AS171" s="26"/>
      <c r="AT171" s="26"/>
      <c r="AU171" s="26"/>
      <c r="AV171" s="26"/>
      <c r="AW171" s="26"/>
      <c r="AX171" s="26"/>
      <c r="AY171" s="26"/>
      <c r="AZ171" s="26"/>
      <c r="BA171" s="26"/>
      <c r="BB171" s="26"/>
      <c r="BC171" s="26"/>
      <c r="BD171" s="26"/>
      <c r="BE171" s="26"/>
      <c r="BF171" s="26"/>
      <c r="BG171" s="26"/>
      <c r="BH171" s="26"/>
      <c r="BI171" s="26"/>
      <c r="BJ171" s="26"/>
      <c r="BK171" s="26"/>
      <c r="BL171" s="26"/>
      <c r="BM171" s="26"/>
      <c r="BN171" s="26"/>
      <c r="BO171" s="26"/>
      <c r="BP171" s="26"/>
      <c r="BQ171" s="26"/>
      <c r="BR171" s="26"/>
      <c r="BS171" s="26"/>
      <c r="BT171" s="26"/>
      <c r="BU171" s="26"/>
      <c r="BV171" s="26"/>
      <c r="BW171" s="26"/>
      <c r="BX171" s="26"/>
      <c r="BY171" s="26"/>
      <c r="BZ171" s="26"/>
      <c r="CA171" s="26"/>
      <c r="CB171" s="26"/>
      <c r="CC171" s="26"/>
      <c r="CD171" s="26"/>
      <c r="CE171" s="26"/>
      <c r="CF171" s="26"/>
      <c r="CG171" s="26"/>
      <c r="CH171" s="26"/>
      <c r="CI171" s="26"/>
    </row>
    <row r="172" spans="1:87" x14ac:dyDescent="0.25">
      <c r="A172" s="26"/>
      <c r="B172" s="26"/>
      <c r="C172" s="142"/>
      <c r="D172" s="142"/>
      <c r="E172" s="142"/>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c r="AK172" s="26"/>
      <c r="AL172" s="26"/>
      <c r="AM172" s="26"/>
      <c r="AN172" s="26"/>
      <c r="AO172" s="26"/>
      <c r="AP172" s="26"/>
      <c r="AQ172" s="26"/>
      <c r="AR172" s="26"/>
      <c r="AS172" s="26"/>
      <c r="AT172" s="26"/>
      <c r="AU172" s="26"/>
      <c r="AV172" s="26"/>
      <c r="AW172" s="26"/>
      <c r="AX172" s="26"/>
      <c r="AY172" s="26"/>
      <c r="AZ172" s="26"/>
      <c r="BA172" s="26"/>
      <c r="BB172" s="26"/>
      <c r="BC172" s="26"/>
      <c r="BD172" s="26"/>
      <c r="BE172" s="26"/>
      <c r="BF172" s="26"/>
      <c r="BG172" s="26"/>
      <c r="BH172" s="26"/>
      <c r="BI172" s="26"/>
      <c r="BJ172" s="26"/>
      <c r="BK172" s="26"/>
      <c r="BL172" s="26"/>
      <c r="BM172" s="26"/>
      <c r="BN172" s="26"/>
      <c r="BO172" s="26"/>
      <c r="BP172" s="26"/>
      <c r="BQ172" s="26"/>
      <c r="BR172" s="26"/>
      <c r="BS172" s="26"/>
      <c r="BT172" s="26"/>
      <c r="BU172" s="26"/>
      <c r="BV172" s="26"/>
      <c r="BW172" s="26"/>
      <c r="BX172" s="26"/>
      <c r="BY172" s="26"/>
      <c r="BZ172" s="26"/>
      <c r="CA172" s="26"/>
      <c r="CB172" s="26"/>
      <c r="CC172" s="26"/>
      <c r="CD172" s="26"/>
      <c r="CE172" s="26"/>
      <c r="CF172" s="26"/>
      <c r="CG172" s="26"/>
      <c r="CH172" s="26"/>
      <c r="CI172" s="26"/>
    </row>
    <row r="173" spans="1:87" x14ac:dyDescent="0.25">
      <c r="A173" s="26"/>
      <c r="B173" s="26"/>
      <c r="C173" s="142"/>
      <c r="D173" s="142"/>
      <c r="E173" s="142"/>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c r="AK173" s="26"/>
      <c r="AL173" s="26"/>
      <c r="AM173" s="26"/>
      <c r="AN173" s="26"/>
      <c r="AO173" s="26"/>
      <c r="AP173" s="26"/>
      <c r="AQ173" s="26"/>
      <c r="AR173" s="26"/>
      <c r="AS173" s="26"/>
      <c r="AT173" s="26"/>
      <c r="AU173" s="26"/>
      <c r="AV173" s="26"/>
      <c r="AW173" s="26"/>
      <c r="AX173" s="26"/>
      <c r="AY173" s="26"/>
      <c r="AZ173" s="26"/>
      <c r="BA173" s="26"/>
      <c r="BB173" s="26"/>
      <c r="BC173" s="26"/>
      <c r="BD173" s="26"/>
      <c r="BE173" s="26"/>
      <c r="BF173" s="26"/>
      <c r="BG173" s="26"/>
      <c r="BH173" s="26"/>
      <c r="BI173" s="26"/>
      <c r="BJ173" s="26"/>
      <c r="BK173" s="26"/>
      <c r="BL173" s="26"/>
      <c r="BM173" s="26"/>
      <c r="BN173" s="26"/>
      <c r="BO173" s="26"/>
      <c r="BP173" s="26"/>
      <c r="BQ173" s="26"/>
      <c r="BR173" s="26"/>
      <c r="BS173" s="26"/>
      <c r="BT173" s="26"/>
      <c r="BU173" s="26"/>
      <c r="BV173" s="26"/>
      <c r="BW173" s="26"/>
      <c r="BX173" s="26"/>
      <c r="BY173" s="26"/>
      <c r="BZ173" s="26"/>
      <c r="CA173" s="26"/>
      <c r="CB173" s="26"/>
      <c r="CC173" s="26"/>
      <c r="CD173" s="26"/>
      <c r="CE173" s="26"/>
      <c r="CF173" s="26"/>
      <c r="CG173" s="26"/>
      <c r="CH173" s="26"/>
      <c r="CI173" s="26"/>
    </row>
    <row r="174" spans="1:87" x14ac:dyDescent="0.25">
      <c r="A174" s="26"/>
      <c r="B174" s="26"/>
      <c r="C174" s="142"/>
      <c r="D174" s="142"/>
      <c r="E174" s="142"/>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c r="AK174" s="26"/>
      <c r="AL174" s="26"/>
      <c r="AM174" s="26"/>
      <c r="AN174" s="26"/>
      <c r="AO174" s="26"/>
      <c r="AP174" s="26"/>
      <c r="AQ174" s="26"/>
      <c r="AR174" s="26"/>
      <c r="AS174" s="26"/>
      <c r="AT174" s="26"/>
      <c r="AU174" s="26"/>
      <c r="AV174" s="26"/>
      <c r="AW174" s="26"/>
      <c r="AX174" s="26"/>
      <c r="AY174" s="26"/>
      <c r="AZ174" s="26"/>
      <c r="BA174" s="26"/>
      <c r="BB174" s="26"/>
      <c r="BC174" s="26"/>
      <c r="BD174" s="26"/>
      <c r="BE174" s="26"/>
      <c r="BF174" s="26"/>
      <c r="BG174" s="26"/>
      <c r="BH174" s="26"/>
      <c r="BI174" s="26"/>
      <c r="BJ174" s="26"/>
      <c r="BK174" s="26"/>
      <c r="BL174" s="26"/>
      <c r="BM174" s="26"/>
      <c r="BN174" s="26"/>
      <c r="BO174" s="26"/>
      <c r="BP174" s="26"/>
      <c r="BQ174" s="26"/>
      <c r="BR174" s="26"/>
      <c r="BS174" s="26"/>
      <c r="BT174" s="26"/>
      <c r="BU174" s="26"/>
      <c r="BV174" s="26"/>
      <c r="BW174" s="26"/>
      <c r="BX174" s="26"/>
      <c r="BY174" s="26"/>
      <c r="BZ174" s="26"/>
      <c r="CA174" s="26"/>
      <c r="CB174" s="26"/>
      <c r="CC174" s="26"/>
      <c r="CD174" s="26"/>
      <c r="CE174" s="26"/>
      <c r="CF174" s="26"/>
      <c r="CG174" s="26"/>
      <c r="CH174" s="26"/>
      <c r="CI174" s="26"/>
    </row>
    <row r="175" spans="1:87" x14ac:dyDescent="0.25">
      <c r="A175" s="26"/>
      <c r="B175" s="26"/>
      <c r="C175" s="142"/>
      <c r="D175" s="142"/>
      <c r="E175" s="142"/>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c r="AK175" s="26"/>
      <c r="AL175" s="26"/>
      <c r="AM175" s="26"/>
      <c r="AN175" s="26"/>
      <c r="AO175" s="26"/>
      <c r="AP175" s="26"/>
      <c r="AQ175" s="26"/>
      <c r="AR175" s="26"/>
      <c r="AS175" s="26"/>
      <c r="AT175" s="26"/>
      <c r="AU175" s="26"/>
      <c r="AV175" s="26"/>
      <c r="AW175" s="26"/>
      <c r="AX175" s="26"/>
      <c r="AY175" s="26"/>
      <c r="AZ175" s="26"/>
      <c r="BA175" s="26"/>
      <c r="BB175" s="26"/>
      <c r="BC175" s="26"/>
      <c r="BD175" s="26"/>
      <c r="BE175" s="26"/>
      <c r="BF175" s="26"/>
      <c r="BG175" s="26"/>
      <c r="BH175" s="26"/>
      <c r="BI175" s="26"/>
      <c r="BJ175" s="26"/>
      <c r="BK175" s="26"/>
      <c r="BL175" s="26"/>
      <c r="BM175" s="26"/>
      <c r="BN175" s="26"/>
      <c r="BO175" s="26"/>
      <c r="BP175" s="26"/>
      <c r="BQ175" s="26"/>
      <c r="BR175" s="26"/>
      <c r="BS175" s="26"/>
      <c r="BT175" s="26"/>
      <c r="BU175" s="26"/>
      <c r="BV175" s="26"/>
      <c r="BW175" s="26"/>
      <c r="BX175" s="26"/>
      <c r="BY175" s="26"/>
      <c r="BZ175" s="26"/>
      <c r="CA175" s="26"/>
      <c r="CB175" s="26"/>
      <c r="CC175" s="26"/>
      <c r="CD175" s="26"/>
      <c r="CE175" s="26"/>
      <c r="CF175" s="26"/>
      <c r="CG175" s="26"/>
      <c r="CH175" s="26"/>
      <c r="CI175" s="26"/>
    </row>
    <row r="176" spans="1:87" x14ac:dyDescent="0.25">
      <c r="A176" s="26"/>
      <c r="B176" s="26"/>
      <c r="C176" s="142"/>
      <c r="D176" s="142"/>
      <c r="E176" s="142"/>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c r="AK176" s="26"/>
      <c r="AL176" s="26"/>
      <c r="AM176" s="26"/>
      <c r="AN176" s="26"/>
      <c r="AO176" s="26"/>
      <c r="AP176" s="26"/>
      <c r="AQ176" s="26"/>
      <c r="AR176" s="26"/>
      <c r="AS176" s="26"/>
      <c r="AT176" s="26"/>
      <c r="AU176" s="26"/>
      <c r="AV176" s="26"/>
      <c r="AW176" s="26"/>
      <c r="AX176" s="26"/>
      <c r="AY176" s="26"/>
      <c r="AZ176" s="26"/>
      <c r="BA176" s="26"/>
      <c r="BB176" s="26"/>
      <c r="BC176" s="26"/>
      <c r="BD176" s="26"/>
      <c r="BE176" s="26"/>
      <c r="BF176" s="26"/>
      <c r="BG176" s="26"/>
      <c r="BH176" s="26"/>
      <c r="BI176" s="26"/>
      <c r="BJ176" s="26"/>
      <c r="BK176" s="26"/>
      <c r="BL176" s="26"/>
      <c r="BM176" s="26"/>
      <c r="BN176" s="26"/>
      <c r="BO176" s="26"/>
      <c r="BP176" s="26"/>
      <c r="BQ176" s="26"/>
      <c r="BR176" s="26"/>
      <c r="BS176" s="26"/>
      <c r="BT176" s="26"/>
      <c r="BU176" s="26"/>
      <c r="BV176" s="26"/>
      <c r="BW176" s="26"/>
      <c r="BX176" s="26"/>
      <c r="BY176" s="26"/>
      <c r="BZ176" s="26"/>
      <c r="CA176" s="26"/>
      <c r="CB176" s="26"/>
      <c r="CC176" s="26"/>
      <c r="CD176" s="26"/>
      <c r="CE176" s="26"/>
      <c r="CF176" s="26"/>
      <c r="CG176" s="26"/>
      <c r="CH176" s="26"/>
      <c r="CI176" s="26"/>
    </row>
    <row r="177" spans="1:87" x14ac:dyDescent="0.25">
      <c r="A177" s="26"/>
      <c r="B177" s="26"/>
      <c r="C177" s="142"/>
      <c r="D177" s="142"/>
      <c r="E177" s="142"/>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c r="AK177" s="26"/>
      <c r="AL177" s="26"/>
      <c r="AM177" s="26"/>
      <c r="AN177" s="26"/>
      <c r="AO177" s="26"/>
      <c r="AP177" s="26"/>
      <c r="AQ177" s="26"/>
      <c r="AR177" s="26"/>
      <c r="AS177" s="26"/>
      <c r="AT177" s="26"/>
      <c r="AU177" s="26"/>
      <c r="AV177" s="26"/>
      <c r="AW177" s="26"/>
      <c r="AX177" s="26"/>
      <c r="AY177" s="26"/>
      <c r="AZ177" s="26"/>
      <c r="BA177" s="26"/>
      <c r="BB177" s="26"/>
      <c r="BC177" s="26"/>
      <c r="BD177" s="26"/>
      <c r="BE177" s="26"/>
      <c r="BF177" s="26"/>
      <c r="BG177" s="26"/>
      <c r="BH177" s="26"/>
      <c r="BI177" s="26"/>
      <c r="BJ177" s="26"/>
      <c r="BK177" s="26"/>
      <c r="BL177" s="26"/>
      <c r="BM177" s="26"/>
      <c r="BN177" s="26"/>
      <c r="BO177" s="26"/>
      <c r="BP177" s="26"/>
      <c r="BQ177" s="26"/>
      <c r="BR177" s="26"/>
      <c r="BS177" s="26"/>
      <c r="BT177" s="26"/>
      <c r="BU177" s="26"/>
      <c r="BV177" s="26"/>
      <c r="BW177" s="26"/>
      <c r="BX177" s="26"/>
      <c r="BY177" s="26"/>
      <c r="BZ177" s="26"/>
      <c r="CA177" s="26"/>
      <c r="CB177" s="26"/>
      <c r="CC177" s="26"/>
      <c r="CD177" s="26"/>
      <c r="CE177" s="26"/>
      <c r="CF177" s="26"/>
      <c r="CG177" s="26"/>
      <c r="CH177" s="26"/>
      <c r="CI177" s="26"/>
    </row>
    <row r="178" spans="1:87" x14ac:dyDescent="0.25">
      <c r="A178" s="26"/>
      <c r="B178" s="26"/>
      <c r="C178" s="142"/>
      <c r="D178" s="142"/>
      <c r="E178" s="142"/>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c r="AK178" s="26"/>
      <c r="AL178" s="26"/>
      <c r="AM178" s="26"/>
      <c r="AN178" s="26"/>
      <c r="AO178" s="26"/>
      <c r="AP178" s="26"/>
      <c r="AQ178" s="26"/>
      <c r="AR178" s="26"/>
      <c r="AS178" s="26"/>
      <c r="AT178" s="26"/>
      <c r="AU178" s="26"/>
      <c r="AV178" s="26"/>
      <c r="AW178" s="26"/>
      <c r="AX178" s="26"/>
      <c r="AY178" s="26"/>
      <c r="AZ178" s="26"/>
      <c r="BA178" s="26"/>
      <c r="BB178" s="26"/>
      <c r="BC178" s="26"/>
      <c r="BD178" s="26"/>
      <c r="BE178" s="26"/>
      <c r="BF178" s="26"/>
      <c r="BG178" s="26"/>
      <c r="BH178" s="26"/>
      <c r="BI178" s="26"/>
      <c r="BJ178" s="26"/>
      <c r="BK178" s="26"/>
      <c r="BL178" s="26"/>
      <c r="BM178" s="26"/>
      <c r="BN178" s="26"/>
      <c r="BO178" s="26"/>
      <c r="BP178" s="26"/>
      <c r="BQ178" s="26"/>
      <c r="BR178" s="26"/>
      <c r="BS178" s="26"/>
      <c r="BT178" s="26"/>
      <c r="BU178" s="26"/>
      <c r="BV178" s="26"/>
      <c r="BW178" s="26"/>
      <c r="BX178" s="26"/>
      <c r="BY178" s="26"/>
      <c r="BZ178" s="26"/>
      <c r="CA178" s="26"/>
      <c r="CB178" s="26"/>
      <c r="CC178" s="26"/>
      <c r="CD178" s="26"/>
      <c r="CE178" s="26"/>
      <c r="CF178" s="26"/>
      <c r="CG178" s="26"/>
      <c r="CH178" s="26"/>
      <c r="CI178" s="26"/>
    </row>
    <row r="179" spans="1:87" x14ac:dyDescent="0.25">
      <c r="A179" s="26"/>
      <c r="B179" s="26"/>
      <c r="C179" s="142"/>
      <c r="D179" s="142"/>
      <c r="E179" s="142"/>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c r="AK179" s="26"/>
      <c r="AL179" s="26"/>
      <c r="AM179" s="26"/>
      <c r="AN179" s="26"/>
      <c r="AO179" s="26"/>
      <c r="AP179" s="26"/>
      <c r="AQ179" s="26"/>
      <c r="AR179" s="26"/>
      <c r="AS179" s="26"/>
      <c r="AT179" s="26"/>
      <c r="AU179" s="26"/>
      <c r="AV179" s="26"/>
      <c r="AW179" s="26"/>
      <c r="AX179" s="26"/>
      <c r="AY179" s="26"/>
      <c r="AZ179" s="26"/>
      <c r="BA179" s="26"/>
      <c r="BB179" s="26"/>
      <c r="BC179" s="26"/>
      <c r="BD179" s="26"/>
      <c r="BE179" s="26"/>
      <c r="BF179" s="26"/>
      <c r="BG179" s="26"/>
      <c r="BH179" s="26"/>
      <c r="BI179" s="26"/>
      <c r="BJ179" s="26"/>
      <c r="BK179" s="26"/>
      <c r="BL179" s="26"/>
      <c r="BM179" s="26"/>
      <c r="BN179" s="26"/>
      <c r="BO179" s="26"/>
      <c r="BP179" s="26"/>
      <c r="BQ179" s="26"/>
      <c r="BR179" s="26"/>
      <c r="BS179" s="26"/>
      <c r="BT179" s="26"/>
      <c r="BU179" s="26"/>
      <c r="BV179" s="26"/>
      <c r="BW179" s="26"/>
      <c r="BX179" s="26"/>
      <c r="BY179" s="26"/>
      <c r="BZ179" s="26"/>
      <c r="CA179" s="26"/>
      <c r="CB179" s="26"/>
      <c r="CC179" s="26"/>
      <c r="CD179" s="26"/>
      <c r="CE179" s="26"/>
      <c r="CF179" s="26"/>
      <c r="CG179" s="26"/>
      <c r="CH179" s="26"/>
      <c r="CI179" s="26"/>
    </row>
    <row r="180" spans="1:87" x14ac:dyDescent="0.25">
      <c r="A180" s="26"/>
      <c r="B180" s="26"/>
      <c r="C180" s="142"/>
      <c r="D180" s="142"/>
      <c r="E180" s="142"/>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c r="AK180" s="26"/>
      <c r="AL180" s="26"/>
      <c r="AM180" s="26"/>
      <c r="AN180" s="26"/>
      <c r="AO180" s="26"/>
      <c r="AP180" s="26"/>
      <c r="AQ180" s="26"/>
      <c r="AR180" s="26"/>
      <c r="AS180" s="26"/>
      <c r="AT180" s="26"/>
      <c r="AU180" s="26"/>
      <c r="AV180" s="26"/>
      <c r="AW180" s="26"/>
      <c r="AX180" s="26"/>
      <c r="AY180" s="26"/>
      <c r="AZ180" s="26"/>
      <c r="BA180" s="26"/>
      <c r="BB180" s="26"/>
      <c r="BC180" s="26"/>
      <c r="BD180" s="26"/>
      <c r="BE180" s="26"/>
      <c r="BF180" s="26"/>
      <c r="BG180" s="26"/>
      <c r="BH180" s="26"/>
      <c r="BI180" s="26"/>
      <c r="BJ180" s="26"/>
      <c r="BK180" s="26"/>
      <c r="BL180" s="26"/>
      <c r="BM180" s="26"/>
      <c r="BN180" s="26"/>
      <c r="BO180" s="26"/>
      <c r="BP180" s="26"/>
      <c r="BQ180" s="26"/>
      <c r="BR180" s="26"/>
      <c r="BS180" s="26"/>
      <c r="BT180" s="26"/>
      <c r="BU180" s="26"/>
      <c r="BV180" s="26"/>
      <c r="BW180" s="26"/>
      <c r="BX180" s="26"/>
      <c r="BY180" s="26"/>
      <c r="BZ180" s="26"/>
      <c r="CA180" s="26"/>
      <c r="CB180" s="26"/>
      <c r="CC180" s="26"/>
      <c r="CD180" s="26"/>
      <c r="CE180" s="26"/>
      <c r="CF180" s="26"/>
      <c r="CG180" s="26"/>
      <c r="CH180" s="26"/>
      <c r="CI180" s="26"/>
    </row>
    <row r="181" spans="1:87" x14ac:dyDescent="0.25">
      <c r="A181" s="26"/>
      <c r="B181" s="26"/>
      <c r="C181" s="142"/>
      <c r="D181" s="142"/>
      <c r="E181" s="142"/>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c r="AK181" s="26"/>
      <c r="AL181" s="26"/>
      <c r="AM181" s="26"/>
      <c r="AN181" s="26"/>
      <c r="AO181" s="26"/>
      <c r="AP181" s="26"/>
      <c r="AQ181" s="26"/>
      <c r="AR181" s="26"/>
      <c r="AS181" s="26"/>
      <c r="AT181" s="26"/>
      <c r="AU181" s="26"/>
      <c r="AV181" s="26"/>
      <c r="AW181" s="26"/>
      <c r="AX181" s="26"/>
      <c r="AY181" s="26"/>
      <c r="AZ181" s="26"/>
      <c r="BA181" s="26"/>
      <c r="BB181" s="26"/>
      <c r="BC181" s="26"/>
      <c r="BD181" s="26"/>
      <c r="BE181" s="26"/>
      <c r="BF181" s="26"/>
      <c r="BG181" s="26"/>
      <c r="BH181" s="26"/>
      <c r="BI181" s="26"/>
      <c r="BJ181" s="26"/>
      <c r="BK181" s="26"/>
      <c r="BL181" s="26"/>
      <c r="BM181" s="26"/>
      <c r="BN181" s="26"/>
      <c r="BO181" s="26"/>
      <c r="BP181" s="26"/>
      <c r="BQ181" s="26"/>
      <c r="BR181" s="26"/>
      <c r="BS181" s="26"/>
      <c r="BT181" s="26"/>
      <c r="BU181" s="26"/>
      <c r="BV181" s="26"/>
      <c r="BW181" s="26"/>
      <c r="BX181" s="26"/>
      <c r="BY181" s="26"/>
      <c r="BZ181" s="26"/>
      <c r="CA181" s="26"/>
      <c r="CB181" s="26"/>
      <c r="CC181" s="26"/>
      <c r="CD181" s="26"/>
      <c r="CE181" s="26"/>
      <c r="CF181" s="26"/>
      <c r="CG181" s="26"/>
      <c r="CH181" s="26"/>
      <c r="CI181" s="26"/>
    </row>
    <row r="182" spans="1:87" x14ac:dyDescent="0.25">
      <c r="A182" s="26"/>
      <c r="B182" s="26"/>
      <c r="C182" s="142"/>
      <c r="D182" s="142"/>
      <c r="E182" s="142"/>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c r="AK182" s="26"/>
      <c r="AL182" s="26"/>
      <c r="AM182" s="26"/>
      <c r="AN182" s="26"/>
      <c r="AO182" s="26"/>
      <c r="AP182" s="26"/>
      <c r="AQ182" s="26"/>
      <c r="AR182" s="26"/>
      <c r="AS182" s="26"/>
      <c r="AT182" s="26"/>
      <c r="AU182" s="26"/>
      <c r="AV182" s="26"/>
      <c r="AW182" s="26"/>
      <c r="AX182" s="26"/>
      <c r="AY182" s="26"/>
      <c r="AZ182" s="26"/>
      <c r="BA182" s="26"/>
      <c r="BB182" s="26"/>
      <c r="BC182" s="26"/>
      <c r="BD182" s="26"/>
      <c r="BE182" s="26"/>
      <c r="BF182" s="26"/>
      <c r="BG182" s="26"/>
      <c r="BH182" s="26"/>
      <c r="BI182" s="26"/>
      <c r="BJ182" s="26"/>
      <c r="BK182" s="26"/>
      <c r="BL182" s="26"/>
      <c r="BM182" s="26"/>
      <c r="BN182" s="26"/>
      <c r="BO182" s="26"/>
      <c r="BP182" s="26"/>
      <c r="BQ182" s="26"/>
      <c r="BR182" s="26"/>
      <c r="BS182" s="26"/>
      <c r="BT182" s="26"/>
      <c r="BU182" s="26"/>
      <c r="BV182" s="26"/>
      <c r="BW182" s="26"/>
      <c r="BX182" s="26"/>
      <c r="BY182" s="26"/>
      <c r="BZ182" s="26"/>
      <c r="CA182" s="26"/>
      <c r="CB182" s="26"/>
      <c r="CC182" s="26"/>
      <c r="CD182" s="26"/>
      <c r="CE182" s="26"/>
      <c r="CF182" s="26"/>
      <c r="CG182" s="26"/>
      <c r="CH182" s="26"/>
      <c r="CI182" s="26"/>
    </row>
    <row r="183" spans="1:87" x14ac:dyDescent="0.25">
      <c r="A183" s="26"/>
      <c r="B183" s="26"/>
      <c r="C183" s="142"/>
      <c r="D183" s="142"/>
      <c r="E183" s="142"/>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c r="AK183" s="26"/>
      <c r="AL183" s="26"/>
      <c r="AM183" s="26"/>
      <c r="AN183" s="26"/>
      <c r="AO183" s="26"/>
      <c r="AP183" s="26"/>
      <c r="AQ183" s="26"/>
      <c r="AR183" s="26"/>
      <c r="AS183" s="26"/>
      <c r="AT183" s="26"/>
      <c r="AU183" s="26"/>
      <c r="AV183" s="26"/>
      <c r="AW183" s="26"/>
      <c r="AX183" s="26"/>
      <c r="AY183" s="26"/>
      <c r="AZ183" s="26"/>
      <c r="BA183" s="26"/>
      <c r="BB183" s="26"/>
      <c r="BC183" s="26"/>
      <c r="BD183" s="26"/>
      <c r="BE183" s="26"/>
      <c r="BF183" s="26"/>
      <c r="BG183" s="26"/>
      <c r="BH183" s="26"/>
      <c r="BI183" s="26"/>
      <c r="BJ183" s="26"/>
      <c r="BK183" s="26"/>
      <c r="BL183" s="26"/>
      <c r="BM183" s="26"/>
      <c r="BN183" s="26"/>
      <c r="BO183" s="26"/>
      <c r="BP183" s="26"/>
      <c r="BQ183" s="26"/>
      <c r="BR183" s="26"/>
      <c r="BS183" s="26"/>
      <c r="BT183" s="26"/>
      <c r="BU183" s="26"/>
      <c r="BV183" s="26"/>
      <c r="BW183" s="26"/>
      <c r="BX183" s="26"/>
      <c r="BY183" s="26"/>
      <c r="BZ183" s="26"/>
      <c r="CA183" s="26"/>
      <c r="CB183" s="26"/>
      <c r="CC183" s="26"/>
      <c r="CD183" s="26"/>
      <c r="CE183" s="26"/>
      <c r="CF183" s="26"/>
      <c r="CG183" s="26"/>
      <c r="CH183" s="26"/>
      <c r="CI183" s="26"/>
    </row>
    <row r="184" spans="1:87" x14ac:dyDescent="0.25">
      <c r="A184" s="26"/>
      <c r="B184" s="26"/>
      <c r="C184" s="142"/>
      <c r="D184" s="142"/>
      <c r="E184" s="142"/>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c r="AK184" s="26"/>
      <c r="AL184" s="26"/>
      <c r="AM184" s="26"/>
      <c r="AN184" s="26"/>
      <c r="AO184" s="26"/>
      <c r="AP184" s="26"/>
      <c r="AQ184" s="26"/>
      <c r="AR184" s="26"/>
      <c r="AS184" s="26"/>
      <c r="AT184" s="26"/>
      <c r="AU184" s="26"/>
      <c r="AV184" s="26"/>
      <c r="AW184" s="26"/>
      <c r="AX184" s="26"/>
      <c r="AY184" s="26"/>
      <c r="AZ184" s="26"/>
      <c r="BA184" s="26"/>
      <c r="BB184" s="26"/>
      <c r="BC184" s="26"/>
      <c r="BD184" s="26"/>
      <c r="BE184" s="26"/>
      <c r="BF184" s="26"/>
      <c r="BG184" s="26"/>
      <c r="BH184" s="26"/>
      <c r="BI184" s="26"/>
      <c r="BJ184" s="26"/>
      <c r="BK184" s="26"/>
      <c r="BL184" s="26"/>
      <c r="BM184" s="26"/>
      <c r="BN184" s="26"/>
      <c r="BO184" s="26"/>
      <c r="BP184" s="26"/>
      <c r="BQ184" s="26"/>
      <c r="BR184" s="26"/>
      <c r="BS184" s="26"/>
      <c r="BT184" s="26"/>
      <c r="BU184" s="26"/>
      <c r="BV184" s="26"/>
      <c r="BW184" s="26"/>
      <c r="BX184" s="26"/>
      <c r="BY184" s="26"/>
      <c r="BZ184" s="26"/>
      <c r="CA184" s="26"/>
      <c r="CB184" s="26"/>
      <c r="CC184" s="26"/>
      <c r="CD184" s="26"/>
      <c r="CE184" s="26"/>
      <c r="CF184" s="26"/>
      <c r="CG184" s="26"/>
      <c r="CH184" s="26"/>
      <c r="CI184" s="26"/>
    </row>
    <row r="185" spans="1:87" x14ac:dyDescent="0.25">
      <c r="A185" s="26"/>
      <c r="B185" s="26"/>
      <c r="C185" s="142"/>
      <c r="D185" s="142"/>
      <c r="E185" s="142"/>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c r="AK185" s="26"/>
      <c r="AL185" s="26"/>
      <c r="AM185" s="26"/>
      <c r="AN185" s="26"/>
      <c r="AO185" s="26"/>
      <c r="AP185" s="26"/>
      <c r="AQ185" s="26"/>
      <c r="AR185" s="26"/>
      <c r="AS185" s="26"/>
      <c r="AT185" s="26"/>
      <c r="AU185" s="26"/>
      <c r="AV185" s="26"/>
      <c r="AW185" s="26"/>
      <c r="AX185" s="26"/>
      <c r="AY185" s="26"/>
      <c r="AZ185" s="26"/>
      <c r="BA185" s="26"/>
      <c r="BB185" s="26"/>
      <c r="BC185" s="26"/>
      <c r="BD185" s="26"/>
      <c r="BE185" s="26"/>
      <c r="BF185" s="26"/>
      <c r="BG185" s="26"/>
      <c r="BH185" s="26"/>
      <c r="BI185" s="26"/>
      <c r="BJ185" s="26"/>
      <c r="BK185" s="26"/>
      <c r="BL185" s="26"/>
      <c r="BM185" s="26"/>
      <c r="BN185" s="26"/>
      <c r="BO185" s="26"/>
      <c r="BP185" s="26"/>
      <c r="BQ185" s="26"/>
      <c r="BR185" s="26"/>
      <c r="BS185" s="26"/>
      <c r="BT185" s="26"/>
      <c r="BU185" s="26"/>
      <c r="BV185" s="26"/>
      <c r="BW185" s="26"/>
      <c r="BX185" s="26"/>
      <c r="BY185" s="26"/>
      <c r="BZ185" s="26"/>
      <c r="CA185" s="26"/>
      <c r="CB185" s="26"/>
      <c r="CC185" s="26"/>
      <c r="CD185" s="26"/>
      <c r="CE185" s="26"/>
      <c r="CF185" s="26"/>
      <c r="CG185" s="26"/>
      <c r="CH185" s="26"/>
      <c r="CI185" s="26"/>
    </row>
    <row r="186" spans="1:87" x14ac:dyDescent="0.25">
      <c r="A186" s="26"/>
      <c r="B186" s="26"/>
      <c r="C186" s="142"/>
      <c r="D186" s="142"/>
      <c r="E186" s="142"/>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c r="AK186" s="26"/>
      <c r="AL186" s="26"/>
      <c r="AM186" s="26"/>
      <c r="AN186" s="26"/>
      <c r="AO186" s="26"/>
      <c r="AP186" s="26"/>
      <c r="AQ186" s="26"/>
      <c r="AR186" s="26"/>
      <c r="AS186" s="26"/>
      <c r="AT186" s="26"/>
      <c r="AU186" s="26"/>
      <c r="AV186" s="26"/>
      <c r="AW186" s="26"/>
      <c r="AX186" s="26"/>
      <c r="AY186" s="26"/>
      <c r="AZ186" s="26"/>
      <c r="BA186" s="26"/>
      <c r="BB186" s="26"/>
      <c r="BC186" s="26"/>
      <c r="BD186" s="26"/>
      <c r="BE186" s="26"/>
      <c r="BF186" s="26"/>
      <c r="BG186" s="26"/>
      <c r="BH186" s="26"/>
      <c r="BI186" s="26"/>
      <c r="BJ186" s="26"/>
      <c r="BK186" s="26"/>
      <c r="BL186" s="26"/>
      <c r="BM186" s="26"/>
      <c r="BN186" s="26"/>
      <c r="BO186" s="26"/>
      <c r="BP186" s="26"/>
      <c r="BQ186" s="26"/>
      <c r="BR186" s="26"/>
      <c r="BS186" s="26"/>
      <c r="BT186" s="26"/>
      <c r="BU186" s="26"/>
      <c r="BV186" s="26"/>
      <c r="BW186" s="26"/>
      <c r="BX186" s="26"/>
      <c r="BY186" s="26"/>
      <c r="BZ186" s="26"/>
      <c r="CA186" s="26"/>
      <c r="CB186" s="26"/>
      <c r="CC186" s="26"/>
      <c r="CD186" s="26"/>
      <c r="CE186" s="26"/>
      <c r="CF186" s="26"/>
      <c r="CG186" s="26"/>
      <c r="CH186" s="26"/>
      <c r="CI186" s="26"/>
    </row>
    <row r="187" spans="1:87" x14ac:dyDescent="0.25">
      <c r="A187" s="26"/>
      <c r="B187" s="26"/>
      <c r="C187" s="142"/>
      <c r="D187" s="142"/>
      <c r="E187" s="142"/>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c r="AK187" s="26"/>
      <c r="AL187" s="26"/>
      <c r="AM187" s="26"/>
      <c r="AN187" s="26"/>
      <c r="AO187" s="26"/>
      <c r="AP187" s="26"/>
      <c r="AQ187" s="26"/>
      <c r="AR187" s="26"/>
      <c r="AS187" s="26"/>
      <c r="AT187" s="26"/>
      <c r="AU187" s="26"/>
      <c r="AV187" s="26"/>
      <c r="AW187" s="26"/>
      <c r="AX187" s="26"/>
      <c r="AY187" s="26"/>
      <c r="AZ187" s="26"/>
      <c r="BA187" s="26"/>
      <c r="BB187" s="26"/>
      <c r="BC187" s="26"/>
      <c r="BD187" s="26"/>
      <c r="BE187" s="26"/>
      <c r="BF187" s="26"/>
      <c r="BG187" s="26"/>
      <c r="BH187" s="26"/>
      <c r="BI187" s="26"/>
      <c r="BJ187" s="26"/>
      <c r="BK187" s="26"/>
      <c r="BL187" s="26"/>
      <c r="BM187" s="26"/>
      <c r="BN187" s="26"/>
      <c r="BO187" s="26"/>
      <c r="BP187" s="26"/>
      <c r="BQ187" s="26"/>
      <c r="BR187" s="26"/>
      <c r="BS187" s="26"/>
      <c r="BT187" s="26"/>
      <c r="BU187" s="26"/>
      <c r="BV187" s="26"/>
      <c r="BW187" s="26"/>
      <c r="BX187" s="26"/>
      <c r="BY187" s="26"/>
      <c r="BZ187" s="26"/>
      <c r="CA187" s="26"/>
      <c r="CB187" s="26"/>
      <c r="CC187" s="26"/>
      <c r="CD187" s="26"/>
      <c r="CE187" s="26"/>
      <c r="CF187" s="26"/>
      <c r="CG187" s="26"/>
      <c r="CH187" s="26"/>
      <c r="CI187" s="26"/>
    </row>
    <row r="188" spans="1:87" x14ac:dyDescent="0.25">
      <c r="A188" s="26"/>
      <c r="B188" s="26"/>
      <c r="C188" s="142"/>
      <c r="D188" s="142"/>
      <c r="E188" s="142"/>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c r="AK188" s="26"/>
      <c r="AL188" s="26"/>
      <c r="AM188" s="26"/>
      <c r="AN188" s="26"/>
      <c r="AO188" s="26"/>
      <c r="AP188" s="26"/>
      <c r="AQ188" s="26"/>
      <c r="AR188" s="26"/>
      <c r="AS188" s="26"/>
      <c r="AT188" s="26"/>
      <c r="AU188" s="26"/>
      <c r="AV188" s="26"/>
      <c r="AW188" s="26"/>
      <c r="AX188" s="26"/>
      <c r="AY188" s="26"/>
      <c r="AZ188" s="26"/>
      <c r="BA188" s="26"/>
      <c r="BB188" s="26"/>
      <c r="BC188" s="26"/>
      <c r="BD188" s="26"/>
      <c r="BE188" s="26"/>
      <c r="BF188" s="26"/>
      <c r="BG188" s="26"/>
      <c r="BH188" s="26"/>
      <c r="BI188" s="26"/>
      <c r="BJ188" s="26"/>
      <c r="BK188" s="26"/>
      <c r="BL188" s="26"/>
      <c r="BM188" s="26"/>
      <c r="BN188" s="26"/>
      <c r="BO188" s="26"/>
      <c r="BP188" s="26"/>
      <c r="BQ188" s="26"/>
      <c r="BR188" s="26"/>
      <c r="BS188" s="26"/>
      <c r="BT188" s="26"/>
      <c r="BU188" s="26"/>
      <c r="BV188" s="26"/>
      <c r="BW188" s="26"/>
      <c r="BX188" s="26"/>
      <c r="BY188" s="26"/>
      <c r="BZ188" s="26"/>
      <c r="CA188" s="26"/>
      <c r="CB188" s="26"/>
      <c r="CC188" s="26"/>
      <c r="CD188" s="26"/>
      <c r="CE188" s="26"/>
      <c r="CF188" s="26"/>
      <c r="CG188" s="26"/>
      <c r="CH188" s="26"/>
      <c r="CI188" s="26"/>
    </row>
    <row r="189" spans="1:87" x14ac:dyDescent="0.25">
      <c r="A189" s="26"/>
      <c r="B189" s="26"/>
      <c r="C189" s="142"/>
      <c r="D189" s="142"/>
      <c r="E189" s="142"/>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c r="AK189" s="26"/>
      <c r="AL189" s="26"/>
      <c r="AM189" s="26"/>
      <c r="AN189" s="26"/>
      <c r="AO189" s="26"/>
      <c r="AP189" s="26"/>
      <c r="AQ189" s="26"/>
      <c r="AR189" s="26"/>
      <c r="AS189" s="26"/>
      <c r="AT189" s="26"/>
      <c r="AU189" s="26"/>
      <c r="AV189" s="26"/>
      <c r="AW189" s="26"/>
      <c r="AX189" s="26"/>
      <c r="AY189" s="26"/>
      <c r="AZ189" s="26"/>
      <c r="BA189" s="26"/>
      <c r="BB189" s="26"/>
      <c r="BC189" s="26"/>
      <c r="BD189" s="26"/>
      <c r="BE189" s="26"/>
      <c r="BF189" s="26"/>
      <c r="BG189" s="26"/>
      <c r="BH189" s="26"/>
      <c r="BI189" s="26"/>
      <c r="BJ189" s="26"/>
      <c r="BK189" s="26"/>
      <c r="BL189" s="26"/>
      <c r="BM189" s="26"/>
      <c r="BN189" s="26"/>
      <c r="BO189" s="26"/>
      <c r="BP189" s="26"/>
      <c r="BQ189" s="26"/>
      <c r="BR189" s="26"/>
      <c r="BS189" s="26"/>
      <c r="BT189" s="26"/>
      <c r="BU189" s="26"/>
      <c r="BV189" s="26"/>
      <c r="BW189" s="26"/>
      <c r="BX189" s="26"/>
      <c r="BY189" s="26"/>
      <c r="BZ189" s="26"/>
      <c r="CA189" s="26"/>
      <c r="CB189" s="26"/>
      <c r="CC189" s="26"/>
      <c r="CD189" s="26"/>
      <c r="CE189" s="26"/>
      <c r="CF189" s="26"/>
      <c r="CG189" s="26"/>
      <c r="CH189" s="26"/>
      <c r="CI189" s="26"/>
    </row>
    <row r="190" spans="1:87" x14ac:dyDescent="0.25">
      <c r="A190" s="26"/>
      <c r="B190" s="26"/>
      <c r="C190" s="142"/>
      <c r="D190" s="142"/>
      <c r="E190" s="142"/>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c r="AK190" s="26"/>
      <c r="AL190" s="26"/>
      <c r="AM190" s="26"/>
      <c r="AN190" s="26"/>
      <c r="AO190" s="26"/>
      <c r="AP190" s="26"/>
      <c r="AQ190" s="26"/>
      <c r="AR190" s="26"/>
      <c r="AS190" s="26"/>
      <c r="AT190" s="26"/>
      <c r="AU190" s="26"/>
      <c r="AV190" s="26"/>
      <c r="AW190" s="26"/>
      <c r="AX190" s="26"/>
      <c r="AY190" s="26"/>
      <c r="AZ190" s="26"/>
      <c r="BA190" s="26"/>
      <c r="BB190" s="26"/>
      <c r="BC190" s="26"/>
      <c r="BD190" s="26"/>
      <c r="BE190" s="26"/>
      <c r="BF190" s="26"/>
      <c r="BG190" s="26"/>
      <c r="BH190" s="26"/>
      <c r="BI190" s="26"/>
      <c r="BJ190" s="26"/>
      <c r="BK190" s="26"/>
      <c r="BL190" s="26"/>
      <c r="BM190" s="26"/>
      <c r="BN190" s="26"/>
      <c r="BO190" s="26"/>
      <c r="BP190" s="26"/>
      <c r="BQ190" s="26"/>
      <c r="BR190" s="26"/>
      <c r="BS190" s="26"/>
      <c r="BT190" s="26"/>
      <c r="BU190" s="26"/>
      <c r="BV190" s="26"/>
      <c r="BW190" s="26"/>
      <c r="BX190" s="26"/>
      <c r="BY190" s="26"/>
      <c r="BZ190" s="26"/>
      <c r="CA190" s="26"/>
      <c r="CB190" s="26"/>
      <c r="CC190" s="26"/>
      <c r="CD190" s="26"/>
      <c r="CE190" s="26"/>
      <c r="CF190" s="26"/>
      <c r="CG190" s="26"/>
      <c r="CH190" s="26"/>
      <c r="CI190" s="26"/>
    </row>
    <row r="191" spans="1:87" x14ac:dyDescent="0.25">
      <c r="A191" s="26"/>
      <c r="B191" s="26"/>
      <c r="C191" s="142"/>
      <c r="D191" s="142"/>
      <c r="E191" s="142"/>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c r="AK191" s="26"/>
      <c r="AL191" s="26"/>
      <c r="AM191" s="26"/>
      <c r="AN191" s="26"/>
      <c r="AO191" s="26"/>
      <c r="AP191" s="26"/>
      <c r="AQ191" s="26"/>
      <c r="AR191" s="26"/>
      <c r="AS191" s="26"/>
      <c r="AT191" s="26"/>
      <c r="AU191" s="26"/>
      <c r="AV191" s="26"/>
      <c r="AW191" s="26"/>
      <c r="AX191" s="26"/>
      <c r="AY191" s="26"/>
      <c r="AZ191" s="26"/>
      <c r="BA191" s="26"/>
      <c r="BB191" s="26"/>
      <c r="BC191" s="26"/>
      <c r="BD191" s="26"/>
      <c r="BE191" s="26"/>
      <c r="BF191" s="26"/>
      <c r="BG191" s="26"/>
      <c r="BH191" s="26"/>
      <c r="BI191" s="26"/>
      <c r="BJ191" s="26"/>
      <c r="BK191" s="26"/>
      <c r="BL191" s="26"/>
      <c r="BM191" s="26"/>
      <c r="BN191" s="26"/>
      <c r="BO191" s="26"/>
      <c r="BP191" s="26"/>
      <c r="BQ191" s="26"/>
      <c r="BR191" s="26"/>
      <c r="BS191" s="26"/>
      <c r="BT191" s="26"/>
      <c r="BU191" s="26"/>
      <c r="BV191" s="26"/>
      <c r="BW191" s="26"/>
      <c r="BX191" s="26"/>
      <c r="BY191" s="26"/>
      <c r="BZ191" s="26"/>
      <c r="CA191" s="26"/>
      <c r="CB191" s="26"/>
      <c r="CC191" s="26"/>
      <c r="CD191" s="26"/>
      <c r="CE191" s="26"/>
      <c r="CF191" s="26"/>
      <c r="CG191" s="26"/>
      <c r="CH191" s="26"/>
      <c r="CI191" s="26"/>
    </row>
    <row r="192" spans="1:87" x14ac:dyDescent="0.25">
      <c r="A192" s="26"/>
      <c r="B192" s="26"/>
      <c r="C192" s="142"/>
      <c r="D192" s="142"/>
      <c r="E192" s="142"/>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c r="AK192" s="26"/>
      <c r="AL192" s="26"/>
      <c r="AM192" s="26"/>
      <c r="AN192" s="26"/>
      <c r="AO192" s="26"/>
      <c r="AP192" s="26"/>
      <c r="AQ192" s="26"/>
      <c r="AR192" s="26"/>
      <c r="AS192" s="26"/>
      <c r="AT192" s="26"/>
      <c r="AU192" s="26"/>
      <c r="AV192" s="26"/>
      <c r="AW192" s="26"/>
      <c r="AX192" s="26"/>
      <c r="AY192" s="26"/>
      <c r="AZ192" s="26"/>
      <c r="BA192" s="26"/>
      <c r="BB192" s="26"/>
      <c r="BC192" s="26"/>
      <c r="BD192" s="26"/>
      <c r="BE192" s="26"/>
      <c r="BF192" s="26"/>
      <c r="BG192" s="26"/>
      <c r="BH192" s="26"/>
      <c r="BI192" s="26"/>
      <c r="BJ192" s="26"/>
      <c r="BK192" s="26"/>
      <c r="BL192" s="26"/>
      <c r="BM192" s="26"/>
      <c r="BN192" s="26"/>
      <c r="BO192" s="26"/>
      <c r="BP192" s="26"/>
      <c r="BQ192" s="26"/>
      <c r="BR192" s="26"/>
      <c r="BS192" s="26"/>
      <c r="BT192" s="26"/>
      <c r="BU192" s="26"/>
      <c r="BV192" s="26"/>
      <c r="BW192" s="26"/>
      <c r="BX192" s="26"/>
      <c r="BY192" s="26"/>
      <c r="BZ192" s="26"/>
      <c r="CA192" s="26"/>
      <c r="CB192" s="26"/>
      <c r="CC192" s="26"/>
      <c r="CD192" s="26"/>
      <c r="CE192" s="26"/>
      <c r="CF192" s="26"/>
      <c r="CG192" s="26"/>
      <c r="CH192" s="26"/>
      <c r="CI192" s="26"/>
    </row>
    <row r="193" spans="1:87" x14ac:dyDescent="0.25">
      <c r="A193" s="26"/>
      <c r="B193" s="26"/>
      <c r="C193" s="142"/>
      <c r="D193" s="142"/>
      <c r="E193" s="142"/>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c r="AK193" s="26"/>
      <c r="AL193" s="26"/>
      <c r="AM193" s="26"/>
      <c r="AN193" s="26"/>
      <c r="AO193" s="26"/>
      <c r="AP193" s="26"/>
      <c r="AQ193" s="26"/>
      <c r="AR193" s="26"/>
      <c r="AS193" s="26"/>
      <c r="AT193" s="26"/>
      <c r="AU193" s="26"/>
      <c r="AV193" s="26"/>
      <c r="AW193" s="26"/>
      <c r="AX193" s="26"/>
      <c r="AY193" s="26"/>
      <c r="AZ193" s="26"/>
      <c r="BA193" s="26"/>
      <c r="BB193" s="26"/>
      <c r="BC193" s="26"/>
      <c r="BD193" s="26"/>
      <c r="BE193" s="26"/>
      <c r="BF193" s="26"/>
      <c r="BG193" s="26"/>
      <c r="BH193" s="26"/>
      <c r="BI193" s="26"/>
      <c r="BJ193" s="26"/>
      <c r="BK193" s="26"/>
      <c r="BL193" s="26"/>
      <c r="BM193" s="26"/>
      <c r="BN193" s="26"/>
      <c r="BO193" s="26"/>
      <c r="BP193" s="26"/>
      <c r="BQ193" s="26"/>
      <c r="BR193" s="26"/>
      <c r="BS193" s="26"/>
      <c r="BT193" s="26"/>
      <c r="BU193" s="26"/>
      <c r="BV193" s="26"/>
      <c r="BW193" s="26"/>
      <c r="BX193" s="26"/>
      <c r="BY193" s="26"/>
      <c r="BZ193" s="26"/>
      <c r="CA193" s="26"/>
      <c r="CB193" s="26"/>
      <c r="CC193" s="26"/>
      <c r="CD193" s="26"/>
      <c r="CE193" s="26"/>
      <c r="CF193" s="26"/>
      <c r="CG193" s="26"/>
      <c r="CH193" s="26"/>
      <c r="CI193" s="26"/>
    </row>
    <row r="194" spans="1:87" x14ac:dyDescent="0.25">
      <c r="A194" s="26"/>
      <c r="B194" s="26"/>
      <c r="C194" s="142"/>
      <c r="D194" s="142"/>
      <c r="E194" s="142"/>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c r="AK194" s="26"/>
      <c r="AL194" s="26"/>
      <c r="AM194" s="26"/>
      <c r="AN194" s="26"/>
      <c r="AO194" s="26"/>
      <c r="AP194" s="26"/>
      <c r="AQ194" s="26"/>
      <c r="AR194" s="26"/>
      <c r="AS194" s="26"/>
      <c r="AT194" s="26"/>
      <c r="AU194" s="26"/>
      <c r="AV194" s="26"/>
      <c r="AW194" s="26"/>
      <c r="AX194" s="26"/>
      <c r="AY194" s="26"/>
      <c r="AZ194" s="26"/>
      <c r="BA194" s="26"/>
      <c r="BB194" s="26"/>
      <c r="BC194" s="26"/>
      <c r="BD194" s="26"/>
      <c r="BE194" s="26"/>
      <c r="BF194" s="26"/>
      <c r="BG194" s="26"/>
      <c r="BH194" s="26"/>
      <c r="BI194" s="26"/>
      <c r="BJ194" s="26"/>
      <c r="BK194" s="26"/>
      <c r="BL194" s="26"/>
      <c r="BM194" s="26"/>
      <c r="BN194" s="26"/>
      <c r="BO194" s="26"/>
      <c r="BP194" s="26"/>
      <c r="BQ194" s="26"/>
      <c r="BR194" s="26"/>
      <c r="BS194" s="26"/>
      <c r="BT194" s="26"/>
      <c r="BU194" s="26"/>
      <c r="BV194" s="26"/>
      <c r="BW194" s="26"/>
      <c r="BX194" s="26"/>
      <c r="BY194" s="26"/>
      <c r="BZ194" s="26"/>
      <c r="CA194" s="26"/>
      <c r="CB194" s="26"/>
      <c r="CC194" s="26"/>
      <c r="CD194" s="26"/>
      <c r="CE194" s="26"/>
      <c r="CF194" s="26"/>
      <c r="CG194" s="26"/>
      <c r="CH194" s="26"/>
      <c r="CI194" s="26"/>
    </row>
    <row r="195" spans="1:87" x14ac:dyDescent="0.25">
      <c r="A195" s="26"/>
      <c r="B195" s="26"/>
      <c r="C195" s="142"/>
      <c r="D195" s="142"/>
      <c r="E195" s="142"/>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c r="AK195" s="26"/>
      <c r="AL195" s="26"/>
      <c r="AM195" s="26"/>
      <c r="AN195" s="26"/>
      <c r="AO195" s="26"/>
      <c r="AP195" s="26"/>
      <c r="AQ195" s="26"/>
      <c r="AR195" s="26"/>
      <c r="AS195" s="26"/>
      <c r="AT195" s="26"/>
      <c r="AU195" s="26"/>
      <c r="AV195" s="26"/>
      <c r="AW195" s="26"/>
      <c r="AX195" s="26"/>
      <c r="AY195" s="26"/>
      <c r="AZ195" s="26"/>
      <c r="BA195" s="26"/>
      <c r="BB195" s="26"/>
      <c r="BC195" s="26"/>
      <c r="BD195" s="26"/>
      <c r="BE195" s="26"/>
      <c r="BF195" s="26"/>
      <c r="BG195" s="26"/>
      <c r="BH195" s="26"/>
      <c r="BI195" s="26"/>
      <c r="BJ195" s="26"/>
      <c r="BK195" s="26"/>
      <c r="BL195" s="26"/>
      <c r="BM195" s="26"/>
      <c r="BN195" s="26"/>
      <c r="BO195" s="26"/>
      <c r="BP195" s="26"/>
      <c r="BQ195" s="26"/>
      <c r="BR195" s="26"/>
      <c r="BS195" s="26"/>
      <c r="BT195" s="26"/>
      <c r="BU195" s="26"/>
      <c r="BV195" s="26"/>
      <c r="BW195" s="26"/>
      <c r="BX195" s="26"/>
      <c r="BY195" s="26"/>
      <c r="BZ195" s="26"/>
      <c r="CA195" s="26"/>
      <c r="CB195" s="26"/>
      <c r="CC195" s="26"/>
      <c r="CD195" s="26"/>
      <c r="CE195" s="26"/>
      <c r="CF195" s="26"/>
      <c r="CG195" s="26"/>
      <c r="CH195" s="26"/>
      <c r="CI195" s="26"/>
    </row>
    <row r="196" spans="1:87" x14ac:dyDescent="0.25">
      <c r="A196" s="26"/>
      <c r="B196" s="26"/>
      <c r="C196" s="142"/>
      <c r="D196" s="142"/>
      <c r="E196" s="142"/>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c r="AK196" s="26"/>
      <c r="AL196" s="26"/>
      <c r="AM196" s="26"/>
      <c r="AN196" s="26"/>
      <c r="AO196" s="26"/>
      <c r="AP196" s="26"/>
      <c r="AQ196" s="26"/>
      <c r="AR196" s="26"/>
      <c r="AS196" s="26"/>
      <c r="AT196" s="26"/>
      <c r="AU196" s="26"/>
      <c r="AV196" s="26"/>
      <c r="AW196" s="26"/>
      <c r="AX196" s="26"/>
      <c r="AY196" s="26"/>
      <c r="AZ196" s="26"/>
      <c r="BA196" s="26"/>
      <c r="BB196" s="26"/>
      <c r="BC196" s="26"/>
      <c r="BD196" s="26"/>
      <c r="BE196" s="26"/>
      <c r="BF196" s="26"/>
      <c r="BG196" s="26"/>
      <c r="BH196" s="26"/>
      <c r="BI196" s="26"/>
      <c r="BJ196" s="26"/>
      <c r="BK196" s="26"/>
      <c r="BL196" s="26"/>
      <c r="BM196" s="26"/>
      <c r="BN196" s="26"/>
      <c r="BO196" s="26"/>
      <c r="BP196" s="26"/>
      <c r="BQ196" s="26"/>
      <c r="BR196" s="26"/>
      <c r="BS196" s="26"/>
      <c r="BT196" s="26"/>
      <c r="BU196" s="26"/>
      <c r="BV196" s="26"/>
      <c r="BW196" s="26"/>
      <c r="BX196" s="26"/>
      <c r="BY196" s="26"/>
      <c r="BZ196" s="26"/>
      <c r="CA196" s="26"/>
      <c r="CB196" s="26"/>
      <c r="CC196" s="26"/>
      <c r="CD196" s="26"/>
      <c r="CE196" s="26"/>
      <c r="CF196" s="26"/>
      <c r="CG196" s="26"/>
      <c r="CH196" s="26"/>
      <c r="CI196" s="26"/>
    </row>
    <row r="197" spans="1:87" x14ac:dyDescent="0.25">
      <c r="A197" s="26"/>
      <c r="B197" s="26"/>
      <c r="C197" s="142"/>
      <c r="D197" s="142"/>
      <c r="E197" s="142"/>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c r="AK197" s="26"/>
      <c r="AL197" s="26"/>
      <c r="AM197" s="26"/>
      <c r="AN197" s="26"/>
      <c r="AO197" s="26"/>
      <c r="AP197" s="26"/>
      <c r="AQ197" s="26"/>
      <c r="AR197" s="26"/>
      <c r="AS197" s="26"/>
      <c r="AT197" s="26"/>
      <c r="AU197" s="26"/>
      <c r="AV197" s="26"/>
      <c r="AW197" s="26"/>
      <c r="AX197" s="26"/>
      <c r="AY197" s="26"/>
      <c r="AZ197" s="26"/>
      <c r="BA197" s="26"/>
      <c r="BB197" s="26"/>
      <c r="BC197" s="26"/>
      <c r="BD197" s="26"/>
      <c r="BE197" s="26"/>
      <c r="BF197" s="26"/>
      <c r="BG197" s="26"/>
      <c r="BH197" s="26"/>
      <c r="BI197" s="26"/>
      <c r="BJ197" s="26"/>
      <c r="BK197" s="26"/>
      <c r="BL197" s="26"/>
      <c r="BM197" s="26"/>
      <c r="BN197" s="26"/>
      <c r="BO197" s="26"/>
      <c r="BP197" s="26"/>
      <c r="BQ197" s="26"/>
      <c r="BR197" s="26"/>
      <c r="BS197" s="26"/>
      <c r="BT197" s="26"/>
      <c r="BU197" s="26"/>
      <c r="BV197" s="26"/>
      <c r="BW197" s="26"/>
      <c r="BX197" s="26"/>
      <c r="BY197" s="26"/>
      <c r="BZ197" s="26"/>
      <c r="CA197" s="26"/>
      <c r="CB197" s="26"/>
      <c r="CC197" s="26"/>
      <c r="CD197" s="26"/>
      <c r="CE197" s="26"/>
      <c r="CF197" s="26"/>
      <c r="CG197" s="26"/>
      <c r="CH197" s="26"/>
      <c r="CI197" s="26"/>
    </row>
    <row r="198" spans="1:87" x14ac:dyDescent="0.25">
      <c r="A198" s="26"/>
      <c r="B198" s="26"/>
      <c r="C198" s="142"/>
      <c r="D198" s="142"/>
      <c r="E198" s="142"/>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c r="AK198" s="26"/>
      <c r="AL198" s="26"/>
      <c r="AM198" s="26"/>
      <c r="AN198" s="26"/>
      <c r="AO198" s="26"/>
      <c r="AP198" s="26"/>
      <c r="AQ198" s="26"/>
      <c r="AR198" s="26"/>
      <c r="AS198" s="26"/>
      <c r="AT198" s="26"/>
      <c r="AU198" s="26"/>
      <c r="AV198" s="26"/>
      <c r="AW198" s="26"/>
      <c r="AX198" s="26"/>
      <c r="AY198" s="26"/>
      <c r="AZ198" s="26"/>
      <c r="BA198" s="26"/>
      <c r="BB198" s="26"/>
      <c r="BC198" s="26"/>
      <c r="BD198" s="26"/>
      <c r="BE198" s="26"/>
      <c r="BF198" s="26"/>
      <c r="BG198" s="26"/>
      <c r="BH198" s="26"/>
      <c r="BI198" s="26"/>
      <c r="BJ198" s="26"/>
      <c r="BK198" s="26"/>
      <c r="BL198" s="26"/>
      <c r="BM198" s="26"/>
      <c r="BN198" s="26"/>
      <c r="BO198" s="26"/>
      <c r="BP198" s="26"/>
      <c r="BQ198" s="26"/>
      <c r="BR198" s="26"/>
      <c r="BS198" s="26"/>
      <c r="BT198" s="26"/>
      <c r="BU198" s="26"/>
      <c r="BV198" s="26"/>
      <c r="BW198" s="26"/>
      <c r="BX198" s="26"/>
      <c r="BY198" s="26"/>
      <c r="BZ198" s="26"/>
      <c r="CA198" s="26"/>
      <c r="CB198" s="26"/>
      <c r="CC198" s="26"/>
      <c r="CD198" s="26"/>
      <c r="CE198" s="26"/>
      <c r="CF198" s="26"/>
      <c r="CG198" s="26"/>
      <c r="CH198" s="26"/>
      <c r="CI198" s="26"/>
    </row>
    <row r="199" spans="1:87" x14ac:dyDescent="0.25">
      <c r="A199" s="26"/>
      <c r="B199" s="26"/>
      <c r="C199" s="142"/>
      <c r="D199" s="142"/>
      <c r="E199" s="142"/>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c r="AK199" s="26"/>
      <c r="AL199" s="26"/>
      <c r="AM199" s="26"/>
      <c r="AN199" s="26"/>
      <c r="AO199" s="26"/>
      <c r="AP199" s="26"/>
      <c r="AQ199" s="26"/>
      <c r="AR199" s="26"/>
      <c r="AS199" s="26"/>
      <c r="AT199" s="26"/>
      <c r="AU199" s="26"/>
      <c r="AV199" s="26"/>
      <c r="AW199" s="26"/>
      <c r="AX199" s="26"/>
      <c r="AY199" s="26"/>
      <c r="AZ199" s="26"/>
      <c r="BA199" s="26"/>
      <c r="BB199" s="26"/>
      <c r="BC199" s="26"/>
      <c r="BD199" s="26"/>
      <c r="BE199" s="26"/>
      <c r="BF199" s="26"/>
      <c r="BG199" s="26"/>
      <c r="BH199" s="26"/>
      <c r="BI199" s="26"/>
      <c r="BJ199" s="26"/>
      <c r="BK199" s="26"/>
      <c r="BL199" s="26"/>
      <c r="BM199" s="26"/>
      <c r="BN199" s="26"/>
      <c r="BO199" s="26"/>
      <c r="BP199" s="26"/>
      <c r="BQ199" s="26"/>
      <c r="BR199" s="26"/>
      <c r="BS199" s="26"/>
      <c r="BT199" s="26"/>
      <c r="BU199" s="26"/>
      <c r="BV199" s="26"/>
      <c r="BW199" s="26"/>
      <c r="BX199" s="26"/>
      <c r="BY199" s="26"/>
      <c r="BZ199" s="26"/>
      <c r="CA199" s="26"/>
      <c r="CB199" s="26"/>
      <c r="CC199" s="26"/>
      <c r="CD199" s="26"/>
      <c r="CE199" s="26"/>
      <c r="CF199" s="26"/>
      <c r="CG199" s="26"/>
      <c r="CH199" s="26"/>
      <c r="CI199" s="26"/>
    </row>
    <row r="200" spans="1:87" x14ac:dyDescent="0.25">
      <c r="A200" s="26"/>
      <c r="B200" s="26"/>
      <c r="C200" s="142"/>
      <c r="D200" s="142"/>
      <c r="E200" s="142"/>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c r="AK200" s="26"/>
      <c r="AL200" s="26"/>
      <c r="AM200" s="26"/>
      <c r="AN200" s="26"/>
      <c r="AO200" s="26"/>
      <c r="AP200" s="26"/>
      <c r="AQ200" s="26"/>
      <c r="AR200" s="26"/>
      <c r="AS200" s="26"/>
      <c r="AT200" s="26"/>
      <c r="AU200" s="26"/>
      <c r="AV200" s="26"/>
      <c r="AW200" s="26"/>
      <c r="AX200" s="26"/>
      <c r="AY200" s="26"/>
      <c r="AZ200" s="26"/>
      <c r="BA200" s="26"/>
      <c r="BB200" s="26"/>
      <c r="BC200" s="26"/>
      <c r="BD200" s="26"/>
      <c r="BE200" s="26"/>
      <c r="BF200" s="26"/>
      <c r="BG200" s="26"/>
      <c r="BH200" s="26"/>
      <c r="BI200" s="26"/>
      <c r="BJ200" s="26"/>
      <c r="BK200" s="26"/>
      <c r="BL200" s="26"/>
      <c r="BM200" s="26"/>
      <c r="BN200" s="26"/>
      <c r="BO200" s="26"/>
      <c r="BP200" s="26"/>
      <c r="BQ200" s="26"/>
      <c r="BR200" s="26"/>
      <c r="BS200" s="26"/>
      <c r="BT200" s="26"/>
      <c r="BU200" s="26"/>
      <c r="BV200" s="26"/>
      <c r="BW200" s="26"/>
      <c r="BX200" s="26"/>
      <c r="BY200" s="26"/>
      <c r="BZ200" s="26"/>
      <c r="CA200" s="26"/>
      <c r="CB200" s="26"/>
      <c r="CC200" s="26"/>
      <c r="CD200" s="26"/>
      <c r="CE200" s="26"/>
      <c r="CF200" s="26"/>
      <c r="CG200" s="26"/>
      <c r="CH200" s="26"/>
      <c r="CI200" s="26"/>
    </row>
    <row r="201" spans="1:87" x14ac:dyDescent="0.25">
      <c r="A201" s="26"/>
      <c r="B201" s="26"/>
      <c r="C201" s="142"/>
      <c r="D201" s="142"/>
      <c r="E201" s="142"/>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c r="AK201" s="26"/>
      <c r="AL201" s="26"/>
      <c r="AM201" s="26"/>
      <c r="AN201" s="26"/>
      <c r="AO201" s="26"/>
      <c r="AP201" s="26"/>
      <c r="AQ201" s="26"/>
      <c r="AR201" s="26"/>
      <c r="AS201" s="26"/>
      <c r="AT201" s="26"/>
      <c r="AU201" s="26"/>
      <c r="AV201" s="26"/>
      <c r="AW201" s="26"/>
      <c r="AX201" s="26"/>
      <c r="AY201" s="26"/>
      <c r="AZ201" s="26"/>
      <c r="BA201" s="26"/>
      <c r="BB201" s="26"/>
      <c r="BC201" s="26"/>
      <c r="BD201" s="26"/>
      <c r="BE201" s="26"/>
      <c r="BF201" s="26"/>
      <c r="BG201" s="26"/>
      <c r="BH201" s="26"/>
      <c r="BI201" s="26"/>
      <c r="BJ201" s="26"/>
      <c r="BK201" s="26"/>
      <c r="BL201" s="26"/>
      <c r="BM201" s="26"/>
      <c r="BN201" s="26"/>
      <c r="BO201" s="26"/>
      <c r="BP201" s="26"/>
      <c r="BQ201" s="26"/>
      <c r="BR201" s="26"/>
      <c r="BS201" s="26"/>
      <c r="BT201" s="26"/>
      <c r="BU201" s="26"/>
      <c r="BV201" s="26"/>
      <c r="BW201" s="26"/>
      <c r="BX201" s="26"/>
      <c r="BY201" s="26"/>
      <c r="BZ201" s="26"/>
      <c r="CA201" s="26"/>
      <c r="CB201" s="26"/>
      <c r="CC201" s="26"/>
      <c r="CD201" s="26"/>
      <c r="CE201" s="26"/>
      <c r="CF201" s="26"/>
      <c r="CG201" s="26"/>
      <c r="CH201" s="26"/>
      <c r="CI201" s="26"/>
    </row>
    <row r="202" spans="1:87" x14ac:dyDescent="0.25">
      <c r="A202" s="26"/>
      <c r="B202" s="26"/>
      <c r="C202" s="142"/>
      <c r="D202" s="142"/>
      <c r="E202" s="142"/>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c r="AK202" s="26"/>
      <c r="AL202" s="26"/>
      <c r="AM202" s="26"/>
      <c r="AN202" s="26"/>
      <c r="AO202" s="26"/>
      <c r="AP202" s="26"/>
      <c r="AQ202" s="26"/>
      <c r="AR202" s="26"/>
      <c r="AS202" s="26"/>
      <c r="AT202" s="26"/>
      <c r="AU202" s="26"/>
      <c r="AV202" s="26"/>
      <c r="AW202" s="26"/>
      <c r="AX202" s="26"/>
      <c r="AY202" s="26"/>
      <c r="AZ202" s="26"/>
      <c r="BA202" s="26"/>
      <c r="BB202" s="26"/>
      <c r="BC202" s="26"/>
      <c r="BD202" s="26"/>
      <c r="BE202" s="26"/>
      <c r="BF202" s="26"/>
      <c r="BG202" s="26"/>
      <c r="BH202" s="26"/>
      <c r="BI202" s="26"/>
      <c r="BJ202" s="26"/>
      <c r="BK202" s="26"/>
      <c r="BL202" s="26"/>
      <c r="BM202" s="26"/>
      <c r="BN202" s="26"/>
      <c r="BO202" s="26"/>
      <c r="BP202" s="26"/>
      <c r="BQ202" s="26"/>
      <c r="BR202" s="26"/>
      <c r="BS202" s="26"/>
      <c r="BT202" s="26"/>
      <c r="BU202" s="26"/>
      <c r="BV202" s="26"/>
      <c r="BW202" s="26"/>
      <c r="BX202" s="26"/>
      <c r="BY202" s="26"/>
      <c r="BZ202" s="26"/>
      <c r="CA202" s="26"/>
      <c r="CB202" s="26"/>
      <c r="CC202" s="26"/>
      <c r="CD202" s="26"/>
      <c r="CE202" s="26"/>
      <c r="CF202" s="26"/>
      <c r="CG202" s="26"/>
      <c r="CH202" s="26"/>
      <c r="CI202" s="26"/>
    </row>
    <row r="203" spans="1:87" x14ac:dyDescent="0.25">
      <c r="A203" s="26"/>
      <c r="B203" s="26"/>
      <c r="C203" s="142"/>
      <c r="D203" s="142"/>
      <c r="E203" s="142"/>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c r="AK203" s="26"/>
      <c r="AL203" s="26"/>
      <c r="AM203" s="26"/>
      <c r="AN203" s="26"/>
      <c r="AO203" s="26"/>
      <c r="AP203" s="26"/>
      <c r="AQ203" s="26"/>
      <c r="AR203" s="26"/>
      <c r="AS203" s="26"/>
      <c r="AT203" s="26"/>
      <c r="AU203" s="26"/>
      <c r="AV203" s="26"/>
      <c r="AW203" s="26"/>
      <c r="AX203" s="26"/>
      <c r="AY203" s="26"/>
      <c r="AZ203" s="26"/>
      <c r="BA203" s="26"/>
      <c r="BB203" s="26"/>
      <c r="BC203" s="26"/>
      <c r="BD203" s="26"/>
      <c r="BE203" s="26"/>
      <c r="BF203" s="26"/>
      <c r="BG203" s="26"/>
      <c r="BH203" s="26"/>
      <c r="BI203" s="26"/>
      <c r="BJ203" s="26"/>
      <c r="BK203" s="26"/>
      <c r="BL203" s="26"/>
      <c r="BM203" s="26"/>
      <c r="BN203" s="26"/>
      <c r="BO203" s="26"/>
      <c r="BP203" s="26"/>
      <c r="BQ203" s="26"/>
      <c r="BR203" s="26"/>
      <c r="BS203" s="26"/>
      <c r="BT203" s="26"/>
      <c r="BU203" s="26"/>
      <c r="BV203" s="26"/>
      <c r="BW203" s="26"/>
      <c r="BX203" s="26"/>
      <c r="BY203" s="26"/>
      <c r="BZ203" s="26"/>
      <c r="CA203" s="26"/>
      <c r="CB203" s="26"/>
      <c r="CC203" s="26"/>
      <c r="CD203" s="26"/>
      <c r="CE203" s="26"/>
      <c r="CF203" s="26"/>
      <c r="CG203" s="26"/>
      <c r="CH203" s="26"/>
      <c r="CI203" s="26"/>
    </row>
    <row r="204" spans="1:87" x14ac:dyDescent="0.25">
      <c r="A204" s="26"/>
      <c r="B204" s="26"/>
      <c r="C204" s="142"/>
      <c r="D204" s="142"/>
      <c r="E204" s="142"/>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c r="AK204" s="26"/>
      <c r="AL204" s="26"/>
      <c r="AM204" s="26"/>
      <c r="AN204" s="26"/>
      <c r="AO204" s="26"/>
      <c r="AP204" s="26"/>
      <c r="AQ204" s="26"/>
      <c r="AR204" s="26"/>
      <c r="AS204" s="26"/>
      <c r="AT204" s="26"/>
      <c r="AU204" s="26"/>
      <c r="AV204" s="26"/>
      <c r="AW204" s="26"/>
      <c r="AX204" s="26"/>
      <c r="AY204" s="26"/>
      <c r="AZ204" s="26"/>
      <c r="BA204" s="26"/>
      <c r="BB204" s="26"/>
      <c r="BC204" s="26"/>
      <c r="BD204" s="26"/>
      <c r="BE204" s="26"/>
      <c r="BF204" s="26"/>
      <c r="BG204" s="26"/>
      <c r="BH204" s="26"/>
      <c r="BI204" s="26"/>
      <c r="BJ204" s="26"/>
      <c r="BK204" s="26"/>
      <c r="BL204" s="26"/>
      <c r="BM204" s="26"/>
      <c r="BN204" s="26"/>
      <c r="BO204" s="26"/>
      <c r="BP204" s="26"/>
      <c r="BQ204" s="26"/>
      <c r="BR204" s="26"/>
      <c r="BS204" s="26"/>
      <c r="BT204" s="26"/>
      <c r="BU204" s="26"/>
      <c r="BV204" s="26"/>
      <c r="BW204" s="26"/>
      <c r="BX204" s="26"/>
      <c r="BY204" s="26"/>
      <c r="BZ204" s="26"/>
      <c r="CA204" s="26"/>
      <c r="CB204" s="26"/>
      <c r="CC204" s="26"/>
      <c r="CD204" s="26"/>
      <c r="CE204" s="26"/>
      <c r="CF204" s="26"/>
      <c r="CG204" s="26"/>
      <c r="CH204" s="26"/>
      <c r="CI204" s="26"/>
    </row>
    <row r="205" spans="1:87" x14ac:dyDescent="0.25">
      <c r="A205" s="26"/>
      <c r="B205" s="26"/>
      <c r="C205" s="142"/>
      <c r="D205" s="142"/>
      <c r="E205" s="142"/>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c r="AK205" s="26"/>
      <c r="AL205" s="26"/>
      <c r="AM205" s="26"/>
      <c r="AN205" s="26"/>
      <c r="AO205" s="26"/>
      <c r="AP205" s="26"/>
      <c r="AQ205" s="26"/>
      <c r="AR205" s="26"/>
      <c r="AS205" s="26"/>
      <c r="AT205" s="26"/>
      <c r="AU205" s="26"/>
      <c r="AV205" s="26"/>
      <c r="AW205" s="26"/>
      <c r="AX205" s="26"/>
      <c r="AY205" s="26"/>
      <c r="AZ205" s="26"/>
      <c r="BA205" s="26"/>
      <c r="BB205" s="26"/>
      <c r="BC205" s="26"/>
      <c r="BD205" s="26"/>
      <c r="BE205" s="26"/>
      <c r="BF205" s="26"/>
      <c r="BG205" s="26"/>
      <c r="BH205" s="26"/>
      <c r="BI205" s="26"/>
      <c r="BJ205" s="26"/>
      <c r="BK205" s="26"/>
      <c r="BL205" s="26"/>
      <c r="BM205" s="26"/>
      <c r="BN205" s="26"/>
      <c r="BO205" s="26"/>
      <c r="BP205" s="26"/>
      <c r="BQ205" s="26"/>
      <c r="BR205" s="26"/>
      <c r="BS205" s="26"/>
      <c r="BT205" s="26"/>
      <c r="BU205" s="26"/>
      <c r="BV205" s="26"/>
      <c r="BW205" s="26"/>
      <c r="BX205" s="26"/>
      <c r="BY205" s="26"/>
      <c r="BZ205" s="26"/>
      <c r="CA205" s="26"/>
      <c r="CB205" s="26"/>
      <c r="CC205" s="26"/>
      <c r="CD205" s="26"/>
      <c r="CE205" s="26"/>
      <c r="CF205" s="26"/>
      <c r="CG205" s="26"/>
      <c r="CH205" s="26"/>
      <c r="CI205" s="26"/>
    </row>
    <row r="206" spans="1:87" x14ac:dyDescent="0.25">
      <c r="A206" s="26"/>
      <c r="B206" s="26"/>
      <c r="C206" s="142"/>
      <c r="D206" s="142"/>
      <c r="E206" s="142"/>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c r="AK206" s="26"/>
      <c r="AL206" s="26"/>
      <c r="AM206" s="26"/>
      <c r="AN206" s="26"/>
      <c r="AO206" s="26"/>
      <c r="AP206" s="26"/>
      <c r="AQ206" s="26"/>
      <c r="AR206" s="26"/>
      <c r="AS206" s="26"/>
      <c r="AT206" s="26"/>
      <c r="AU206" s="26"/>
      <c r="AV206" s="26"/>
      <c r="AW206" s="26"/>
      <c r="AX206" s="26"/>
      <c r="AY206" s="26"/>
      <c r="AZ206" s="26"/>
      <c r="BA206" s="26"/>
      <c r="BB206" s="26"/>
      <c r="BC206" s="26"/>
      <c r="BD206" s="26"/>
      <c r="BE206" s="26"/>
      <c r="BF206" s="26"/>
      <c r="BG206" s="26"/>
      <c r="BH206" s="26"/>
      <c r="BI206" s="26"/>
      <c r="BJ206" s="26"/>
      <c r="BK206" s="26"/>
      <c r="BL206" s="26"/>
      <c r="BM206" s="26"/>
      <c r="BN206" s="26"/>
      <c r="BO206" s="26"/>
      <c r="BP206" s="26"/>
      <c r="BQ206" s="26"/>
      <c r="BR206" s="26"/>
      <c r="BS206" s="26"/>
      <c r="BT206" s="26"/>
      <c r="BU206" s="26"/>
      <c r="BV206" s="26"/>
      <c r="BW206" s="26"/>
      <c r="BX206" s="26"/>
      <c r="BY206" s="26"/>
      <c r="BZ206" s="26"/>
      <c r="CA206" s="26"/>
      <c r="CB206" s="26"/>
      <c r="CC206" s="26"/>
      <c r="CD206" s="26"/>
      <c r="CE206" s="26"/>
      <c r="CF206" s="26"/>
      <c r="CG206" s="26"/>
      <c r="CH206" s="26"/>
      <c r="CI206" s="26"/>
    </row>
    <row r="207" spans="1:87" x14ac:dyDescent="0.25">
      <c r="A207" s="26"/>
      <c r="B207" s="26"/>
      <c r="C207" s="142"/>
      <c r="D207" s="142"/>
      <c r="E207" s="142"/>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c r="AK207" s="26"/>
      <c r="AL207" s="26"/>
      <c r="AM207" s="26"/>
      <c r="AN207" s="26"/>
      <c r="AO207" s="26"/>
      <c r="AP207" s="26"/>
      <c r="AQ207" s="26"/>
      <c r="AR207" s="26"/>
      <c r="AS207" s="26"/>
      <c r="AT207" s="26"/>
      <c r="AU207" s="26"/>
      <c r="AV207" s="26"/>
      <c r="AW207" s="26"/>
      <c r="AX207" s="26"/>
      <c r="AY207" s="26"/>
      <c r="AZ207" s="26"/>
      <c r="BA207" s="26"/>
      <c r="BB207" s="26"/>
      <c r="BC207" s="26"/>
      <c r="BD207" s="26"/>
      <c r="BE207" s="26"/>
      <c r="BF207" s="26"/>
      <c r="BG207" s="26"/>
      <c r="BH207" s="26"/>
      <c r="BI207" s="26"/>
      <c r="BJ207" s="26"/>
      <c r="BK207" s="26"/>
      <c r="BL207" s="26"/>
      <c r="BM207" s="26"/>
      <c r="BN207" s="26"/>
      <c r="BO207" s="26"/>
      <c r="BP207" s="26"/>
      <c r="BQ207" s="26"/>
      <c r="BR207" s="26"/>
      <c r="BS207" s="26"/>
      <c r="BT207" s="26"/>
      <c r="BU207" s="26"/>
      <c r="BV207" s="26"/>
      <c r="BW207" s="26"/>
      <c r="BX207" s="26"/>
      <c r="BY207" s="26"/>
      <c r="BZ207" s="26"/>
      <c r="CA207" s="26"/>
      <c r="CB207" s="26"/>
      <c r="CC207" s="26"/>
      <c r="CD207" s="26"/>
      <c r="CE207" s="26"/>
      <c r="CF207" s="26"/>
      <c r="CG207" s="26"/>
      <c r="CH207" s="26"/>
      <c r="CI207" s="26"/>
    </row>
    <row r="208" spans="1:87" x14ac:dyDescent="0.25">
      <c r="A208" s="26"/>
      <c r="B208" s="26"/>
      <c r="C208" s="142"/>
      <c r="D208" s="142"/>
      <c r="E208" s="142"/>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c r="AK208" s="26"/>
      <c r="AL208" s="26"/>
      <c r="AM208" s="26"/>
      <c r="AN208" s="26"/>
      <c r="AO208" s="26"/>
      <c r="AP208" s="26"/>
      <c r="AQ208" s="26"/>
      <c r="AR208" s="26"/>
      <c r="AS208" s="26"/>
      <c r="AT208" s="26"/>
      <c r="AU208" s="26"/>
      <c r="AV208" s="26"/>
      <c r="AW208" s="26"/>
      <c r="AX208" s="26"/>
      <c r="AY208" s="26"/>
      <c r="AZ208" s="26"/>
      <c r="BA208" s="26"/>
      <c r="BB208" s="26"/>
      <c r="BC208" s="26"/>
      <c r="BD208" s="26"/>
      <c r="BE208" s="26"/>
      <c r="BF208" s="26"/>
      <c r="BG208" s="26"/>
      <c r="BH208" s="26"/>
      <c r="BI208" s="26"/>
      <c r="BJ208" s="26"/>
      <c r="BK208" s="26"/>
      <c r="BL208" s="26"/>
      <c r="BM208" s="26"/>
      <c r="BN208" s="26"/>
      <c r="BO208" s="26"/>
      <c r="BP208" s="26"/>
      <c r="BQ208" s="26"/>
      <c r="BR208" s="26"/>
      <c r="BS208" s="26"/>
      <c r="BT208" s="26"/>
      <c r="BU208" s="26"/>
      <c r="BV208" s="26"/>
      <c r="BW208" s="26"/>
      <c r="BX208" s="26"/>
      <c r="BY208" s="26"/>
      <c r="BZ208" s="26"/>
      <c r="CA208" s="26"/>
      <c r="CB208" s="26"/>
      <c r="CC208" s="26"/>
      <c r="CD208" s="26"/>
      <c r="CE208" s="26"/>
      <c r="CF208" s="26"/>
      <c r="CG208" s="26"/>
      <c r="CH208" s="26"/>
      <c r="CI208" s="26"/>
    </row>
    <row r="209" spans="1:87" x14ac:dyDescent="0.25">
      <c r="A209" s="26"/>
      <c r="B209" s="26"/>
      <c r="C209" s="142"/>
      <c r="D209" s="142"/>
      <c r="E209" s="142"/>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c r="AK209" s="26"/>
      <c r="AL209" s="26"/>
      <c r="AM209" s="26"/>
      <c r="AN209" s="26"/>
      <c r="AO209" s="26"/>
      <c r="AP209" s="26"/>
      <c r="AQ209" s="26"/>
      <c r="AR209" s="26"/>
      <c r="AS209" s="26"/>
      <c r="AT209" s="26"/>
      <c r="AU209" s="26"/>
      <c r="AV209" s="26"/>
      <c r="AW209" s="26"/>
      <c r="AX209" s="26"/>
      <c r="AY209" s="26"/>
      <c r="AZ209" s="26"/>
      <c r="BA209" s="26"/>
      <c r="BB209" s="26"/>
      <c r="BC209" s="26"/>
      <c r="BD209" s="26"/>
      <c r="BE209" s="26"/>
      <c r="BF209" s="26"/>
      <c r="BG209" s="26"/>
      <c r="BH209" s="26"/>
      <c r="BI209" s="26"/>
      <c r="BJ209" s="26"/>
      <c r="BK209" s="26"/>
      <c r="BL209" s="26"/>
      <c r="BM209" s="26"/>
      <c r="BN209" s="26"/>
      <c r="BO209" s="26"/>
      <c r="BP209" s="26"/>
      <c r="BQ209" s="26"/>
      <c r="BR209" s="26"/>
      <c r="BS209" s="26"/>
      <c r="BT209" s="26"/>
      <c r="BU209" s="26"/>
      <c r="BV209" s="26"/>
      <c r="BW209" s="26"/>
      <c r="BX209" s="26"/>
      <c r="BY209" s="26"/>
      <c r="BZ209" s="26"/>
      <c r="CA209" s="26"/>
      <c r="CB209" s="26"/>
      <c r="CC209" s="26"/>
      <c r="CD209" s="26"/>
      <c r="CE209" s="26"/>
      <c r="CF209" s="26"/>
      <c r="CG209" s="26"/>
      <c r="CH209" s="26"/>
      <c r="CI209" s="26"/>
    </row>
    <row r="210" spans="1:87" x14ac:dyDescent="0.25">
      <c r="A210" s="26"/>
      <c r="B210" s="26"/>
      <c r="C210" s="142"/>
      <c r="D210" s="142"/>
      <c r="E210" s="142"/>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c r="AK210" s="26"/>
      <c r="AL210" s="26"/>
      <c r="AM210" s="26"/>
      <c r="AN210" s="26"/>
      <c r="AO210" s="26"/>
      <c r="AP210" s="26"/>
      <c r="AQ210" s="26"/>
      <c r="AR210" s="26"/>
      <c r="AS210" s="26"/>
      <c r="AT210" s="26"/>
      <c r="AU210" s="26"/>
      <c r="AV210" s="26"/>
      <c r="AW210" s="26"/>
      <c r="AX210" s="26"/>
      <c r="AY210" s="26"/>
      <c r="AZ210" s="26"/>
      <c r="BA210" s="26"/>
      <c r="BB210" s="26"/>
      <c r="BC210" s="26"/>
      <c r="BD210" s="26"/>
      <c r="BE210" s="26"/>
      <c r="BF210" s="26"/>
      <c r="BG210" s="26"/>
      <c r="BH210" s="26"/>
      <c r="BI210" s="26"/>
      <c r="BJ210" s="26"/>
      <c r="BK210" s="26"/>
      <c r="BL210" s="26"/>
      <c r="BM210" s="26"/>
      <c r="BN210" s="26"/>
      <c r="BO210" s="26"/>
      <c r="BP210" s="26"/>
      <c r="BQ210" s="26"/>
      <c r="BR210" s="26"/>
      <c r="BS210" s="26"/>
      <c r="BT210" s="26"/>
      <c r="BU210" s="26"/>
      <c r="BV210" s="26"/>
      <c r="BW210" s="26"/>
      <c r="BX210" s="26"/>
      <c r="BY210" s="26"/>
      <c r="BZ210" s="26"/>
      <c r="CA210" s="26"/>
      <c r="CB210" s="26"/>
      <c r="CC210" s="26"/>
      <c r="CD210" s="26"/>
      <c r="CE210" s="26"/>
      <c r="CF210" s="26"/>
      <c r="CG210" s="26"/>
      <c r="CH210" s="26"/>
      <c r="CI210" s="26"/>
    </row>
    <row r="211" spans="1:87" x14ac:dyDescent="0.25">
      <c r="A211" s="26"/>
      <c r="B211" s="26"/>
      <c r="C211" s="142"/>
      <c r="D211" s="142"/>
      <c r="E211" s="142"/>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c r="AK211" s="26"/>
      <c r="AL211" s="26"/>
      <c r="AM211" s="26"/>
      <c r="AN211" s="26"/>
      <c r="AO211" s="26"/>
      <c r="AP211" s="26"/>
      <c r="AQ211" s="26"/>
      <c r="AR211" s="26"/>
      <c r="AS211" s="26"/>
      <c r="AT211" s="26"/>
      <c r="AU211" s="26"/>
      <c r="AV211" s="26"/>
      <c r="AW211" s="26"/>
      <c r="AX211" s="26"/>
      <c r="AY211" s="26"/>
      <c r="AZ211" s="26"/>
      <c r="BA211" s="26"/>
      <c r="BB211" s="26"/>
      <c r="BC211" s="26"/>
      <c r="BD211" s="26"/>
      <c r="BE211" s="26"/>
      <c r="BF211" s="26"/>
      <c r="BG211" s="26"/>
      <c r="BH211" s="26"/>
      <c r="BI211" s="26"/>
      <c r="BJ211" s="26"/>
      <c r="BK211" s="26"/>
      <c r="BL211" s="26"/>
      <c r="BM211" s="26"/>
      <c r="BN211" s="26"/>
      <c r="BO211" s="26"/>
      <c r="BP211" s="26"/>
      <c r="BQ211" s="26"/>
      <c r="BR211" s="26"/>
      <c r="BS211" s="26"/>
      <c r="BT211" s="26"/>
      <c r="BU211" s="26"/>
      <c r="BV211" s="26"/>
      <c r="BW211" s="26"/>
      <c r="BX211" s="26"/>
      <c r="BY211" s="26"/>
      <c r="BZ211" s="26"/>
      <c r="CA211" s="26"/>
      <c r="CB211" s="26"/>
      <c r="CC211" s="26"/>
      <c r="CD211" s="26"/>
      <c r="CE211" s="26"/>
      <c r="CF211" s="26"/>
      <c r="CG211" s="26"/>
      <c r="CH211" s="26"/>
      <c r="CI211" s="26"/>
    </row>
    <row r="212" spans="1:87" x14ac:dyDescent="0.25">
      <c r="A212" s="26"/>
      <c r="B212" s="26"/>
      <c r="C212" s="142"/>
      <c r="D212" s="142"/>
      <c r="E212" s="142"/>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c r="AK212" s="26"/>
      <c r="AL212" s="26"/>
      <c r="AM212" s="26"/>
      <c r="AN212" s="26"/>
      <c r="AO212" s="26"/>
      <c r="AP212" s="26"/>
      <c r="AQ212" s="26"/>
      <c r="AR212" s="26"/>
      <c r="AS212" s="26"/>
      <c r="AT212" s="26"/>
      <c r="AU212" s="26"/>
      <c r="AV212" s="26"/>
      <c r="AW212" s="26"/>
      <c r="AX212" s="26"/>
      <c r="AY212" s="26"/>
      <c r="AZ212" s="26"/>
      <c r="BA212" s="26"/>
      <c r="BB212" s="26"/>
      <c r="BC212" s="26"/>
      <c r="BD212" s="26"/>
      <c r="BE212" s="26"/>
      <c r="BF212" s="26"/>
      <c r="BG212" s="26"/>
      <c r="BH212" s="26"/>
      <c r="BI212" s="26"/>
      <c r="BJ212" s="26"/>
      <c r="BK212" s="26"/>
      <c r="BL212" s="26"/>
      <c r="BM212" s="26"/>
      <c r="BN212" s="26"/>
      <c r="BO212" s="26"/>
      <c r="BP212" s="26"/>
      <c r="BQ212" s="26"/>
      <c r="BR212" s="26"/>
      <c r="BS212" s="26"/>
      <c r="BT212" s="26"/>
      <c r="BU212" s="26"/>
      <c r="BV212" s="26"/>
      <c r="BW212" s="26"/>
      <c r="BX212" s="26"/>
      <c r="BY212" s="26"/>
      <c r="BZ212" s="26"/>
      <c r="CA212" s="26"/>
      <c r="CB212" s="26"/>
      <c r="CC212" s="26"/>
      <c r="CD212" s="26"/>
      <c r="CE212" s="26"/>
      <c r="CF212" s="26"/>
      <c r="CG212" s="26"/>
      <c r="CH212" s="26"/>
      <c r="CI212" s="26"/>
    </row>
    <row r="213" spans="1:87" x14ac:dyDescent="0.25">
      <c r="A213" s="26"/>
      <c r="B213" s="26"/>
      <c r="C213" s="142"/>
      <c r="D213" s="142"/>
      <c r="E213" s="142"/>
      <c r="F213" s="26"/>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c r="AK213" s="26"/>
      <c r="AL213" s="26"/>
      <c r="AM213" s="26"/>
      <c r="AN213" s="26"/>
      <c r="AO213" s="26"/>
      <c r="AP213" s="26"/>
      <c r="AQ213" s="26"/>
      <c r="AR213" s="26"/>
      <c r="AS213" s="26"/>
      <c r="AT213" s="26"/>
      <c r="AU213" s="26"/>
      <c r="AV213" s="26"/>
      <c r="AW213" s="26"/>
      <c r="AX213" s="26"/>
      <c r="AY213" s="26"/>
      <c r="AZ213" s="26"/>
      <c r="BA213" s="26"/>
      <c r="BB213" s="26"/>
      <c r="BC213" s="26"/>
      <c r="BD213" s="26"/>
      <c r="BE213" s="26"/>
      <c r="BF213" s="26"/>
      <c r="BG213" s="26"/>
      <c r="BH213" s="26"/>
      <c r="BI213" s="26"/>
      <c r="BJ213" s="26"/>
      <c r="BK213" s="26"/>
      <c r="BL213" s="26"/>
      <c r="BM213" s="26"/>
      <c r="BN213" s="26"/>
      <c r="BO213" s="26"/>
      <c r="BP213" s="26"/>
      <c r="BQ213" s="26"/>
      <c r="BR213" s="26"/>
      <c r="BS213" s="26"/>
      <c r="BT213" s="26"/>
      <c r="BU213" s="26"/>
      <c r="BV213" s="26"/>
      <c r="BW213" s="26"/>
      <c r="BX213" s="26"/>
      <c r="BY213" s="26"/>
      <c r="BZ213" s="26"/>
      <c r="CA213" s="26"/>
      <c r="CB213" s="26"/>
      <c r="CC213" s="26"/>
      <c r="CD213" s="26"/>
      <c r="CE213" s="26"/>
      <c r="CF213" s="26"/>
      <c r="CG213" s="26"/>
      <c r="CH213" s="26"/>
      <c r="CI213" s="26"/>
    </row>
    <row r="214" spans="1:87" x14ac:dyDescent="0.25">
      <c r="A214" s="26"/>
      <c r="B214" s="26"/>
      <c r="C214" s="142"/>
      <c r="D214" s="142"/>
      <c r="E214" s="142"/>
      <c r="F214" s="26"/>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c r="AK214" s="26"/>
      <c r="AL214" s="26"/>
      <c r="AM214" s="26"/>
      <c r="AN214" s="26"/>
      <c r="AO214" s="26"/>
      <c r="AP214" s="26"/>
      <c r="AQ214" s="26"/>
      <c r="AR214" s="26"/>
      <c r="AS214" s="26"/>
      <c r="AT214" s="26"/>
      <c r="AU214" s="26"/>
      <c r="AV214" s="26"/>
      <c r="AW214" s="26"/>
      <c r="AX214" s="26"/>
      <c r="AY214" s="26"/>
      <c r="AZ214" s="26"/>
      <c r="BA214" s="26"/>
      <c r="BB214" s="26"/>
      <c r="BC214" s="26"/>
      <c r="BD214" s="26"/>
      <c r="BE214" s="26"/>
      <c r="BF214" s="26"/>
      <c r="BG214" s="26"/>
      <c r="BH214" s="26"/>
      <c r="BI214" s="26"/>
      <c r="BJ214" s="26"/>
      <c r="BK214" s="26"/>
      <c r="BL214" s="26"/>
      <c r="BM214" s="26"/>
      <c r="BN214" s="26"/>
      <c r="BO214" s="26"/>
      <c r="BP214" s="26"/>
      <c r="BQ214" s="26"/>
      <c r="BR214" s="26"/>
      <c r="BS214" s="26"/>
      <c r="BT214" s="26"/>
      <c r="BU214" s="26"/>
      <c r="BV214" s="26"/>
      <c r="BW214" s="26"/>
      <c r="BX214" s="26"/>
      <c r="BY214" s="26"/>
      <c r="BZ214" s="26"/>
      <c r="CA214" s="26"/>
      <c r="CB214" s="26"/>
      <c r="CC214" s="26"/>
      <c r="CD214" s="26"/>
      <c r="CE214" s="26"/>
      <c r="CF214" s="26"/>
      <c r="CG214" s="26"/>
      <c r="CH214" s="26"/>
      <c r="CI214" s="26"/>
    </row>
    <row r="215" spans="1:87" x14ac:dyDescent="0.25">
      <c r="A215" s="26"/>
      <c r="B215" s="26"/>
      <c r="C215" s="142"/>
      <c r="D215" s="142"/>
      <c r="E215" s="142"/>
      <c r="F215" s="26"/>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c r="AK215" s="26"/>
      <c r="AL215" s="26"/>
      <c r="AM215" s="26"/>
      <c r="AN215" s="26"/>
      <c r="AO215" s="26"/>
      <c r="AP215" s="26"/>
      <c r="AQ215" s="26"/>
      <c r="AR215" s="26"/>
      <c r="AS215" s="26"/>
      <c r="AT215" s="26"/>
      <c r="AU215" s="26"/>
      <c r="AV215" s="26"/>
      <c r="AW215" s="26"/>
      <c r="AX215" s="26"/>
      <c r="AY215" s="26"/>
      <c r="AZ215" s="26"/>
      <c r="BA215" s="26"/>
      <c r="BB215" s="26"/>
      <c r="BC215" s="26"/>
      <c r="BD215" s="26"/>
      <c r="BE215" s="26"/>
      <c r="BF215" s="26"/>
      <c r="BG215" s="26"/>
      <c r="BH215" s="26"/>
      <c r="BI215" s="26"/>
      <c r="BJ215" s="26"/>
      <c r="BK215" s="26"/>
      <c r="BL215" s="26"/>
      <c r="BM215" s="26"/>
      <c r="BN215" s="26"/>
      <c r="BO215" s="26"/>
      <c r="BP215" s="26"/>
      <c r="BQ215" s="26"/>
      <c r="BR215" s="26"/>
      <c r="BS215" s="26"/>
      <c r="BT215" s="26"/>
      <c r="BU215" s="26"/>
      <c r="BV215" s="26"/>
      <c r="BW215" s="26"/>
      <c r="BX215" s="26"/>
      <c r="BY215" s="26"/>
      <c r="BZ215" s="26"/>
      <c r="CA215" s="26"/>
      <c r="CB215" s="26"/>
      <c r="CC215" s="26"/>
      <c r="CD215" s="26"/>
      <c r="CE215" s="26"/>
      <c r="CF215" s="26"/>
      <c r="CG215" s="26"/>
      <c r="CH215" s="26"/>
      <c r="CI215" s="26"/>
    </row>
    <row r="216" spans="1:87" x14ac:dyDescent="0.25">
      <c r="A216" s="26"/>
      <c r="B216" s="26"/>
      <c r="C216" s="142"/>
      <c r="D216" s="142"/>
      <c r="E216" s="142"/>
      <c r="F216" s="26"/>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c r="AK216" s="26"/>
      <c r="AL216" s="26"/>
      <c r="AM216" s="26"/>
      <c r="AN216" s="26"/>
      <c r="AO216" s="26"/>
      <c r="AP216" s="26"/>
      <c r="AQ216" s="26"/>
      <c r="AR216" s="26"/>
      <c r="AS216" s="26"/>
      <c r="AT216" s="26"/>
      <c r="AU216" s="26"/>
      <c r="AV216" s="26"/>
      <c r="AW216" s="26"/>
      <c r="AX216" s="26"/>
      <c r="AY216" s="26"/>
      <c r="AZ216" s="26"/>
      <c r="BA216" s="26"/>
      <c r="BB216" s="26"/>
      <c r="BC216" s="26"/>
      <c r="BD216" s="26"/>
      <c r="BE216" s="26"/>
      <c r="BF216" s="26"/>
      <c r="BG216" s="26"/>
      <c r="BH216" s="26"/>
      <c r="BI216" s="26"/>
      <c r="BJ216" s="26"/>
      <c r="BK216" s="26"/>
      <c r="BL216" s="26"/>
      <c r="BM216" s="26"/>
      <c r="BN216" s="26"/>
      <c r="BO216" s="26"/>
      <c r="BP216" s="26"/>
      <c r="BQ216" s="26"/>
      <c r="BR216" s="26"/>
      <c r="BS216" s="26"/>
      <c r="BT216" s="26"/>
      <c r="BU216" s="26"/>
      <c r="BV216" s="26"/>
      <c r="BW216" s="26"/>
      <c r="BX216" s="26"/>
      <c r="BY216" s="26"/>
      <c r="BZ216" s="26"/>
      <c r="CA216" s="26"/>
      <c r="CB216" s="26"/>
      <c r="CC216" s="26"/>
      <c r="CD216" s="26"/>
      <c r="CE216" s="26"/>
      <c r="CF216" s="26"/>
      <c r="CG216" s="26"/>
      <c r="CH216" s="26"/>
      <c r="CI216" s="26"/>
    </row>
    <row r="217" spans="1:87" x14ac:dyDescent="0.25">
      <c r="A217" s="26"/>
      <c r="B217" s="26"/>
      <c r="C217" s="142"/>
      <c r="D217" s="142"/>
      <c r="E217" s="142"/>
      <c r="F217" s="26"/>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c r="AK217" s="26"/>
      <c r="AL217" s="26"/>
      <c r="AM217" s="26"/>
      <c r="AN217" s="26"/>
      <c r="AO217" s="26"/>
      <c r="AP217" s="26"/>
      <c r="AQ217" s="26"/>
      <c r="AR217" s="26"/>
      <c r="AS217" s="26"/>
      <c r="AT217" s="26"/>
      <c r="AU217" s="26"/>
      <c r="AV217" s="26"/>
      <c r="AW217" s="26"/>
      <c r="AX217" s="26"/>
      <c r="AY217" s="26"/>
      <c r="AZ217" s="26"/>
      <c r="BA217" s="26"/>
      <c r="BB217" s="26"/>
      <c r="BC217" s="26"/>
      <c r="BD217" s="26"/>
      <c r="BE217" s="26"/>
      <c r="BF217" s="26"/>
      <c r="BG217" s="26"/>
      <c r="BH217" s="26"/>
      <c r="BI217" s="26"/>
      <c r="BJ217" s="26"/>
      <c r="BK217" s="26"/>
      <c r="BL217" s="26"/>
      <c r="BM217" s="26"/>
      <c r="BN217" s="26"/>
      <c r="BO217" s="26"/>
      <c r="BP217" s="26"/>
      <c r="BQ217" s="26"/>
      <c r="BR217" s="26"/>
      <c r="BS217" s="26"/>
      <c r="BT217" s="26"/>
      <c r="BU217" s="26"/>
      <c r="BV217" s="26"/>
      <c r="BW217" s="26"/>
      <c r="BX217" s="26"/>
      <c r="BY217" s="26"/>
      <c r="BZ217" s="26"/>
      <c r="CA217" s="26"/>
      <c r="CB217" s="26"/>
      <c r="CC217" s="26"/>
      <c r="CD217" s="26"/>
      <c r="CE217" s="26"/>
      <c r="CF217" s="26"/>
      <c r="CG217" s="26"/>
      <c r="CH217" s="26"/>
      <c r="CI217" s="26"/>
    </row>
    <row r="218" spans="1:87" x14ac:dyDescent="0.25">
      <c r="A218" s="26"/>
      <c r="B218" s="26"/>
      <c r="C218" s="142"/>
      <c r="D218" s="142"/>
      <c r="E218" s="142"/>
      <c r="F218" s="26"/>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c r="AK218" s="26"/>
      <c r="AL218" s="26"/>
      <c r="AM218" s="26"/>
      <c r="AN218" s="26"/>
      <c r="AO218" s="26"/>
      <c r="AP218" s="26"/>
      <c r="AQ218" s="26"/>
      <c r="AR218" s="26"/>
      <c r="AS218" s="26"/>
      <c r="AT218" s="26"/>
      <c r="AU218" s="26"/>
      <c r="AV218" s="26"/>
      <c r="AW218" s="26"/>
      <c r="AX218" s="26"/>
      <c r="AY218" s="26"/>
      <c r="AZ218" s="26"/>
      <c r="BA218" s="26"/>
      <c r="BB218" s="26"/>
      <c r="BC218" s="26"/>
      <c r="BD218" s="26"/>
      <c r="BE218" s="26"/>
      <c r="BF218" s="26"/>
      <c r="BG218" s="26"/>
      <c r="BH218" s="26"/>
      <c r="BI218" s="26"/>
      <c r="BJ218" s="26"/>
      <c r="BK218" s="26"/>
      <c r="BL218" s="26"/>
      <c r="BM218" s="26"/>
      <c r="BN218" s="26"/>
      <c r="BO218" s="26"/>
      <c r="BP218" s="26"/>
      <c r="BQ218" s="26"/>
      <c r="BR218" s="26"/>
      <c r="BS218" s="26"/>
      <c r="BT218" s="26"/>
      <c r="BU218" s="26"/>
      <c r="BV218" s="26"/>
      <c r="BW218" s="26"/>
      <c r="BX218" s="26"/>
      <c r="BY218" s="26"/>
      <c r="BZ218" s="26"/>
      <c r="CA218" s="26"/>
      <c r="CB218" s="26"/>
      <c r="CC218" s="26"/>
      <c r="CD218" s="26"/>
      <c r="CE218" s="26"/>
      <c r="CF218" s="26"/>
      <c r="CG218" s="26"/>
      <c r="CH218" s="26"/>
      <c r="CI218" s="26"/>
    </row>
    <row r="219" spans="1:87" x14ac:dyDescent="0.25">
      <c r="A219" s="26"/>
      <c r="B219" s="26"/>
      <c r="C219" s="142"/>
      <c r="D219" s="142"/>
      <c r="E219" s="142"/>
      <c r="F219" s="26"/>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c r="AK219" s="26"/>
      <c r="AL219" s="26"/>
      <c r="AM219" s="26"/>
      <c r="AN219" s="26"/>
      <c r="AO219" s="26"/>
      <c r="AP219" s="26"/>
      <c r="AQ219" s="26"/>
      <c r="AR219" s="26"/>
      <c r="AS219" s="26"/>
      <c r="AT219" s="26"/>
      <c r="AU219" s="26"/>
      <c r="AV219" s="26"/>
      <c r="AW219" s="26"/>
      <c r="AX219" s="26"/>
      <c r="AY219" s="26"/>
      <c r="AZ219" s="26"/>
      <c r="BA219" s="26"/>
      <c r="BB219" s="26"/>
      <c r="BC219" s="26"/>
      <c r="BD219" s="26"/>
      <c r="BE219" s="26"/>
      <c r="BF219" s="26"/>
      <c r="BG219" s="26"/>
      <c r="BH219" s="26"/>
      <c r="BI219" s="26"/>
      <c r="BJ219" s="26"/>
      <c r="BK219" s="26"/>
      <c r="BL219" s="26"/>
      <c r="BM219" s="26"/>
      <c r="BN219" s="26"/>
      <c r="BO219" s="26"/>
      <c r="BP219" s="26"/>
      <c r="BQ219" s="26"/>
      <c r="BR219" s="26"/>
      <c r="BS219" s="26"/>
      <c r="BT219" s="26"/>
      <c r="BU219" s="26"/>
      <c r="BV219" s="26"/>
      <c r="BW219" s="26"/>
      <c r="BX219" s="26"/>
      <c r="BY219" s="26"/>
      <c r="BZ219" s="26"/>
      <c r="CA219" s="26"/>
      <c r="CB219" s="26"/>
      <c r="CC219" s="26"/>
      <c r="CD219" s="26"/>
      <c r="CE219" s="26"/>
      <c r="CF219" s="26"/>
      <c r="CG219" s="26"/>
      <c r="CH219" s="26"/>
      <c r="CI219" s="26"/>
    </row>
    <row r="220" spans="1:87" x14ac:dyDescent="0.25">
      <c r="A220" s="26"/>
      <c r="B220" s="26"/>
      <c r="C220" s="142"/>
      <c r="D220" s="142"/>
      <c r="E220" s="142"/>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c r="AK220" s="26"/>
      <c r="AL220" s="26"/>
      <c r="AM220" s="26"/>
      <c r="AN220" s="26"/>
      <c r="AO220" s="26"/>
      <c r="AP220" s="26"/>
      <c r="AQ220" s="26"/>
      <c r="AR220" s="26"/>
      <c r="AS220" s="26"/>
      <c r="AT220" s="26"/>
      <c r="AU220" s="26"/>
      <c r="AV220" s="26"/>
      <c r="AW220" s="26"/>
      <c r="AX220" s="26"/>
      <c r="AY220" s="26"/>
      <c r="AZ220" s="26"/>
      <c r="BA220" s="26"/>
      <c r="BB220" s="26"/>
      <c r="BC220" s="26"/>
      <c r="BD220" s="26"/>
      <c r="BE220" s="26"/>
      <c r="BF220" s="26"/>
      <c r="BG220" s="26"/>
      <c r="BH220" s="26"/>
      <c r="BI220" s="26"/>
      <c r="BJ220" s="26"/>
      <c r="BK220" s="26"/>
      <c r="BL220" s="26"/>
      <c r="BM220" s="26"/>
      <c r="BN220" s="26"/>
      <c r="BO220" s="26"/>
      <c r="BP220" s="26"/>
      <c r="BQ220" s="26"/>
      <c r="BR220" s="26"/>
      <c r="BS220" s="26"/>
      <c r="BT220" s="26"/>
      <c r="BU220" s="26"/>
      <c r="BV220" s="26"/>
      <c r="BW220" s="26"/>
      <c r="BX220" s="26"/>
      <c r="BY220" s="26"/>
      <c r="BZ220" s="26"/>
      <c r="CA220" s="26"/>
      <c r="CB220" s="26"/>
      <c r="CC220" s="26"/>
      <c r="CD220" s="26"/>
      <c r="CE220" s="26"/>
      <c r="CF220" s="26"/>
      <c r="CG220" s="26"/>
      <c r="CH220" s="26"/>
      <c r="CI220" s="26"/>
    </row>
    <row r="221" spans="1:87" x14ac:dyDescent="0.25">
      <c r="A221" s="26"/>
      <c r="B221" s="26"/>
      <c r="C221" s="142"/>
      <c r="D221" s="142"/>
      <c r="E221" s="142"/>
      <c r="F221" s="26"/>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c r="AK221" s="26"/>
      <c r="AL221" s="26"/>
      <c r="AM221" s="26"/>
      <c r="AN221" s="26"/>
      <c r="AO221" s="26"/>
      <c r="AP221" s="26"/>
      <c r="AQ221" s="26"/>
      <c r="AR221" s="26"/>
      <c r="AS221" s="26"/>
      <c r="AT221" s="26"/>
      <c r="AU221" s="26"/>
      <c r="AV221" s="26"/>
      <c r="AW221" s="26"/>
      <c r="AX221" s="26"/>
      <c r="AY221" s="26"/>
      <c r="AZ221" s="26"/>
      <c r="BA221" s="26"/>
      <c r="BB221" s="26"/>
      <c r="BC221" s="26"/>
      <c r="BD221" s="26"/>
      <c r="BE221" s="26"/>
      <c r="BF221" s="26"/>
      <c r="BG221" s="26"/>
      <c r="BH221" s="26"/>
      <c r="BI221" s="26"/>
      <c r="BJ221" s="26"/>
      <c r="BK221" s="26"/>
      <c r="BL221" s="26"/>
      <c r="BM221" s="26"/>
      <c r="BN221" s="26"/>
      <c r="BO221" s="26"/>
      <c r="BP221" s="26"/>
      <c r="BQ221" s="26"/>
      <c r="BR221" s="26"/>
      <c r="BS221" s="26"/>
      <c r="BT221" s="26"/>
      <c r="BU221" s="26"/>
      <c r="BV221" s="26"/>
      <c r="BW221" s="26"/>
      <c r="BX221" s="26"/>
      <c r="BY221" s="26"/>
      <c r="BZ221" s="26"/>
      <c r="CA221" s="26"/>
      <c r="CB221" s="26"/>
      <c r="CC221" s="26"/>
      <c r="CD221" s="26"/>
      <c r="CE221" s="26"/>
      <c r="CF221" s="26"/>
      <c r="CG221" s="26"/>
      <c r="CH221" s="26"/>
      <c r="CI221" s="26"/>
    </row>
    <row r="222" spans="1:87" x14ac:dyDescent="0.25">
      <c r="A222" s="26"/>
      <c r="B222" s="26"/>
      <c r="C222" s="142"/>
      <c r="D222" s="142"/>
      <c r="E222" s="142"/>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c r="AK222" s="26"/>
      <c r="AL222" s="26"/>
      <c r="AM222" s="26"/>
      <c r="AN222" s="26"/>
      <c r="AO222" s="26"/>
      <c r="AP222" s="26"/>
      <c r="AQ222" s="26"/>
      <c r="AR222" s="26"/>
      <c r="AS222" s="26"/>
      <c r="AT222" s="26"/>
      <c r="AU222" s="26"/>
      <c r="AV222" s="26"/>
      <c r="AW222" s="26"/>
      <c r="AX222" s="26"/>
      <c r="AY222" s="26"/>
      <c r="AZ222" s="26"/>
      <c r="BA222" s="26"/>
      <c r="BB222" s="26"/>
      <c r="BC222" s="26"/>
      <c r="BD222" s="26"/>
      <c r="BE222" s="26"/>
      <c r="BF222" s="26"/>
      <c r="BG222" s="26"/>
      <c r="BH222" s="26"/>
      <c r="BI222" s="26"/>
      <c r="BJ222" s="26"/>
      <c r="BK222" s="26"/>
      <c r="BL222" s="26"/>
      <c r="BM222" s="26"/>
      <c r="BN222" s="26"/>
      <c r="BO222" s="26"/>
      <c r="BP222" s="26"/>
      <c r="BQ222" s="26"/>
      <c r="BR222" s="26"/>
      <c r="BS222" s="26"/>
      <c r="BT222" s="26"/>
      <c r="BU222" s="26"/>
      <c r="BV222" s="26"/>
      <c r="BW222" s="26"/>
      <c r="BX222" s="26"/>
      <c r="BY222" s="26"/>
      <c r="BZ222" s="26"/>
      <c r="CA222" s="26"/>
      <c r="CB222" s="26"/>
      <c r="CC222" s="26"/>
      <c r="CD222" s="26"/>
      <c r="CE222" s="26"/>
      <c r="CF222" s="26"/>
      <c r="CG222" s="26"/>
      <c r="CH222" s="26"/>
      <c r="CI222" s="26"/>
    </row>
    <row r="223" spans="1:87" x14ac:dyDescent="0.25">
      <c r="A223" s="26"/>
      <c r="B223" s="26"/>
      <c r="C223" s="142"/>
      <c r="D223" s="142"/>
      <c r="E223" s="142"/>
      <c r="F223" s="26"/>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c r="AK223" s="26"/>
      <c r="AL223" s="26"/>
      <c r="AM223" s="26"/>
      <c r="AN223" s="26"/>
      <c r="AO223" s="26"/>
      <c r="AP223" s="26"/>
      <c r="AQ223" s="26"/>
      <c r="AR223" s="26"/>
      <c r="AS223" s="26"/>
      <c r="AT223" s="26"/>
      <c r="AU223" s="26"/>
      <c r="AV223" s="26"/>
      <c r="AW223" s="26"/>
      <c r="AX223" s="26"/>
      <c r="AY223" s="26"/>
      <c r="AZ223" s="26"/>
      <c r="BA223" s="26"/>
      <c r="BB223" s="26"/>
      <c r="BC223" s="26"/>
      <c r="BD223" s="26"/>
      <c r="BE223" s="26"/>
      <c r="BF223" s="26"/>
      <c r="BG223" s="26"/>
      <c r="BH223" s="26"/>
      <c r="BI223" s="26"/>
      <c r="BJ223" s="26"/>
      <c r="BK223" s="26"/>
      <c r="BL223" s="26"/>
      <c r="BM223" s="26"/>
      <c r="BN223" s="26"/>
      <c r="BO223" s="26"/>
      <c r="BP223" s="26"/>
      <c r="BQ223" s="26"/>
      <c r="BR223" s="26"/>
      <c r="BS223" s="26"/>
      <c r="BT223" s="26"/>
      <c r="BU223" s="26"/>
      <c r="BV223" s="26"/>
      <c r="BW223" s="26"/>
      <c r="BX223" s="26"/>
      <c r="BY223" s="26"/>
      <c r="BZ223" s="26"/>
      <c r="CA223" s="26"/>
      <c r="CB223" s="26"/>
      <c r="CC223" s="26"/>
      <c r="CD223" s="26"/>
      <c r="CE223" s="26"/>
      <c r="CF223" s="26"/>
      <c r="CG223" s="26"/>
      <c r="CH223" s="26"/>
      <c r="CI223" s="26"/>
    </row>
    <row r="224" spans="1:87" x14ac:dyDescent="0.25">
      <c r="A224" s="26"/>
      <c r="B224" s="26"/>
      <c r="C224" s="142"/>
      <c r="D224" s="142"/>
      <c r="E224" s="142"/>
      <c r="F224" s="26"/>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c r="AK224" s="26"/>
      <c r="AL224" s="26"/>
      <c r="AM224" s="26"/>
      <c r="AN224" s="26"/>
      <c r="AO224" s="26"/>
      <c r="AP224" s="26"/>
      <c r="AQ224" s="26"/>
      <c r="AR224" s="26"/>
      <c r="AS224" s="26"/>
      <c r="AT224" s="26"/>
      <c r="AU224" s="26"/>
      <c r="AV224" s="26"/>
      <c r="AW224" s="26"/>
      <c r="AX224" s="26"/>
      <c r="AY224" s="26"/>
      <c r="AZ224" s="26"/>
      <c r="BA224" s="26"/>
      <c r="BB224" s="26"/>
      <c r="BC224" s="26"/>
      <c r="BD224" s="26"/>
      <c r="BE224" s="26"/>
      <c r="BF224" s="26"/>
      <c r="BG224" s="26"/>
      <c r="BH224" s="26"/>
      <c r="BI224" s="26"/>
      <c r="BJ224" s="26"/>
      <c r="BK224" s="26"/>
      <c r="BL224" s="26"/>
      <c r="BM224" s="26"/>
      <c r="BN224" s="26"/>
      <c r="BO224" s="26"/>
      <c r="BP224" s="26"/>
      <c r="BQ224" s="26"/>
      <c r="BR224" s="26"/>
      <c r="BS224" s="26"/>
      <c r="BT224" s="26"/>
      <c r="BU224" s="26"/>
      <c r="BV224" s="26"/>
      <c r="BW224" s="26"/>
      <c r="BX224" s="26"/>
      <c r="BY224" s="26"/>
      <c r="BZ224" s="26"/>
      <c r="CA224" s="26"/>
      <c r="CB224" s="26"/>
      <c r="CC224" s="26"/>
      <c r="CD224" s="26"/>
      <c r="CE224" s="26"/>
      <c r="CF224" s="26"/>
      <c r="CG224" s="26"/>
      <c r="CH224" s="26"/>
      <c r="CI224" s="26"/>
    </row>
    <row r="225" spans="1:87" x14ac:dyDescent="0.25">
      <c r="A225" s="26"/>
      <c r="B225" s="26"/>
      <c r="C225" s="142"/>
      <c r="D225" s="142"/>
      <c r="E225" s="142"/>
      <c r="F225" s="26"/>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c r="AK225" s="26"/>
      <c r="AL225" s="26"/>
      <c r="AM225" s="26"/>
      <c r="AN225" s="26"/>
      <c r="AO225" s="26"/>
      <c r="AP225" s="26"/>
      <c r="AQ225" s="26"/>
      <c r="AR225" s="26"/>
      <c r="AS225" s="26"/>
      <c r="AT225" s="26"/>
      <c r="AU225" s="26"/>
      <c r="AV225" s="26"/>
      <c r="AW225" s="26"/>
      <c r="AX225" s="26"/>
      <c r="AY225" s="26"/>
      <c r="AZ225" s="26"/>
      <c r="BA225" s="26"/>
      <c r="BB225" s="26"/>
      <c r="BC225" s="26"/>
      <c r="BD225" s="26"/>
      <c r="BE225" s="26"/>
      <c r="BF225" s="26"/>
      <c r="BG225" s="26"/>
      <c r="BH225" s="26"/>
      <c r="BI225" s="26"/>
      <c r="BJ225" s="26"/>
      <c r="BK225" s="26"/>
      <c r="BL225" s="26"/>
      <c r="BM225" s="26"/>
      <c r="BN225" s="26"/>
      <c r="BO225" s="26"/>
      <c r="BP225" s="26"/>
      <c r="BQ225" s="26"/>
      <c r="BR225" s="26"/>
      <c r="BS225" s="26"/>
      <c r="BT225" s="26"/>
      <c r="BU225" s="26"/>
      <c r="BV225" s="26"/>
      <c r="BW225" s="26"/>
      <c r="BX225" s="26"/>
      <c r="BY225" s="26"/>
      <c r="BZ225" s="26"/>
      <c r="CA225" s="26"/>
      <c r="CB225" s="26"/>
      <c r="CC225" s="26"/>
      <c r="CD225" s="26"/>
      <c r="CE225" s="26"/>
      <c r="CF225" s="26"/>
      <c r="CG225" s="26"/>
      <c r="CH225" s="26"/>
      <c r="CI225" s="26"/>
    </row>
    <row r="226" spans="1:87" x14ac:dyDescent="0.25">
      <c r="A226" s="26"/>
      <c r="B226" s="26"/>
      <c r="C226" s="142"/>
      <c r="D226" s="142"/>
      <c r="E226" s="142"/>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c r="AK226" s="26"/>
      <c r="AL226" s="26"/>
      <c r="AM226" s="26"/>
      <c r="AN226" s="26"/>
      <c r="AO226" s="26"/>
      <c r="AP226" s="26"/>
      <c r="AQ226" s="26"/>
      <c r="AR226" s="26"/>
      <c r="AS226" s="26"/>
      <c r="AT226" s="26"/>
      <c r="AU226" s="26"/>
      <c r="AV226" s="26"/>
      <c r="AW226" s="26"/>
      <c r="AX226" s="26"/>
      <c r="AY226" s="26"/>
      <c r="AZ226" s="26"/>
      <c r="BA226" s="26"/>
      <c r="BB226" s="26"/>
      <c r="BC226" s="26"/>
      <c r="BD226" s="26"/>
      <c r="BE226" s="26"/>
      <c r="BF226" s="26"/>
      <c r="BG226" s="26"/>
      <c r="BH226" s="26"/>
      <c r="BI226" s="26"/>
      <c r="BJ226" s="26"/>
      <c r="BK226" s="26"/>
      <c r="BL226" s="26"/>
      <c r="BM226" s="26"/>
      <c r="BN226" s="26"/>
      <c r="BO226" s="26"/>
      <c r="BP226" s="26"/>
      <c r="BQ226" s="26"/>
      <c r="BR226" s="26"/>
      <c r="BS226" s="26"/>
      <c r="BT226" s="26"/>
      <c r="BU226" s="26"/>
      <c r="BV226" s="26"/>
      <c r="BW226" s="26"/>
      <c r="BX226" s="26"/>
      <c r="BY226" s="26"/>
      <c r="BZ226" s="26"/>
      <c r="CA226" s="26"/>
      <c r="CB226" s="26"/>
      <c r="CC226" s="26"/>
      <c r="CD226" s="26"/>
      <c r="CE226" s="26"/>
      <c r="CF226" s="26"/>
      <c r="CG226" s="26"/>
      <c r="CH226" s="26"/>
      <c r="CI226" s="26"/>
    </row>
    <row r="227" spans="1:87" x14ac:dyDescent="0.25">
      <c r="A227" s="26"/>
      <c r="B227" s="26"/>
      <c r="C227" s="142"/>
      <c r="D227" s="142"/>
      <c r="E227" s="142"/>
      <c r="F227" s="26"/>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c r="AK227" s="26"/>
      <c r="AL227" s="26"/>
      <c r="AM227" s="26"/>
      <c r="AN227" s="26"/>
      <c r="AO227" s="26"/>
      <c r="AP227" s="26"/>
      <c r="AQ227" s="26"/>
      <c r="AR227" s="26"/>
      <c r="AS227" s="26"/>
      <c r="AT227" s="26"/>
      <c r="AU227" s="26"/>
      <c r="AV227" s="26"/>
      <c r="AW227" s="26"/>
      <c r="AX227" s="26"/>
      <c r="AY227" s="26"/>
      <c r="AZ227" s="26"/>
      <c r="BA227" s="26"/>
      <c r="BB227" s="26"/>
      <c r="BC227" s="26"/>
      <c r="BD227" s="26"/>
      <c r="BE227" s="26"/>
      <c r="BF227" s="26"/>
      <c r="BG227" s="26"/>
      <c r="BH227" s="26"/>
      <c r="BI227" s="26"/>
      <c r="BJ227" s="26"/>
      <c r="BK227" s="26"/>
      <c r="BL227" s="26"/>
      <c r="BM227" s="26"/>
      <c r="BN227" s="26"/>
      <c r="BO227" s="26"/>
      <c r="BP227" s="26"/>
      <c r="BQ227" s="26"/>
      <c r="BR227" s="26"/>
      <c r="BS227" s="26"/>
      <c r="BT227" s="26"/>
      <c r="BU227" s="26"/>
      <c r="BV227" s="26"/>
      <c r="BW227" s="26"/>
      <c r="BX227" s="26"/>
      <c r="BY227" s="26"/>
      <c r="BZ227" s="26"/>
      <c r="CA227" s="26"/>
      <c r="CB227" s="26"/>
      <c r="CC227" s="26"/>
      <c r="CD227" s="26"/>
      <c r="CE227" s="26"/>
      <c r="CF227" s="26"/>
      <c r="CG227" s="26"/>
      <c r="CH227" s="26"/>
      <c r="CI227" s="26"/>
    </row>
    <row r="228" spans="1:87" x14ac:dyDescent="0.25">
      <c r="A228" s="26"/>
      <c r="B228" s="26"/>
      <c r="C228" s="142"/>
      <c r="D228" s="142"/>
      <c r="E228" s="142"/>
      <c r="F228" s="26"/>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c r="AK228" s="26"/>
      <c r="AL228" s="26"/>
      <c r="AM228" s="26"/>
      <c r="AN228" s="26"/>
      <c r="AO228" s="26"/>
      <c r="AP228" s="26"/>
      <c r="AQ228" s="26"/>
      <c r="AR228" s="26"/>
      <c r="AS228" s="26"/>
      <c r="AT228" s="26"/>
      <c r="AU228" s="26"/>
      <c r="AV228" s="26"/>
      <c r="AW228" s="26"/>
      <c r="AX228" s="26"/>
      <c r="AY228" s="26"/>
      <c r="AZ228" s="26"/>
      <c r="BA228" s="26"/>
      <c r="BB228" s="26"/>
      <c r="BC228" s="26"/>
      <c r="BD228" s="26"/>
      <c r="BE228" s="26"/>
      <c r="BF228" s="26"/>
      <c r="BG228" s="26"/>
      <c r="BH228" s="26"/>
      <c r="BI228" s="26"/>
      <c r="BJ228" s="26"/>
      <c r="BK228" s="26"/>
      <c r="BL228" s="26"/>
      <c r="BM228" s="26"/>
      <c r="BN228" s="26"/>
      <c r="BO228" s="26"/>
      <c r="BP228" s="26"/>
      <c r="BQ228" s="26"/>
      <c r="BR228" s="26"/>
      <c r="BS228" s="26"/>
      <c r="BT228" s="26"/>
      <c r="BU228" s="26"/>
      <c r="BV228" s="26"/>
      <c r="BW228" s="26"/>
      <c r="BX228" s="26"/>
      <c r="BY228" s="26"/>
      <c r="BZ228" s="26"/>
      <c r="CA228" s="26"/>
      <c r="CB228" s="26"/>
      <c r="CC228" s="26"/>
      <c r="CD228" s="26"/>
      <c r="CE228" s="26"/>
      <c r="CF228" s="26"/>
      <c r="CG228" s="26"/>
      <c r="CH228" s="26"/>
      <c r="CI228" s="26"/>
    </row>
    <row r="229" spans="1:87" x14ac:dyDescent="0.25">
      <c r="A229" s="26"/>
      <c r="B229" s="26"/>
      <c r="C229" s="142"/>
      <c r="D229" s="142"/>
      <c r="E229" s="142"/>
      <c r="F229" s="26"/>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c r="AK229" s="26"/>
      <c r="AL229" s="26"/>
      <c r="AM229" s="26"/>
      <c r="AN229" s="26"/>
      <c r="AO229" s="26"/>
      <c r="AP229" s="26"/>
      <c r="AQ229" s="26"/>
      <c r="AR229" s="26"/>
      <c r="AS229" s="26"/>
      <c r="AT229" s="26"/>
      <c r="AU229" s="26"/>
      <c r="AV229" s="26"/>
      <c r="AW229" s="26"/>
      <c r="AX229" s="26"/>
      <c r="AY229" s="26"/>
      <c r="AZ229" s="26"/>
      <c r="BA229" s="26"/>
      <c r="BB229" s="26"/>
      <c r="BC229" s="26"/>
      <c r="BD229" s="26"/>
      <c r="BE229" s="26"/>
      <c r="BF229" s="26"/>
      <c r="BG229" s="26"/>
      <c r="BH229" s="26"/>
      <c r="BI229" s="26"/>
      <c r="BJ229" s="26"/>
      <c r="BK229" s="26"/>
      <c r="BL229" s="26"/>
      <c r="BM229" s="26"/>
      <c r="BN229" s="26"/>
      <c r="BO229" s="26"/>
      <c r="BP229" s="26"/>
      <c r="BQ229" s="26"/>
      <c r="BR229" s="26"/>
      <c r="BS229" s="26"/>
      <c r="BT229" s="26"/>
      <c r="BU229" s="26"/>
      <c r="BV229" s="26"/>
      <c r="BW229" s="26"/>
      <c r="BX229" s="26"/>
      <c r="BY229" s="26"/>
      <c r="BZ229" s="26"/>
      <c r="CA229" s="26"/>
      <c r="CB229" s="26"/>
      <c r="CC229" s="26"/>
      <c r="CD229" s="26"/>
      <c r="CE229" s="26"/>
      <c r="CF229" s="26"/>
      <c r="CG229" s="26"/>
      <c r="CH229" s="26"/>
      <c r="CI229" s="26"/>
    </row>
    <row r="230" spans="1:87" x14ac:dyDescent="0.25">
      <c r="A230" s="26"/>
      <c r="B230" s="26"/>
      <c r="C230" s="142"/>
      <c r="D230" s="142"/>
      <c r="E230" s="142"/>
      <c r="F230" s="26"/>
      <c r="G230" s="26"/>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c r="AK230" s="26"/>
      <c r="AL230" s="26"/>
      <c r="AM230" s="26"/>
      <c r="AN230" s="26"/>
      <c r="AO230" s="26"/>
      <c r="AP230" s="26"/>
      <c r="AQ230" s="26"/>
      <c r="AR230" s="26"/>
      <c r="AS230" s="26"/>
      <c r="AT230" s="26"/>
      <c r="AU230" s="26"/>
      <c r="AV230" s="26"/>
      <c r="AW230" s="26"/>
      <c r="AX230" s="26"/>
      <c r="AY230" s="26"/>
      <c r="AZ230" s="26"/>
      <c r="BA230" s="26"/>
      <c r="BB230" s="26"/>
      <c r="BC230" s="26"/>
      <c r="BD230" s="26"/>
      <c r="BE230" s="26"/>
      <c r="BF230" s="26"/>
      <c r="BG230" s="26"/>
      <c r="BH230" s="26"/>
      <c r="BI230" s="26"/>
      <c r="BJ230" s="26"/>
      <c r="BK230" s="26"/>
      <c r="BL230" s="26"/>
      <c r="BM230" s="26"/>
      <c r="BN230" s="26"/>
      <c r="BO230" s="26"/>
      <c r="BP230" s="26"/>
      <c r="BQ230" s="26"/>
      <c r="BR230" s="26"/>
      <c r="BS230" s="26"/>
      <c r="BT230" s="26"/>
      <c r="BU230" s="26"/>
      <c r="BV230" s="26"/>
      <c r="BW230" s="26"/>
      <c r="BX230" s="26"/>
      <c r="BY230" s="26"/>
      <c r="BZ230" s="26"/>
      <c r="CA230" s="26"/>
      <c r="CB230" s="26"/>
      <c r="CC230" s="26"/>
      <c r="CD230" s="26"/>
      <c r="CE230" s="26"/>
      <c r="CF230" s="26"/>
      <c r="CG230" s="26"/>
      <c r="CH230" s="26"/>
      <c r="CI230" s="26"/>
    </row>
    <row r="231" spans="1:87" x14ac:dyDescent="0.25">
      <c r="A231" s="26"/>
      <c r="B231" s="26"/>
      <c r="C231" s="142"/>
      <c r="D231" s="142"/>
      <c r="E231" s="142"/>
      <c r="F231" s="26"/>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c r="AK231" s="26"/>
      <c r="AL231" s="26"/>
      <c r="AM231" s="26"/>
      <c r="AN231" s="26"/>
      <c r="AO231" s="26"/>
      <c r="AP231" s="26"/>
      <c r="AQ231" s="26"/>
      <c r="AR231" s="26"/>
      <c r="AS231" s="26"/>
      <c r="AT231" s="26"/>
      <c r="AU231" s="26"/>
      <c r="AV231" s="26"/>
      <c r="AW231" s="26"/>
      <c r="AX231" s="26"/>
      <c r="AY231" s="26"/>
      <c r="AZ231" s="26"/>
      <c r="BA231" s="26"/>
      <c r="BB231" s="26"/>
      <c r="BC231" s="26"/>
      <c r="BD231" s="26"/>
      <c r="BE231" s="26"/>
      <c r="BF231" s="26"/>
      <c r="BG231" s="26"/>
      <c r="BH231" s="26"/>
      <c r="BI231" s="26"/>
      <c r="BJ231" s="26"/>
      <c r="BK231" s="26"/>
      <c r="BL231" s="26"/>
      <c r="BM231" s="26"/>
      <c r="BN231" s="26"/>
      <c r="BO231" s="26"/>
      <c r="BP231" s="26"/>
      <c r="BQ231" s="26"/>
      <c r="BR231" s="26"/>
      <c r="BS231" s="26"/>
      <c r="BT231" s="26"/>
      <c r="BU231" s="26"/>
      <c r="BV231" s="26"/>
      <c r="BW231" s="26"/>
      <c r="BX231" s="26"/>
      <c r="BY231" s="26"/>
      <c r="BZ231" s="26"/>
      <c r="CA231" s="26"/>
      <c r="CB231" s="26"/>
      <c r="CC231" s="26"/>
      <c r="CD231" s="26"/>
      <c r="CE231" s="26"/>
      <c r="CF231" s="26"/>
      <c r="CG231" s="26"/>
      <c r="CH231" s="26"/>
      <c r="CI231" s="26"/>
    </row>
    <row r="232" spans="1:87" x14ac:dyDescent="0.25">
      <c r="A232" s="26"/>
      <c r="B232" s="26"/>
      <c r="C232" s="142"/>
      <c r="D232" s="142"/>
      <c r="E232" s="142"/>
      <c r="F232" s="26"/>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c r="AE232" s="26"/>
      <c r="AF232" s="26"/>
      <c r="AG232" s="26"/>
      <c r="AH232" s="26"/>
      <c r="AI232" s="26"/>
      <c r="AJ232" s="26"/>
      <c r="AK232" s="26"/>
      <c r="AL232" s="26"/>
      <c r="AM232" s="26"/>
      <c r="AN232" s="26"/>
      <c r="AO232" s="26"/>
      <c r="AP232" s="26"/>
      <c r="AQ232" s="26"/>
      <c r="AR232" s="26"/>
      <c r="AS232" s="26"/>
      <c r="AT232" s="26"/>
      <c r="AU232" s="26"/>
      <c r="AV232" s="26"/>
      <c r="AW232" s="26"/>
      <c r="AX232" s="26"/>
      <c r="AY232" s="26"/>
      <c r="AZ232" s="26"/>
      <c r="BA232" s="26"/>
      <c r="BB232" s="26"/>
      <c r="BC232" s="26"/>
      <c r="BD232" s="26"/>
      <c r="BE232" s="26"/>
      <c r="BF232" s="26"/>
      <c r="BG232" s="26"/>
      <c r="BH232" s="26"/>
      <c r="BI232" s="26"/>
      <c r="BJ232" s="26"/>
      <c r="BK232" s="26"/>
      <c r="BL232" s="26"/>
      <c r="BM232" s="26"/>
      <c r="BN232" s="26"/>
      <c r="BO232" s="26"/>
      <c r="BP232" s="26"/>
      <c r="BQ232" s="26"/>
      <c r="BR232" s="26"/>
      <c r="BS232" s="26"/>
      <c r="BT232" s="26"/>
      <c r="BU232" s="26"/>
      <c r="BV232" s="26"/>
      <c r="BW232" s="26"/>
      <c r="BX232" s="26"/>
      <c r="BY232" s="26"/>
      <c r="BZ232" s="26"/>
      <c r="CA232" s="26"/>
      <c r="CB232" s="26"/>
      <c r="CC232" s="26"/>
      <c r="CD232" s="26"/>
      <c r="CE232" s="26"/>
      <c r="CF232" s="26"/>
      <c r="CG232" s="26"/>
      <c r="CH232" s="26"/>
      <c r="CI232" s="26"/>
    </row>
    <row r="233" spans="1:87" x14ac:dyDescent="0.25">
      <c r="A233" s="26"/>
      <c r="B233" s="26"/>
      <c r="C233" s="142"/>
      <c r="D233" s="142"/>
      <c r="E233" s="142"/>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c r="AE233" s="26"/>
      <c r="AF233" s="26"/>
      <c r="AG233" s="26"/>
      <c r="AH233" s="26"/>
      <c r="AI233" s="26"/>
      <c r="AJ233" s="26"/>
      <c r="AK233" s="26"/>
      <c r="AL233" s="26"/>
      <c r="AM233" s="26"/>
      <c r="AN233" s="26"/>
      <c r="AO233" s="26"/>
      <c r="AP233" s="26"/>
      <c r="AQ233" s="26"/>
      <c r="AR233" s="26"/>
      <c r="AS233" s="26"/>
      <c r="AT233" s="26"/>
      <c r="AU233" s="26"/>
      <c r="AV233" s="26"/>
      <c r="AW233" s="26"/>
      <c r="AX233" s="26"/>
      <c r="AY233" s="26"/>
      <c r="AZ233" s="26"/>
      <c r="BA233" s="26"/>
      <c r="BB233" s="26"/>
      <c r="BC233" s="26"/>
      <c r="BD233" s="26"/>
      <c r="BE233" s="26"/>
      <c r="BF233" s="26"/>
      <c r="BG233" s="26"/>
      <c r="BH233" s="26"/>
      <c r="BI233" s="26"/>
      <c r="BJ233" s="26"/>
      <c r="BK233" s="26"/>
      <c r="BL233" s="26"/>
      <c r="BM233" s="26"/>
      <c r="BN233" s="26"/>
      <c r="BO233" s="26"/>
      <c r="BP233" s="26"/>
      <c r="BQ233" s="26"/>
      <c r="BR233" s="26"/>
      <c r="BS233" s="26"/>
      <c r="BT233" s="26"/>
      <c r="BU233" s="26"/>
      <c r="BV233" s="26"/>
      <c r="BW233" s="26"/>
      <c r="BX233" s="26"/>
      <c r="BY233" s="26"/>
      <c r="BZ233" s="26"/>
      <c r="CA233" s="26"/>
      <c r="CB233" s="26"/>
      <c r="CC233" s="26"/>
      <c r="CD233" s="26"/>
      <c r="CE233" s="26"/>
      <c r="CF233" s="26"/>
      <c r="CG233" s="26"/>
      <c r="CH233" s="26"/>
      <c r="CI233" s="26"/>
    </row>
    <row r="234" spans="1:87" x14ac:dyDescent="0.25">
      <c r="A234" s="26"/>
      <c r="B234" s="26"/>
      <c r="C234" s="142"/>
      <c r="D234" s="142"/>
      <c r="E234" s="142"/>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c r="AE234" s="26"/>
      <c r="AF234" s="26"/>
      <c r="AG234" s="26"/>
      <c r="AH234" s="26"/>
      <c r="AI234" s="26"/>
      <c r="AJ234" s="26"/>
      <c r="AK234" s="26"/>
      <c r="AL234" s="26"/>
      <c r="AM234" s="26"/>
      <c r="AN234" s="26"/>
      <c r="AO234" s="26"/>
      <c r="AP234" s="26"/>
      <c r="AQ234" s="26"/>
      <c r="AR234" s="26"/>
      <c r="AS234" s="26"/>
      <c r="AT234" s="26"/>
      <c r="AU234" s="26"/>
      <c r="AV234" s="26"/>
      <c r="AW234" s="26"/>
      <c r="AX234" s="26"/>
      <c r="AY234" s="26"/>
      <c r="AZ234" s="26"/>
      <c r="BA234" s="26"/>
      <c r="BB234" s="26"/>
      <c r="BC234" s="26"/>
      <c r="BD234" s="26"/>
      <c r="BE234" s="26"/>
      <c r="BF234" s="26"/>
      <c r="BG234" s="26"/>
      <c r="BH234" s="26"/>
      <c r="BI234" s="26"/>
      <c r="BJ234" s="26"/>
      <c r="BK234" s="26"/>
      <c r="BL234" s="26"/>
      <c r="BM234" s="26"/>
      <c r="BN234" s="26"/>
      <c r="BO234" s="26"/>
      <c r="BP234" s="26"/>
      <c r="BQ234" s="26"/>
      <c r="BR234" s="26"/>
      <c r="BS234" s="26"/>
      <c r="BT234" s="26"/>
      <c r="BU234" s="26"/>
      <c r="BV234" s="26"/>
      <c r="BW234" s="26"/>
      <c r="BX234" s="26"/>
      <c r="BY234" s="26"/>
      <c r="BZ234" s="26"/>
      <c r="CA234" s="26"/>
      <c r="CB234" s="26"/>
      <c r="CC234" s="26"/>
      <c r="CD234" s="26"/>
      <c r="CE234" s="26"/>
      <c r="CF234" s="26"/>
      <c r="CG234" s="26"/>
      <c r="CH234" s="26"/>
      <c r="CI234" s="26"/>
    </row>
    <row r="235" spans="1:87" x14ac:dyDescent="0.25">
      <c r="A235" s="26"/>
      <c r="B235" s="26"/>
      <c r="C235" s="142"/>
      <c r="D235" s="142"/>
      <c r="E235" s="142"/>
      <c r="F235" s="26"/>
      <c r="G235" s="26"/>
      <c r="H235" s="26"/>
      <c r="I235" s="26"/>
      <c r="J235" s="26"/>
      <c r="K235" s="26"/>
      <c r="L235" s="26"/>
      <c r="M235" s="26"/>
      <c r="N235" s="26"/>
      <c r="O235" s="26"/>
      <c r="P235" s="26"/>
      <c r="Q235" s="26"/>
      <c r="R235" s="26"/>
      <c r="S235" s="26"/>
      <c r="T235" s="26"/>
      <c r="U235" s="26"/>
      <c r="V235" s="26"/>
      <c r="W235" s="26"/>
      <c r="X235" s="26"/>
      <c r="Y235" s="26"/>
      <c r="Z235" s="26"/>
      <c r="AA235" s="26"/>
      <c r="AB235" s="26"/>
      <c r="AC235" s="26"/>
      <c r="AD235" s="26"/>
      <c r="AE235" s="26"/>
      <c r="AF235" s="26"/>
      <c r="AG235" s="26"/>
      <c r="AH235" s="26"/>
      <c r="AI235" s="26"/>
      <c r="AJ235" s="26"/>
      <c r="AK235" s="26"/>
      <c r="AL235" s="26"/>
      <c r="AM235" s="26"/>
      <c r="AN235" s="26"/>
      <c r="AO235" s="26"/>
      <c r="AP235" s="26"/>
      <c r="AQ235" s="26"/>
      <c r="AR235" s="26"/>
      <c r="AS235" s="26"/>
      <c r="AT235" s="26"/>
      <c r="AU235" s="26"/>
      <c r="AV235" s="26"/>
      <c r="AW235" s="26"/>
      <c r="AX235" s="26"/>
      <c r="AY235" s="26"/>
      <c r="AZ235" s="26"/>
      <c r="BA235" s="26"/>
      <c r="BB235" s="26"/>
      <c r="BC235" s="26"/>
      <c r="BD235" s="26"/>
      <c r="BE235" s="26"/>
      <c r="BF235" s="26"/>
      <c r="BG235" s="26"/>
      <c r="BH235" s="26"/>
      <c r="BI235" s="26"/>
      <c r="BJ235" s="26"/>
      <c r="BK235" s="26"/>
      <c r="BL235" s="26"/>
      <c r="BM235" s="26"/>
      <c r="BN235" s="26"/>
      <c r="BO235" s="26"/>
      <c r="BP235" s="26"/>
      <c r="BQ235" s="26"/>
      <c r="BR235" s="26"/>
      <c r="BS235" s="26"/>
      <c r="BT235" s="26"/>
      <c r="BU235" s="26"/>
      <c r="BV235" s="26"/>
      <c r="BW235" s="26"/>
      <c r="BX235" s="26"/>
      <c r="BY235" s="26"/>
      <c r="BZ235" s="26"/>
      <c r="CA235" s="26"/>
      <c r="CB235" s="26"/>
      <c r="CC235" s="26"/>
      <c r="CD235" s="26"/>
      <c r="CE235" s="26"/>
      <c r="CF235" s="26"/>
      <c r="CG235" s="26"/>
      <c r="CH235" s="26"/>
      <c r="CI235" s="26"/>
    </row>
    <row r="236" spans="1:87" x14ac:dyDescent="0.25">
      <c r="A236" s="26"/>
      <c r="B236" s="26"/>
      <c r="C236" s="142"/>
      <c r="D236" s="142"/>
      <c r="E236" s="142"/>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c r="AE236" s="26"/>
      <c r="AF236" s="26"/>
      <c r="AG236" s="26"/>
      <c r="AH236" s="26"/>
      <c r="AI236" s="26"/>
      <c r="AJ236" s="26"/>
      <c r="AK236" s="26"/>
      <c r="AL236" s="26"/>
      <c r="AM236" s="26"/>
      <c r="AN236" s="26"/>
      <c r="AO236" s="26"/>
      <c r="AP236" s="26"/>
      <c r="AQ236" s="26"/>
      <c r="AR236" s="26"/>
      <c r="AS236" s="26"/>
      <c r="AT236" s="26"/>
      <c r="AU236" s="26"/>
      <c r="AV236" s="26"/>
      <c r="AW236" s="26"/>
      <c r="AX236" s="26"/>
      <c r="AY236" s="26"/>
      <c r="AZ236" s="26"/>
      <c r="BA236" s="26"/>
      <c r="BB236" s="26"/>
      <c r="BC236" s="26"/>
      <c r="BD236" s="26"/>
      <c r="BE236" s="26"/>
      <c r="BF236" s="26"/>
      <c r="BG236" s="26"/>
      <c r="BH236" s="26"/>
      <c r="BI236" s="26"/>
      <c r="BJ236" s="26"/>
      <c r="BK236" s="26"/>
      <c r="BL236" s="26"/>
      <c r="BM236" s="26"/>
      <c r="BN236" s="26"/>
      <c r="BO236" s="26"/>
      <c r="BP236" s="26"/>
      <c r="BQ236" s="26"/>
      <c r="BR236" s="26"/>
      <c r="BS236" s="26"/>
      <c r="BT236" s="26"/>
      <c r="BU236" s="26"/>
      <c r="BV236" s="26"/>
      <c r="BW236" s="26"/>
      <c r="BX236" s="26"/>
      <c r="BY236" s="26"/>
      <c r="BZ236" s="26"/>
      <c r="CA236" s="26"/>
      <c r="CB236" s="26"/>
      <c r="CC236" s="26"/>
      <c r="CD236" s="26"/>
      <c r="CE236" s="26"/>
      <c r="CF236" s="26"/>
      <c r="CG236" s="26"/>
      <c r="CH236" s="26"/>
      <c r="CI236" s="26"/>
    </row>
    <row r="237" spans="1:87" x14ac:dyDescent="0.25">
      <c r="A237" s="26"/>
      <c r="B237" s="26"/>
      <c r="C237" s="142"/>
      <c r="D237" s="142"/>
      <c r="E237" s="142"/>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c r="AE237" s="26"/>
      <c r="AF237" s="26"/>
      <c r="AG237" s="26"/>
      <c r="AH237" s="26"/>
      <c r="AI237" s="26"/>
      <c r="AJ237" s="26"/>
      <c r="AK237" s="26"/>
      <c r="AL237" s="26"/>
      <c r="AM237" s="26"/>
      <c r="AN237" s="26"/>
      <c r="AO237" s="26"/>
      <c r="AP237" s="26"/>
      <c r="AQ237" s="26"/>
      <c r="AR237" s="26"/>
      <c r="AS237" s="26"/>
      <c r="AT237" s="26"/>
      <c r="AU237" s="26"/>
      <c r="AV237" s="26"/>
      <c r="AW237" s="26"/>
      <c r="AX237" s="26"/>
      <c r="AY237" s="26"/>
      <c r="AZ237" s="26"/>
      <c r="BA237" s="26"/>
      <c r="BB237" s="26"/>
      <c r="BC237" s="26"/>
      <c r="BD237" s="26"/>
      <c r="BE237" s="26"/>
      <c r="BF237" s="26"/>
      <c r="BG237" s="26"/>
      <c r="BH237" s="26"/>
      <c r="BI237" s="26"/>
      <c r="BJ237" s="26"/>
      <c r="BK237" s="26"/>
      <c r="BL237" s="26"/>
      <c r="BM237" s="26"/>
      <c r="BN237" s="26"/>
      <c r="BO237" s="26"/>
      <c r="BP237" s="26"/>
      <c r="BQ237" s="26"/>
      <c r="BR237" s="26"/>
      <c r="BS237" s="26"/>
      <c r="BT237" s="26"/>
      <c r="BU237" s="26"/>
      <c r="BV237" s="26"/>
      <c r="BW237" s="26"/>
      <c r="BX237" s="26"/>
      <c r="BY237" s="26"/>
      <c r="BZ237" s="26"/>
      <c r="CA237" s="26"/>
      <c r="CB237" s="26"/>
      <c r="CC237" s="26"/>
      <c r="CD237" s="26"/>
      <c r="CE237" s="26"/>
      <c r="CF237" s="26"/>
      <c r="CG237" s="26"/>
      <c r="CH237" s="26"/>
      <c r="CI237" s="26"/>
    </row>
    <row r="238" spans="1:87" x14ac:dyDescent="0.25">
      <c r="A238" s="26"/>
      <c r="B238" s="26"/>
      <c r="C238" s="142"/>
      <c r="D238" s="142"/>
      <c r="E238" s="142"/>
      <c r="F238" s="26"/>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c r="AD238" s="26"/>
      <c r="AE238" s="26"/>
      <c r="AF238" s="26"/>
      <c r="AG238" s="26"/>
      <c r="AH238" s="26"/>
      <c r="AI238" s="26"/>
      <c r="AJ238" s="26"/>
      <c r="AK238" s="26"/>
      <c r="AL238" s="26"/>
      <c r="AM238" s="26"/>
      <c r="AN238" s="26"/>
      <c r="AO238" s="26"/>
      <c r="AP238" s="26"/>
      <c r="AQ238" s="26"/>
      <c r="AR238" s="26"/>
      <c r="AS238" s="26"/>
      <c r="AT238" s="26"/>
      <c r="AU238" s="26"/>
      <c r="AV238" s="26"/>
      <c r="AW238" s="26"/>
      <c r="AX238" s="26"/>
      <c r="AY238" s="26"/>
      <c r="AZ238" s="26"/>
      <c r="BA238" s="26"/>
      <c r="BB238" s="26"/>
      <c r="BC238" s="26"/>
      <c r="BD238" s="26"/>
      <c r="BE238" s="26"/>
      <c r="BF238" s="26"/>
      <c r="BG238" s="26"/>
      <c r="BH238" s="26"/>
      <c r="BI238" s="26"/>
      <c r="BJ238" s="26"/>
      <c r="BK238" s="26"/>
      <c r="BL238" s="26"/>
      <c r="BM238" s="26"/>
      <c r="BN238" s="26"/>
      <c r="BO238" s="26"/>
      <c r="BP238" s="26"/>
      <c r="BQ238" s="26"/>
      <c r="BR238" s="26"/>
      <c r="BS238" s="26"/>
      <c r="BT238" s="26"/>
      <c r="BU238" s="26"/>
      <c r="BV238" s="26"/>
      <c r="BW238" s="26"/>
      <c r="BX238" s="26"/>
      <c r="BY238" s="26"/>
      <c r="BZ238" s="26"/>
      <c r="CA238" s="26"/>
      <c r="CB238" s="26"/>
      <c r="CC238" s="26"/>
      <c r="CD238" s="26"/>
      <c r="CE238" s="26"/>
      <c r="CF238" s="26"/>
      <c r="CG238" s="26"/>
      <c r="CH238" s="26"/>
      <c r="CI238" s="26"/>
    </row>
    <row r="239" spans="1:87" x14ac:dyDescent="0.25">
      <c r="A239" s="26"/>
      <c r="B239" s="26"/>
      <c r="C239" s="142"/>
      <c r="D239" s="142"/>
      <c r="E239" s="142"/>
      <c r="F239" s="26"/>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c r="AD239" s="26"/>
      <c r="AE239" s="26"/>
      <c r="AF239" s="26"/>
      <c r="AG239" s="26"/>
      <c r="AH239" s="26"/>
      <c r="AI239" s="26"/>
      <c r="AJ239" s="26"/>
      <c r="AK239" s="26"/>
      <c r="AL239" s="26"/>
      <c r="AM239" s="26"/>
      <c r="AN239" s="26"/>
      <c r="AO239" s="26"/>
      <c r="AP239" s="26"/>
      <c r="AQ239" s="26"/>
      <c r="AR239" s="26"/>
      <c r="AS239" s="26"/>
      <c r="AT239" s="26"/>
      <c r="AU239" s="26"/>
      <c r="AV239" s="26"/>
      <c r="AW239" s="26"/>
      <c r="AX239" s="26"/>
      <c r="AY239" s="26"/>
      <c r="AZ239" s="26"/>
      <c r="BA239" s="26"/>
      <c r="BB239" s="26"/>
      <c r="BC239" s="26"/>
      <c r="BD239" s="26"/>
      <c r="BE239" s="26"/>
      <c r="BF239" s="26"/>
      <c r="BG239" s="26"/>
      <c r="BH239" s="26"/>
      <c r="BI239" s="26"/>
      <c r="BJ239" s="26"/>
      <c r="BK239" s="26"/>
      <c r="BL239" s="26"/>
      <c r="BM239" s="26"/>
      <c r="BN239" s="26"/>
      <c r="BO239" s="26"/>
      <c r="BP239" s="26"/>
      <c r="BQ239" s="26"/>
      <c r="BR239" s="26"/>
      <c r="BS239" s="26"/>
      <c r="BT239" s="26"/>
      <c r="BU239" s="26"/>
      <c r="BV239" s="26"/>
      <c r="BW239" s="26"/>
      <c r="BX239" s="26"/>
      <c r="BY239" s="26"/>
      <c r="BZ239" s="26"/>
      <c r="CA239" s="26"/>
      <c r="CB239" s="26"/>
      <c r="CC239" s="26"/>
      <c r="CD239" s="26"/>
      <c r="CE239" s="26"/>
      <c r="CF239" s="26"/>
      <c r="CG239" s="26"/>
      <c r="CH239" s="26"/>
      <c r="CI239" s="26"/>
    </row>
    <row r="240" spans="1:87" x14ac:dyDescent="0.25">
      <c r="A240" s="26"/>
      <c r="B240" s="26"/>
      <c r="C240" s="142"/>
      <c r="D240" s="142"/>
      <c r="E240" s="142"/>
      <c r="F240" s="26"/>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c r="AD240" s="26"/>
      <c r="AE240" s="26"/>
      <c r="AF240" s="26"/>
      <c r="AG240" s="26"/>
      <c r="AH240" s="26"/>
      <c r="AI240" s="26"/>
      <c r="AJ240" s="26"/>
      <c r="AK240" s="26"/>
      <c r="AL240" s="26"/>
      <c r="AM240" s="26"/>
      <c r="AN240" s="26"/>
      <c r="AO240" s="26"/>
      <c r="AP240" s="26"/>
      <c r="AQ240" s="26"/>
      <c r="AR240" s="26"/>
      <c r="AS240" s="26"/>
      <c r="AT240" s="26"/>
      <c r="AU240" s="26"/>
      <c r="AV240" s="26"/>
      <c r="AW240" s="26"/>
      <c r="AX240" s="26"/>
      <c r="AY240" s="26"/>
      <c r="AZ240" s="26"/>
      <c r="BA240" s="26"/>
      <c r="BB240" s="26"/>
      <c r="BC240" s="26"/>
      <c r="BD240" s="26"/>
      <c r="BE240" s="26"/>
      <c r="BF240" s="26"/>
      <c r="BG240" s="26"/>
      <c r="BH240" s="26"/>
      <c r="BI240" s="26"/>
      <c r="BJ240" s="26"/>
      <c r="BK240" s="26"/>
      <c r="BL240" s="26"/>
      <c r="BM240" s="26"/>
      <c r="BN240" s="26"/>
      <c r="BO240" s="26"/>
      <c r="BP240" s="26"/>
      <c r="BQ240" s="26"/>
      <c r="BR240" s="26"/>
      <c r="BS240" s="26"/>
      <c r="BT240" s="26"/>
      <c r="BU240" s="26"/>
      <c r="BV240" s="26"/>
      <c r="BW240" s="26"/>
      <c r="BX240" s="26"/>
      <c r="BY240" s="26"/>
      <c r="BZ240" s="26"/>
      <c r="CA240" s="26"/>
      <c r="CB240" s="26"/>
      <c r="CC240" s="26"/>
      <c r="CD240" s="26"/>
      <c r="CE240" s="26"/>
      <c r="CF240" s="26"/>
      <c r="CG240" s="26"/>
      <c r="CH240" s="26"/>
      <c r="CI240" s="26"/>
    </row>
  </sheetData>
  <conditionalFormatting sqref="K43:BC44">
    <cfRule type="cellIs" dxfId="5" priority="5" operator="lessThan">
      <formula>0</formula>
    </cfRule>
    <cfRule type="cellIs" dxfId="4" priority="6" operator="greaterThan">
      <formula>0</formula>
    </cfRule>
  </conditionalFormatting>
  <conditionalFormatting sqref="BD43:BS44">
    <cfRule type="cellIs" dxfId="3" priority="3" operator="lessThan">
      <formula>0</formula>
    </cfRule>
    <cfRule type="cellIs" dxfId="2" priority="4" operator="greaterThan">
      <formula>0</formula>
    </cfRule>
  </conditionalFormatting>
  <conditionalFormatting sqref="BT43:CI44">
    <cfRule type="cellIs" dxfId="1" priority="1" operator="lessThan">
      <formula>0</formula>
    </cfRule>
    <cfRule type="cellIs" dxfId="0" priority="2" operator="greaterThan">
      <formula>0</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58503-6209-4639-84BC-F7E549E86B6A}">
  <sheetPr>
    <tabColor theme="3" tint="0.79998168889431442"/>
  </sheetPr>
  <dimension ref="A1:AD35"/>
  <sheetViews>
    <sheetView workbookViewId="0">
      <selection activeCell="C9" sqref="C9"/>
    </sheetView>
  </sheetViews>
  <sheetFormatPr baseColWidth="10" defaultRowHeight="15" x14ac:dyDescent="0.25"/>
  <cols>
    <col min="1" max="1" width="26.85546875" customWidth="1"/>
    <col min="4" max="4" width="78.140625" bestFit="1" customWidth="1"/>
  </cols>
  <sheetData>
    <row r="1" spans="1:30" ht="18" x14ac:dyDescent="0.3">
      <c r="A1" s="202" t="s">
        <v>776</v>
      </c>
      <c r="R1" s="40"/>
    </row>
    <row r="2" spans="1:30" x14ac:dyDescent="0.25">
      <c r="A2" t="s">
        <v>777</v>
      </c>
      <c r="R2" s="40"/>
    </row>
    <row r="3" spans="1:30" x14ac:dyDescent="0.25">
      <c r="A3" t="s">
        <v>778</v>
      </c>
      <c r="R3" s="40"/>
    </row>
    <row r="4" spans="1:30" ht="18" x14ac:dyDescent="0.3">
      <c r="A4" s="202" t="s">
        <v>779</v>
      </c>
      <c r="R4" s="40"/>
      <c r="AC4" t="s">
        <v>379</v>
      </c>
      <c r="AD4">
        <v>8</v>
      </c>
    </row>
    <row r="5" spans="1:30" x14ac:dyDescent="0.25">
      <c r="A5" t="s">
        <v>780</v>
      </c>
      <c r="R5" s="40"/>
      <c r="AC5" t="s">
        <v>781</v>
      </c>
      <c r="AD5">
        <v>6</v>
      </c>
    </row>
    <row r="6" spans="1:30" x14ac:dyDescent="0.25">
      <c r="A6" t="s">
        <v>782</v>
      </c>
      <c r="R6" s="40"/>
    </row>
    <row r="7" spans="1:30" x14ac:dyDescent="0.25">
      <c r="A7" t="s">
        <v>783</v>
      </c>
      <c r="R7" s="40"/>
    </row>
    <row r="8" spans="1:30" x14ac:dyDescent="0.25">
      <c r="R8" s="40"/>
    </row>
    <row r="10" spans="1:30" x14ac:dyDescent="0.25">
      <c r="D10" t="s">
        <v>784</v>
      </c>
    </row>
    <row r="12" spans="1:30" x14ac:dyDescent="0.25">
      <c r="D12" t="s">
        <v>785</v>
      </c>
    </row>
    <row r="13" spans="1:30" x14ac:dyDescent="0.25">
      <c r="D13" t="s">
        <v>786</v>
      </c>
    </row>
    <row r="14" spans="1:30" x14ac:dyDescent="0.25">
      <c r="D14" t="s">
        <v>787</v>
      </c>
    </row>
    <row r="16" spans="1:30" x14ac:dyDescent="0.25">
      <c r="D16" t="s">
        <v>788</v>
      </c>
    </row>
    <row r="17" spans="1:18" x14ac:dyDescent="0.25">
      <c r="D17" t="s">
        <v>789</v>
      </c>
    </row>
    <row r="21" spans="1:18" x14ac:dyDescent="0.25">
      <c r="D21" t="s">
        <v>790</v>
      </c>
    </row>
    <row r="22" spans="1:18" x14ac:dyDescent="0.25">
      <c r="D22" t="s">
        <v>791</v>
      </c>
    </row>
    <row r="23" spans="1:18" x14ac:dyDescent="0.25">
      <c r="D23" t="s">
        <v>792</v>
      </c>
    </row>
    <row r="25" spans="1:18" x14ac:dyDescent="0.25">
      <c r="R25" s="40"/>
    </row>
    <row r="26" spans="1:18" x14ac:dyDescent="0.25">
      <c r="A26" t="s">
        <v>793</v>
      </c>
      <c r="R26" s="40"/>
    </row>
    <row r="27" spans="1:18" x14ac:dyDescent="0.25">
      <c r="R27" s="40"/>
    </row>
    <row r="28" spans="1:18" ht="15.75" x14ac:dyDescent="0.25">
      <c r="A28" s="203" t="s">
        <v>794</v>
      </c>
      <c r="R28" s="40"/>
    </row>
    <row r="29" spans="1:18" ht="15.75" x14ac:dyDescent="0.25">
      <c r="A29" s="203" t="s">
        <v>795</v>
      </c>
      <c r="R29" s="40"/>
    </row>
    <row r="30" spans="1:18" ht="15.75" x14ac:dyDescent="0.25">
      <c r="A30" s="203" t="s">
        <v>796</v>
      </c>
      <c r="R30" s="40"/>
    </row>
    <row r="31" spans="1:18" ht="15.75" x14ac:dyDescent="0.25">
      <c r="A31" s="204" t="s">
        <v>797</v>
      </c>
      <c r="R31" s="40"/>
    </row>
    <row r="32" spans="1:18" ht="15.75" x14ac:dyDescent="0.25">
      <c r="A32" s="205" t="s">
        <v>798</v>
      </c>
      <c r="R32" s="40"/>
    </row>
    <row r="33" spans="18:18" x14ac:dyDescent="0.25">
      <c r="R33" s="40"/>
    </row>
    <row r="34" spans="18:18" x14ac:dyDescent="0.25">
      <c r="R34" s="40"/>
    </row>
    <row r="35" spans="18:18" x14ac:dyDescent="0.25">
      <c r="R35" s="40"/>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043EC-DDEC-48C2-9A00-F2EA53D16A84}">
  <sheetPr>
    <tabColor theme="7" tint="0.79998168889431442"/>
  </sheetPr>
  <dimension ref="A1:G270"/>
  <sheetViews>
    <sheetView workbookViewId="0">
      <selection activeCell="E4" sqref="E4"/>
    </sheetView>
  </sheetViews>
  <sheetFormatPr baseColWidth="10" defaultRowHeight="15" x14ac:dyDescent="0.25"/>
  <cols>
    <col min="1" max="1" width="55" bestFit="1" customWidth="1"/>
    <col min="5" max="5" width="25.85546875" bestFit="1" customWidth="1"/>
    <col min="6" max="6" width="10.42578125" bestFit="1" customWidth="1"/>
    <col min="7" max="7" width="68.28515625" customWidth="1"/>
  </cols>
  <sheetData>
    <row r="1" spans="1:7" x14ac:dyDescent="0.25">
      <c r="A1" t="s">
        <v>799</v>
      </c>
      <c r="F1" s="128" t="s">
        <v>800</v>
      </c>
      <c r="G1" s="128"/>
    </row>
    <row r="2" spans="1:7" ht="15.75" thickBot="1" x14ac:dyDescent="0.3">
      <c r="A2" t="s">
        <v>801</v>
      </c>
      <c r="G2" s="206" t="s">
        <v>802</v>
      </c>
    </row>
    <row r="3" spans="1:7" ht="15.75" thickBot="1" x14ac:dyDescent="0.3">
      <c r="G3" s="207"/>
    </row>
    <row r="4" spans="1:7" ht="54" x14ac:dyDescent="0.25">
      <c r="A4" s="91" t="s">
        <v>803</v>
      </c>
      <c r="G4" s="208" t="s">
        <v>804</v>
      </c>
    </row>
    <row r="5" spans="1:7" x14ac:dyDescent="0.25">
      <c r="A5" s="91" t="s">
        <v>262</v>
      </c>
      <c r="G5" s="209"/>
    </row>
    <row r="6" spans="1:7" ht="22.5" x14ac:dyDescent="0.25">
      <c r="A6" s="91" t="s">
        <v>264</v>
      </c>
      <c r="G6" s="208" t="s">
        <v>805</v>
      </c>
    </row>
    <row r="7" spans="1:7" x14ac:dyDescent="0.25">
      <c r="A7" s="91" t="s">
        <v>266</v>
      </c>
      <c r="G7" s="208" t="s">
        <v>806</v>
      </c>
    </row>
    <row r="8" spans="1:7" ht="22.5" x14ac:dyDescent="0.25">
      <c r="A8" s="91" t="s">
        <v>268</v>
      </c>
      <c r="G8" s="208" t="s">
        <v>807</v>
      </c>
    </row>
    <row r="9" spans="1:7" x14ac:dyDescent="0.25">
      <c r="A9" s="91" t="s">
        <v>270</v>
      </c>
      <c r="E9" s="38" t="s">
        <v>808</v>
      </c>
      <c r="F9" s="38"/>
      <c r="G9" s="208" t="s">
        <v>809</v>
      </c>
    </row>
    <row r="10" spans="1:7" x14ac:dyDescent="0.25">
      <c r="A10" s="91" t="s">
        <v>272</v>
      </c>
      <c r="E10" s="38" t="s">
        <v>810</v>
      </c>
      <c r="F10" s="38"/>
    </row>
    <row r="11" spans="1:7" x14ac:dyDescent="0.25">
      <c r="A11" s="91" t="s">
        <v>274</v>
      </c>
      <c r="E11" s="127" t="s">
        <v>811</v>
      </c>
      <c r="F11" s="127" t="s">
        <v>516</v>
      </c>
    </row>
    <row r="12" spans="1:7" x14ac:dyDescent="0.25">
      <c r="A12" s="91" t="s">
        <v>276</v>
      </c>
      <c r="E12" s="125">
        <v>0</v>
      </c>
      <c r="F12" s="210">
        <f>(E12/7)^0.5</f>
        <v>0</v>
      </c>
    </row>
    <row r="13" spans="1:7" x14ac:dyDescent="0.25">
      <c r="A13" s="91" t="s">
        <v>278</v>
      </c>
      <c r="E13" s="125">
        <v>0.5</v>
      </c>
      <c r="F13" s="210">
        <f>(E13/7)^0.5</f>
        <v>0.2672612419124244</v>
      </c>
    </row>
    <row r="14" spans="1:7" x14ac:dyDescent="0.25">
      <c r="A14" s="91" t="s">
        <v>280</v>
      </c>
      <c r="E14" s="125">
        <v>1</v>
      </c>
      <c r="F14" s="210">
        <f>(E14/7)^0.5</f>
        <v>0.3779644730092272</v>
      </c>
    </row>
    <row r="15" spans="1:7" x14ac:dyDescent="0.25">
      <c r="A15" s="91" t="s">
        <v>283</v>
      </c>
      <c r="E15" s="125">
        <v>1.5</v>
      </c>
      <c r="F15" s="210">
        <f t="shared" ref="F15:F26" si="0">(E15/7)^0.5</f>
        <v>0.46291004988627571</v>
      </c>
    </row>
    <row r="16" spans="1:7" x14ac:dyDescent="0.25">
      <c r="A16" s="91" t="s">
        <v>286</v>
      </c>
      <c r="E16" s="125">
        <v>2</v>
      </c>
      <c r="F16" s="210">
        <f t="shared" si="0"/>
        <v>0.53452248382484879</v>
      </c>
    </row>
    <row r="17" spans="1:6" x14ac:dyDescent="0.25">
      <c r="A17" s="91" t="s">
        <v>289</v>
      </c>
      <c r="E17" s="125">
        <v>2.5</v>
      </c>
      <c r="F17" s="210">
        <f t="shared" si="0"/>
        <v>0.59761430466719678</v>
      </c>
    </row>
    <row r="18" spans="1:6" x14ac:dyDescent="0.25">
      <c r="A18" s="91" t="s">
        <v>291</v>
      </c>
      <c r="E18" s="125">
        <v>3</v>
      </c>
      <c r="F18" s="210">
        <f t="shared" si="0"/>
        <v>0.65465367070797709</v>
      </c>
    </row>
    <row r="19" spans="1:6" x14ac:dyDescent="0.25">
      <c r="A19" s="91" t="s">
        <v>294</v>
      </c>
      <c r="E19" s="125">
        <v>3.5</v>
      </c>
      <c r="F19" s="210">
        <f t="shared" si="0"/>
        <v>0.70710678118654757</v>
      </c>
    </row>
    <row r="20" spans="1:6" x14ac:dyDescent="0.25">
      <c r="A20" s="91" t="s">
        <v>297</v>
      </c>
      <c r="E20" s="125">
        <v>4</v>
      </c>
      <c r="F20" s="210">
        <f t="shared" si="0"/>
        <v>0.7559289460184544</v>
      </c>
    </row>
    <row r="21" spans="1:6" x14ac:dyDescent="0.25">
      <c r="A21" s="91" t="s">
        <v>299</v>
      </c>
      <c r="E21" s="125">
        <v>4.5</v>
      </c>
      <c r="F21" s="210">
        <f t="shared" si="0"/>
        <v>0.80178372573727319</v>
      </c>
    </row>
    <row r="22" spans="1:6" x14ac:dyDescent="0.25">
      <c r="A22" s="91" t="s">
        <v>302</v>
      </c>
      <c r="E22" s="125">
        <v>5</v>
      </c>
      <c r="F22" s="210">
        <f t="shared" si="0"/>
        <v>0.84515425472851657</v>
      </c>
    </row>
    <row r="23" spans="1:6" x14ac:dyDescent="0.25">
      <c r="A23" s="91" t="s">
        <v>304</v>
      </c>
      <c r="E23" s="125">
        <v>5.5</v>
      </c>
      <c r="F23" s="210">
        <f t="shared" si="0"/>
        <v>0.88640526042791834</v>
      </c>
    </row>
    <row r="24" spans="1:6" x14ac:dyDescent="0.25">
      <c r="A24" s="91" t="s">
        <v>306</v>
      </c>
      <c r="E24" s="125">
        <v>6</v>
      </c>
      <c r="F24" s="210">
        <f t="shared" si="0"/>
        <v>0.92582009977255142</v>
      </c>
    </row>
    <row r="25" spans="1:6" x14ac:dyDescent="0.25">
      <c r="A25" s="91" t="s">
        <v>308</v>
      </c>
      <c r="E25" s="125">
        <v>6.5</v>
      </c>
      <c r="F25" s="210">
        <f t="shared" si="0"/>
        <v>0.96362411165943151</v>
      </c>
    </row>
    <row r="26" spans="1:6" x14ac:dyDescent="0.25">
      <c r="E26" s="125">
        <v>7</v>
      </c>
      <c r="F26" s="210">
        <f t="shared" si="0"/>
        <v>1</v>
      </c>
    </row>
    <row r="28" spans="1:6" x14ac:dyDescent="0.25">
      <c r="A28" t="s">
        <v>812</v>
      </c>
    </row>
    <row r="29" spans="1:6" x14ac:dyDescent="0.25">
      <c r="A29" t="s">
        <v>811</v>
      </c>
    </row>
    <row r="30" spans="1:6" x14ac:dyDescent="0.25">
      <c r="A30" t="s">
        <v>117</v>
      </c>
    </row>
    <row r="32" spans="1:6" x14ac:dyDescent="0.25">
      <c r="A32" s="91" t="s">
        <v>813</v>
      </c>
    </row>
    <row r="33" spans="1:5" x14ac:dyDescent="0.25">
      <c r="A33" s="91" t="s">
        <v>814</v>
      </c>
    </row>
    <row r="34" spans="1:5" x14ac:dyDescent="0.25">
      <c r="A34" s="91" t="s">
        <v>815</v>
      </c>
    </row>
    <row r="35" spans="1:5" x14ac:dyDescent="0.25">
      <c r="A35" s="91" t="s">
        <v>816</v>
      </c>
    </row>
    <row r="36" spans="1:5" x14ac:dyDescent="0.25">
      <c r="A36" s="91" t="s">
        <v>817</v>
      </c>
    </row>
    <row r="37" spans="1:5" x14ac:dyDescent="0.25">
      <c r="A37" s="91" t="s">
        <v>818</v>
      </c>
    </row>
    <row r="38" spans="1:5" x14ac:dyDescent="0.25">
      <c r="A38" s="91" t="s">
        <v>819</v>
      </c>
    </row>
    <row r="39" spans="1:5" x14ac:dyDescent="0.25">
      <c r="A39" s="91" t="s">
        <v>820</v>
      </c>
    </row>
    <row r="40" spans="1:5" x14ac:dyDescent="0.25">
      <c r="A40" s="91" t="s">
        <v>821</v>
      </c>
      <c r="E40" s="1"/>
    </row>
    <row r="41" spans="1:5" x14ac:dyDescent="0.25">
      <c r="A41" s="91" t="s">
        <v>822</v>
      </c>
      <c r="E41" s="1"/>
    </row>
    <row r="42" spans="1:5" x14ac:dyDescent="0.25">
      <c r="E42" s="1"/>
    </row>
    <row r="44" spans="1:5" x14ac:dyDescent="0.25">
      <c r="A44" t="s">
        <v>823</v>
      </c>
    </row>
    <row r="45" spans="1:5" x14ac:dyDescent="0.25">
      <c r="A45" t="s">
        <v>824</v>
      </c>
    </row>
    <row r="47" spans="1:5" x14ac:dyDescent="0.25">
      <c r="A47" s="91" t="s">
        <v>813</v>
      </c>
    </row>
    <row r="48" spans="1:5" x14ac:dyDescent="0.25">
      <c r="A48" s="91" t="s">
        <v>814</v>
      </c>
    </row>
    <row r="49" spans="1:1" x14ac:dyDescent="0.25">
      <c r="A49" s="91" t="s">
        <v>815</v>
      </c>
    </row>
    <row r="50" spans="1:1" x14ac:dyDescent="0.25">
      <c r="A50" s="91" t="s">
        <v>816</v>
      </c>
    </row>
    <row r="51" spans="1:1" x14ac:dyDescent="0.25">
      <c r="A51" s="91" t="s">
        <v>817</v>
      </c>
    </row>
    <row r="52" spans="1:1" x14ac:dyDescent="0.25">
      <c r="A52" s="91" t="s">
        <v>818</v>
      </c>
    </row>
    <row r="53" spans="1:1" x14ac:dyDescent="0.25">
      <c r="A53" s="91" t="s">
        <v>819</v>
      </c>
    </row>
    <row r="54" spans="1:1" x14ac:dyDescent="0.25">
      <c r="A54" s="91" t="s">
        <v>820</v>
      </c>
    </row>
    <row r="55" spans="1:1" x14ac:dyDescent="0.25">
      <c r="A55" s="91" t="s">
        <v>821</v>
      </c>
    </row>
    <row r="56" spans="1:1" x14ac:dyDescent="0.25">
      <c r="A56" s="91" t="s">
        <v>822</v>
      </c>
    </row>
    <row r="59" spans="1:1" x14ac:dyDescent="0.25">
      <c r="A59" t="s">
        <v>825</v>
      </c>
    </row>
    <row r="61" spans="1:1" x14ac:dyDescent="0.25">
      <c r="A61" s="91" t="s">
        <v>826</v>
      </c>
    </row>
    <row r="62" spans="1:1" x14ac:dyDescent="0.25">
      <c r="A62" s="91" t="s">
        <v>827</v>
      </c>
    </row>
    <row r="63" spans="1:1" x14ac:dyDescent="0.25">
      <c r="A63" s="91" t="s">
        <v>828</v>
      </c>
    </row>
    <row r="64" spans="1:1" x14ac:dyDescent="0.25">
      <c r="A64" s="91" t="s">
        <v>829</v>
      </c>
    </row>
    <row r="65" spans="1:1" x14ac:dyDescent="0.25">
      <c r="A65" s="91" t="s">
        <v>830</v>
      </c>
    </row>
    <row r="66" spans="1:1" x14ac:dyDescent="0.25">
      <c r="A66" s="91" t="s">
        <v>831</v>
      </c>
    </row>
    <row r="67" spans="1:1" x14ac:dyDescent="0.25">
      <c r="A67" s="91" t="s">
        <v>832</v>
      </c>
    </row>
    <row r="68" spans="1:1" x14ac:dyDescent="0.25">
      <c r="A68" s="91" t="s">
        <v>833</v>
      </c>
    </row>
    <row r="69" spans="1:1" x14ac:dyDescent="0.25">
      <c r="A69" s="91" t="s">
        <v>834</v>
      </c>
    </row>
    <row r="70" spans="1:1" x14ac:dyDescent="0.25">
      <c r="A70" s="91" t="s">
        <v>835</v>
      </c>
    </row>
    <row r="71" spans="1:1" x14ac:dyDescent="0.25">
      <c r="A71" s="91" t="s">
        <v>836</v>
      </c>
    </row>
    <row r="74" spans="1:1" x14ac:dyDescent="0.25">
      <c r="A74" t="s">
        <v>837</v>
      </c>
    </row>
    <row r="76" spans="1:1" x14ac:dyDescent="0.25">
      <c r="A76" s="91" t="s">
        <v>826</v>
      </c>
    </row>
    <row r="77" spans="1:1" x14ac:dyDescent="0.25">
      <c r="A77" s="91" t="s">
        <v>838</v>
      </c>
    </row>
    <row r="78" spans="1:1" x14ac:dyDescent="0.25">
      <c r="A78" s="91" t="s">
        <v>839</v>
      </c>
    </row>
    <row r="79" spans="1:1" x14ac:dyDescent="0.25">
      <c r="A79" s="91" t="s">
        <v>840</v>
      </c>
    </row>
    <row r="80" spans="1:1" x14ac:dyDescent="0.25">
      <c r="A80" s="91" t="s">
        <v>841</v>
      </c>
    </row>
    <row r="81" spans="1:1" x14ac:dyDescent="0.25">
      <c r="A81" s="91" t="s">
        <v>842</v>
      </c>
    </row>
    <row r="82" spans="1:1" x14ac:dyDescent="0.25">
      <c r="A82" s="91" t="s">
        <v>843</v>
      </c>
    </row>
    <row r="83" spans="1:1" x14ac:dyDescent="0.25">
      <c r="A83" s="91" t="s">
        <v>844</v>
      </c>
    </row>
    <row r="84" spans="1:1" x14ac:dyDescent="0.25">
      <c r="A84" s="91" t="s">
        <v>845</v>
      </c>
    </row>
    <row r="85" spans="1:1" x14ac:dyDescent="0.25">
      <c r="A85" s="91" t="s">
        <v>846</v>
      </c>
    </row>
    <row r="86" spans="1:1" x14ac:dyDescent="0.25">
      <c r="A86" s="91" t="s">
        <v>847</v>
      </c>
    </row>
    <row r="87" spans="1:1" x14ac:dyDescent="0.25">
      <c r="A87" s="91" t="s">
        <v>835</v>
      </c>
    </row>
    <row r="88" spans="1:1" x14ac:dyDescent="0.25">
      <c r="A88" s="91" t="s">
        <v>836</v>
      </c>
    </row>
    <row r="91" spans="1:1" x14ac:dyDescent="0.25">
      <c r="A91" t="s">
        <v>848</v>
      </c>
    </row>
    <row r="93" spans="1:1" x14ac:dyDescent="0.25">
      <c r="A93" s="91" t="s">
        <v>826</v>
      </c>
    </row>
    <row r="94" spans="1:1" x14ac:dyDescent="0.25">
      <c r="A94" s="91" t="s">
        <v>849</v>
      </c>
    </row>
    <row r="95" spans="1:1" x14ac:dyDescent="0.25">
      <c r="A95" s="91" t="s">
        <v>850</v>
      </c>
    </row>
    <row r="96" spans="1:1" x14ac:dyDescent="0.25">
      <c r="A96" s="91" t="s">
        <v>851</v>
      </c>
    </row>
    <row r="97" spans="1:1" x14ac:dyDescent="0.25">
      <c r="A97" s="91" t="s">
        <v>852</v>
      </c>
    </row>
    <row r="98" spans="1:1" x14ac:dyDescent="0.25">
      <c r="A98" s="91" t="s">
        <v>853</v>
      </c>
    </row>
    <row r="99" spans="1:1" x14ac:dyDescent="0.25">
      <c r="A99" s="91" t="s">
        <v>854</v>
      </c>
    </row>
    <row r="100" spans="1:1" x14ac:dyDescent="0.25">
      <c r="A100" s="91" t="s">
        <v>855</v>
      </c>
    </row>
    <row r="101" spans="1:1" x14ac:dyDescent="0.25">
      <c r="A101" s="91" t="s">
        <v>856</v>
      </c>
    </row>
    <row r="102" spans="1:1" x14ac:dyDescent="0.25">
      <c r="A102" s="91" t="s">
        <v>857</v>
      </c>
    </row>
    <row r="103" spans="1:1" x14ac:dyDescent="0.25">
      <c r="A103" s="91" t="s">
        <v>858</v>
      </c>
    </row>
    <row r="104" spans="1:1" x14ac:dyDescent="0.25">
      <c r="A104" s="91" t="s">
        <v>859</v>
      </c>
    </row>
    <row r="105" spans="1:1" x14ac:dyDescent="0.25">
      <c r="A105" s="91" t="s">
        <v>860</v>
      </c>
    </row>
    <row r="108" spans="1:1" x14ac:dyDescent="0.25">
      <c r="A108" t="s">
        <v>861</v>
      </c>
    </row>
    <row r="110" spans="1:1" x14ac:dyDescent="0.25">
      <c r="A110" s="91" t="s">
        <v>862</v>
      </c>
    </row>
    <row r="111" spans="1:1" x14ac:dyDescent="0.25">
      <c r="A111" s="91" t="s">
        <v>863</v>
      </c>
    </row>
    <row r="112" spans="1:1" x14ac:dyDescent="0.25">
      <c r="A112" s="91" t="s">
        <v>864</v>
      </c>
    </row>
    <row r="113" spans="1:1" x14ac:dyDescent="0.25">
      <c r="A113" s="91" t="s">
        <v>865</v>
      </c>
    </row>
    <row r="114" spans="1:1" x14ac:dyDescent="0.25">
      <c r="A114" s="91" t="s">
        <v>866</v>
      </c>
    </row>
    <row r="115" spans="1:1" x14ac:dyDescent="0.25">
      <c r="A115" s="91" t="s">
        <v>867</v>
      </c>
    </row>
    <row r="116" spans="1:1" x14ac:dyDescent="0.25">
      <c r="A116" s="91" t="s">
        <v>868</v>
      </c>
    </row>
    <row r="117" spans="1:1" x14ac:dyDescent="0.25">
      <c r="A117" s="91" t="s">
        <v>869</v>
      </c>
    </row>
    <row r="120" spans="1:1" x14ac:dyDescent="0.25">
      <c r="A120" t="s">
        <v>870</v>
      </c>
    </row>
    <row r="122" spans="1:1" x14ac:dyDescent="0.25">
      <c r="A122" s="91" t="s">
        <v>871</v>
      </c>
    </row>
    <row r="123" spans="1:1" x14ac:dyDescent="0.25">
      <c r="A123" s="91" t="s">
        <v>872</v>
      </c>
    </row>
    <row r="124" spans="1:1" x14ac:dyDescent="0.25">
      <c r="A124" s="91" t="s">
        <v>873</v>
      </c>
    </row>
    <row r="125" spans="1:1" x14ac:dyDescent="0.25">
      <c r="A125" s="91" t="s">
        <v>874</v>
      </c>
    </row>
    <row r="126" spans="1:1" x14ac:dyDescent="0.25">
      <c r="A126" s="91" t="s">
        <v>875</v>
      </c>
    </row>
    <row r="127" spans="1:1" x14ac:dyDescent="0.25">
      <c r="A127" s="91" t="s">
        <v>876</v>
      </c>
    </row>
    <row r="128" spans="1:1" x14ac:dyDescent="0.25">
      <c r="A128" s="91" t="s">
        <v>877</v>
      </c>
    </row>
    <row r="131" spans="1:1" x14ac:dyDescent="0.25">
      <c r="A131" t="s">
        <v>878</v>
      </c>
    </row>
    <row r="133" spans="1:1" x14ac:dyDescent="0.25">
      <c r="A133" s="91" t="s">
        <v>879</v>
      </c>
    </row>
    <row r="134" spans="1:1" x14ac:dyDescent="0.25">
      <c r="A134" s="91" t="s">
        <v>880</v>
      </c>
    </row>
    <row r="135" spans="1:1" x14ac:dyDescent="0.25">
      <c r="A135" s="91" t="s">
        <v>881</v>
      </c>
    </row>
    <row r="136" spans="1:1" x14ac:dyDescent="0.25">
      <c r="A136" s="91" t="s">
        <v>882</v>
      </c>
    </row>
    <row r="137" spans="1:1" x14ac:dyDescent="0.25">
      <c r="A137" s="91" t="s">
        <v>883</v>
      </c>
    </row>
    <row r="138" spans="1:1" x14ac:dyDescent="0.25">
      <c r="A138" s="91" t="s">
        <v>884</v>
      </c>
    </row>
    <row r="139" spans="1:1" x14ac:dyDescent="0.25">
      <c r="A139" s="91" t="s">
        <v>885</v>
      </c>
    </row>
    <row r="142" spans="1:1" x14ac:dyDescent="0.25">
      <c r="A142" t="s">
        <v>886</v>
      </c>
    </row>
    <row r="144" spans="1:1" x14ac:dyDescent="0.25">
      <c r="A144" s="91" t="s">
        <v>887</v>
      </c>
    </row>
    <row r="145" spans="1:1" x14ac:dyDescent="0.25">
      <c r="A145" s="91" t="s">
        <v>888</v>
      </c>
    </row>
    <row r="146" spans="1:1" x14ac:dyDescent="0.25">
      <c r="A146" s="91" t="s">
        <v>889</v>
      </c>
    </row>
    <row r="147" spans="1:1" x14ac:dyDescent="0.25">
      <c r="A147" s="91" t="s">
        <v>890</v>
      </c>
    </row>
    <row r="148" spans="1:1" x14ac:dyDescent="0.25">
      <c r="A148" s="91" t="s">
        <v>891</v>
      </c>
    </row>
    <row r="149" spans="1:1" x14ac:dyDescent="0.25">
      <c r="A149" s="91" t="s">
        <v>892</v>
      </c>
    </row>
    <row r="150" spans="1:1" x14ac:dyDescent="0.25">
      <c r="A150" s="91" t="s">
        <v>893</v>
      </c>
    </row>
    <row r="153" spans="1:1" x14ac:dyDescent="0.25">
      <c r="A153" t="s">
        <v>894</v>
      </c>
    </row>
    <row r="155" spans="1:1" x14ac:dyDescent="0.25">
      <c r="A155" s="91" t="s">
        <v>895</v>
      </c>
    </row>
    <row r="156" spans="1:1" x14ac:dyDescent="0.25">
      <c r="A156" s="91" t="s">
        <v>896</v>
      </c>
    </row>
    <row r="157" spans="1:1" x14ac:dyDescent="0.25">
      <c r="A157" s="91" t="s">
        <v>897</v>
      </c>
    </row>
    <row r="158" spans="1:1" x14ac:dyDescent="0.25">
      <c r="A158" s="91" t="s">
        <v>898</v>
      </c>
    </row>
    <row r="159" spans="1:1" x14ac:dyDescent="0.25">
      <c r="A159" s="91" t="s">
        <v>899</v>
      </c>
    </row>
    <row r="160" spans="1:1" x14ac:dyDescent="0.25">
      <c r="A160" s="91" t="s">
        <v>900</v>
      </c>
    </row>
    <row r="161" spans="1:1" x14ac:dyDescent="0.25">
      <c r="A161" s="91" t="s">
        <v>901</v>
      </c>
    </row>
    <row r="162" spans="1:1" x14ac:dyDescent="0.25">
      <c r="A162" s="91" t="s">
        <v>902</v>
      </c>
    </row>
    <row r="163" spans="1:1" x14ac:dyDescent="0.25">
      <c r="A163" s="91" t="s">
        <v>903</v>
      </c>
    </row>
    <row r="164" spans="1:1" x14ac:dyDescent="0.25">
      <c r="A164" s="91" t="s">
        <v>904</v>
      </c>
    </row>
    <row r="165" spans="1:1" x14ac:dyDescent="0.25">
      <c r="A165" s="91" t="s">
        <v>905</v>
      </c>
    </row>
    <row r="166" spans="1:1" x14ac:dyDescent="0.25">
      <c r="A166" s="91" t="s">
        <v>906</v>
      </c>
    </row>
    <row r="169" spans="1:1" x14ac:dyDescent="0.25">
      <c r="A169" t="s">
        <v>907</v>
      </c>
    </row>
    <row r="171" spans="1:1" x14ac:dyDescent="0.25">
      <c r="A171" s="91" t="s">
        <v>908</v>
      </c>
    </row>
    <row r="172" spans="1:1" x14ac:dyDescent="0.25">
      <c r="A172" s="91" t="s">
        <v>909</v>
      </c>
    </row>
    <row r="173" spans="1:1" x14ac:dyDescent="0.25">
      <c r="A173" s="91" t="s">
        <v>910</v>
      </c>
    </row>
    <row r="174" spans="1:1" x14ac:dyDescent="0.25">
      <c r="A174" s="91" t="s">
        <v>911</v>
      </c>
    </row>
    <row r="175" spans="1:1" x14ac:dyDescent="0.25">
      <c r="A175" s="91" t="s">
        <v>912</v>
      </c>
    </row>
    <row r="176" spans="1:1" x14ac:dyDescent="0.25">
      <c r="A176" s="91" t="s">
        <v>913</v>
      </c>
    </row>
    <row r="177" spans="1:1" x14ac:dyDescent="0.25">
      <c r="A177" s="91" t="s">
        <v>914</v>
      </c>
    </row>
    <row r="178" spans="1:1" x14ac:dyDescent="0.25">
      <c r="A178" s="91" t="s">
        <v>915</v>
      </c>
    </row>
    <row r="179" spans="1:1" x14ac:dyDescent="0.25">
      <c r="A179" s="91" t="s">
        <v>916</v>
      </c>
    </row>
    <row r="180" spans="1:1" x14ac:dyDescent="0.25">
      <c r="A180" s="91" t="s">
        <v>917</v>
      </c>
    </row>
    <row r="181" spans="1:1" x14ac:dyDescent="0.25">
      <c r="A181" s="91" t="s">
        <v>918</v>
      </c>
    </row>
    <row r="182" spans="1:1" x14ac:dyDescent="0.25">
      <c r="A182" s="206" t="s">
        <v>919</v>
      </c>
    </row>
    <row r="183" spans="1:1" x14ac:dyDescent="0.25">
      <c r="A183" t="s">
        <v>920</v>
      </c>
    </row>
    <row r="184" spans="1:1" x14ac:dyDescent="0.25">
      <c r="A184" s="211" t="s">
        <v>921</v>
      </c>
    </row>
    <row r="185" spans="1:1" x14ac:dyDescent="0.25">
      <c r="A185" s="206" t="s">
        <v>922</v>
      </c>
    </row>
    <row r="188" spans="1:1" x14ac:dyDescent="0.25">
      <c r="A188" t="s">
        <v>923</v>
      </c>
    </row>
    <row r="189" spans="1:1" x14ac:dyDescent="0.25">
      <c r="A189" s="91" t="s">
        <v>924</v>
      </c>
    </row>
    <row r="190" spans="1:1" x14ac:dyDescent="0.25">
      <c r="A190" s="91" t="s">
        <v>925</v>
      </c>
    </row>
    <row r="191" spans="1:1" x14ac:dyDescent="0.25">
      <c r="A191" s="91" t="s">
        <v>926</v>
      </c>
    </row>
    <row r="192" spans="1:1" x14ac:dyDescent="0.25">
      <c r="A192" s="91" t="s">
        <v>927</v>
      </c>
    </row>
    <row r="193" spans="1:1" x14ac:dyDescent="0.25">
      <c r="A193" s="91" t="s">
        <v>928</v>
      </c>
    </row>
    <row r="194" spans="1:1" x14ac:dyDescent="0.25">
      <c r="A194" s="91" t="s">
        <v>929</v>
      </c>
    </row>
    <row r="195" spans="1:1" x14ac:dyDescent="0.25">
      <c r="A195" s="91" t="s">
        <v>930</v>
      </c>
    </row>
    <row r="196" spans="1:1" x14ac:dyDescent="0.25">
      <c r="A196" s="91" t="s">
        <v>931</v>
      </c>
    </row>
    <row r="197" spans="1:1" x14ac:dyDescent="0.25">
      <c r="A197" s="91" t="s">
        <v>932</v>
      </c>
    </row>
    <row r="198" spans="1:1" x14ac:dyDescent="0.25">
      <c r="A198" s="91" t="s">
        <v>933</v>
      </c>
    </row>
    <row r="199" spans="1:1" x14ac:dyDescent="0.25">
      <c r="A199" s="91" t="s">
        <v>934</v>
      </c>
    </row>
    <row r="200" spans="1:1" x14ac:dyDescent="0.25">
      <c r="A200" s="91" t="s">
        <v>935</v>
      </c>
    </row>
    <row r="201" spans="1:1" x14ac:dyDescent="0.25">
      <c r="A201" s="91" t="s">
        <v>936</v>
      </c>
    </row>
    <row r="202" spans="1:1" x14ac:dyDescent="0.25">
      <c r="A202" s="91" t="s">
        <v>937</v>
      </c>
    </row>
    <row r="203" spans="1:1" x14ac:dyDescent="0.25">
      <c r="A203" s="91" t="s">
        <v>938</v>
      </c>
    </row>
    <row r="204" spans="1:1" x14ac:dyDescent="0.25">
      <c r="A204" s="91" t="s">
        <v>939</v>
      </c>
    </row>
    <row r="205" spans="1:1" x14ac:dyDescent="0.25">
      <c r="A205" s="91" t="s">
        <v>940</v>
      </c>
    </row>
    <row r="206" spans="1:1" x14ac:dyDescent="0.25">
      <c r="A206" s="91" t="s">
        <v>941</v>
      </c>
    </row>
    <row r="207" spans="1:1" x14ac:dyDescent="0.25">
      <c r="A207" s="91" t="s">
        <v>942</v>
      </c>
    </row>
    <row r="208" spans="1:1" x14ac:dyDescent="0.25">
      <c r="A208" s="91" t="s">
        <v>943</v>
      </c>
    </row>
    <row r="209" spans="1:1" x14ac:dyDescent="0.25">
      <c r="A209" s="91" t="s">
        <v>944</v>
      </c>
    </row>
    <row r="210" spans="1:1" x14ac:dyDescent="0.25">
      <c r="A210" s="91" t="s">
        <v>945</v>
      </c>
    </row>
    <row r="211" spans="1:1" x14ac:dyDescent="0.25">
      <c r="A211" s="91" t="s">
        <v>946</v>
      </c>
    </row>
    <row r="212" spans="1:1" x14ac:dyDescent="0.25">
      <c r="A212" s="91" t="s">
        <v>947</v>
      </c>
    </row>
    <row r="213" spans="1:1" x14ac:dyDescent="0.25">
      <c r="A213" s="91" t="s">
        <v>948</v>
      </c>
    </row>
    <row r="214" spans="1:1" x14ac:dyDescent="0.25">
      <c r="A214" s="91" t="s">
        <v>949</v>
      </c>
    </row>
    <row r="215" spans="1:1" x14ac:dyDescent="0.25">
      <c r="A215" s="91" t="s">
        <v>950</v>
      </c>
    </row>
    <row r="216" spans="1:1" x14ac:dyDescent="0.25">
      <c r="A216" s="91" t="s">
        <v>951</v>
      </c>
    </row>
    <row r="217" spans="1:1" x14ac:dyDescent="0.25">
      <c r="A217" s="91" t="s">
        <v>952</v>
      </c>
    </row>
    <row r="218" spans="1:1" x14ac:dyDescent="0.25">
      <c r="A218" s="91" t="s">
        <v>953</v>
      </c>
    </row>
    <row r="219" spans="1:1" x14ac:dyDescent="0.25">
      <c r="A219" s="91" t="s">
        <v>954</v>
      </c>
    </row>
    <row r="220" spans="1:1" x14ac:dyDescent="0.25">
      <c r="A220" s="91" t="s">
        <v>955</v>
      </c>
    </row>
    <row r="221" spans="1:1" x14ac:dyDescent="0.25">
      <c r="A221" s="91" t="s">
        <v>956</v>
      </c>
    </row>
    <row r="222" spans="1:1" x14ac:dyDescent="0.25">
      <c r="A222" s="91" t="s">
        <v>957</v>
      </c>
    </row>
    <row r="223" spans="1:1" x14ac:dyDescent="0.25">
      <c r="A223" s="91" t="s">
        <v>958</v>
      </c>
    </row>
    <row r="224" spans="1:1" x14ac:dyDescent="0.25">
      <c r="A224" s="91" t="s">
        <v>959</v>
      </c>
    </row>
    <row r="225" spans="1:1" x14ac:dyDescent="0.25">
      <c r="A225" s="91" t="s">
        <v>960</v>
      </c>
    </row>
    <row r="226" spans="1:1" x14ac:dyDescent="0.25">
      <c r="A226" s="91" t="s">
        <v>961</v>
      </c>
    </row>
    <row r="227" spans="1:1" x14ac:dyDescent="0.25">
      <c r="A227" s="91" t="s">
        <v>962</v>
      </c>
    </row>
    <row r="228" spans="1:1" x14ac:dyDescent="0.25">
      <c r="A228" s="91" t="s">
        <v>963</v>
      </c>
    </row>
    <row r="229" spans="1:1" x14ac:dyDescent="0.25">
      <c r="A229" s="91" t="s">
        <v>964</v>
      </c>
    </row>
    <row r="230" spans="1:1" x14ac:dyDescent="0.25">
      <c r="A230" s="91" t="s">
        <v>965</v>
      </c>
    </row>
    <row r="231" spans="1:1" x14ac:dyDescent="0.25">
      <c r="A231" s="91" t="s">
        <v>966</v>
      </c>
    </row>
    <row r="232" spans="1:1" x14ac:dyDescent="0.25">
      <c r="A232" s="91" t="s">
        <v>967</v>
      </c>
    </row>
    <row r="233" spans="1:1" x14ac:dyDescent="0.25">
      <c r="A233" s="91" t="s">
        <v>968</v>
      </c>
    </row>
    <row r="234" spans="1:1" x14ac:dyDescent="0.25">
      <c r="A234" s="91" t="s">
        <v>969</v>
      </c>
    </row>
    <row r="235" spans="1:1" x14ac:dyDescent="0.25">
      <c r="A235" s="91" t="s">
        <v>970</v>
      </c>
    </row>
    <row r="236" spans="1:1" x14ac:dyDescent="0.25">
      <c r="A236" s="91" t="s">
        <v>971</v>
      </c>
    </row>
    <row r="237" spans="1:1" x14ac:dyDescent="0.25">
      <c r="A237" s="91" t="s">
        <v>972</v>
      </c>
    </row>
    <row r="238" spans="1:1" x14ac:dyDescent="0.25">
      <c r="A238" s="91" t="s">
        <v>973</v>
      </c>
    </row>
    <row r="239" spans="1:1" x14ac:dyDescent="0.25">
      <c r="A239" s="91" t="s">
        <v>974</v>
      </c>
    </row>
    <row r="240" spans="1:1" x14ac:dyDescent="0.25">
      <c r="A240" s="91" t="s">
        <v>975</v>
      </c>
    </row>
    <row r="241" spans="1:1" x14ac:dyDescent="0.25">
      <c r="A241" s="91" t="s">
        <v>976</v>
      </c>
    </row>
    <row r="242" spans="1:1" x14ac:dyDescent="0.25">
      <c r="A242" s="91" t="s">
        <v>977</v>
      </c>
    </row>
    <row r="243" spans="1:1" x14ac:dyDescent="0.25">
      <c r="A243" s="91" t="s">
        <v>978</v>
      </c>
    </row>
    <row r="244" spans="1:1" x14ac:dyDescent="0.25">
      <c r="A244" s="91" t="s">
        <v>979</v>
      </c>
    </row>
    <row r="245" spans="1:1" x14ac:dyDescent="0.25">
      <c r="A245" s="91" t="s">
        <v>980</v>
      </c>
    </row>
    <row r="246" spans="1:1" x14ac:dyDescent="0.25">
      <c r="A246" s="91" t="s">
        <v>981</v>
      </c>
    </row>
    <row r="247" spans="1:1" x14ac:dyDescent="0.25">
      <c r="A247" s="91" t="s">
        <v>982</v>
      </c>
    </row>
    <row r="248" spans="1:1" x14ac:dyDescent="0.25">
      <c r="A248" s="91" t="s">
        <v>983</v>
      </c>
    </row>
    <row r="249" spans="1:1" x14ac:dyDescent="0.25">
      <c r="A249" s="91" t="s">
        <v>984</v>
      </c>
    </row>
    <row r="250" spans="1:1" x14ac:dyDescent="0.25">
      <c r="A250" s="91" t="s">
        <v>520</v>
      </c>
    </row>
    <row r="251" spans="1:1" x14ac:dyDescent="0.25">
      <c r="A251" s="91" t="s">
        <v>521</v>
      </c>
    </row>
    <row r="252" spans="1:1" x14ac:dyDescent="0.25">
      <c r="A252" s="91" t="s">
        <v>522</v>
      </c>
    </row>
    <row r="253" spans="1:1" x14ac:dyDescent="0.25">
      <c r="A253" s="91" t="s">
        <v>523</v>
      </c>
    </row>
    <row r="254" spans="1:1" x14ac:dyDescent="0.25">
      <c r="A254" s="91" t="s">
        <v>524</v>
      </c>
    </row>
    <row r="255" spans="1:1" x14ac:dyDescent="0.25">
      <c r="A255" s="91" t="s">
        <v>525</v>
      </c>
    </row>
    <row r="256" spans="1:1" x14ac:dyDescent="0.25">
      <c r="A256" s="91" t="s">
        <v>526</v>
      </c>
    </row>
    <row r="257" spans="1:1" x14ac:dyDescent="0.25">
      <c r="A257" s="91" t="s">
        <v>527</v>
      </c>
    </row>
    <row r="258" spans="1:1" x14ac:dyDescent="0.25">
      <c r="A258" s="91" t="s">
        <v>528</v>
      </c>
    </row>
    <row r="259" spans="1:1" x14ac:dyDescent="0.25">
      <c r="A259" s="91" t="s">
        <v>529</v>
      </c>
    </row>
    <row r="260" spans="1:1" x14ac:dyDescent="0.25">
      <c r="A260" s="91" t="s">
        <v>530</v>
      </c>
    </row>
    <row r="261" spans="1:1" x14ac:dyDescent="0.25">
      <c r="A261" s="91" t="s">
        <v>531</v>
      </c>
    </row>
    <row r="262" spans="1:1" x14ac:dyDescent="0.25">
      <c r="A262" s="91" t="s">
        <v>532</v>
      </c>
    </row>
    <row r="263" spans="1:1" x14ac:dyDescent="0.25">
      <c r="A263" s="91" t="s">
        <v>533</v>
      </c>
    </row>
    <row r="264" spans="1:1" x14ac:dyDescent="0.25">
      <c r="A264" s="91" t="s">
        <v>534</v>
      </c>
    </row>
    <row r="265" spans="1:1" x14ac:dyDescent="0.25">
      <c r="A265" s="91" t="s">
        <v>535</v>
      </c>
    </row>
    <row r="266" spans="1:1" x14ac:dyDescent="0.25">
      <c r="A266" s="91" t="s">
        <v>536</v>
      </c>
    </row>
    <row r="267" spans="1:1" x14ac:dyDescent="0.25">
      <c r="A267" s="91" t="s">
        <v>537</v>
      </c>
    </row>
    <row r="268" spans="1:1" x14ac:dyDescent="0.25">
      <c r="A268" s="91" t="s">
        <v>538</v>
      </c>
    </row>
    <row r="269" spans="1:1" x14ac:dyDescent="0.25">
      <c r="A269" s="91" t="s">
        <v>539</v>
      </c>
    </row>
    <row r="270" spans="1:1" x14ac:dyDescent="0.25">
      <c r="A270" s="91" t="s">
        <v>540</v>
      </c>
    </row>
  </sheetData>
  <hyperlinks>
    <hyperlink ref="A182" r:id="rId1" display="javascript:ShowSignature('202240386');" xr:uid="{21931CCC-75EC-40D3-B599-D9E1511CCEA9}"/>
    <hyperlink ref="A185" r:id="rId2" tooltip="http://docs.google.com/Doc?docid=0AWl8cQ9-H8RZZDg5Zjg1cV8xMjRka3F2dGQ2&amp;hl=es" display="http://docs.google.com/Doc?docid=0AWl8cQ9-H8RZZDg5Zjg1cV8xMjRka3F2dGQ2&amp;hl=es" xr:uid="{E6C980BB-A501-4AB6-BBBD-2BBF0C18A7A5}"/>
    <hyperlink ref="G2" r:id="rId3" tooltip="/Help/Rules/PlayerAttributes.aspx" display="http://www74.hattrick.org/Help/Rules/PlayerAttributes.aspx" xr:uid="{0A69FBA9-7FF0-4BF3-B79A-9CA26FD3D9A8}"/>
  </hyperlinks>
  <pageMargins left="0.7" right="0.7" top="0.75" bottom="0.75" header="0.3" footer="0.3"/>
  <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041D7-743E-4DE3-87DC-571D73BE5EE1}">
  <sheetPr>
    <tabColor theme="9" tint="0.79998168889431442"/>
  </sheetPr>
  <dimension ref="A1:P32"/>
  <sheetViews>
    <sheetView workbookViewId="0">
      <selection activeCell="P32" sqref="P2:P32"/>
    </sheetView>
  </sheetViews>
  <sheetFormatPr baseColWidth="10" defaultRowHeight="15" x14ac:dyDescent="0.25"/>
  <sheetData>
    <row r="1" spans="1:16" x14ac:dyDescent="0.25">
      <c r="A1" s="212" t="s">
        <v>985</v>
      </c>
    </row>
    <row r="2" spans="1:16" x14ac:dyDescent="0.25">
      <c r="P2" t="s">
        <v>1152</v>
      </c>
    </row>
    <row r="4" spans="1:16" x14ac:dyDescent="0.25">
      <c r="P4" t="s">
        <v>1153</v>
      </c>
    </row>
    <row r="5" spans="1:16" x14ac:dyDescent="0.25">
      <c r="A5" t="s">
        <v>986</v>
      </c>
    </row>
    <row r="6" spans="1:16" x14ac:dyDescent="0.25">
      <c r="A6" t="s">
        <v>987</v>
      </c>
    </row>
    <row r="7" spans="1:16" x14ac:dyDescent="0.25">
      <c r="A7" s="91" t="s">
        <v>988</v>
      </c>
      <c r="H7" s="213" t="s">
        <v>989</v>
      </c>
      <c r="P7" t="s">
        <v>1154</v>
      </c>
    </row>
    <row r="8" spans="1:16" x14ac:dyDescent="0.25">
      <c r="A8" s="91" t="s">
        <v>990</v>
      </c>
      <c r="H8" s="1" t="s">
        <v>991</v>
      </c>
    </row>
    <row r="9" spans="1:16" x14ac:dyDescent="0.25">
      <c r="A9" s="91" t="s">
        <v>992</v>
      </c>
      <c r="F9" t="s">
        <v>993</v>
      </c>
      <c r="H9" s="1" t="s">
        <v>994</v>
      </c>
      <c r="P9" t="s">
        <v>1155</v>
      </c>
    </row>
    <row r="10" spans="1:16" x14ac:dyDescent="0.25">
      <c r="A10" s="91" t="s">
        <v>995</v>
      </c>
      <c r="F10" t="s">
        <v>996</v>
      </c>
      <c r="H10" s="1" t="s">
        <v>997</v>
      </c>
      <c r="P10" t="s">
        <v>1156</v>
      </c>
    </row>
    <row r="11" spans="1:16" x14ac:dyDescent="0.25">
      <c r="A11" s="91" t="s">
        <v>998</v>
      </c>
      <c r="F11" t="s">
        <v>999</v>
      </c>
      <c r="H11" s="1" t="s">
        <v>1000</v>
      </c>
      <c r="P11" t="s">
        <v>1157</v>
      </c>
    </row>
    <row r="12" spans="1:16" x14ac:dyDescent="0.25">
      <c r="A12" s="91" t="s">
        <v>1001</v>
      </c>
      <c r="F12" t="s">
        <v>1002</v>
      </c>
      <c r="H12" s="1" t="s">
        <v>1003</v>
      </c>
      <c r="P12" t="s">
        <v>1158</v>
      </c>
    </row>
    <row r="13" spans="1:16" x14ac:dyDescent="0.25">
      <c r="A13" s="91" t="s">
        <v>1004</v>
      </c>
      <c r="F13" t="s">
        <v>1005</v>
      </c>
      <c r="H13" s="1" t="s">
        <v>1006</v>
      </c>
      <c r="P13" t="s">
        <v>1159</v>
      </c>
    </row>
    <row r="14" spans="1:16" x14ac:dyDescent="0.25">
      <c r="A14" s="91" t="s">
        <v>1007</v>
      </c>
      <c r="F14" t="s">
        <v>1008</v>
      </c>
      <c r="H14" s="1" t="s">
        <v>1009</v>
      </c>
      <c r="P14" t="s">
        <v>1160</v>
      </c>
    </row>
    <row r="15" spans="1:16" x14ac:dyDescent="0.25">
      <c r="H15" s="1" t="s">
        <v>1010</v>
      </c>
      <c r="P15" t="s">
        <v>1161</v>
      </c>
    </row>
    <row r="17" spans="1:16" x14ac:dyDescent="0.25">
      <c r="A17" t="s">
        <v>1011</v>
      </c>
      <c r="P17" t="s">
        <v>1162</v>
      </c>
    </row>
    <row r="18" spans="1:16" x14ac:dyDescent="0.25">
      <c r="A18" t="s">
        <v>1012</v>
      </c>
    </row>
    <row r="19" spans="1:16" x14ac:dyDescent="0.25">
      <c r="A19" t="s">
        <v>1013</v>
      </c>
    </row>
    <row r="20" spans="1:16" x14ac:dyDescent="0.25">
      <c r="A20" t="s">
        <v>1014</v>
      </c>
    </row>
    <row r="21" spans="1:16" x14ac:dyDescent="0.25">
      <c r="A21" t="s">
        <v>1015</v>
      </c>
      <c r="P21" t="s">
        <v>1163</v>
      </c>
    </row>
    <row r="22" spans="1:16" x14ac:dyDescent="0.25">
      <c r="A22" t="s">
        <v>1016</v>
      </c>
    </row>
    <row r="23" spans="1:16" x14ac:dyDescent="0.25">
      <c r="A23" t="s">
        <v>1017</v>
      </c>
      <c r="P23" s="38" t="s">
        <v>1164</v>
      </c>
    </row>
    <row r="25" spans="1:16" x14ac:dyDescent="0.25">
      <c r="A25" t="s">
        <v>1018</v>
      </c>
      <c r="P25" t="s">
        <v>1165</v>
      </c>
    </row>
    <row r="26" spans="1:16" x14ac:dyDescent="0.25">
      <c r="A26" t="s">
        <v>1019</v>
      </c>
      <c r="P26" t="s">
        <v>1166</v>
      </c>
    </row>
    <row r="27" spans="1:16" x14ac:dyDescent="0.25">
      <c r="P27" t="s">
        <v>1167</v>
      </c>
    </row>
    <row r="28" spans="1:16" x14ac:dyDescent="0.25">
      <c r="A28" t="s">
        <v>1020</v>
      </c>
      <c r="P28" t="s">
        <v>1168</v>
      </c>
    </row>
    <row r="29" spans="1:16" x14ac:dyDescent="0.25">
      <c r="A29" t="s">
        <v>1021</v>
      </c>
    </row>
    <row r="30" spans="1:16" x14ac:dyDescent="0.25">
      <c r="A30" t="s">
        <v>1022</v>
      </c>
      <c r="P30" t="s">
        <v>1169</v>
      </c>
    </row>
    <row r="32" spans="1:16" x14ac:dyDescent="0.25">
      <c r="P32" t="s">
        <v>1170</v>
      </c>
    </row>
  </sheetData>
  <hyperlinks>
    <hyperlink ref="A1" r:id="rId1" tooltip="‭(11886114.198)‬" display="http://www77.hattrick.org/Forum/Read.aspx?t=11886114&amp;n=198&amp;v=0&amp;mr=0" xr:uid="{CDE24669-D27C-4892-AF56-DD11B2AD083A}"/>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10393-7FF4-43E7-AB58-5A53CE0FF4EE}">
  <sheetPr>
    <tabColor rgb="FFFFC000"/>
  </sheetPr>
  <dimension ref="A1:A100"/>
  <sheetViews>
    <sheetView workbookViewId="0">
      <selection activeCell="A13" sqref="A13"/>
    </sheetView>
  </sheetViews>
  <sheetFormatPr baseColWidth="10" defaultRowHeight="15" x14ac:dyDescent="0.25"/>
  <cols>
    <col min="1" max="1" width="154.5703125" style="215" customWidth="1"/>
  </cols>
  <sheetData>
    <row r="1" spans="1:1" x14ac:dyDescent="0.25">
      <c r="A1" s="214" t="s">
        <v>1023</v>
      </c>
    </row>
    <row r="2" spans="1:1" ht="45" x14ac:dyDescent="0.25">
      <c r="A2" s="215" t="s">
        <v>1024</v>
      </c>
    </row>
    <row r="3" spans="1:1" x14ac:dyDescent="0.25">
      <c r="A3" s="215" t="s">
        <v>1025</v>
      </c>
    </row>
    <row r="5" spans="1:1" x14ac:dyDescent="0.25">
      <c r="A5" s="214" t="s">
        <v>1026</v>
      </c>
    </row>
    <row r="6" spans="1:1" ht="45" x14ac:dyDescent="0.25">
      <c r="A6" s="215" t="s">
        <v>1027</v>
      </c>
    </row>
    <row r="7" spans="1:1" ht="30" x14ac:dyDescent="0.25">
      <c r="A7" s="215" t="s">
        <v>1028</v>
      </c>
    </row>
    <row r="9" spans="1:1" x14ac:dyDescent="0.25">
      <c r="A9" s="214" t="s">
        <v>1029</v>
      </c>
    </row>
    <row r="10" spans="1:1" ht="45" x14ac:dyDescent="0.25">
      <c r="A10" s="215" t="s">
        <v>1030</v>
      </c>
    </row>
    <row r="12" spans="1:1" x14ac:dyDescent="0.25">
      <c r="A12" s="215" t="s">
        <v>1031</v>
      </c>
    </row>
    <row r="13" spans="1:1" ht="30" x14ac:dyDescent="0.25">
      <c r="A13" s="215" t="s">
        <v>1032</v>
      </c>
    </row>
    <row r="15" spans="1:1" x14ac:dyDescent="0.25">
      <c r="A15" s="215" t="s">
        <v>1033</v>
      </c>
    </row>
    <row r="16" spans="1:1" ht="45" x14ac:dyDescent="0.25">
      <c r="A16" s="215" t="s">
        <v>1034</v>
      </c>
    </row>
    <row r="19" spans="1:1" x14ac:dyDescent="0.25">
      <c r="A19" s="214" t="s">
        <v>1035</v>
      </c>
    </row>
    <row r="20" spans="1:1" ht="60" x14ac:dyDescent="0.25">
      <c r="A20" s="215" t="s">
        <v>1036</v>
      </c>
    </row>
    <row r="22" spans="1:1" x14ac:dyDescent="0.25">
      <c r="A22" s="216" t="s">
        <v>1037</v>
      </c>
    </row>
    <row r="24" spans="1:1" x14ac:dyDescent="0.25">
      <c r="A24" s="214" t="s">
        <v>1038</v>
      </c>
    </row>
    <row r="25" spans="1:1" x14ac:dyDescent="0.25">
      <c r="A25" s="215" t="s">
        <v>1039</v>
      </c>
    </row>
    <row r="27" spans="1:1" x14ac:dyDescent="0.25">
      <c r="A27" s="215" t="s">
        <v>1040</v>
      </c>
    </row>
    <row r="28" spans="1:1" x14ac:dyDescent="0.25">
      <c r="A28" s="215" t="s">
        <v>1041</v>
      </c>
    </row>
    <row r="30" spans="1:1" ht="45" x14ac:dyDescent="0.25">
      <c r="A30" s="215" t="s">
        <v>1042</v>
      </c>
    </row>
    <row r="32" spans="1:1" ht="45" x14ac:dyDescent="0.25">
      <c r="A32" s="215" t="s">
        <v>1043</v>
      </c>
    </row>
    <row r="34" spans="1:1" ht="45" x14ac:dyDescent="0.25">
      <c r="A34" s="215" t="s">
        <v>1044</v>
      </c>
    </row>
    <row r="36" spans="1:1" x14ac:dyDescent="0.25">
      <c r="A36" s="215" t="s">
        <v>1045</v>
      </c>
    </row>
    <row r="37" spans="1:1" ht="90" x14ac:dyDescent="0.25">
      <c r="A37" s="215" t="s">
        <v>1046</v>
      </c>
    </row>
    <row r="38" spans="1:1" ht="30" x14ac:dyDescent="0.25">
      <c r="A38" s="215" t="s">
        <v>1047</v>
      </c>
    </row>
    <row r="40" spans="1:1" ht="45" x14ac:dyDescent="0.25">
      <c r="A40" s="215" t="s">
        <v>1048</v>
      </c>
    </row>
    <row r="42" spans="1:1" x14ac:dyDescent="0.25">
      <c r="A42" s="215" t="s">
        <v>1049</v>
      </c>
    </row>
    <row r="43" spans="1:1" ht="30" x14ac:dyDescent="0.25">
      <c r="A43" s="215" t="s">
        <v>1050</v>
      </c>
    </row>
    <row r="44" spans="1:1" ht="75" x14ac:dyDescent="0.25">
      <c r="A44" s="215" t="s">
        <v>1051</v>
      </c>
    </row>
    <row r="46" spans="1:1" ht="45" x14ac:dyDescent="0.25">
      <c r="A46" s="215" t="s">
        <v>1052</v>
      </c>
    </row>
    <row r="48" spans="1:1" ht="30" x14ac:dyDescent="0.25">
      <c r="A48" s="215" t="s">
        <v>1053</v>
      </c>
    </row>
    <row r="49" spans="1:1" ht="60" x14ac:dyDescent="0.25">
      <c r="A49" s="215" t="s">
        <v>1054</v>
      </c>
    </row>
    <row r="50" spans="1:1" ht="60" x14ac:dyDescent="0.25">
      <c r="A50" s="215" t="s">
        <v>1055</v>
      </c>
    </row>
    <row r="52" spans="1:1" x14ac:dyDescent="0.25">
      <c r="A52" s="215" t="s">
        <v>1056</v>
      </c>
    </row>
    <row r="53" spans="1:1" ht="30" x14ac:dyDescent="0.25">
      <c r="A53" s="215" t="s">
        <v>1057</v>
      </c>
    </row>
    <row r="54" spans="1:1" ht="60" x14ac:dyDescent="0.25">
      <c r="A54" s="215" t="s">
        <v>1058</v>
      </c>
    </row>
    <row r="56" spans="1:1" x14ac:dyDescent="0.25">
      <c r="A56" s="216" t="s">
        <v>1059</v>
      </c>
    </row>
    <row r="58" spans="1:1" x14ac:dyDescent="0.25">
      <c r="A58" s="214" t="s">
        <v>1060</v>
      </c>
    </row>
    <row r="59" spans="1:1" ht="30" x14ac:dyDescent="0.25">
      <c r="A59" s="215" t="s">
        <v>1061</v>
      </c>
    </row>
    <row r="61" spans="1:1" x14ac:dyDescent="0.25">
      <c r="A61" s="215" t="s">
        <v>1062</v>
      </c>
    </row>
    <row r="62" spans="1:1" ht="75" x14ac:dyDescent="0.25">
      <c r="A62" s="215" t="s">
        <v>1063</v>
      </c>
    </row>
    <row r="63" spans="1:1" x14ac:dyDescent="0.25">
      <c r="A63" s="215" t="s">
        <v>1064</v>
      </c>
    </row>
    <row r="65" spans="1:1" x14ac:dyDescent="0.25">
      <c r="A65" s="215" t="s">
        <v>1065</v>
      </c>
    </row>
    <row r="66" spans="1:1" ht="75" x14ac:dyDescent="0.25">
      <c r="A66" s="215" t="s">
        <v>1066</v>
      </c>
    </row>
    <row r="67" spans="1:1" ht="30" x14ac:dyDescent="0.25">
      <c r="A67" s="215" t="s">
        <v>1067</v>
      </c>
    </row>
    <row r="69" spans="1:1" x14ac:dyDescent="0.25">
      <c r="A69" s="216" t="s">
        <v>1068</v>
      </c>
    </row>
    <row r="72" spans="1:1" ht="45" x14ac:dyDescent="0.25">
      <c r="A72" s="215" t="s">
        <v>1069</v>
      </c>
    </row>
    <row r="74" spans="1:1" x14ac:dyDescent="0.25">
      <c r="A74" s="214" t="s">
        <v>1070</v>
      </c>
    </row>
    <row r="75" spans="1:1" x14ac:dyDescent="0.25">
      <c r="A75" s="216" t="s">
        <v>1071</v>
      </c>
    </row>
    <row r="76" spans="1:1" x14ac:dyDescent="0.25">
      <c r="A76" s="216" t="s">
        <v>1072</v>
      </c>
    </row>
    <row r="77" spans="1:1" x14ac:dyDescent="0.25">
      <c r="A77" s="216" t="s">
        <v>1073</v>
      </c>
    </row>
    <row r="78" spans="1:1" x14ac:dyDescent="0.25">
      <c r="A78" s="216" t="s">
        <v>1074</v>
      </c>
    </row>
    <row r="79" spans="1:1" x14ac:dyDescent="0.25">
      <c r="A79" s="216" t="s">
        <v>1075</v>
      </c>
    </row>
    <row r="80" spans="1:1" x14ac:dyDescent="0.25">
      <c r="A80" s="216" t="s">
        <v>1076</v>
      </c>
    </row>
    <row r="85" spans="1:1" x14ac:dyDescent="0.25">
      <c r="A85" s="217" t="s">
        <v>1077</v>
      </c>
    </row>
    <row r="86" spans="1:1" x14ac:dyDescent="0.25">
      <c r="A86" s="217"/>
    </row>
    <row r="87" spans="1:1" x14ac:dyDescent="0.25">
      <c r="A87" s="217" t="s">
        <v>1065</v>
      </c>
    </row>
    <row r="88" spans="1:1" ht="75" x14ac:dyDescent="0.25">
      <c r="A88" s="217" t="s">
        <v>1066</v>
      </c>
    </row>
    <row r="89" spans="1:1" ht="30" x14ac:dyDescent="0.25">
      <c r="A89" s="217" t="s">
        <v>1067</v>
      </c>
    </row>
    <row r="94" spans="1:1" ht="45" x14ac:dyDescent="0.25">
      <c r="A94" s="215" t="s">
        <v>1078</v>
      </c>
    </row>
    <row r="96" spans="1:1" ht="45" x14ac:dyDescent="0.25">
      <c r="A96" s="215" t="s">
        <v>1079</v>
      </c>
    </row>
    <row r="98" spans="1:1" ht="60" x14ac:dyDescent="0.25">
      <c r="A98" s="215" t="s">
        <v>1080</v>
      </c>
    </row>
    <row r="100" spans="1:1" ht="30" x14ac:dyDescent="0.25">
      <c r="A100" s="215" t="s">
        <v>1081</v>
      </c>
    </row>
  </sheetData>
  <hyperlinks>
    <hyperlink ref="A22" r:id="rId1" tooltip="‭(14286771.15)‬" display="http://www78.hattrick.org/Forum/Read.aspx?t=14286771&amp;n=15&amp;v=0&amp;mr=0" xr:uid="{0DD0D39D-5FA2-47D7-B18B-126D8D065796}"/>
    <hyperlink ref="A56" r:id="rId2" tooltip="‭(14286771.17)‬" display="http://www78.hattrick.org/Forum/Read.aspx?t=14286771&amp;n=17&amp;v=0&amp;mr=0" xr:uid="{F3627AB1-05F4-433C-B5AD-5C8C4B8CCF92}"/>
    <hyperlink ref="A69" r:id="rId3" tooltip="‭(14286771.20)‬" display="http://www78.hattrick.org/Forum/Read.aspx?t=14286771&amp;n=20&amp;v=0&amp;mr=0" xr:uid="{D4D4380A-687B-49DD-8018-CDEC243DEEDF}"/>
    <hyperlink ref="A75" r:id="rId4" tooltip="‭(14286771.15)‬" display="http://www78.hattrick.org/Forum/Read.aspx?t=14286771&amp;n=15&amp;v=0&amp;mr=0" xr:uid="{1604C3A1-9A24-4427-B71F-6C0168DFB5A2}"/>
    <hyperlink ref="A76" r:id="rId5" tooltip="‭(14286771.16)‬" display="http://www78.hattrick.org/Forum/Read.aspx?t=14286771&amp;n=16&amp;v=0&amp;mr=0" xr:uid="{98E647F1-A4F1-4465-8587-A6E13AF5B046}"/>
    <hyperlink ref="A77" r:id="rId6" tooltip="‭(14286771.19)‬" display="http://www78.hattrick.org/Forum/Read.aspx?t=14286771&amp;n=19&amp;v=0&amp;mr=0" xr:uid="{641DC0CC-78DA-42D6-BF6F-BD73C88884F8}"/>
    <hyperlink ref="A78" r:id="rId7" tooltip="‭(14286771.21)‬" display="http://www78.hattrick.org/Forum/Read.aspx?t=14286771&amp;n=21&amp;v=0&amp;mr=0" xr:uid="{0ECF1809-84FF-48D9-BACB-4C4154DE9E4E}"/>
    <hyperlink ref="A79" r:id="rId8" tooltip="‭(14286771.22)‬" display="http://www78.hattrick.org/Forum/Read.aspx?t=14286771&amp;n=22&amp;v=0&amp;mr=0" xr:uid="{8FBCC9B4-0F59-4134-BAF8-BEE96452F9F4}"/>
    <hyperlink ref="A80" r:id="rId9" tooltip="‭(14286771.23)‬" display="http://www78.hattrick.org/Forum/Read.aspx?t=14286771&amp;n=23&amp;v=0&amp;mr=0" xr:uid="{7AA7E5E2-F539-4C3C-9EBA-433AC1A2B94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D666A-CC85-487E-B640-64B24C5D3E6B}">
  <sheetPr>
    <tabColor rgb="FF0070C0"/>
  </sheetPr>
  <dimension ref="A1:W37"/>
  <sheetViews>
    <sheetView workbookViewId="0">
      <selection activeCell="G13" sqref="G13"/>
    </sheetView>
  </sheetViews>
  <sheetFormatPr baseColWidth="10" defaultRowHeight="15" x14ac:dyDescent="0.25"/>
  <cols>
    <col min="1" max="1" width="22.42578125" bestFit="1" customWidth="1"/>
    <col min="2" max="2" width="5.85546875" bestFit="1" customWidth="1"/>
    <col min="3" max="3" width="5.28515625" bestFit="1" customWidth="1"/>
    <col min="4" max="4" width="4.85546875" bestFit="1" customWidth="1"/>
    <col min="5" max="5" width="5" bestFit="1" customWidth="1"/>
    <col min="7" max="7" width="22.42578125" bestFit="1" customWidth="1"/>
    <col min="8" max="8" width="5.85546875" bestFit="1" customWidth="1"/>
    <col min="9" max="9" width="5.28515625" bestFit="1" customWidth="1"/>
    <col min="10" max="10" width="4.85546875" bestFit="1" customWidth="1"/>
    <col min="11" max="11" width="4.42578125" bestFit="1" customWidth="1"/>
    <col min="13" max="13" width="22.42578125" bestFit="1" customWidth="1"/>
    <col min="14" max="14" width="5.85546875" bestFit="1" customWidth="1"/>
    <col min="15" max="15" width="5.28515625" bestFit="1" customWidth="1"/>
    <col min="16" max="16" width="4.85546875" bestFit="1" customWidth="1"/>
    <col min="17" max="17" width="4.42578125" bestFit="1" customWidth="1"/>
    <col min="19" max="19" width="22.42578125" bestFit="1" customWidth="1"/>
    <col min="20" max="20" width="9.42578125" bestFit="1" customWidth="1"/>
    <col min="21" max="21" width="5.28515625" bestFit="1" customWidth="1"/>
    <col min="22" max="22" width="4.85546875" bestFit="1" customWidth="1"/>
    <col min="23" max="23" width="5" bestFit="1" customWidth="1"/>
  </cols>
  <sheetData>
    <row r="1" spans="1:23" x14ac:dyDescent="0.25">
      <c r="A1" s="38" t="s">
        <v>44</v>
      </c>
      <c r="B1" s="38" t="s">
        <v>45</v>
      </c>
      <c r="C1" s="38" t="s">
        <v>46</v>
      </c>
      <c r="D1" s="38" t="s">
        <v>47</v>
      </c>
      <c r="E1" s="38" t="s">
        <v>48</v>
      </c>
      <c r="F1" s="38"/>
      <c r="G1" s="38" t="s">
        <v>49</v>
      </c>
      <c r="H1" s="38" t="s">
        <v>45</v>
      </c>
      <c r="I1" s="38" t="s">
        <v>46</v>
      </c>
      <c r="J1" s="38" t="s">
        <v>47</v>
      </c>
      <c r="K1" s="38" t="s">
        <v>48</v>
      </c>
      <c r="L1" s="38"/>
      <c r="M1" s="38" t="s">
        <v>50</v>
      </c>
      <c r="N1" s="38" t="s">
        <v>45</v>
      </c>
      <c r="O1" s="38" t="s">
        <v>46</v>
      </c>
      <c r="P1" s="38" t="s">
        <v>47</v>
      </c>
      <c r="Q1" s="38" t="s">
        <v>48</v>
      </c>
      <c r="R1" s="38"/>
      <c r="S1" s="38" t="s">
        <v>51</v>
      </c>
      <c r="T1" s="38" t="s">
        <v>45</v>
      </c>
      <c r="U1" s="38" t="s">
        <v>46</v>
      </c>
      <c r="V1" s="38" t="s">
        <v>47</v>
      </c>
      <c r="W1" s="38" t="s">
        <v>48</v>
      </c>
    </row>
    <row r="2" spans="1:23" x14ac:dyDescent="0.25">
      <c r="A2" t="s">
        <v>52</v>
      </c>
      <c r="B2">
        <v>2</v>
      </c>
      <c r="C2">
        <v>3</v>
      </c>
      <c r="D2">
        <v>1.5</v>
      </c>
      <c r="E2">
        <f>D2</f>
        <v>1.5</v>
      </c>
      <c r="G2" t="s">
        <v>52</v>
      </c>
      <c r="H2">
        <v>2</v>
      </c>
      <c r="I2">
        <v>3</v>
      </c>
      <c r="J2">
        <v>3</v>
      </c>
      <c r="K2">
        <f>J2</f>
        <v>3</v>
      </c>
      <c r="M2" t="s">
        <v>52</v>
      </c>
      <c r="N2">
        <v>2</v>
      </c>
      <c r="O2">
        <v>3</v>
      </c>
      <c r="P2">
        <v>3</v>
      </c>
      <c r="Q2">
        <f>P2</f>
        <v>3</v>
      </c>
      <c r="S2" t="s">
        <v>52</v>
      </c>
      <c r="T2">
        <v>2</v>
      </c>
      <c r="U2">
        <v>3</v>
      </c>
      <c r="V2">
        <v>1.5</v>
      </c>
      <c r="W2">
        <f>V2</f>
        <v>1.5</v>
      </c>
    </row>
    <row r="3" spans="1:23" x14ac:dyDescent="0.25">
      <c r="A3" t="s">
        <v>53</v>
      </c>
      <c r="B3">
        <v>3</v>
      </c>
      <c r="C3">
        <v>4</v>
      </c>
      <c r="D3">
        <v>2</v>
      </c>
      <c r="E3">
        <f>E2+D3</f>
        <v>3.5</v>
      </c>
      <c r="G3" t="s">
        <v>53</v>
      </c>
      <c r="H3">
        <v>3</v>
      </c>
      <c r="I3">
        <v>4</v>
      </c>
      <c r="J3">
        <v>3</v>
      </c>
      <c r="K3">
        <f>K2+J3</f>
        <v>6</v>
      </c>
      <c r="M3" t="s">
        <v>53</v>
      </c>
      <c r="N3">
        <v>3</v>
      </c>
      <c r="O3">
        <v>4</v>
      </c>
      <c r="P3">
        <v>3</v>
      </c>
      <c r="Q3">
        <f>Q2+P3</f>
        <v>6</v>
      </c>
      <c r="S3" t="s">
        <v>53</v>
      </c>
      <c r="T3">
        <v>3</v>
      </c>
      <c r="U3">
        <v>4</v>
      </c>
      <c r="V3">
        <v>2</v>
      </c>
      <c r="W3">
        <f>W2+V3</f>
        <v>3.5</v>
      </c>
    </row>
    <row r="4" spans="1:23" x14ac:dyDescent="0.25">
      <c r="A4" t="s">
        <v>54</v>
      </c>
      <c r="B4">
        <v>4</v>
      </c>
      <c r="C4">
        <v>5</v>
      </c>
      <c r="D4">
        <v>2</v>
      </c>
      <c r="E4">
        <f t="shared" ref="E4:E18" si="0">E3+D4</f>
        <v>5.5</v>
      </c>
      <c r="G4" t="s">
        <v>54</v>
      </c>
      <c r="H4">
        <v>4</v>
      </c>
      <c r="I4">
        <v>5</v>
      </c>
      <c r="J4">
        <v>4</v>
      </c>
      <c r="K4">
        <f>K3+J4</f>
        <v>10</v>
      </c>
      <c r="M4" t="s">
        <v>54</v>
      </c>
      <c r="N4">
        <v>4</v>
      </c>
      <c r="O4">
        <v>5</v>
      </c>
      <c r="P4">
        <v>3</v>
      </c>
      <c r="Q4">
        <f t="shared" ref="Q4:Q18" si="1">Q3+P4</f>
        <v>9</v>
      </c>
      <c r="S4" t="s">
        <v>54</v>
      </c>
      <c r="T4">
        <v>4</v>
      </c>
      <c r="U4">
        <v>5</v>
      </c>
      <c r="V4">
        <v>2</v>
      </c>
      <c r="W4">
        <f t="shared" ref="W4:W18" si="2">W3+V4</f>
        <v>5.5</v>
      </c>
    </row>
    <row r="5" spans="1:23" x14ac:dyDescent="0.25">
      <c r="A5" t="s">
        <v>55</v>
      </c>
      <c r="B5">
        <v>5</v>
      </c>
      <c r="C5">
        <v>6</v>
      </c>
      <c r="D5">
        <v>2</v>
      </c>
      <c r="E5">
        <f t="shared" si="0"/>
        <v>7.5</v>
      </c>
      <c r="G5" t="s">
        <v>55</v>
      </c>
      <c r="H5">
        <v>5</v>
      </c>
      <c r="I5">
        <v>6</v>
      </c>
      <c r="J5">
        <v>4</v>
      </c>
      <c r="K5">
        <f t="shared" ref="K5:K17" si="3">K4+J5</f>
        <v>14</v>
      </c>
      <c r="M5" t="s">
        <v>55</v>
      </c>
      <c r="N5">
        <v>5</v>
      </c>
      <c r="O5">
        <v>6</v>
      </c>
      <c r="P5">
        <v>3</v>
      </c>
      <c r="Q5">
        <f t="shared" si="1"/>
        <v>12</v>
      </c>
      <c r="S5" t="s">
        <v>55</v>
      </c>
      <c r="T5">
        <v>5</v>
      </c>
      <c r="U5">
        <v>6</v>
      </c>
      <c r="V5">
        <v>3</v>
      </c>
      <c r="W5">
        <f t="shared" si="2"/>
        <v>8.5</v>
      </c>
    </row>
    <row r="6" spans="1:23" x14ac:dyDescent="0.25">
      <c r="A6" t="s">
        <v>56</v>
      </c>
      <c r="B6">
        <v>6</v>
      </c>
      <c r="C6">
        <v>7</v>
      </c>
      <c r="D6">
        <v>3</v>
      </c>
      <c r="E6">
        <f t="shared" si="0"/>
        <v>10.5</v>
      </c>
      <c r="G6" t="s">
        <v>56</v>
      </c>
      <c r="H6">
        <v>6</v>
      </c>
      <c r="I6">
        <v>7</v>
      </c>
      <c r="J6">
        <v>4</v>
      </c>
      <c r="K6">
        <f t="shared" si="3"/>
        <v>18</v>
      </c>
      <c r="M6" t="s">
        <v>56</v>
      </c>
      <c r="N6">
        <v>6</v>
      </c>
      <c r="O6">
        <v>7</v>
      </c>
      <c r="P6">
        <v>4</v>
      </c>
      <c r="Q6">
        <f t="shared" si="1"/>
        <v>16</v>
      </c>
      <c r="S6" t="s">
        <v>56</v>
      </c>
      <c r="T6">
        <v>6</v>
      </c>
      <c r="U6">
        <v>7</v>
      </c>
      <c r="V6">
        <v>2</v>
      </c>
      <c r="W6">
        <f t="shared" si="2"/>
        <v>10.5</v>
      </c>
    </row>
    <row r="7" spans="1:23" x14ac:dyDescent="0.25">
      <c r="A7" t="s">
        <v>57</v>
      </c>
      <c r="B7">
        <v>7</v>
      </c>
      <c r="C7">
        <v>8</v>
      </c>
      <c r="D7">
        <v>3</v>
      </c>
      <c r="E7">
        <f t="shared" si="0"/>
        <v>13.5</v>
      </c>
      <c r="G7" t="s">
        <v>57</v>
      </c>
      <c r="H7">
        <v>7</v>
      </c>
      <c r="I7">
        <v>8</v>
      </c>
      <c r="J7">
        <v>6</v>
      </c>
      <c r="K7">
        <f t="shared" si="3"/>
        <v>24</v>
      </c>
      <c r="M7" t="s">
        <v>57</v>
      </c>
      <c r="N7">
        <v>7</v>
      </c>
      <c r="O7">
        <v>8</v>
      </c>
      <c r="P7">
        <v>5</v>
      </c>
      <c r="Q7">
        <f t="shared" si="1"/>
        <v>21</v>
      </c>
      <c r="S7" t="s">
        <v>57</v>
      </c>
      <c r="T7">
        <v>7</v>
      </c>
      <c r="U7">
        <v>8</v>
      </c>
      <c r="V7">
        <v>4</v>
      </c>
      <c r="W7">
        <f t="shared" si="2"/>
        <v>14.5</v>
      </c>
    </row>
    <row r="8" spans="1:23" x14ac:dyDescent="0.25">
      <c r="A8" t="s">
        <v>58</v>
      </c>
      <c r="B8">
        <v>8</v>
      </c>
      <c r="C8">
        <v>9</v>
      </c>
      <c r="D8">
        <v>3</v>
      </c>
      <c r="E8">
        <f t="shared" si="0"/>
        <v>16.5</v>
      </c>
      <c r="G8" t="s">
        <v>58</v>
      </c>
      <c r="H8">
        <v>8</v>
      </c>
      <c r="I8">
        <v>9</v>
      </c>
      <c r="J8">
        <v>6</v>
      </c>
      <c r="K8">
        <f t="shared" si="3"/>
        <v>30</v>
      </c>
      <c r="M8" t="s">
        <v>58</v>
      </c>
      <c r="N8">
        <v>8</v>
      </c>
      <c r="O8">
        <v>9</v>
      </c>
      <c r="P8">
        <v>5</v>
      </c>
      <c r="Q8">
        <f t="shared" si="1"/>
        <v>26</v>
      </c>
      <c r="S8" t="s">
        <v>58</v>
      </c>
      <c r="T8">
        <v>8</v>
      </c>
      <c r="U8">
        <v>9</v>
      </c>
      <c r="V8">
        <v>3</v>
      </c>
      <c r="W8">
        <f t="shared" si="2"/>
        <v>17.5</v>
      </c>
    </row>
    <row r="9" spans="1:23" x14ac:dyDescent="0.25">
      <c r="A9" t="s">
        <v>59</v>
      </c>
      <c r="B9">
        <v>9</v>
      </c>
      <c r="C9">
        <v>10</v>
      </c>
      <c r="D9">
        <v>4</v>
      </c>
      <c r="E9">
        <f t="shared" si="0"/>
        <v>20.5</v>
      </c>
      <c r="G9" t="s">
        <v>59</v>
      </c>
      <c r="H9">
        <v>9</v>
      </c>
      <c r="I9">
        <v>10</v>
      </c>
      <c r="J9">
        <v>7</v>
      </c>
      <c r="K9">
        <f t="shared" si="3"/>
        <v>37</v>
      </c>
      <c r="M9" t="s">
        <v>59</v>
      </c>
      <c r="N9">
        <v>9</v>
      </c>
      <c r="O9">
        <v>10</v>
      </c>
      <c r="P9">
        <v>7</v>
      </c>
      <c r="Q9">
        <f t="shared" si="1"/>
        <v>33</v>
      </c>
      <c r="S9" t="s">
        <v>59</v>
      </c>
      <c r="T9">
        <v>9</v>
      </c>
      <c r="U9">
        <v>10</v>
      </c>
      <c r="V9">
        <v>5</v>
      </c>
      <c r="W9">
        <f t="shared" si="2"/>
        <v>22.5</v>
      </c>
    </row>
    <row r="10" spans="1:23" x14ac:dyDescent="0.25">
      <c r="A10" t="s">
        <v>60</v>
      </c>
      <c r="B10">
        <v>10</v>
      </c>
      <c r="C10">
        <v>11</v>
      </c>
      <c r="D10">
        <v>5</v>
      </c>
      <c r="E10">
        <f t="shared" si="0"/>
        <v>25.5</v>
      </c>
      <c r="G10" t="s">
        <v>60</v>
      </c>
      <c r="H10">
        <v>10</v>
      </c>
      <c r="I10">
        <v>11</v>
      </c>
      <c r="J10">
        <v>9</v>
      </c>
      <c r="K10">
        <f t="shared" si="3"/>
        <v>46</v>
      </c>
      <c r="M10" t="s">
        <v>60</v>
      </c>
      <c r="N10">
        <v>10</v>
      </c>
      <c r="O10">
        <v>11</v>
      </c>
      <c r="P10">
        <v>7</v>
      </c>
      <c r="Q10">
        <f t="shared" si="1"/>
        <v>40</v>
      </c>
      <c r="S10" t="s">
        <v>60</v>
      </c>
      <c r="T10">
        <v>10</v>
      </c>
      <c r="U10">
        <v>11</v>
      </c>
      <c r="V10">
        <v>5</v>
      </c>
      <c r="W10">
        <f t="shared" si="2"/>
        <v>27.5</v>
      </c>
    </row>
    <row r="11" spans="1:23" x14ac:dyDescent="0.25">
      <c r="A11" t="s">
        <v>61</v>
      </c>
      <c r="B11">
        <v>11</v>
      </c>
      <c r="C11">
        <v>12</v>
      </c>
      <c r="D11">
        <v>5</v>
      </c>
      <c r="E11">
        <f t="shared" si="0"/>
        <v>30.5</v>
      </c>
      <c r="G11" t="s">
        <v>61</v>
      </c>
      <c r="H11">
        <v>11</v>
      </c>
      <c r="I11">
        <v>12</v>
      </c>
      <c r="J11">
        <v>10</v>
      </c>
      <c r="K11">
        <f t="shared" si="3"/>
        <v>56</v>
      </c>
      <c r="M11" t="s">
        <v>61</v>
      </c>
      <c r="N11">
        <v>11</v>
      </c>
      <c r="O11">
        <v>12</v>
      </c>
      <c r="P11">
        <v>8</v>
      </c>
      <c r="Q11">
        <f t="shared" si="1"/>
        <v>48</v>
      </c>
      <c r="S11" t="s">
        <v>61</v>
      </c>
      <c r="T11">
        <v>11</v>
      </c>
      <c r="U11">
        <v>12</v>
      </c>
      <c r="V11">
        <v>5</v>
      </c>
      <c r="W11">
        <f t="shared" si="2"/>
        <v>32.5</v>
      </c>
    </row>
    <row r="12" spans="1:23" x14ac:dyDescent="0.25">
      <c r="A12" t="s">
        <v>62</v>
      </c>
      <c r="B12">
        <v>12</v>
      </c>
      <c r="C12">
        <v>13</v>
      </c>
      <c r="D12">
        <v>6</v>
      </c>
      <c r="E12">
        <f t="shared" si="0"/>
        <v>36.5</v>
      </c>
      <c r="G12" t="s">
        <v>62</v>
      </c>
      <c r="H12">
        <v>12</v>
      </c>
      <c r="I12">
        <v>13</v>
      </c>
      <c r="J12">
        <v>11</v>
      </c>
      <c r="K12">
        <f t="shared" si="3"/>
        <v>67</v>
      </c>
      <c r="M12" t="s">
        <v>62</v>
      </c>
      <c r="N12">
        <v>12</v>
      </c>
      <c r="O12">
        <v>13</v>
      </c>
      <c r="P12">
        <v>10</v>
      </c>
      <c r="Q12">
        <f t="shared" si="1"/>
        <v>58</v>
      </c>
      <c r="S12" t="s">
        <v>62</v>
      </c>
      <c r="T12">
        <v>12</v>
      </c>
      <c r="U12">
        <v>13</v>
      </c>
      <c r="V12">
        <v>7</v>
      </c>
      <c r="W12">
        <f t="shared" si="2"/>
        <v>39.5</v>
      </c>
    </row>
    <row r="13" spans="1:23" x14ac:dyDescent="0.25">
      <c r="A13" t="s">
        <v>63</v>
      </c>
      <c r="B13">
        <v>13</v>
      </c>
      <c r="C13">
        <v>14</v>
      </c>
      <c r="D13">
        <v>7</v>
      </c>
      <c r="E13">
        <f t="shared" si="0"/>
        <v>43.5</v>
      </c>
      <c r="G13" t="s">
        <v>63</v>
      </c>
      <c r="H13">
        <v>13</v>
      </c>
      <c r="I13">
        <v>14</v>
      </c>
      <c r="J13">
        <v>12</v>
      </c>
      <c r="K13">
        <f t="shared" si="3"/>
        <v>79</v>
      </c>
      <c r="M13" t="s">
        <v>63</v>
      </c>
      <c r="N13">
        <v>13</v>
      </c>
      <c r="O13">
        <v>14</v>
      </c>
      <c r="P13">
        <v>10</v>
      </c>
      <c r="Q13">
        <f t="shared" si="1"/>
        <v>68</v>
      </c>
      <c r="S13" t="s">
        <v>63</v>
      </c>
      <c r="T13">
        <v>13</v>
      </c>
      <c r="U13">
        <v>14</v>
      </c>
      <c r="V13">
        <v>7</v>
      </c>
      <c r="W13">
        <f t="shared" si="2"/>
        <v>46.5</v>
      </c>
    </row>
    <row r="14" spans="1:23" x14ac:dyDescent="0.25">
      <c r="A14" t="s">
        <v>64</v>
      </c>
      <c r="B14">
        <v>14</v>
      </c>
      <c r="C14">
        <v>15</v>
      </c>
      <c r="D14">
        <v>8</v>
      </c>
      <c r="E14">
        <f t="shared" si="0"/>
        <v>51.5</v>
      </c>
      <c r="G14" t="s">
        <v>64</v>
      </c>
      <c r="H14">
        <v>14</v>
      </c>
      <c r="I14">
        <v>15</v>
      </c>
      <c r="J14">
        <v>16</v>
      </c>
      <c r="K14">
        <f t="shared" si="3"/>
        <v>95</v>
      </c>
      <c r="M14" t="s">
        <v>64</v>
      </c>
      <c r="N14">
        <v>14</v>
      </c>
      <c r="O14">
        <v>15</v>
      </c>
      <c r="P14">
        <v>13</v>
      </c>
      <c r="Q14">
        <f t="shared" si="1"/>
        <v>81</v>
      </c>
      <c r="S14" t="s">
        <v>64</v>
      </c>
      <c r="T14">
        <v>14</v>
      </c>
      <c r="U14">
        <v>15</v>
      </c>
      <c r="V14">
        <v>9</v>
      </c>
      <c r="W14">
        <f t="shared" si="2"/>
        <v>55.5</v>
      </c>
    </row>
    <row r="15" spans="1:23" x14ac:dyDescent="0.25">
      <c r="A15" t="s">
        <v>65</v>
      </c>
      <c r="B15">
        <v>15</v>
      </c>
      <c r="C15">
        <v>16</v>
      </c>
      <c r="D15">
        <v>10</v>
      </c>
      <c r="E15">
        <f t="shared" si="0"/>
        <v>61.5</v>
      </c>
      <c r="G15" t="s">
        <v>65</v>
      </c>
      <c r="H15">
        <v>15</v>
      </c>
      <c r="I15">
        <v>16</v>
      </c>
      <c r="J15">
        <v>18</v>
      </c>
      <c r="K15">
        <f t="shared" si="3"/>
        <v>113</v>
      </c>
      <c r="M15" t="s">
        <v>65</v>
      </c>
      <c r="N15">
        <v>15</v>
      </c>
      <c r="O15">
        <v>16</v>
      </c>
      <c r="P15">
        <v>15</v>
      </c>
      <c r="Q15">
        <f t="shared" si="1"/>
        <v>96</v>
      </c>
      <c r="S15" t="s">
        <v>65</v>
      </c>
      <c r="T15">
        <v>15</v>
      </c>
      <c r="U15">
        <v>16</v>
      </c>
      <c r="V15">
        <v>10</v>
      </c>
      <c r="W15">
        <f t="shared" si="2"/>
        <v>65.5</v>
      </c>
    </row>
    <row r="16" spans="1:23" x14ac:dyDescent="0.25">
      <c r="A16" t="s">
        <v>66</v>
      </c>
      <c r="B16">
        <v>16</v>
      </c>
      <c r="C16">
        <v>17</v>
      </c>
      <c r="D16">
        <v>11</v>
      </c>
      <c r="E16">
        <f t="shared" si="0"/>
        <v>72.5</v>
      </c>
      <c r="G16" t="s">
        <v>66</v>
      </c>
      <c r="H16">
        <v>16</v>
      </c>
      <c r="I16">
        <v>17</v>
      </c>
      <c r="J16">
        <v>23</v>
      </c>
      <c r="K16">
        <f t="shared" si="3"/>
        <v>136</v>
      </c>
      <c r="M16" t="s">
        <v>66</v>
      </c>
      <c r="N16">
        <v>16</v>
      </c>
      <c r="O16">
        <v>17</v>
      </c>
      <c r="P16">
        <v>19</v>
      </c>
      <c r="Q16">
        <f t="shared" si="1"/>
        <v>115</v>
      </c>
      <c r="S16" t="s">
        <v>66</v>
      </c>
      <c r="T16">
        <v>16</v>
      </c>
      <c r="U16">
        <v>17</v>
      </c>
      <c r="V16">
        <v>12</v>
      </c>
      <c r="W16">
        <f t="shared" si="2"/>
        <v>77.5</v>
      </c>
    </row>
    <row r="17" spans="1:23" x14ac:dyDescent="0.25">
      <c r="A17" t="s">
        <v>67</v>
      </c>
      <c r="B17">
        <v>17</v>
      </c>
      <c r="C17">
        <v>18</v>
      </c>
      <c r="D17">
        <v>14</v>
      </c>
      <c r="E17">
        <f t="shared" si="0"/>
        <v>86.5</v>
      </c>
      <c r="G17" t="s">
        <v>67</v>
      </c>
      <c r="H17">
        <v>17</v>
      </c>
      <c r="I17">
        <v>18</v>
      </c>
      <c r="J17">
        <v>36</v>
      </c>
      <c r="K17">
        <f t="shared" si="3"/>
        <v>172</v>
      </c>
      <c r="M17" t="s">
        <v>67</v>
      </c>
      <c r="N17">
        <v>17</v>
      </c>
      <c r="O17">
        <v>18</v>
      </c>
      <c r="P17">
        <v>26</v>
      </c>
      <c r="Q17">
        <f t="shared" si="1"/>
        <v>141</v>
      </c>
      <c r="S17" t="s">
        <v>67</v>
      </c>
      <c r="T17">
        <v>17</v>
      </c>
      <c r="U17">
        <v>18</v>
      </c>
      <c r="V17">
        <v>15</v>
      </c>
      <c r="W17">
        <f t="shared" si="2"/>
        <v>92.5</v>
      </c>
    </row>
    <row r="18" spans="1:23" x14ac:dyDescent="0.25">
      <c r="A18" t="s">
        <v>68</v>
      </c>
      <c r="B18">
        <v>18</v>
      </c>
      <c r="C18">
        <v>19</v>
      </c>
      <c r="D18">
        <v>19</v>
      </c>
      <c r="E18">
        <f t="shared" si="0"/>
        <v>105.5</v>
      </c>
      <c r="G18" t="s">
        <v>68</v>
      </c>
      <c r="H18">
        <v>18</v>
      </c>
      <c r="I18">
        <v>19</v>
      </c>
      <c r="M18" t="s">
        <v>68</v>
      </c>
      <c r="N18">
        <v>18</v>
      </c>
      <c r="O18">
        <v>19</v>
      </c>
      <c r="P18">
        <v>58</v>
      </c>
      <c r="Q18">
        <f t="shared" si="1"/>
        <v>199</v>
      </c>
      <c r="S18" t="s">
        <v>68</v>
      </c>
      <c r="T18">
        <v>18</v>
      </c>
      <c r="U18">
        <v>19</v>
      </c>
      <c r="V18">
        <v>21</v>
      </c>
      <c r="W18">
        <f t="shared" si="2"/>
        <v>113.5</v>
      </c>
    </row>
    <row r="20" spans="1:23" x14ac:dyDescent="0.25">
      <c r="A20" s="38" t="s">
        <v>69</v>
      </c>
      <c r="B20" s="38" t="s">
        <v>45</v>
      </c>
      <c r="C20" s="38" t="s">
        <v>46</v>
      </c>
      <c r="D20" s="38" t="s">
        <v>47</v>
      </c>
      <c r="E20" s="38" t="s">
        <v>48</v>
      </c>
      <c r="G20" s="38" t="s">
        <v>70</v>
      </c>
      <c r="H20" s="38" t="s">
        <v>45</v>
      </c>
      <c r="I20" s="38" t="s">
        <v>46</v>
      </c>
      <c r="J20" s="38" t="s">
        <v>47</v>
      </c>
      <c r="K20" s="38" t="s">
        <v>48</v>
      </c>
      <c r="M20" s="38" t="s">
        <v>71</v>
      </c>
      <c r="N20" s="38" t="s">
        <v>45</v>
      </c>
      <c r="O20" s="38" t="s">
        <v>46</v>
      </c>
      <c r="P20" s="38" t="s">
        <v>47</v>
      </c>
      <c r="Q20" s="38" t="s">
        <v>48</v>
      </c>
      <c r="S20" s="38" t="s">
        <v>10</v>
      </c>
      <c r="T20">
        <v>19</v>
      </c>
    </row>
    <row r="21" spans="1:23" x14ac:dyDescent="0.25">
      <c r="A21" t="s">
        <v>52</v>
      </c>
      <c r="B21">
        <v>2</v>
      </c>
      <c r="C21">
        <v>3</v>
      </c>
      <c r="D21">
        <v>2</v>
      </c>
      <c r="E21">
        <f>D21</f>
        <v>2</v>
      </c>
      <c r="G21" t="s">
        <v>52</v>
      </c>
      <c r="H21">
        <v>2</v>
      </c>
      <c r="I21">
        <v>3</v>
      </c>
      <c r="J21">
        <v>2</v>
      </c>
      <c r="K21">
        <f>J21</f>
        <v>2</v>
      </c>
      <c r="M21" t="s">
        <v>52</v>
      </c>
      <c r="N21">
        <v>2</v>
      </c>
      <c r="O21">
        <v>3</v>
      </c>
      <c r="P21">
        <v>1</v>
      </c>
      <c r="Q21">
        <f>P21</f>
        <v>1</v>
      </c>
      <c r="S21" t="s">
        <v>72</v>
      </c>
      <c r="T21" s="39">
        <v>0.15</v>
      </c>
    </row>
    <row r="22" spans="1:23" x14ac:dyDescent="0.25">
      <c r="A22" t="s">
        <v>53</v>
      </c>
      <c r="B22">
        <v>3</v>
      </c>
      <c r="C22">
        <v>4</v>
      </c>
      <c r="D22">
        <v>2</v>
      </c>
      <c r="E22">
        <f>E21+D22</f>
        <v>4</v>
      </c>
      <c r="G22" t="s">
        <v>53</v>
      </c>
      <c r="H22">
        <v>3</v>
      </c>
      <c r="I22">
        <v>4</v>
      </c>
      <c r="J22">
        <v>3</v>
      </c>
      <c r="K22">
        <f>K21+J22</f>
        <v>5</v>
      </c>
      <c r="M22" t="s">
        <v>53</v>
      </c>
      <c r="N22">
        <v>3</v>
      </c>
      <c r="O22">
        <v>4</v>
      </c>
      <c r="P22">
        <v>1</v>
      </c>
      <c r="Q22">
        <f>Q21+P22</f>
        <v>2</v>
      </c>
      <c r="S22" t="s">
        <v>73</v>
      </c>
      <c r="T22" t="s">
        <v>74</v>
      </c>
    </row>
    <row r="23" spans="1:23" x14ac:dyDescent="0.25">
      <c r="A23" t="s">
        <v>54</v>
      </c>
      <c r="B23">
        <v>4</v>
      </c>
      <c r="C23">
        <v>5</v>
      </c>
      <c r="D23">
        <v>3</v>
      </c>
      <c r="E23">
        <f t="shared" ref="E23:E37" si="4">E22+D23</f>
        <v>7</v>
      </c>
      <c r="G23" t="s">
        <v>54</v>
      </c>
      <c r="H23">
        <v>4</v>
      </c>
      <c r="I23">
        <v>5</v>
      </c>
      <c r="J23">
        <v>3</v>
      </c>
      <c r="K23">
        <f t="shared" ref="K23:K36" si="5">K22+J23</f>
        <v>8</v>
      </c>
      <c r="M23" t="s">
        <v>54</v>
      </c>
      <c r="N23">
        <v>4</v>
      </c>
      <c r="O23">
        <v>5</v>
      </c>
      <c r="P23">
        <v>1</v>
      </c>
      <c r="Q23">
        <f t="shared" ref="Q23:Q37" si="6">Q22+P23</f>
        <v>3</v>
      </c>
      <c r="S23" t="s">
        <v>75</v>
      </c>
      <c r="T23" s="39">
        <v>1</v>
      </c>
    </row>
    <row r="24" spans="1:23" x14ac:dyDescent="0.25">
      <c r="A24" t="s">
        <v>55</v>
      </c>
      <c r="B24">
        <v>5</v>
      </c>
      <c r="C24">
        <v>6</v>
      </c>
      <c r="D24">
        <v>3</v>
      </c>
      <c r="E24">
        <f t="shared" si="4"/>
        <v>10</v>
      </c>
      <c r="G24" t="s">
        <v>55</v>
      </c>
      <c r="H24">
        <v>5</v>
      </c>
      <c r="I24">
        <v>6</v>
      </c>
      <c r="J24">
        <v>4</v>
      </c>
      <c r="K24">
        <f t="shared" si="5"/>
        <v>12</v>
      </c>
      <c r="M24" t="s">
        <v>55</v>
      </c>
      <c r="N24">
        <v>5</v>
      </c>
      <c r="O24">
        <v>6</v>
      </c>
      <c r="P24">
        <v>1</v>
      </c>
      <c r="Q24">
        <f t="shared" si="6"/>
        <v>4</v>
      </c>
    </row>
    <row r="25" spans="1:23" x14ac:dyDescent="0.25">
      <c r="A25" t="s">
        <v>56</v>
      </c>
      <c r="B25">
        <v>6</v>
      </c>
      <c r="C25">
        <v>7</v>
      </c>
      <c r="D25">
        <v>4</v>
      </c>
      <c r="E25">
        <f t="shared" si="4"/>
        <v>14</v>
      </c>
      <c r="G25" t="s">
        <v>56</v>
      </c>
      <c r="H25">
        <v>6</v>
      </c>
      <c r="I25">
        <v>7</v>
      </c>
      <c r="J25">
        <v>4</v>
      </c>
      <c r="K25">
        <f t="shared" si="5"/>
        <v>16</v>
      </c>
      <c r="M25" t="s">
        <v>56</v>
      </c>
      <c r="N25">
        <v>6</v>
      </c>
      <c r="O25">
        <v>7</v>
      </c>
      <c r="P25">
        <v>1</v>
      </c>
      <c r="Q25">
        <f t="shared" si="6"/>
        <v>5</v>
      </c>
    </row>
    <row r="26" spans="1:23" x14ac:dyDescent="0.25">
      <c r="A26" t="s">
        <v>57</v>
      </c>
      <c r="B26">
        <v>7</v>
      </c>
      <c r="C26">
        <v>8</v>
      </c>
      <c r="D26">
        <v>4</v>
      </c>
      <c r="E26">
        <f t="shared" si="4"/>
        <v>18</v>
      </c>
      <c r="G26" t="s">
        <v>57</v>
      </c>
      <c r="H26">
        <v>7</v>
      </c>
      <c r="I26">
        <v>8</v>
      </c>
      <c r="J26">
        <v>5</v>
      </c>
      <c r="K26">
        <f t="shared" si="5"/>
        <v>21</v>
      </c>
      <c r="M26" t="s">
        <v>57</v>
      </c>
      <c r="N26">
        <v>7</v>
      </c>
      <c r="O26">
        <v>8</v>
      </c>
      <c r="P26">
        <v>1</v>
      </c>
      <c r="Q26">
        <f t="shared" si="6"/>
        <v>6</v>
      </c>
    </row>
    <row r="27" spans="1:23" x14ac:dyDescent="0.25">
      <c r="A27" t="s">
        <v>58</v>
      </c>
      <c r="B27">
        <v>8</v>
      </c>
      <c r="C27">
        <v>9</v>
      </c>
      <c r="D27">
        <v>5</v>
      </c>
      <c r="E27">
        <f t="shared" si="4"/>
        <v>23</v>
      </c>
      <c r="G27" t="s">
        <v>58</v>
      </c>
      <c r="H27">
        <v>8</v>
      </c>
      <c r="I27">
        <v>9</v>
      </c>
      <c r="J27">
        <v>6</v>
      </c>
      <c r="K27">
        <f t="shared" si="5"/>
        <v>27</v>
      </c>
      <c r="M27" t="s">
        <v>58</v>
      </c>
      <c r="N27">
        <v>8</v>
      </c>
      <c r="O27">
        <v>9</v>
      </c>
      <c r="P27">
        <v>1</v>
      </c>
      <c r="Q27">
        <f t="shared" si="6"/>
        <v>7</v>
      </c>
    </row>
    <row r="28" spans="1:23" x14ac:dyDescent="0.25">
      <c r="A28" t="s">
        <v>59</v>
      </c>
      <c r="B28">
        <v>9</v>
      </c>
      <c r="C28">
        <v>10</v>
      </c>
      <c r="D28">
        <v>6</v>
      </c>
      <c r="E28">
        <f t="shared" si="4"/>
        <v>29</v>
      </c>
      <c r="G28" t="s">
        <v>59</v>
      </c>
      <c r="H28">
        <v>9</v>
      </c>
      <c r="I28">
        <v>10</v>
      </c>
      <c r="J28">
        <v>6</v>
      </c>
      <c r="K28">
        <f t="shared" si="5"/>
        <v>33</v>
      </c>
      <c r="M28" t="s">
        <v>59</v>
      </c>
      <c r="N28">
        <v>9</v>
      </c>
      <c r="O28">
        <v>10</v>
      </c>
      <c r="P28">
        <v>1</v>
      </c>
      <c r="Q28">
        <f t="shared" si="6"/>
        <v>8</v>
      </c>
    </row>
    <row r="29" spans="1:23" x14ac:dyDescent="0.25">
      <c r="A29" t="s">
        <v>60</v>
      </c>
      <c r="B29">
        <v>10</v>
      </c>
      <c r="C29">
        <v>11</v>
      </c>
      <c r="D29">
        <v>7</v>
      </c>
      <c r="E29">
        <f t="shared" si="4"/>
        <v>36</v>
      </c>
      <c r="G29" t="s">
        <v>60</v>
      </c>
      <c r="H29">
        <v>10</v>
      </c>
      <c r="I29">
        <v>11</v>
      </c>
      <c r="J29">
        <v>7</v>
      </c>
      <c r="K29">
        <f t="shared" si="5"/>
        <v>40</v>
      </c>
      <c r="M29" t="s">
        <v>60</v>
      </c>
      <c r="N29">
        <v>10</v>
      </c>
      <c r="O29">
        <v>11</v>
      </c>
      <c r="P29">
        <v>2</v>
      </c>
      <c r="Q29">
        <f t="shared" si="6"/>
        <v>10</v>
      </c>
    </row>
    <row r="30" spans="1:23" x14ac:dyDescent="0.25">
      <c r="A30" t="s">
        <v>61</v>
      </c>
      <c r="B30">
        <v>11</v>
      </c>
      <c r="C30">
        <v>12</v>
      </c>
      <c r="D30">
        <v>7</v>
      </c>
      <c r="E30">
        <f t="shared" si="4"/>
        <v>43</v>
      </c>
      <c r="G30" t="s">
        <v>61</v>
      </c>
      <c r="H30">
        <v>11</v>
      </c>
      <c r="I30">
        <v>12</v>
      </c>
      <c r="J30">
        <v>9</v>
      </c>
      <c r="K30">
        <f t="shared" si="5"/>
        <v>49</v>
      </c>
      <c r="M30" t="s">
        <v>61</v>
      </c>
      <c r="N30">
        <v>11</v>
      </c>
      <c r="O30">
        <v>12</v>
      </c>
      <c r="P30">
        <v>2</v>
      </c>
      <c r="Q30">
        <f t="shared" si="6"/>
        <v>12</v>
      </c>
    </row>
    <row r="31" spans="1:23" x14ac:dyDescent="0.25">
      <c r="A31" t="s">
        <v>62</v>
      </c>
      <c r="B31">
        <v>12</v>
      </c>
      <c r="C31">
        <v>13</v>
      </c>
      <c r="D31">
        <v>9</v>
      </c>
      <c r="E31">
        <f t="shared" si="4"/>
        <v>52</v>
      </c>
      <c r="G31" t="s">
        <v>62</v>
      </c>
      <c r="H31">
        <v>12</v>
      </c>
      <c r="I31">
        <v>13</v>
      </c>
      <c r="J31">
        <v>10</v>
      </c>
      <c r="K31">
        <f t="shared" si="5"/>
        <v>59</v>
      </c>
      <c r="M31" t="s">
        <v>62</v>
      </c>
      <c r="N31">
        <v>12</v>
      </c>
      <c r="O31">
        <v>13</v>
      </c>
      <c r="P31">
        <v>2</v>
      </c>
      <c r="Q31">
        <f t="shared" si="6"/>
        <v>14</v>
      </c>
    </row>
    <row r="32" spans="1:23" x14ac:dyDescent="0.25">
      <c r="A32" t="s">
        <v>63</v>
      </c>
      <c r="B32">
        <v>13</v>
      </c>
      <c r="C32">
        <v>14</v>
      </c>
      <c r="D32">
        <v>10</v>
      </c>
      <c r="E32">
        <f t="shared" si="4"/>
        <v>62</v>
      </c>
      <c r="G32" t="s">
        <v>63</v>
      </c>
      <c r="H32">
        <v>13</v>
      </c>
      <c r="I32">
        <v>14</v>
      </c>
      <c r="J32">
        <v>11</v>
      </c>
      <c r="K32">
        <f t="shared" si="5"/>
        <v>70</v>
      </c>
      <c r="M32" t="s">
        <v>63</v>
      </c>
      <c r="N32">
        <v>13</v>
      </c>
      <c r="O32">
        <v>14</v>
      </c>
      <c r="P32">
        <v>2</v>
      </c>
      <c r="Q32">
        <f t="shared" si="6"/>
        <v>16</v>
      </c>
    </row>
    <row r="33" spans="1:17" x14ac:dyDescent="0.25">
      <c r="A33" t="s">
        <v>64</v>
      </c>
      <c r="B33">
        <v>14</v>
      </c>
      <c r="C33">
        <v>15</v>
      </c>
      <c r="D33">
        <v>12</v>
      </c>
      <c r="E33">
        <f t="shared" si="4"/>
        <v>74</v>
      </c>
      <c r="G33" t="s">
        <v>64</v>
      </c>
      <c r="H33">
        <v>14</v>
      </c>
      <c r="I33">
        <v>15</v>
      </c>
      <c r="J33">
        <v>13</v>
      </c>
      <c r="K33">
        <f t="shared" si="5"/>
        <v>83</v>
      </c>
      <c r="M33" t="s">
        <v>64</v>
      </c>
      <c r="N33">
        <v>14</v>
      </c>
      <c r="O33">
        <v>15</v>
      </c>
      <c r="P33">
        <v>2</v>
      </c>
      <c r="Q33">
        <f t="shared" si="6"/>
        <v>18</v>
      </c>
    </row>
    <row r="34" spans="1:17" x14ac:dyDescent="0.25">
      <c r="A34" t="s">
        <v>65</v>
      </c>
      <c r="B34">
        <v>15</v>
      </c>
      <c r="C34">
        <v>16</v>
      </c>
      <c r="D34">
        <v>14</v>
      </c>
      <c r="E34">
        <f t="shared" si="4"/>
        <v>88</v>
      </c>
      <c r="G34" t="s">
        <v>65</v>
      </c>
      <c r="H34">
        <v>15</v>
      </c>
      <c r="I34">
        <v>16</v>
      </c>
      <c r="J34">
        <v>16</v>
      </c>
      <c r="K34">
        <f t="shared" si="5"/>
        <v>99</v>
      </c>
      <c r="M34" t="s">
        <v>65</v>
      </c>
      <c r="N34">
        <v>15</v>
      </c>
      <c r="O34">
        <v>16</v>
      </c>
      <c r="P34">
        <v>3</v>
      </c>
      <c r="Q34">
        <f t="shared" si="6"/>
        <v>21</v>
      </c>
    </row>
    <row r="35" spans="1:17" x14ac:dyDescent="0.25">
      <c r="A35" t="s">
        <v>66</v>
      </c>
      <c r="B35">
        <v>16</v>
      </c>
      <c r="C35">
        <v>17</v>
      </c>
      <c r="D35">
        <v>17</v>
      </c>
      <c r="E35">
        <f t="shared" si="4"/>
        <v>105</v>
      </c>
      <c r="G35" t="s">
        <v>66</v>
      </c>
      <c r="H35">
        <v>16</v>
      </c>
      <c r="I35">
        <v>17</v>
      </c>
      <c r="J35">
        <v>20</v>
      </c>
      <c r="K35">
        <f t="shared" si="5"/>
        <v>119</v>
      </c>
      <c r="M35" t="s">
        <v>66</v>
      </c>
      <c r="N35">
        <v>16</v>
      </c>
      <c r="O35">
        <v>17</v>
      </c>
      <c r="P35">
        <v>4</v>
      </c>
      <c r="Q35">
        <f t="shared" si="6"/>
        <v>25</v>
      </c>
    </row>
    <row r="36" spans="1:17" x14ac:dyDescent="0.25">
      <c r="A36" t="s">
        <v>67</v>
      </c>
      <c r="B36">
        <v>17</v>
      </c>
      <c r="C36">
        <v>18</v>
      </c>
      <c r="D36">
        <v>23</v>
      </c>
      <c r="E36">
        <f t="shared" si="4"/>
        <v>128</v>
      </c>
      <c r="G36" t="s">
        <v>67</v>
      </c>
      <c r="H36">
        <v>17</v>
      </c>
      <c r="I36">
        <v>18</v>
      </c>
      <c r="J36">
        <v>29</v>
      </c>
      <c r="K36">
        <f t="shared" si="5"/>
        <v>148</v>
      </c>
      <c r="M36" t="s">
        <v>67</v>
      </c>
      <c r="N36">
        <v>17</v>
      </c>
      <c r="O36">
        <v>18</v>
      </c>
      <c r="P36">
        <v>4</v>
      </c>
      <c r="Q36">
        <f t="shared" si="6"/>
        <v>29</v>
      </c>
    </row>
    <row r="37" spans="1:17" x14ac:dyDescent="0.25">
      <c r="A37" t="s">
        <v>68</v>
      </c>
      <c r="B37">
        <v>18</v>
      </c>
      <c r="C37">
        <v>19</v>
      </c>
      <c r="D37">
        <v>41</v>
      </c>
      <c r="E37">
        <f t="shared" si="4"/>
        <v>169</v>
      </c>
      <c r="G37" t="s">
        <v>68</v>
      </c>
      <c r="H37">
        <v>18</v>
      </c>
      <c r="I37">
        <v>19</v>
      </c>
      <c r="M37" t="s">
        <v>68</v>
      </c>
      <c r="N37">
        <v>18</v>
      </c>
      <c r="O37">
        <v>19</v>
      </c>
      <c r="P37">
        <v>4</v>
      </c>
      <c r="Q37">
        <f t="shared" si="6"/>
        <v>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DEE30-8361-4B23-81A4-4BC27B8D56F0}">
  <dimension ref="A1:AC30"/>
  <sheetViews>
    <sheetView workbookViewId="0">
      <selection activeCell="N7" sqref="N7"/>
    </sheetView>
  </sheetViews>
  <sheetFormatPr baseColWidth="10" defaultRowHeight="15" x14ac:dyDescent="0.25"/>
  <cols>
    <col min="1" max="1" width="7.140625" bestFit="1" customWidth="1"/>
    <col min="2" max="2" width="21" bestFit="1" customWidth="1"/>
    <col min="3" max="3" width="10.7109375" bestFit="1" customWidth="1"/>
    <col min="4" max="4" width="8.5703125" bestFit="1" customWidth="1"/>
    <col min="5" max="5" width="5.28515625" bestFit="1" customWidth="1"/>
    <col min="6" max="6" width="9.7109375" bestFit="1" customWidth="1"/>
    <col min="7" max="7" width="11.42578125" style="40"/>
    <col min="8" max="8" width="15.5703125" bestFit="1" customWidth="1"/>
    <col min="10" max="10" width="4.5703125" bestFit="1" customWidth="1"/>
    <col min="11" max="11" width="5.140625" bestFit="1" customWidth="1"/>
    <col min="12" max="14" width="4.5703125" bestFit="1" customWidth="1"/>
    <col min="15" max="15" width="4.5703125" customWidth="1"/>
    <col min="16" max="16" width="7.140625" bestFit="1" customWidth="1"/>
    <col min="17" max="18" width="7.140625" customWidth="1"/>
    <col min="19" max="19" width="12.42578125" bestFit="1" customWidth="1"/>
    <col min="20" max="21" width="6.28515625" style="40" bestFit="1" customWidth="1"/>
    <col min="22" max="22" width="6.28515625" bestFit="1" customWidth="1"/>
    <col min="23" max="23" width="5.5703125" bestFit="1" customWidth="1"/>
    <col min="24" max="25" width="6.140625" bestFit="1" customWidth="1"/>
    <col min="26" max="27" width="7.5703125" style="40" bestFit="1" customWidth="1"/>
    <col min="28" max="29" width="6.140625" style="40" bestFit="1" customWidth="1"/>
  </cols>
  <sheetData>
    <row r="1" spans="1:29" x14ac:dyDescent="0.25">
      <c r="A1" s="229"/>
      <c r="B1" s="229" t="s">
        <v>1171</v>
      </c>
      <c r="C1" s="229">
        <v>4.4543999999999997</v>
      </c>
      <c r="D1" s="229"/>
      <c r="E1" s="229"/>
      <c r="F1" s="229">
        <v>3.7054999999999998</v>
      </c>
      <c r="G1" s="243">
        <f>SUM(G3:G17)</f>
        <v>3.7360000000000002</v>
      </c>
      <c r="H1" s="243">
        <f>SUM(H3:H17)</f>
        <v>3.5750000000000002</v>
      </c>
      <c r="J1" s="237"/>
      <c r="K1" s="237"/>
      <c r="L1" s="237"/>
      <c r="M1" s="237"/>
      <c r="N1" s="237"/>
      <c r="O1" s="237"/>
      <c r="P1" s="237"/>
      <c r="Q1" s="237"/>
      <c r="R1" s="237"/>
      <c r="S1" s="237"/>
      <c r="T1" s="242"/>
      <c r="U1" s="242"/>
      <c r="V1" s="77">
        <f>SUM(V3:V14)</f>
        <v>1.6799999999999997</v>
      </c>
      <c r="W1" s="77">
        <f>SUM(W3:W14)</f>
        <v>3.5750000000000006</v>
      </c>
      <c r="X1" s="248">
        <f t="shared" ref="X1:Y1" si="0">SUM(X3:X14)</f>
        <v>1.6332217261904769</v>
      </c>
      <c r="Y1" s="248">
        <f t="shared" si="0"/>
        <v>0.87459821428571438</v>
      </c>
      <c r="AB1" s="247">
        <f t="shared" ref="AB1:AC1" si="1">SUM(AB3:AB14)</f>
        <v>0.90986941964285728</v>
      </c>
      <c r="AC1" s="247">
        <f t="shared" si="1"/>
        <v>0.5539654017857143</v>
      </c>
    </row>
    <row r="2" spans="1:29" x14ac:dyDescent="0.25">
      <c r="A2" s="230" t="s">
        <v>1172</v>
      </c>
      <c r="B2" s="230" t="s">
        <v>1173</v>
      </c>
      <c r="C2" s="230" t="s">
        <v>1174</v>
      </c>
      <c r="D2" s="230" t="s">
        <v>1175</v>
      </c>
      <c r="E2" s="230" t="s">
        <v>1217</v>
      </c>
      <c r="F2" s="230" t="s">
        <v>1176</v>
      </c>
      <c r="G2" s="233" t="s">
        <v>1203</v>
      </c>
      <c r="H2" s="233" t="s">
        <v>1204</v>
      </c>
      <c r="J2" s="251"/>
      <c r="K2" s="252"/>
      <c r="L2" s="251" t="s">
        <v>1205</v>
      </c>
      <c r="M2" s="251"/>
      <c r="N2" s="251"/>
      <c r="O2" s="237"/>
      <c r="P2" s="245" t="s">
        <v>1172</v>
      </c>
      <c r="Q2" s="245" t="s">
        <v>1217</v>
      </c>
      <c r="R2" s="245" t="s">
        <v>1203</v>
      </c>
      <c r="S2" s="245" t="s">
        <v>1173</v>
      </c>
      <c r="T2" s="256" t="s">
        <v>1218</v>
      </c>
      <c r="U2" s="266" t="s">
        <v>1219</v>
      </c>
      <c r="V2" s="246" t="s">
        <v>1203</v>
      </c>
      <c r="W2" s="246" t="s">
        <v>1222</v>
      </c>
      <c r="X2" s="258" t="s">
        <v>1223</v>
      </c>
      <c r="Y2" s="266" t="s">
        <v>1224</v>
      </c>
      <c r="Z2" s="258" t="s">
        <v>1225</v>
      </c>
      <c r="AA2" s="266" t="s">
        <v>1226</v>
      </c>
      <c r="AB2" s="258" t="s">
        <v>1227</v>
      </c>
      <c r="AC2" s="266" t="s">
        <v>1228</v>
      </c>
    </row>
    <row r="3" spans="1:29" x14ac:dyDescent="0.25">
      <c r="A3" s="230">
        <v>5</v>
      </c>
      <c r="B3" s="230" t="s">
        <v>1177</v>
      </c>
      <c r="C3" s="230">
        <v>0.55320000000000003</v>
      </c>
      <c r="D3" s="231" t="s">
        <v>1198</v>
      </c>
      <c r="E3" s="230">
        <v>6</v>
      </c>
      <c r="F3" s="230">
        <v>0.48470000000000002</v>
      </c>
      <c r="G3" s="234">
        <v>0.5</v>
      </c>
      <c r="H3" s="236">
        <v>0.45</v>
      </c>
      <c r="J3" s="251" t="s">
        <v>1205</v>
      </c>
      <c r="K3" s="251" t="s">
        <v>1205</v>
      </c>
      <c r="L3" s="251" t="s">
        <v>1205</v>
      </c>
      <c r="M3" s="251" t="s">
        <v>1205</v>
      </c>
      <c r="N3" s="251" t="s">
        <v>1205</v>
      </c>
      <c r="O3" s="237"/>
      <c r="P3" s="238">
        <v>5</v>
      </c>
      <c r="Q3" s="238">
        <v>6</v>
      </c>
      <c r="R3" s="250">
        <v>0.45</v>
      </c>
      <c r="S3" s="238" t="s">
        <v>1207</v>
      </c>
      <c r="T3" s="257">
        <f>COUNTIF(J2:N3,"IMP")</f>
        <v>0</v>
      </c>
      <c r="U3" s="267">
        <f>COUNTIF(J7:N8,"IMP")</f>
        <v>0</v>
      </c>
      <c r="V3" s="249">
        <f>IF(T3+U3=0,0,R3)</f>
        <v>0</v>
      </c>
      <c r="W3" s="249">
        <f>V3*$H$1/$V$1</f>
        <v>0</v>
      </c>
      <c r="X3" s="259">
        <f>IF(W3=0,0,IF(U3=0,W3*T3/Q3,W3*T3/(Q3*2)))</f>
        <v>0</v>
      </c>
      <c r="Y3" s="268">
        <f>IF(W3=0,0,IF(T3=0,W3*U3/Q3,W3*U3/(Q3*2)))</f>
        <v>0</v>
      </c>
      <c r="Z3" s="260">
        <f>$L$16</f>
        <v>0.56999999999999995</v>
      </c>
      <c r="AA3" s="269">
        <f>$M$16</f>
        <v>0.56999999999999995</v>
      </c>
      <c r="AB3" s="259">
        <f>Z3*X3</f>
        <v>0</v>
      </c>
      <c r="AC3" s="268">
        <f>AA3*Y3</f>
        <v>0</v>
      </c>
    </row>
    <row r="4" spans="1:29" x14ac:dyDescent="0.25">
      <c r="A4" s="230">
        <v>6</v>
      </c>
      <c r="B4" s="230" t="s">
        <v>1179</v>
      </c>
      <c r="C4" s="230">
        <v>0.47799999999999998</v>
      </c>
      <c r="D4" s="231" t="s">
        <v>1199</v>
      </c>
      <c r="E4" s="230">
        <v>8</v>
      </c>
      <c r="F4" s="230">
        <v>0.41070000000000001</v>
      </c>
      <c r="G4" s="234">
        <v>0.4</v>
      </c>
      <c r="H4" s="236">
        <v>0.35</v>
      </c>
      <c r="J4" s="251" t="s">
        <v>1206</v>
      </c>
      <c r="K4" s="251" t="s">
        <v>1205</v>
      </c>
      <c r="L4" s="251" t="s">
        <v>1206</v>
      </c>
      <c r="M4" s="251" t="s">
        <v>1205</v>
      </c>
      <c r="N4" s="251" t="s">
        <v>1206</v>
      </c>
      <c r="O4" s="237"/>
      <c r="P4" s="238">
        <v>6</v>
      </c>
      <c r="Q4" s="238">
        <v>8</v>
      </c>
      <c r="R4" s="250">
        <v>0.35</v>
      </c>
      <c r="S4" s="238" t="s">
        <v>1208</v>
      </c>
      <c r="T4" s="257">
        <f>COUNTIF(J4:N5,"IMP")</f>
        <v>0</v>
      </c>
      <c r="U4" s="267">
        <f>COUNTIF(J9:N10,"IMP")</f>
        <v>0</v>
      </c>
      <c r="V4" s="249">
        <f t="shared" ref="V4:V14" si="2">IF(T4+U4=0,0,R4)</f>
        <v>0</v>
      </c>
      <c r="W4" s="249">
        <f t="shared" ref="W4:W14" si="3">V4*$H$1/$V$1</f>
        <v>0</v>
      </c>
      <c r="X4" s="259">
        <f t="shared" ref="X4:X8" si="4">IF(W4=0,0,IF(U4=0,W4*T4/Q4,W4*T4/(Q4*2)))</f>
        <v>0</v>
      </c>
      <c r="Y4" s="268">
        <f t="shared" ref="Y4:Y8" si="5">IF(W4=0,0,IF(T4=0,W4*U4/Q4,W4*U4/(Q4*2)))</f>
        <v>0</v>
      </c>
      <c r="Z4" s="260">
        <f>$L$16</f>
        <v>0.56999999999999995</v>
      </c>
      <c r="AA4" s="269">
        <f>$M$16</f>
        <v>0.56999999999999995</v>
      </c>
      <c r="AB4" s="259">
        <f t="shared" ref="AB4:AB14" si="6">Z4*X4</f>
        <v>0</v>
      </c>
      <c r="AC4" s="268">
        <f t="shared" ref="AC4:AC14" si="7">AA4*Y4</f>
        <v>0</v>
      </c>
    </row>
    <row r="5" spans="1:29" x14ac:dyDescent="0.25">
      <c r="A5" s="230">
        <v>8</v>
      </c>
      <c r="B5" s="230" t="s">
        <v>1180</v>
      </c>
      <c r="C5" s="230">
        <v>0.57599999999999996</v>
      </c>
      <c r="D5" s="231" t="s">
        <v>1200</v>
      </c>
      <c r="E5" s="230">
        <v>13</v>
      </c>
      <c r="F5" s="230">
        <v>0.48930000000000001</v>
      </c>
      <c r="G5" s="234">
        <v>0.5</v>
      </c>
      <c r="H5" s="236">
        <v>0.45</v>
      </c>
      <c r="J5" s="251"/>
      <c r="K5" s="251" t="s">
        <v>1206</v>
      </c>
      <c r="L5" s="251" t="s">
        <v>1205</v>
      </c>
      <c r="M5" s="251" t="s">
        <v>1206</v>
      </c>
      <c r="N5" s="251"/>
      <c r="O5" s="237"/>
      <c r="P5" s="238">
        <v>8</v>
      </c>
      <c r="Q5" s="238">
        <v>13</v>
      </c>
      <c r="R5" s="250">
        <v>0.45</v>
      </c>
      <c r="S5" s="238" t="s">
        <v>1180</v>
      </c>
      <c r="T5" s="257">
        <f>COUNTIF(J3:N5,"IMP")</f>
        <v>0</v>
      </c>
      <c r="U5" s="267">
        <f>COUNTIF(J8:N10,"IMP")</f>
        <v>0</v>
      </c>
      <c r="V5" s="249">
        <f t="shared" si="2"/>
        <v>0</v>
      </c>
      <c r="W5" s="249">
        <f t="shared" si="3"/>
        <v>0</v>
      </c>
      <c r="X5" s="259">
        <f t="shared" si="4"/>
        <v>0</v>
      </c>
      <c r="Y5" s="268">
        <f t="shared" si="5"/>
        <v>0</v>
      </c>
      <c r="Z5" s="260">
        <f>$L$17</f>
        <v>0.45</v>
      </c>
      <c r="AA5" s="269">
        <f>$M$17</f>
        <v>0.45</v>
      </c>
      <c r="AB5" s="259">
        <f t="shared" si="6"/>
        <v>0</v>
      </c>
      <c r="AC5" s="268">
        <f t="shared" si="7"/>
        <v>0</v>
      </c>
    </row>
    <row r="6" spans="1:29" x14ac:dyDescent="0.25">
      <c r="A6" s="230">
        <v>9</v>
      </c>
      <c r="B6" s="230" t="s">
        <v>1181</v>
      </c>
      <c r="C6" s="230">
        <v>2.3400000000000001E-2</v>
      </c>
      <c r="D6" s="231" t="s">
        <v>1199</v>
      </c>
      <c r="E6" s="230">
        <v>8</v>
      </c>
      <c r="F6" s="230">
        <v>2.0199999999999999E-2</v>
      </c>
      <c r="G6" s="234">
        <v>0.02</v>
      </c>
      <c r="H6" s="236">
        <v>0.02</v>
      </c>
      <c r="J6" s="237"/>
      <c r="K6" s="237"/>
      <c r="L6" s="237"/>
      <c r="M6" s="237"/>
      <c r="N6" s="237"/>
      <c r="O6" s="237"/>
      <c r="P6" s="238">
        <v>9</v>
      </c>
      <c r="Q6" s="238">
        <v>8</v>
      </c>
      <c r="R6" s="250">
        <v>0.02</v>
      </c>
      <c r="S6" s="238" t="s">
        <v>1181</v>
      </c>
      <c r="T6" s="257">
        <f>COUNTIF(J8:N8,"IMP")+COUNTIF(K9:M9,"IMP")</f>
        <v>0</v>
      </c>
      <c r="U6" s="267">
        <f>COUNTIF(J3:N3,"IMP")+COUNTIF(K4:M4,"IMP")</f>
        <v>0</v>
      </c>
      <c r="V6" s="249">
        <f t="shared" si="2"/>
        <v>0</v>
      </c>
      <c r="W6" s="249">
        <f t="shared" si="3"/>
        <v>0</v>
      </c>
      <c r="X6" s="259">
        <f t="shared" si="4"/>
        <v>0</v>
      </c>
      <c r="Y6" s="268">
        <f t="shared" si="5"/>
        <v>0</v>
      </c>
      <c r="Z6" s="260">
        <f>$L$17</f>
        <v>0.45</v>
      </c>
      <c r="AA6" s="269">
        <f>$M$17</f>
        <v>0.45</v>
      </c>
      <c r="AB6" s="259">
        <f t="shared" si="6"/>
        <v>0</v>
      </c>
      <c r="AC6" s="268">
        <f t="shared" si="7"/>
        <v>0</v>
      </c>
    </row>
    <row r="7" spans="1:29" x14ac:dyDescent="0.25">
      <c r="A7" s="230">
        <v>15</v>
      </c>
      <c r="B7" s="230" t="s">
        <v>1182</v>
      </c>
      <c r="C7" s="230">
        <v>0.60670000000000002</v>
      </c>
      <c r="D7" s="231" t="s">
        <v>1199</v>
      </c>
      <c r="E7" s="230">
        <v>8</v>
      </c>
      <c r="F7" s="230">
        <v>0.48680000000000001</v>
      </c>
      <c r="G7" s="234">
        <v>0.5</v>
      </c>
      <c r="H7" s="236">
        <v>0.5</v>
      </c>
      <c r="J7" s="261"/>
      <c r="K7" s="262"/>
      <c r="L7" s="261" t="s">
        <v>1205</v>
      </c>
      <c r="M7" s="261"/>
      <c r="N7" s="261"/>
      <c r="O7" s="237"/>
      <c r="P7" s="238">
        <v>15</v>
      </c>
      <c r="Q7" s="238">
        <v>8</v>
      </c>
      <c r="R7" s="250">
        <v>0.5</v>
      </c>
      <c r="S7" s="238" t="s">
        <v>1209</v>
      </c>
      <c r="T7" s="257">
        <f>COUNTIF(J4:N5,"RAP")</f>
        <v>5</v>
      </c>
      <c r="U7" s="267">
        <f>COUNTIF(J9:N10,"RAP")</f>
        <v>0</v>
      </c>
      <c r="V7" s="249">
        <f t="shared" si="2"/>
        <v>0.5</v>
      </c>
      <c r="W7" s="249">
        <f t="shared" si="3"/>
        <v>1.0639880952380956</v>
      </c>
      <c r="X7" s="259">
        <f t="shared" si="4"/>
        <v>0.66499255952380976</v>
      </c>
      <c r="Y7" s="268">
        <f t="shared" si="5"/>
        <v>0</v>
      </c>
      <c r="Z7" s="260">
        <f>$L$16</f>
        <v>0.56999999999999995</v>
      </c>
      <c r="AA7" s="269">
        <f>$M$16</f>
        <v>0.56999999999999995</v>
      </c>
      <c r="AB7" s="259">
        <f t="shared" si="6"/>
        <v>0.37904575892857151</v>
      </c>
      <c r="AC7" s="268">
        <f t="shared" si="7"/>
        <v>0</v>
      </c>
    </row>
    <row r="8" spans="1:29" x14ac:dyDescent="0.25">
      <c r="A8" s="230">
        <v>16</v>
      </c>
      <c r="B8" s="230" t="s">
        <v>1183</v>
      </c>
      <c r="C8" s="230">
        <v>0.62329999999999997</v>
      </c>
      <c r="D8" s="231" t="s">
        <v>1199</v>
      </c>
      <c r="E8" s="230">
        <v>8</v>
      </c>
      <c r="F8" s="230">
        <v>0.50009999999999999</v>
      </c>
      <c r="G8" s="234">
        <v>0.5</v>
      </c>
      <c r="H8" s="236">
        <v>0.5</v>
      </c>
      <c r="J8" s="261" t="s">
        <v>1205</v>
      </c>
      <c r="K8" s="261" t="s">
        <v>1205</v>
      </c>
      <c r="L8" s="261" t="s">
        <v>1205</v>
      </c>
      <c r="M8" s="261" t="s">
        <v>1205</v>
      </c>
      <c r="N8" s="261" t="s">
        <v>1205</v>
      </c>
      <c r="O8" s="237"/>
      <c r="P8" s="238">
        <v>16</v>
      </c>
      <c r="Q8" s="238">
        <v>8</v>
      </c>
      <c r="R8" s="250">
        <v>0.5</v>
      </c>
      <c r="S8" s="238" t="s">
        <v>1210</v>
      </c>
      <c r="T8" s="257">
        <f>COUNTIF(J4:N5,"RAP")</f>
        <v>5</v>
      </c>
      <c r="U8" s="267">
        <f>COUNTIF(J9:N10,"RAP")</f>
        <v>0</v>
      </c>
      <c r="V8" s="249">
        <f t="shared" si="2"/>
        <v>0.5</v>
      </c>
      <c r="W8" s="249">
        <f t="shared" si="3"/>
        <v>1.0639880952380956</v>
      </c>
      <c r="X8" s="259">
        <f t="shared" si="4"/>
        <v>0.66499255952380976</v>
      </c>
      <c r="Y8" s="268">
        <f t="shared" si="5"/>
        <v>0</v>
      </c>
      <c r="Z8" s="260">
        <f>$L$16</f>
        <v>0.56999999999999995</v>
      </c>
      <c r="AA8" s="269">
        <f>$M$16</f>
        <v>0.56999999999999995</v>
      </c>
      <c r="AB8" s="259">
        <f t="shared" si="6"/>
        <v>0.37904575892857151</v>
      </c>
      <c r="AC8" s="268">
        <f t="shared" si="7"/>
        <v>0</v>
      </c>
    </row>
    <row r="9" spans="1:29" x14ac:dyDescent="0.25">
      <c r="A9" s="230">
        <v>17</v>
      </c>
      <c r="B9" s="230" t="s">
        <v>1184</v>
      </c>
      <c r="C9" s="230">
        <v>1E-3</v>
      </c>
      <c r="D9" s="231" t="s">
        <v>1201</v>
      </c>
      <c r="E9" s="230" t="s">
        <v>1185</v>
      </c>
      <c r="F9" s="230">
        <v>8.0000000000000004E-4</v>
      </c>
      <c r="G9" s="234">
        <v>1E-3</v>
      </c>
      <c r="H9" s="236"/>
      <c r="J9" s="261" t="s">
        <v>1205</v>
      </c>
      <c r="K9" s="261" t="s">
        <v>1216</v>
      </c>
      <c r="L9" s="261" t="s">
        <v>1205</v>
      </c>
      <c r="M9" s="261" t="s">
        <v>1216</v>
      </c>
      <c r="N9" s="261" t="s">
        <v>1205</v>
      </c>
      <c r="O9" s="237"/>
      <c r="P9" s="238">
        <v>18</v>
      </c>
      <c r="Q9" s="238" t="s">
        <v>1187</v>
      </c>
      <c r="R9" s="250">
        <v>0.15</v>
      </c>
      <c r="S9" s="238" t="s">
        <v>1186</v>
      </c>
      <c r="T9" s="257">
        <v>1</v>
      </c>
      <c r="U9" s="267">
        <v>1</v>
      </c>
      <c r="V9" s="249">
        <f t="shared" si="2"/>
        <v>0.15</v>
      </c>
      <c r="W9" s="249">
        <f t="shared" si="3"/>
        <v>0.3191964285714286</v>
      </c>
      <c r="X9" s="259">
        <f>W9*L12</f>
        <v>0.17555803571428574</v>
      </c>
      <c r="Y9" s="268">
        <f>W9*L13</f>
        <v>0.14363839285714286</v>
      </c>
      <c r="Z9" s="260">
        <f>$L$17</f>
        <v>0.45</v>
      </c>
      <c r="AA9" s="269">
        <f>$M$17</f>
        <v>0.45</v>
      </c>
      <c r="AB9" s="259">
        <f t="shared" si="6"/>
        <v>7.9001116071428581E-2</v>
      </c>
      <c r="AC9" s="268">
        <f t="shared" si="7"/>
        <v>6.4637276785714293E-2</v>
      </c>
    </row>
    <row r="10" spans="1:29" x14ac:dyDescent="0.25">
      <c r="A10" s="230">
        <v>18</v>
      </c>
      <c r="B10" s="230" t="s">
        <v>1186</v>
      </c>
      <c r="C10" s="230">
        <v>0.19170000000000001</v>
      </c>
      <c r="D10" s="231" t="s">
        <v>1187</v>
      </c>
      <c r="E10" s="230" t="s">
        <v>1185</v>
      </c>
      <c r="F10" s="230">
        <v>0.152</v>
      </c>
      <c r="G10" s="234">
        <v>0.15</v>
      </c>
      <c r="H10" s="236">
        <v>0.15</v>
      </c>
      <c r="J10" s="261"/>
      <c r="K10" s="261" t="s">
        <v>1216</v>
      </c>
      <c r="L10" s="261" t="s">
        <v>1205</v>
      </c>
      <c r="M10" s="261" t="s">
        <v>1205</v>
      </c>
      <c r="N10" s="261"/>
      <c r="O10" s="237"/>
      <c r="P10" s="238">
        <v>19</v>
      </c>
      <c r="Q10" s="238" t="s">
        <v>1187</v>
      </c>
      <c r="R10" s="250">
        <v>0.23</v>
      </c>
      <c r="S10" s="238" t="s">
        <v>1188</v>
      </c>
      <c r="T10" s="257">
        <f>COUNTIF(J3:N5,"CAB")</f>
        <v>0</v>
      </c>
      <c r="U10" s="267">
        <f>COUNTIF(J8:N10,"CAB")</f>
        <v>3</v>
      </c>
      <c r="V10" s="249">
        <f t="shared" si="2"/>
        <v>0.23</v>
      </c>
      <c r="W10" s="249">
        <f t="shared" si="3"/>
        <v>0.4894345238095239</v>
      </c>
      <c r="X10" s="259">
        <f>IF(T10&gt;0,W10*L12,0)</f>
        <v>0</v>
      </c>
      <c r="Y10" s="268">
        <f>IF(U10&gt;0,W10*L13,0)</f>
        <v>0.22024553571428573</v>
      </c>
      <c r="Z10" s="260">
        <f>IF(T10-U10&gt;2,0.9,IF(T10-U10&gt;1,0.75,IF(T10-U10=0,0.5,0.15)))</f>
        <v>0.15</v>
      </c>
      <c r="AA10" s="269">
        <f>IF(U10-T10&gt;2,0.9,IF(U10-T10&gt;1,0.75,IF(U10-T10=0,0.5,0.15)))</f>
        <v>0.9</v>
      </c>
      <c r="AB10" s="259">
        <f t="shared" si="6"/>
        <v>0</v>
      </c>
      <c r="AC10" s="268">
        <f t="shared" si="7"/>
        <v>0.19822098214285716</v>
      </c>
    </row>
    <row r="11" spans="1:29" x14ac:dyDescent="0.25">
      <c r="A11" s="230">
        <v>19</v>
      </c>
      <c r="B11" s="230" t="s">
        <v>1188</v>
      </c>
      <c r="C11" s="230">
        <v>0.25190000000000001</v>
      </c>
      <c r="D11" s="231" t="s">
        <v>1187</v>
      </c>
      <c r="E11" s="230" t="s">
        <v>1178</v>
      </c>
      <c r="F11" s="230">
        <v>0.2011</v>
      </c>
      <c r="G11" s="234">
        <v>0.2</v>
      </c>
      <c r="H11" s="236">
        <v>0.23</v>
      </c>
      <c r="J11" s="237"/>
      <c r="K11" s="237"/>
      <c r="L11" s="237"/>
      <c r="M11" s="237"/>
      <c r="N11" s="237"/>
      <c r="O11" s="237"/>
      <c r="P11" s="238">
        <v>25</v>
      </c>
      <c r="Q11" s="238">
        <v>5</v>
      </c>
      <c r="R11" s="250">
        <v>2.5000000000000001E-2</v>
      </c>
      <c r="S11" s="238" t="s">
        <v>1211</v>
      </c>
      <c r="T11" s="257">
        <f>COUNTIF(K5:M5,"IMP")+COUNTIF(J4,"IMP")+COUNTIF(N4,"IMP")</f>
        <v>0</v>
      </c>
      <c r="U11" s="267">
        <f>COUNTIF(K10:M10,"IMP")+COUNTIF(J9,"IMP")+COUNTIF(N9,"IMP")</f>
        <v>0</v>
      </c>
      <c r="V11" s="249">
        <f t="shared" si="2"/>
        <v>0</v>
      </c>
      <c r="W11" s="249">
        <f t="shared" si="3"/>
        <v>0</v>
      </c>
      <c r="X11" s="259">
        <f>IF(W11=0,0,IF(U11=0,W11*T11/Q11,W11*T11/(Q11*2)))</f>
        <v>0</v>
      </c>
      <c r="Y11" s="268">
        <f>IF(W11=0,0,IF(T11=0,W11*U11/Q11,W11*U11/(Q11*2)))</f>
        <v>0</v>
      </c>
      <c r="Z11" s="260">
        <f>$L$17</f>
        <v>0.45</v>
      </c>
      <c r="AA11" s="269">
        <f>$M$17</f>
        <v>0.45</v>
      </c>
      <c r="AB11" s="259">
        <f t="shared" si="6"/>
        <v>0</v>
      </c>
      <c r="AC11" s="268">
        <f t="shared" si="7"/>
        <v>0</v>
      </c>
    </row>
    <row r="12" spans="1:29" x14ac:dyDescent="0.25">
      <c r="A12" s="230">
        <v>25</v>
      </c>
      <c r="B12" s="230" t="s">
        <v>1189</v>
      </c>
      <c r="C12" s="230">
        <v>2.64E-2</v>
      </c>
      <c r="D12" s="231" t="s">
        <v>1201</v>
      </c>
      <c r="E12" s="230">
        <v>5</v>
      </c>
      <c r="F12" s="230">
        <v>2.2700000000000001E-2</v>
      </c>
      <c r="G12" s="234">
        <v>2.5000000000000001E-2</v>
      </c>
      <c r="H12" s="236">
        <v>2.5000000000000001E-2</v>
      </c>
      <c r="J12" s="237"/>
      <c r="K12" s="253" t="s">
        <v>1220</v>
      </c>
      <c r="L12" s="254">
        <v>0.55000000000000004</v>
      </c>
      <c r="M12" s="237"/>
      <c r="N12" s="237"/>
      <c r="O12" s="237"/>
      <c r="P12" s="238">
        <v>37</v>
      </c>
      <c r="Q12" s="238">
        <v>2</v>
      </c>
      <c r="R12" s="250">
        <v>0.18</v>
      </c>
      <c r="S12" s="238" t="s">
        <v>1212</v>
      </c>
      <c r="T12" s="257">
        <f>COUNTIF(J4:N5,"CAB")</f>
        <v>0</v>
      </c>
      <c r="U12" s="267">
        <f>COUNTIF(J9:N10,"CAB")</f>
        <v>3</v>
      </c>
      <c r="V12" s="249">
        <f t="shared" si="2"/>
        <v>0.18</v>
      </c>
      <c r="W12" s="249">
        <f t="shared" si="3"/>
        <v>0.38303571428571431</v>
      </c>
      <c r="X12" s="259">
        <f>W12*T12/(U12+T12)</f>
        <v>0</v>
      </c>
      <c r="Y12" s="268">
        <f>W12*U12/(U12+T12)</f>
        <v>0.38303571428571431</v>
      </c>
      <c r="Z12" s="260">
        <f>$L$16</f>
        <v>0.56999999999999995</v>
      </c>
      <c r="AA12" s="269">
        <f>$M$16</f>
        <v>0.56999999999999995</v>
      </c>
      <c r="AB12" s="259">
        <f t="shared" si="6"/>
        <v>0</v>
      </c>
      <c r="AC12" s="268">
        <f t="shared" si="7"/>
        <v>0.21833035714285715</v>
      </c>
    </row>
    <row r="13" spans="1:29" x14ac:dyDescent="0.25">
      <c r="A13" s="230">
        <v>35</v>
      </c>
      <c r="B13" s="230" t="s">
        <v>1190</v>
      </c>
      <c r="C13" s="230">
        <v>4.4699999999999997E-2</v>
      </c>
      <c r="D13" s="231" t="s">
        <v>1187</v>
      </c>
      <c r="E13" s="230" t="s">
        <v>1185</v>
      </c>
      <c r="F13" s="230">
        <v>3.5499999999999997E-2</v>
      </c>
      <c r="G13" s="234">
        <v>3.5000000000000003E-2</v>
      </c>
      <c r="H13" s="236"/>
      <c r="J13" s="237"/>
      <c r="K13" s="263" t="s">
        <v>1221</v>
      </c>
      <c r="L13" s="264">
        <f>1-L12</f>
        <v>0.44999999999999996</v>
      </c>
      <c r="M13" s="237"/>
      <c r="N13" s="237"/>
      <c r="O13" s="237"/>
      <c r="P13" s="238">
        <v>38</v>
      </c>
      <c r="Q13" s="238">
        <v>2</v>
      </c>
      <c r="R13" s="250">
        <v>0.12</v>
      </c>
      <c r="S13" s="238" t="s">
        <v>1213</v>
      </c>
      <c r="T13" s="257">
        <f>COUNTA(J4,N4)</f>
        <v>2</v>
      </c>
      <c r="U13" s="267">
        <f>COUNTA(J9,N9)</f>
        <v>2</v>
      </c>
      <c r="V13" s="249">
        <f t="shared" si="2"/>
        <v>0.12</v>
      </c>
      <c r="W13" s="249">
        <f t="shared" si="3"/>
        <v>0.25535714285714289</v>
      </c>
      <c r="X13" s="259">
        <f>W13*T13/(U13+T13)</f>
        <v>0.12767857142857145</v>
      </c>
      <c r="Y13" s="268">
        <f>W13*U13/(U13+T13)</f>
        <v>0.12767857142857145</v>
      </c>
      <c r="Z13" s="260">
        <f>$L$16</f>
        <v>0.56999999999999995</v>
      </c>
      <c r="AA13" s="269">
        <f>$M$16</f>
        <v>0.56999999999999995</v>
      </c>
      <c r="AB13" s="259">
        <f t="shared" si="6"/>
        <v>7.2776785714285724E-2</v>
      </c>
      <c r="AC13" s="268">
        <f t="shared" si="7"/>
        <v>7.2776785714285724E-2</v>
      </c>
    </row>
    <row r="14" spans="1:29" x14ac:dyDescent="0.25">
      <c r="A14" s="230">
        <v>36</v>
      </c>
      <c r="B14" s="230" t="s">
        <v>1191</v>
      </c>
      <c r="C14" s="230">
        <v>4.19E-2</v>
      </c>
      <c r="D14" s="231" t="s">
        <v>1187</v>
      </c>
      <c r="E14" s="230" t="s">
        <v>1185</v>
      </c>
      <c r="F14" s="230">
        <v>3.32E-2</v>
      </c>
      <c r="G14" s="234">
        <v>3.5000000000000003E-2</v>
      </c>
      <c r="H14" s="236"/>
      <c r="J14" s="237"/>
      <c r="K14" s="237"/>
      <c r="L14" s="237"/>
      <c r="M14" s="237"/>
      <c r="N14" s="237"/>
      <c r="O14" s="237"/>
      <c r="P14" s="238">
        <v>39</v>
      </c>
      <c r="Q14" s="238">
        <v>8</v>
      </c>
      <c r="R14" s="250">
        <v>0.6</v>
      </c>
      <c r="S14" s="238" t="s">
        <v>1195</v>
      </c>
      <c r="T14" s="257">
        <f>IF(COUNTIF(J8:N8,"CAB")+COUNTIF(K9:M9,"CAB") &gt; 0, COUNTIF(J4:N5,"TEC"),0)</f>
        <v>0</v>
      </c>
      <c r="U14" s="267">
        <f>IF(COUNTIF(J3:N3,"CAB")+COUNTIF(K4:M4,"CAB") &gt; 0, COUNTIF(J9:N10,"TEC"),0)</f>
        <v>0</v>
      </c>
      <c r="V14" s="249">
        <f t="shared" si="2"/>
        <v>0</v>
      </c>
      <c r="W14" s="249">
        <f t="shared" si="3"/>
        <v>0</v>
      </c>
      <c r="X14" s="259">
        <f>IF(W14=0,0,IF(U14=0,W14*T14/Q14,W14*T14/(Q14*2)))</f>
        <v>0</v>
      </c>
      <c r="Y14" s="268">
        <f>IF(W14=0,0,IF(T14=0,W14*U14/Q14,W14*U14/(Q14*2)))</f>
        <v>0</v>
      </c>
      <c r="Z14" s="260">
        <f>$L$16</f>
        <v>0.56999999999999995</v>
      </c>
      <c r="AA14" s="269">
        <f>$M$16</f>
        <v>0.56999999999999995</v>
      </c>
      <c r="AB14" s="259">
        <f t="shared" si="6"/>
        <v>0</v>
      </c>
      <c r="AC14" s="268">
        <f t="shared" si="7"/>
        <v>0</v>
      </c>
    </row>
    <row r="15" spans="1:29" x14ac:dyDescent="0.25">
      <c r="A15" s="230">
        <v>37</v>
      </c>
      <c r="B15" s="230" t="s">
        <v>1192</v>
      </c>
      <c r="C15" s="230">
        <v>0.18110000000000001</v>
      </c>
      <c r="D15" s="231" t="s">
        <v>1193</v>
      </c>
      <c r="E15" s="230">
        <v>2</v>
      </c>
      <c r="F15" s="230">
        <v>0.15179999999999999</v>
      </c>
      <c r="G15" s="234">
        <v>0.15</v>
      </c>
      <c r="H15" s="236">
        <v>0.18</v>
      </c>
      <c r="J15" s="237"/>
      <c r="K15" s="244" t="s">
        <v>1229</v>
      </c>
      <c r="L15" s="255">
        <v>0.7</v>
      </c>
      <c r="M15" s="265">
        <v>0.7</v>
      </c>
      <c r="N15" s="237"/>
      <c r="O15" s="237"/>
      <c r="P15" s="237"/>
      <c r="Q15" s="237"/>
      <c r="R15" s="237"/>
      <c r="S15" s="237"/>
      <c r="T15" s="242"/>
      <c r="U15" s="242"/>
    </row>
    <row r="16" spans="1:29" x14ac:dyDescent="0.25">
      <c r="A16" s="230">
        <v>38</v>
      </c>
      <c r="B16" s="230" t="s">
        <v>1194</v>
      </c>
      <c r="C16" s="230">
        <v>0.1449</v>
      </c>
      <c r="D16" s="231" t="s">
        <v>1202</v>
      </c>
      <c r="E16" s="230">
        <v>2</v>
      </c>
      <c r="F16" s="230">
        <v>0.1149</v>
      </c>
      <c r="G16" s="234">
        <v>0.12</v>
      </c>
      <c r="H16" s="236">
        <v>0.12</v>
      </c>
      <c r="J16" s="237"/>
      <c r="K16" s="244" t="s">
        <v>1231</v>
      </c>
      <c r="L16" s="255">
        <v>0.56999999999999995</v>
      </c>
      <c r="M16" s="265">
        <v>0.56999999999999995</v>
      </c>
      <c r="N16" s="237"/>
      <c r="O16" s="237"/>
      <c r="P16" s="238"/>
      <c r="Q16" s="238"/>
      <c r="R16" s="238"/>
      <c r="S16" s="238"/>
      <c r="T16" s="238"/>
      <c r="U16" s="242"/>
    </row>
    <row r="17" spans="1:22" x14ac:dyDescent="0.25">
      <c r="A17" s="230">
        <v>39</v>
      </c>
      <c r="B17" s="230" t="s">
        <v>1195</v>
      </c>
      <c r="C17" s="230">
        <v>0.71009999999999995</v>
      </c>
      <c r="D17" s="231" t="s">
        <v>1199</v>
      </c>
      <c r="E17" s="230">
        <v>8</v>
      </c>
      <c r="F17" s="230">
        <v>0.6018</v>
      </c>
      <c r="G17" s="234">
        <v>0.6</v>
      </c>
      <c r="H17" s="236">
        <v>0.6</v>
      </c>
      <c r="J17" s="237"/>
      <c r="K17" s="235" t="s">
        <v>1230</v>
      </c>
      <c r="L17" s="255">
        <v>0.45</v>
      </c>
      <c r="M17" s="265">
        <v>0.45</v>
      </c>
      <c r="N17" s="237"/>
      <c r="O17" s="237"/>
      <c r="P17" s="238"/>
      <c r="Q17" s="238"/>
      <c r="R17" s="238"/>
      <c r="S17" s="238"/>
      <c r="T17" s="239"/>
      <c r="U17" s="242"/>
    </row>
    <row r="18" spans="1:22" x14ac:dyDescent="0.25">
      <c r="A18" s="230">
        <v>90</v>
      </c>
      <c r="B18" s="230" t="s">
        <v>1196</v>
      </c>
      <c r="C18" s="230">
        <v>0</v>
      </c>
      <c r="D18" s="231" t="s">
        <v>1187</v>
      </c>
      <c r="E18" s="230" t="s">
        <v>1178</v>
      </c>
      <c r="F18" s="230"/>
      <c r="G18" s="234"/>
      <c r="H18" s="236"/>
      <c r="J18" s="237"/>
      <c r="K18" s="237"/>
      <c r="L18" s="237"/>
      <c r="M18" s="237"/>
      <c r="N18" s="237"/>
      <c r="O18" s="237"/>
      <c r="P18" s="238"/>
      <c r="Q18" s="238"/>
      <c r="R18" s="238"/>
      <c r="S18" s="238"/>
      <c r="T18" s="239"/>
      <c r="U18" s="242"/>
    </row>
    <row r="19" spans="1:22" x14ac:dyDescent="0.25">
      <c r="A19" s="230">
        <v>310</v>
      </c>
      <c r="B19" s="230" t="s">
        <v>1197</v>
      </c>
      <c r="C19" s="230">
        <v>0</v>
      </c>
      <c r="D19" s="231" t="s">
        <v>1187</v>
      </c>
      <c r="E19" s="230" t="s">
        <v>1178</v>
      </c>
      <c r="F19" s="230"/>
      <c r="G19" s="234"/>
      <c r="H19" s="236"/>
      <c r="J19" s="237"/>
      <c r="K19" s="237"/>
      <c r="L19" s="237"/>
      <c r="M19" s="237"/>
      <c r="N19" s="237"/>
      <c r="O19" s="237"/>
      <c r="P19" s="238"/>
      <c r="Q19" s="238"/>
      <c r="R19" s="238"/>
      <c r="S19" s="238"/>
      <c r="T19" s="238"/>
      <c r="U19" s="242"/>
    </row>
    <row r="20" spans="1:22" x14ac:dyDescent="0.25">
      <c r="J20" s="237"/>
      <c r="K20" s="237"/>
      <c r="L20" s="237"/>
      <c r="M20" s="237"/>
      <c r="N20" s="237"/>
      <c r="O20" s="237"/>
      <c r="P20" s="238"/>
      <c r="Q20" s="238"/>
      <c r="R20" s="238"/>
      <c r="S20" s="238"/>
      <c r="T20" s="238"/>
      <c r="U20" s="242"/>
    </row>
    <row r="21" spans="1:22" x14ac:dyDescent="0.25">
      <c r="G21" s="241" t="s">
        <v>1214</v>
      </c>
      <c r="H21" s="232">
        <f>H17+H16+H15+H12+H8+H7+H6+H5+H4+H3</f>
        <v>3.1950000000000003</v>
      </c>
      <c r="J21" s="237"/>
      <c r="K21" s="237"/>
      <c r="L21" s="237"/>
      <c r="M21" s="237"/>
      <c r="N21" s="237"/>
      <c r="O21" s="237"/>
      <c r="P21" s="238"/>
      <c r="Q21" s="238"/>
      <c r="R21" s="238"/>
      <c r="S21" s="238"/>
      <c r="T21" s="239"/>
      <c r="U21" s="242"/>
    </row>
    <row r="22" spans="1:22" x14ac:dyDescent="0.25">
      <c r="G22" s="241" t="s">
        <v>1215</v>
      </c>
      <c r="H22" s="232">
        <f>H14+H13+H11+H10</f>
        <v>0.38</v>
      </c>
      <c r="J22" s="237"/>
      <c r="K22" s="235"/>
      <c r="L22" s="237"/>
      <c r="M22" s="237"/>
      <c r="N22" s="237"/>
      <c r="O22" s="237"/>
      <c r="P22" s="238"/>
      <c r="Q22" s="238"/>
      <c r="R22" s="238"/>
      <c r="S22" s="238"/>
      <c r="T22" s="239"/>
      <c r="U22" s="242"/>
    </row>
    <row r="23" spans="1:22" x14ac:dyDescent="0.25">
      <c r="J23" s="237"/>
      <c r="K23" s="237"/>
      <c r="L23" s="237"/>
      <c r="M23" s="237"/>
      <c r="N23" s="237"/>
      <c r="O23" s="237"/>
      <c r="P23" s="238"/>
      <c r="Q23" s="238"/>
      <c r="R23" s="238"/>
      <c r="S23" s="238"/>
      <c r="T23" s="238"/>
      <c r="U23" s="242"/>
      <c r="V23" s="77"/>
    </row>
    <row r="24" spans="1:22" x14ac:dyDescent="0.25">
      <c r="J24" s="237"/>
      <c r="K24" s="237"/>
      <c r="L24" s="237"/>
      <c r="M24" s="237"/>
      <c r="N24" s="237"/>
      <c r="O24" s="237"/>
      <c r="P24" s="238"/>
      <c r="Q24" s="238"/>
      <c r="R24" s="238"/>
      <c r="S24" s="238"/>
      <c r="T24" s="240"/>
      <c r="U24" s="242"/>
    </row>
    <row r="25" spans="1:22" x14ac:dyDescent="0.25">
      <c r="J25" s="237"/>
      <c r="K25" s="237"/>
      <c r="L25" s="237"/>
      <c r="M25" s="237"/>
      <c r="N25" s="237"/>
      <c r="O25" s="237"/>
      <c r="P25" s="238"/>
      <c r="Q25" s="238"/>
      <c r="R25" s="238"/>
      <c r="S25" s="238"/>
      <c r="T25" s="240"/>
      <c r="U25" s="242"/>
    </row>
    <row r="26" spans="1:22" x14ac:dyDescent="0.25">
      <c r="J26" s="237"/>
      <c r="K26" s="237"/>
      <c r="L26" s="237"/>
      <c r="M26" s="237"/>
      <c r="N26" s="237"/>
      <c r="O26" s="237"/>
      <c r="P26" s="238"/>
      <c r="Q26" s="238"/>
      <c r="R26" s="238"/>
      <c r="S26" s="238"/>
      <c r="T26" s="238"/>
      <c r="U26" s="242"/>
    </row>
    <row r="27" spans="1:22" x14ac:dyDescent="0.25">
      <c r="J27" s="237"/>
      <c r="K27" s="237"/>
      <c r="L27" s="237"/>
      <c r="M27" s="237"/>
      <c r="N27" s="237"/>
      <c r="O27" s="237"/>
      <c r="P27" s="238"/>
      <c r="Q27" s="238"/>
      <c r="R27" s="238"/>
      <c r="S27" s="238"/>
      <c r="T27" s="239"/>
      <c r="U27" s="242"/>
    </row>
    <row r="28" spans="1:22" x14ac:dyDescent="0.25">
      <c r="J28" s="237"/>
      <c r="K28" s="237"/>
      <c r="L28" s="237"/>
      <c r="M28" s="237"/>
      <c r="N28" s="237"/>
      <c r="O28" s="237"/>
      <c r="P28" s="238"/>
      <c r="Q28" s="238"/>
      <c r="R28" s="238"/>
      <c r="S28" s="238"/>
      <c r="T28" s="239"/>
      <c r="U28" s="242"/>
    </row>
    <row r="29" spans="1:22" x14ac:dyDescent="0.25">
      <c r="J29" s="237"/>
      <c r="K29" s="237"/>
      <c r="L29" s="237"/>
      <c r="M29" s="237"/>
      <c r="N29" s="237"/>
      <c r="O29" s="237"/>
      <c r="P29" s="238"/>
      <c r="Q29" s="238"/>
      <c r="R29" s="238"/>
      <c r="S29" s="238"/>
      <c r="T29" s="238"/>
      <c r="U29" s="242"/>
    </row>
    <row r="30" spans="1:22" x14ac:dyDescent="0.25">
      <c r="J30" s="237"/>
      <c r="K30" s="237"/>
      <c r="L30" s="237"/>
      <c r="M30" s="237"/>
      <c r="N30" s="237"/>
      <c r="O30" s="237"/>
      <c r="P30" s="237"/>
      <c r="Q30" s="237"/>
      <c r="R30" s="237"/>
      <c r="S30" s="237"/>
      <c r="T30" s="242"/>
      <c r="U30" s="242"/>
    </row>
  </sheetData>
  <pageMargins left="0.7" right="0.7" top="0.75" bottom="0.75" header="0.3" footer="0.3"/>
  <pageSetup paperSize="9" orientation="portrait" r:id="rId1"/>
  <ignoredErrors>
    <ignoredError sqref="T13:U13"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A9872-285B-44B5-B760-86054E2CE794}">
  <sheetPr>
    <tabColor theme="7" tint="-0.249977111117893"/>
  </sheetPr>
  <dimension ref="A1:N17"/>
  <sheetViews>
    <sheetView tabSelected="1" workbookViewId="0">
      <selection activeCell="C14" sqref="C14"/>
    </sheetView>
  </sheetViews>
  <sheetFormatPr baseColWidth="10" defaultRowHeight="15" x14ac:dyDescent="0.25"/>
  <cols>
    <col min="1" max="1" width="13.42578125" bestFit="1" customWidth="1"/>
  </cols>
  <sheetData>
    <row r="1" spans="1:14" x14ac:dyDescent="0.25">
      <c r="A1" s="69" t="s">
        <v>208</v>
      </c>
      <c r="B1">
        <v>0</v>
      </c>
      <c r="C1">
        <v>0</v>
      </c>
      <c r="N1" s="70" t="s">
        <v>209</v>
      </c>
    </row>
    <row r="2" spans="1:14" x14ac:dyDescent="0.25">
      <c r="A2" s="69" t="s">
        <v>210</v>
      </c>
      <c r="B2">
        <v>0</v>
      </c>
      <c r="C2">
        <v>0</v>
      </c>
      <c r="N2" s="70" t="s">
        <v>211</v>
      </c>
    </row>
    <row r="3" spans="1:14" x14ac:dyDescent="0.25">
      <c r="A3" s="69" t="s">
        <v>212</v>
      </c>
      <c r="B3">
        <v>785</v>
      </c>
      <c r="C3">
        <v>785</v>
      </c>
      <c r="N3" s="70" t="s">
        <v>213</v>
      </c>
    </row>
    <row r="4" spans="1:14" x14ac:dyDescent="0.25">
      <c r="A4" s="69" t="s">
        <v>214</v>
      </c>
      <c r="B4">
        <v>11610</v>
      </c>
      <c r="C4">
        <f>B4+D4-15340</f>
        <v>13600</v>
      </c>
      <c r="D4">
        <v>17330</v>
      </c>
      <c r="N4" s="70" t="s">
        <v>215</v>
      </c>
    </row>
    <row r="5" spans="1:14" x14ac:dyDescent="0.25">
      <c r="A5" s="69" t="s">
        <v>216</v>
      </c>
      <c r="B5">
        <v>305</v>
      </c>
      <c r="C5">
        <v>305</v>
      </c>
      <c r="N5" s="70" t="s">
        <v>217</v>
      </c>
    </row>
    <row r="6" spans="1:14" x14ac:dyDescent="0.25">
      <c r="A6" s="69" t="s">
        <v>218</v>
      </c>
      <c r="B6">
        <v>2295</v>
      </c>
      <c r="C6">
        <v>2295</v>
      </c>
      <c r="N6" s="70" t="s">
        <v>219</v>
      </c>
    </row>
    <row r="7" spans="1:14" x14ac:dyDescent="0.25">
      <c r="A7" s="71" t="s">
        <v>71</v>
      </c>
      <c r="B7" s="72">
        <v>2.3E-2</v>
      </c>
      <c r="C7" s="73">
        <v>2.3E-2</v>
      </c>
      <c r="N7" s="70" t="s">
        <v>220</v>
      </c>
    </row>
    <row r="8" spans="1:14" x14ac:dyDescent="0.25">
      <c r="N8" s="70" t="s">
        <v>221</v>
      </c>
    </row>
    <row r="9" spans="1:14" x14ac:dyDescent="0.25">
      <c r="A9" s="74" t="s">
        <v>120</v>
      </c>
      <c r="B9" s="75">
        <f>SUM(B1:B6)*(1+B7)</f>
        <v>15339.884999999998</v>
      </c>
      <c r="C9" s="75">
        <f>SUM(C1:C6)*(1+C7)</f>
        <v>17375.654999999999</v>
      </c>
      <c r="N9" s="70" t="s">
        <v>222</v>
      </c>
    </row>
    <row r="10" spans="1:14" x14ac:dyDescent="0.25">
      <c r="A10" s="74" t="s">
        <v>223</v>
      </c>
      <c r="B10" s="75">
        <f>B9*1.2</f>
        <v>18407.861999999997</v>
      </c>
      <c r="C10" s="75">
        <f>C9*1.2</f>
        <v>20850.785999999996</v>
      </c>
      <c r="N10" s="70" t="s">
        <v>224</v>
      </c>
    </row>
    <row r="11" spans="1:14" x14ac:dyDescent="0.25">
      <c r="N11" s="70" t="s">
        <v>225</v>
      </c>
    </row>
    <row r="12" spans="1:14" x14ac:dyDescent="0.25">
      <c r="N12" s="70" t="s">
        <v>226</v>
      </c>
    </row>
    <row r="13" spans="1:14" x14ac:dyDescent="0.25">
      <c r="B13">
        <v>11610</v>
      </c>
      <c r="C13">
        <v>18090</v>
      </c>
      <c r="N13" s="70" t="s">
        <v>227</v>
      </c>
    </row>
    <row r="14" spans="1:14" x14ac:dyDescent="0.25">
      <c r="B14" s="76">
        <v>13600</v>
      </c>
      <c r="C14" s="76">
        <f>(B14-B13)/(C13-B13)</f>
        <v>0.30709876543209874</v>
      </c>
      <c r="N14" s="70" t="s">
        <v>228</v>
      </c>
    </row>
    <row r="15" spans="1:14" x14ac:dyDescent="0.25">
      <c r="N15" s="70" t="s">
        <v>229</v>
      </c>
    </row>
    <row r="16" spans="1:14" x14ac:dyDescent="0.25">
      <c r="C16" s="77"/>
      <c r="N16" s="70" t="s">
        <v>230</v>
      </c>
    </row>
    <row r="17" spans="14:14" x14ac:dyDescent="0.25">
      <c r="N17" s="70" t="s">
        <v>231</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02488-9A23-4952-8D3F-5B7760F32032}">
  <sheetPr>
    <tabColor rgb="FF0070C0"/>
  </sheetPr>
  <dimension ref="A1:I22"/>
  <sheetViews>
    <sheetView workbookViewId="0">
      <selection activeCell="A9" sqref="A9"/>
    </sheetView>
  </sheetViews>
  <sheetFormatPr baseColWidth="10" defaultRowHeight="15" x14ac:dyDescent="0.25"/>
  <cols>
    <col min="1" max="1" width="19.28515625" bestFit="1" customWidth="1"/>
    <col min="2" max="2" width="10.85546875" bestFit="1" customWidth="1"/>
    <col min="3" max="3" width="71.7109375" customWidth="1"/>
    <col min="4" max="4" width="27.140625" bestFit="1" customWidth="1"/>
    <col min="5" max="5" width="10.140625" bestFit="1" customWidth="1"/>
    <col min="6" max="6" width="9" bestFit="1" customWidth="1"/>
    <col min="7" max="7" width="8.85546875" bestFit="1" customWidth="1"/>
    <col min="8" max="8" width="6.140625" bestFit="1" customWidth="1"/>
    <col min="9" max="9" width="9" bestFit="1" customWidth="1"/>
  </cols>
  <sheetData>
    <row r="1" spans="1:9" ht="21" x14ac:dyDescent="0.25">
      <c r="A1" s="49" t="s">
        <v>115</v>
      </c>
      <c r="B1" s="49" t="s">
        <v>114</v>
      </c>
      <c r="C1" s="49" t="s">
        <v>113</v>
      </c>
      <c r="D1" s="48" t="s">
        <v>112</v>
      </c>
      <c r="E1" s="48" t="s">
        <v>111</v>
      </c>
      <c r="F1" s="48" t="s">
        <v>110</v>
      </c>
      <c r="G1" s="48" t="s">
        <v>109</v>
      </c>
      <c r="H1" s="48" t="s">
        <v>108</v>
      </c>
      <c r="I1" s="48" t="s">
        <v>107</v>
      </c>
    </row>
    <row r="2" spans="1:9" ht="21" x14ac:dyDescent="0.25">
      <c r="A2" s="47" t="s">
        <v>106</v>
      </c>
      <c r="B2" s="46" t="s">
        <v>106</v>
      </c>
      <c r="C2" s="46" t="s">
        <v>105</v>
      </c>
      <c r="D2" s="41">
        <v>4</v>
      </c>
      <c r="E2" s="41">
        <v>18</v>
      </c>
      <c r="F2" s="41">
        <v>0</v>
      </c>
      <c r="G2" s="41">
        <v>0</v>
      </c>
      <c r="H2" s="45">
        <v>1</v>
      </c>
      <c r="I2" s="41">
        <f t="shared" ref="I2:I13" si="0">H2*4</f>
        <v>4</v>
      </c>
    </row>
    <row r="3" spans="1:9" x14ac:dyDescent="0.25">
      <c r="A3" s="44" t="s">
        <v>77</v>
      </c>
      <c r="B3" s="43" t="s">
        <v>77</v>
      </c>
      <c r="C3" s="43" t="s">
        <v>104</v>
      </c>
      <c r="D3" s="41">
        <v>0</v>
      </c>
      <c r="E3" s="41">
        <v>10</v>
      </c>
      <c r="F3" s="41">
        <v>0</v>
      </c>
      <c r="G3" s="41">
        <v>12</v>
      </c>
      <c r="H3" s="42">
        <v>5</v>
      </c>
      <c r="I3" s="41">
        <f t="shared" si="0"/>
        <v>20</v>
      </c>
    </row>
    <row r="4" spans="1:9" x14ac:dyDescent="0.25">
      <c r="A4" s="44" t="s">
        <v>103</v>
      </c>
      <c r="B4" s="43" t="s">
        <v>103</v>
      </c>
      <c r="C4" s="43" t="s">
        <v>102</v>
      </c>
      <c r="D4" s="41">
        <v>0</v>
      </c>
      <c r="E4" s="41">
        <v>6</v>
      </c>
      <c r="F4" s="41">
        <v>0</v>
      </c>
      <c r="G4" s="41">
        <v>16</v>
      </c>
      <c r="H4" s="42">
        <v>4.4000000000000004</v>
      </c>
      <c r="I4" s="41">
        <f t="shared" si="0"/>
        <v>17.600000000000001</v>
      </c>
    </row>
    <row r="5" spans="1:9" ht="21" x14ac:dyDescent="0.25">
      <c r="A5" s="44" t="s">
        <v>101</v>
      </c>
      <c r="B5" s="43" t="s">
        <v>83</v>
      </c>
      <c r="C5" s="43" t="s">
        <v>100</v>
      </c>
      <c r="D5" s="41">
        <v>0</v>
      </c>
      <c r="E5" s="41">
        <v>4</v>
      </c>
      <c r="F5" s="41">
        <v>4</v>
      </c>
      <c r="G5" s="41">
        <v>14</v>
      </c>
      <c r="H5" s="42">
        <v>3</v>
      </c>
      <c r="I5" s="41">
        <f t="shared" si="0"/>
        <v>12</v>
      </c>
    </row>
    <row r="6" spans="1:9" x14ac:dyDescent="0.25">
      <c r="A6" s="276" t="s">
        <v>99</v>
      </c>
      <c r="B6" s="43" t="s">
        <v>98</v>
      </c>
      <c r="C6" s="43" t="s">
        <v>97</v>
      </c>
      <c r="D6" s="41">
        <v>0</v>
      </c>
      <c r="E6" s="41">
        <v>22</v>
      </c>
      <c r="F6" s="41">
        <v>0</v>
      </c>
      <c r="G6" s="41">
        <v>0</v>
      </c>
      <c r="H6" s="42">
        <f>H4*2</f>
        <v>8.8000000000000007</v>
      </c>
      <c r="I6" s="41">
        <f t="shared" si="0"/>
        <v>35.200000000000003</v>
      </c>
    </row>
    <row r="7" spans="1:9" ht="21" x14ac:dyDescent="0.25">
      <c r="A7" s="276"/>
      <c r="B7" s="43" t="s">
        <v>96</v>
      </c>
      <c r="C7" s="43" t="s">
        <v>95</v>
      </c>
      <c r="D7" s="41">
        <v>0</v>
      </c>
      <c r="E7" s="41">
        <v>0</v>
      </c>
      <c r="F7" s="41">
        <v>0</v>
      </c>
      <c r="G7" s="41">
        <v>22</v>
      </c>
      <c r="H7" s="42">
        <f>H2/0.2</f>
        <v>5</v>
      </c>
      <c r="I7" s="41">
        <f t="shared" si="0"/>
        <v>20</v>
      </c>
    </row>
    <row r="8" spans="1:9" x14ac:dyDescent="0.25">
      <c r="A8" s="44" t="s">
        <v>94</v>
      </c>
      <c r="B8" s="43" t="s">
        <v>88</v>
      </c>
      <c r="C8" s="43" t="s">
        <v>93</v>
      </c>
      <c r="D8" s="41">
        <v>0</v>
      </c>
      <c r="E8" s="41">
        <v>16</v>
      </c>
      <c r="F8" s="41">
        <v>0</v>
      </c>
      <c r="G8" s="41">
        <v>6</v>
      </c>
      <c r="H8" s="42">
        <v>3.9</v>
      </c>
      <c r="I8" s="41">
        <f t="shared" si="0"/>
        <v>15.6</v>
      </c>
    </row>
    <row r="9" spans="1:9" x14ac:dyDescent="0.25">
      <c r="A9" s="44" t="s">
        <v>92</v>
      </c>
      <c r="B9" s="43" t="s">
        <v>92</v>
      </c>
      <c r="C9" s="43" t="s">
        <v>91</v>
      </c>
      <c r="D9" s="41">
        <v>0</v>
      </c>
      <c r="E9" s="41">
        <v>6</v>
      </c>
      <c r="F9" s="41">
        <v>4</v>
      </c>
      <c r="G9" s="41">
        <v>12</v>
      </c>
      <c r="H9" s="42">
        <v>4.0999999999999996</v>
      </c>
      <c r="I9" s="41">
        <f t="shared" si="0"/>
        <v>16.399999999999999</v>
      </c>
    </row>
    <row r="10" spans="1:9" x14ac:dyDescent="0.25">
      <c r="A10" s="44" t="s">
        <v>78</v>
      </c>
      <c r="B10" s="43" t="s">
        <v>78</v>
      </c>
      <c r="C10" s="43" t="s">
        <v>90</v>
      </c>
      <c r="D10" s="41">
        <v>0</v>
      </c>
      <c r="E10" s="41">
        <v>2</v>
      </c>
      <c r="F10" s="41">
        <v>0</v>
      </c>
      <c r="G10" s="41">
        <v>0</v>
      </c>
      <c r="H10" s="42">
        <v>2.7</v>
      </c>
      <c r="I10" s="41">
        <f t="shared" si="0"/>
        <v>10.8</v>
      </c>
    </row>
    <row r="11" spans="1:9" x14ac:dyDescent="0.25">
      <c r="A11" s="44" t="s">
        <v>89</v>
      </c>
      <c r="B11" s="43" t="s">
        <v>88</v>
      </c>
      <c r="C11" s="43" t="s">
        <v>87</v>
      </c>
      <c r="D11" s="41">
        <v>0</v>
      </c>
      <c r="E11" s="41">
        <v>20</v>
      </c>
      <c r="F11" s="41">
        <v>0</v>
      </c>
      <c r="G11" s="41">
        <v>2</v>
      </c>
      <c r="H11" s="42">
        <v>4.5999999999999996</v>
      </c>
      <c r="I11" s="41">
        <f t="shared" si="0"/>
        <v>18.399999999999999</v>
      </c>
    </row>
    <row r="12" spans="1:9" ht="21" x14ac:dyDescent="0.25">
      <c r="A12" s="44" t="s">
        <v>86</v>
      </c>
      <c r="B12" s="43" t="s">
        <v>77</v>
      </c>
      <c r="C12" s="43" t="s">
        <v>85</v>
      </c>
      <c r="D12" s="41">
        <v>0</v>
      </c>
      <c r="E12" s="41">
        <v>20</v>
      </c>
      <c r="F12" s="41">
        <v>0</v>
      </c>
      <c r="G12" s="41">
        <v>2</v>
      </c>
      <c r="H12" s="42">
        <v>9.9</v>
      </c>
      <c r="I12" s="41">
        <f t="shared" si="0"/>
        <v>39.6</v>
      </c>
    </row>
    <row r="13" spans="1:9" ht="21" x14ac:dyDescent="0.25">
      <c r="A13" s="44" t="s">
        <v>84</v>
      </c>
      <c r="B13" s="43" t="s">
        <v>83</v>
      </c>
      <c r="C13" s="43" t="s">
        <v>82</v>
      </c>
      <c r="D13" s="41">
        <v>0</v>
      </c>
      <c r="E13" s="41">
        <v>10</v>
      </c>
      <c r="F13" s="41">
        <v>0</v>
      </c>
      <c r="G13" s="41">
        <v>6</v>
      </c>
      <c r="H13" s="42">
        <v>4.9000000000000004</v>
      </c>
      <c r="I13" s="41">
        <f t="shared" si="0"/>
        <v>19.600000000000001</v>
      </c>
    </row>
    <row r="14" spans="1:9" x14ac:dyDescent="0.25">
      <c r="A14" s="40"/>
      <c r="D14" s="40" t="s">
        <v>81</v>
      </c>
      <c r="E14" s="40"/>
      <c r="F14" s="40"/>
      <c r="G14" s="40"/>
      <c r="H14" s="40"/>
      <c r="I14" s="40"/>
    </row>
    <row r="15" spans="1:9" x14ac:dyDescent="0.25">
      <c r="D15" s="40"/>
      <c r="E15" s="40"/>
      <c r="F15" s="40"/>
      <c r="G15" s="40"/>
      <c r="H15" s="40"/>
      <c r="I15" s="40"/>
    </row>
    <row r="16" spans="1:9" x14ac:dyDescent="0.25">
      <c r="D16" s="40"/>
      <c r="E16" s="40"/>
      <c r="F16" s="40"/>
      <c r="G16" s="40"/>
      <c r="H16" s="40"/>
      <c r="I16" s="40"/>
    </row>
    <row r="17" spans="1:9" x14ac:dyDescent="0.25">
      <c r="A17" t="s">
        <v>80</v>
      </c>
      <c r="B17" t="s">
        <v>79</v>
      </c>
      <c r="D17" s="40"/>
      <c r="E17" s="40"/>
      <c r="F17" s="40"/>
      <c r="G17" s="40"/>
      <c r="H17" s="40"/>
      <c r="I17" s="40"/>
    </row>
    <row r="18" spans="1:9" x14ac:dyDescent="0.25">
      <c r="A18" t="s">
        <v>78</v>
      </c>
      <c r="D18" s="40"/>
      <c r="E18" s="40"/>
      <c r="F18" s="40"/>
      <c r="G18" s="40"/>
      <c r="H18" s="40"/>
      <c r="I18" s="40"/>
    </row>
    <row r="19" spans="1:9" x14ac:dyDescent="0.25">
      <c r="A19" t="s">
        <v>77</v>
      </c>
      <c r="D19" s="40"/>
      <c r="E19" s="40"/>
      <c r="F19" s="40"/>
      <c r="G19" s="40"/>
      <c r="H19" s="40"/>
      <c r="I19" s="40"/>
    </row>
    <row r="20" spans="1:9" x14ac:dyDescent="0.25">
      <c r="A20" t="s">
        <v>76</v>
      </c>
      <c r="D20" s="40"/>
      <c r="E20" s="40"/>
      <c r="F20" s="40"/>
      <c r="G20" s="40"/>
      <c r="H20" s="40"/>
      <c r="I20" s="40"/>
    </row>
    <row r="21" spans="1:9" x14ac:dyDescent="0.25">
      <c r="A21" t="s">
        <v>51</v>
      </c>
      <c r="D21" s="40"/>
      <c r="E21" s="40"/>
      <c r="F21" s="40"/>
      <c r="G21" s="40"/>
      <c r="H21" s="40"/>
      <c r="I21" s="40"/>
    </row>
    <row r="22" spans="1:9" x14ac:dyDescent="0.25">
      <c r="A22" t="s">
        <v>71</v>
      </c>
      <c r="D22" s="40"/>
      <c r="E22" s="40"/>
      <c r="F22" s="40"/>
      <c r="G22" s="40"/>
      <c r="H22" s="40"/>
      <c r="I22" s="40"/>
    </row>
  </sheetData>
  <mergeCells count="1">
    <mergeCell ref="A6:A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CC896-CEFF-42DA-AD9C-EE3BB3129E18}">
  <sheetPr>
    <tabColor rgb="FF0070C0"/>
  </sheetPr>
  <dimension ref="A1:N52"/>
  <sheetViews>
    <sheetView workbookViewId="0">
      <selection activeCell="F11" sqref="F11"/>
    </sheetView>
  </sheetViews>
  <sheetFormatPr baseColWidth="10" defaultRowHeight="15" x14ac:dyDescent="0.25"/>
  <cols>
    <col min="1" max="1" width="12.42578125" customWidth="1"/>
    <col min="2" max="3" width="17.7109375" bestFit="1" customWidth="1"/>
    <col min="4" max="4" width="20.85546875" bestFit="1" customWidth="1"/>
    <col min="5" max="5" width="8.42578125" bestFit="1" customWidth="1"/>
    <col min="6" max="6" width="34.7109375" bestFit="1" customWidth="1"/>
    <col min="7" max="7" width="26.7109375" bestFit="1" customWidth="1"/>
    <col min="8" max="9" width="12" bestFit="1" customWidth="1"/>
    <col min="10" max="10" width="19" bestFit="1" customWidth="1"/>
    <col min="11" max="11" width="26.7109375" bestFit="1" customWidth="1"/>
    <col min="12" max="12" width="12" bestFit="1" customWidth="1"/>
    <col min="13" max="13" width="10.42578125" bestFit="1" customWidth="1"/>
    <col min="14" max="14" width="19" bestFit="1" customWidth="1"/>
  </cols>
  <sheetData>
    <row r="1" spans="1:14" x14ac:dyDescent="0.25">
      <c r="A1" s="50" t="s">
        <v>116</v>
      </c>
      <c r="B1" s="51" t="s">
        <v>117</v>
      </c>
      <c r="C1" s="52" t="s">
        <v>118</v>
      </c>
      <c r="D1" s="52" t="s">
        <v>119</v>
      </c>
      <c r="E1" s="52" t="s">
        <v>120</v>
      </c>
      <c r="F1" s="52" t="s">
        <v>121</v>
      </c>
      <c r="G1" s="52" t="s">
        <v>122</v>
      </c>
      <c r="H1" s="53" t="s">
        <v>123</v>
      </c>
      <c r="I1" s="53" t="s">
        <v>124</v>
      </c>
      <c r="J1" s="53" t="s">
        <v>125</v>
      </c>
    </row>
    <row r="2" spans="1:14" x14ac:dyDescent="0.25">
      <c r="A2" t="s">
        <v>126</v>
      </c>
      <c r="B2" s="40" t="s">
        <v>127</v>
      </c>
      <c r="C2" s="54">
        <v>447000</v>
      </c>
      <c r="D2" s="54">
        <v>2800000</v>
      </c>
      <c r="E2" s="54">
        <v>350</v>
      </c>
      <c r="F2" s="40">
        <v>6.5</v>
      </c>
      <c r="G2" s="40">
        <v>11.5</v>
      </c>
      <c r="H2" s="54">
        <f>C2+D2+(E2*1*16*0.6)</f>
        <v>3250360</v>
      </c>
      <c r="I2" s="54">
        <f t="shared" ref="I2:I7" si="0">H2/F2</f>
        <v>500055.38461538462</v>
      </c>
      <c r="J2" s="55">
        <f t="shared" ref="J2:J7" si="1">H2/G2</f>
        <v>282640</v>
      </c>
    </row>
    <row r="3" spans="1:14" x14ac:dyDescent="0.25">
      <c r="A3" t="s">
        <v>126</v>
      </c>
      <c r="B3" s="40" t="s">
        <v>127</v>
      </c>
      <c r="C3" s="54">
        <v>350000</v>
      </c>
      <c r="D3" s="54">
        <v>2800000</v>
      </c>
      <c r="E3" s="54">
        <v>300</v>
      </c>
      <c r="F3" s="40">
        <f>1.5+2.5+2.5</f>
        <v>6.5</v>
      </c>
      <c r="G3" s="40">
        <f>1.5+2.5+2.5+2.5+2.5</f>
        <v>11.5</v>
      </c>
      <c r="H3" s="54">
        <f t="shared" ref="H3:H7" si="2">C3+D3+(E3*1*16*0.6)</f>
        <v>3152880</v>
      </c>
      <c r="I3" s="54">
        <f t="shared" si="0"/>
        <v>485058.46153846156</v>
      </c>
      <c r="J3" s="55">
        <f t="shared" si="1"/>
        <v>274163.47826086957</v>
      </c>
    </row>
    <row r="4" spans="1:14" x14ac:dyDescent="0.25">
      <c r="A4" t="s">
        <v>4</v>
      </c>
      <c r="B4" s="40" t="s">
        <v>127</v>
      </c>
      <c r="C4" s="54">
        <v>400000</v>
      </c>
      <c r="D4" s="54">
        <v>2590000</v>
      </c>
      <c r="E4" s="54">
        <v>400</v>
      </c>
      <c r="F4" s="40">
        <f>1.5+2.5+2.5</f>
        <v>6.5</v>
      </c>
      <c r="G4" s="40">
        <f>1.5+2.5+2.5+2.5+2.5</f>
        <v>11.5</v>
      </c>
      <c r="H4" s="54">
        <f t="shared" si="2"/>
        <v>2993840</v>
      </c>
      <c r="I4" s="54">
        <f t="shared" si="0"/>
        <v>460590.76923076925</v>
      </c>
      <c r="J4" s="55">
        <f t="shared" si="1"/>
        <v>260333.91304347827</v>
      </c>
    </row>
    <row r="5" spans="1:14" x14ac:dyDescent="0.25">
      <c r="A5" t="s">
        <v>128</v>
      </c>
      <c r="B5" s="40" t="s">
        <v>129</v>
      </c>
      <c r="C5" s="54">
        <v>1689000</v>
      </c>
      <c r="D5" s="54">
        <v>3000000</v>
      </c>
      <c r="E5" s="54">
        <v>400</v>
      </c>
      <c r="F5" s="40">
        <v>9</v>
      </c>
      <c r="G5" s="40">
        <v>14</v>
      </c>
      <c r="H5" s="54">
        <f t="shared" si="2"/>
        <v>4692840</v>
      </c>
      <c r="I5" s="54">
        <f t="shared" si="0"/>
        <v>521426.66666666669</v>
      </c>
      <c r="J5" s="55">
        <f t="shared" si="1"/>
        <v>335202.85714285716</v>
      </c>
    </row>
    <row r="6" spans="1:14" x14ac:dyDescent="0.25">
      <c r="A6" t="s">
        <v>130</v>
      </c>
      <c r="B6" s="40" t="s">
        <v>127</v>
      </c>
      <c r="C6" s="54">
        <v>500000</v>
      </c>
      <c r="D6" s="54">
        <v>2242000</v>
      </c>
      <c r="E6" s="54">
        <v>400</v>
      </c>
      <c r="F6" s="40">
        <f>1.5+2.5+2.5</f>
        <v>6.5</v>
      </c>
      <c r="G6" s="40">
        <f>1.5+2.5+2.5+2.5+2.5</f>
        <v>11.5</v>
      </c>
      <c r="H6" s="54">
        <f t="shared" si="2"/>
        <v>2745840</v>
      </c>
      <c r="I6" s="54">
        <f t="shared" si="0"/>
        <v>422436.92307692306</v>
      </c>
      <c r="J6" s="55">
        <f t="shared" si="1"/>
        <v>238768.69565217392</v>
      </c>
    </row>
    <row r="7" spans="1:14" x14ac:dyDescent="0.25">
      <c r="A7" t="s">
        <v>131</v>
      </c>
      <c r="B7" s="40" t="s">
        <v>132</v>
      </c>
      <c r="C7" s="54">
        <v>400000</v>
      </c>
      <c r="D7" s="54">
        <v>1650000</v>
      </c>
      <c r="E7" s="54">
        <v>5000</v>
      </c>
      <c r="F7" s="40">
        <v>4</v>
      </c>
      <c r="G7" s="40">
        <v>9</v>
      </c>
      <c r="H7" s="54">
        <f t="shared" si="2"/>
        <v>2098000</v>
      </c>
      <c r="I7" s="54">
        <f t="shared" si="0"/>
        <v>524500</v>
      </c>
      <c r="J7" s="55">
        <f t="shared" si="1"/>
        <v>233111.11111111112</v>
      </c>
    </row>
    <row r="8" spans="1:14" x14ac:dyDescent="0.25">
      <c r="A8" t="s">
        <v>126</v>
      </c>
      <c r="B8" s="40" t="s">
        <v>129</v>
      </c>
      <c r="C8" s="54">
        <v>2406000</v>
      </c>
      <c r="D8" s="54"/>
      <c r="E8" s="54"/>
      <c r="F8" s="40"/>
      <c r="G8" s="40"/>
      <c r="H8" s="54"/>
      <c r="I8" s="54"/>
      <c r="J8" s="55"/>
    </row>
    <row r="9" spans="1:14" x14ac:dyDescent="0.25">
      <c r="A9" t="s">
        <v>4</v>
      </c>
      <c r="B9" s="40" t="s">
        <v>129</v>
      </c>
      <c r="C9" s="54">
        <v>2505000</v>
      </c>
      <c r="D9" s="54"/>
      <c r="E9" s="54"/>
      <c r="F9" s="40"/>
      <c r="G9" s="40"/>
      <c r="H9" s="54"/>
      <c r="I9" s="54"/>
      <c r="J9" s="55"/>
    </row>
    <row r="10" spans="1:14" x14ac:dyDescent="0.25">
      <c r="B10" s="40"/>
      <c r="C10" s="54"/>
      <c r="D10" s="54"/>
      <c r="E10" s="54"/>
      <c r="F10" s="40"/>
      <c r="G10" s="40"/>
      <c r="H10" s="54"/>
      <c r="I10" s="54"/>
      <c r="J10" s="55"/>
    </row>
    <row r="11" spans="1:14" x14ac:dyDescent="0.25">
      <c r="B11" s="40"/>
      <c r="C11" s="54"/>
      <c r="D11" s="54"/>
      <c r="E11" s="54"/>
      <c r="F11" s="40"/>
      <c r="G11" s="40"/>
      <c r="H11" s="54"/>
      <c r="I11" s="54"/>
      <c r="J11" s="55"/>
    </row>
    <row r="12" spans="1:14" x14ac:dyDescent="0.25">
      <c r="B12" s="40"/>
      <c r="C12" s="54"/>
      <c r="D12" s="54"/>
      <c r="E12" s="54"/>
      <c r="F12" s="40"/>
      <c r="G12" s="40"/>
      <c r="H12" s="54"/>
      <c r="I12" s="54"/>
      <c r="J12" s="55"/>
    </row>
    <row r="13" spans="1:14" x14ac:dyDescent="0.25">
      <c r="B13" s="40"/>
      <c r="C13" s="54"/>
      <c r="D13" s="54"/>
      <c r="E13" s="54"/>
      <c r="F13" s="40"/>
      <c r="G13" s="40"/>
      <c r="H13" s="54"/>
      <c r="I13" s="54"/>
      <c r="J13" s="55"/>
    </row>
    <row r="14" spans="1:14" x14ac:dyDescent="0.25">
      <c r="F14" s="40"/>
      <c r="G14" s="54"/>
      <c r="H14" s="54"/>
      <c r="I14" s="54"/>
      <c r="J14" s="40"/>
      <c r="K14" s="40"/>
      <c r="L14" s="54"/>
      <c r="M14" s="54"/>
      <c r="N14" s="55"/>
    </row>
    <row r="15" spans="1:14" x14ac:dyDescent="0.25">
      <c r="A15" s="38" t="s">
        <v>133</v>
      </c>
      <c r="F15" s="40"/>
      <c r="G15" s="54"/>
      <c r="H15" s="54"/>
      <c r="I15" s="54"/>
      <c r="J15" s="40"/>
      <c r="K15" s="40"/>
      <c r="L15" s="54"/>
      <c r="M15" s="54"/>
      <c r="N15" s="55"/>
    </row>
    <row r="16" spans="1:14" x14ac:dyDescent="0.25">
      <c r="A16" s="1" t="s">
        <v>134</v>
      </c>
      <c r="F16" s="40"/>
      <c r="G16" s="54"/>
      <c r="H16" s="54"/>
      <c r="I16" s="54"/>
      <c r="J16" s="40"/>
      <c r="K16" s="40"/>
      <c r="L16" s="54"/>
      <c r="M16" s="54"/>
      <c r="N16" s="55"/>
    </row>
    <row r="17" spans="1:14" x14ac:dyDescent="0.25">
      <c r="A17" s="1" t="s">
        <v>135</v>
      </c>
      <c r="F17" s="40"/>
      <c r="G17" s="54"/>
      <c r="H17" s="54"/>
      <c r="I17" s="54"/>
      <c r="J17" s="40"/>
      <c r="K17" s="40"/>
      <c r="L17" s="54"/>
      <c r="M17" s="54"/>
      <c r="N17" s="55"/>
    </row>
    <row r="18" spans="1:14" x14ac:dyDescent="0.25">
      <c r="A18" s="1" t="s">
        <v>136</v>
      </c>
      <c r="F18" s="40"/>
      <c r="G18" s="54"/>
      <c r="H18" s="54"/>
      <c r="I18" s="54"/>
      <c r="J18" s="40"/>
      <c r="K18" s="40"/>
      <c r="L18" s="54"/>
      <c r="M18" s="54"/>
      <c r="N18" s="55"/>
    </row>
    <row r="19" spans="1:14" x14ac:dyDescent="0.25">
      <c r="A19" s="1" t="s">
        <v>137</v>
      </c>
      <c r="F19" s="40"/>
      <c r="G19" s="54"/>
      <c r="H19" s="54"/>
      <c r="I19" s="54"/>
      <c r="J19" s="40"/>
      <c r="K19" s="40"/>
      <c r="L19" s="54"/>
      <c r="M19" s="54"/>
      <c r="N19" s="55"/>
    </row>
    <row r="20" spans="1:14" x14ac:dyDescent="0.25">
      <c r="F20" s="40"/>
      <c r="G20" s="54"/>
      <c r="H20" s="54"/>
      <c r="I20" s="54"/>
      <c r="J20" s="40"/>
      <c r="K20" s="40"/>
      <c r="L20" s="54"/>
      <c r="M20" s="54"/>
      <c r="N20" s="55"/>
    </row>
    <row r="21" spans="1:14" x14ac:dyDescent="0.25">
      <c r="A21" s="1" t="s">
        <v>138</v>
      </c>
      <c r="F21" s="40"/>
      <c r="G21" s="54"/>
      <c r="H21" s="54"/>
      <c r="I21" s="54"/>
      <c r="J21" s="40"/>
      <c r="K21" s="40"/>
      <c r="L21" s="54"/>
      <c r="M21" s="54"/>
      <c r="N21" s="55"/>
    </row>
    <row r="22" spans="1:14" x14ac:dyDescent="0.25">
      <c r="A22" s="1" t="s">
        <v>139</v>
      </c>
      <c r="F22" s="40"/>
      <c r="G22" s="54"/>
      <c r="H22" s="54"/>
      <c r="I22" s="54"/>
      <c r="J22" s="40"/>
      <c r="K22" s="40"/>
      <c r="L22" s="54"/>
      <c r="M22" s="54"/>
      <c r="N22" s="55"/>
    </row>
    <row r="23" spans="1:14" x14ac:dyDescent="0.25">
      <c r="A23" s="1" t="s">
        <v>140</v>
      </c>
      <c r="F23" s="40"/>
      <c r="G23" s="54"/>
      <c r="H23" s="54"/>
      <c r="I23" s="54"/>
      <c r="J23" s="40"/>
      <c r="K23" s="40"/>
      <c r="L23" s="54"/>
      <c r="M23" s="54"/>
      <c r="N23" s="55"/>
    </row>
    <row r="24" spans="1:14" x14ac:dyDescent="0.25">
      <c r="A24" s="1" t="s">
        <v>141</v>
      </c>
      <c r="F24" s="40"/>
      <c r="G24" s="54"/>
      <c r="H24" s="54"/>
      <c r="I24" s="54"/>
      <c r="J24" s="40"/>
      <c r="K24" s="40"/>
      <c r="L24" s="54"/>
      <c r="M24" s="54"/>
      <c r="N24" s="55"/>
    </row>
    <row r="25" spans="1:14" x14ac:dyDescent="0.25">
      <c r="A25" s="1"/>
      <c r="F25" s="40"/>
      <c r="G25" s="54"/>
      <c r="H25" s="54"/>
      <c r="I25" s="54"/>
      <c r="J25" s="40"/>
      <c r="K25" s="40"/>
      <c r="L25" s="54"/>
      <c r="M25" s="54"/>
      <c r="N25" s="55"/>
    </row>
    <row r="26" spans="1:14" x14ac:dyDescent="0.25">
      <c r="A26" s="1" t="s">
        <v>142</v>
      </c>
      <c r="F26" s="40"/>
      <c r="G26" s="54"/>
      <c r="H26" s="54"/>
      <c r="I26" s="54"/>
      <c r="J26" s="40"/>
      <c r="K26" s="40"/>
      <c r="L26" s="54"/>
      <c r="M26" s="54"/>
      <c r="N26" s="55"/>
    </row>
    <row r="27" spans="1:14" x14ac:dyDescent="0.25">
      <c r="A27" s="1" t="s">
        <v>143</v>
      </c>
      <c r="F27" s="40"/>
      <c r="G27" s="54"/>
      <c r="H27" s="54"/>
      <c r="I27" s="54"/>
      <c r="J27" s="40"/>
      <c r="K27" s="40"/>
      <c r="L27" s="54"/>
      <c r="M27" s="54"/>
      <c r="N27" s="55"/>
    </row>
    <row r="28" spans="1:14" x14ac:dyDescent="0.25">
      <c r="A28" s="1" t="s">
        <v>144</v>
      </c>
      <c r="F28" s="40"/>
      <c r="G28" s="54"/>
      <c r="H28" s="54"/>
      <c r="I28" s="54"/>
      <c r="J28" s="40"/>
      <c r="K28" s="40"/>
      <c r="L28" s="54"/>
      <c r="M28" s="54"/>
      <c r="N28" s="55"/>
    </row>
    <row r="29" spans="1:14" x14ac:dyDescent="0.25">
      <c r="F29" s="40"/>
      <c r="G29" s="54"/>
      <c r="H29" s="54"/>
      <c r="I29" s="54"/>
      <c r="J29" s="40"/>
      <c r="K29" s="40"/>
      <c r="L29" s="54"/>
      <c r="M29" s="54"/>
      <c r="N29" s="55"/>
    </row>
    <row r="30" spans="1:14" x14ac:dyDescent="0.25">
      <c r="A30" s="1" t="s">
        <v>145</v>
      </c>
      <c r="F30" s="40"/>
      <c r="G30" s="54"/>
      <c r="H30" s="54"/>
      <c r="I30" s="54"/>
      <c r="J30" s="40"/>
      <c r="K30" s="40"/>
      <c r="L30" s="54"/>
      <c r="M30" s="54"/>
      <c r="N30" s="55"/>
    </row>
    <row r="31" spans="1:14" x14ac:dyDescent="0.25">
      <c r="A31" s="1" t="s">
        <v>146</v>
      </c>
      <c r="F31" s="40"/>
      <c r="G31" s="54"/>
      <c r="H31" s="54"/>
      <c r="I31" s="54"/>
      <c r="J31" s="40"/>
      <c r="K31" s="40"/>
      <c r="L31" s="54"/>
      <c r="M31" s="54"/>
      <c r="N31" s="55"/>
    </row>
    <row r="32" spans="1:14" x14ac:dyDescent="0.25">
      <c r="F32" s="38"/>
      <c r="G32" t="s">
        <v>147</v>
      </c>
      <c r="H32" t="s">
        <v>148</v>
      </c>
    </row>
    <row r="33" spans="1:10" x14ac:dyDescent="0.25">
      <c r="F33" s="56" t="s">
        <v>149</v>
      </c>
      <c r="G33" s="57"/>
      <c r="H33" s="54"/>
      <c r="I33" s="58">
        <v>400000</v>
      </c>
      <c r="J33" s="55"/>
    </row>
    <row r="34" spans="1:10" x14ac:dyDescent="0.25">
      <c r="F34" s="59" t="s">
        <v>150</v>
      </c>
      <c r="G34" s="60"/>
      <c r="H34" s="54">
        <v>4800000</v>
      </c>
      <c r="I34" s="61"/>
      <c r="J34" s="55"/>
    </row>
    <row r="35" spans="1:10" ht="19.5" x14ac:dyDescent="0.25">
      <c r="A35" s="277" t="s">
        <v>151</v>
      </c>
      <c r="B35" s="277"/>
      <c r="C35" s="277"/>
      <c r="D35" s="277"/>
      <c r="F35" s="56" t="s">
        <v>152</v>
      </c>
      <c r="G35" s="57"/>
      <c r="H35" s="54">
        <v>4210500</v>
      </c>
      <c r="I35" s="61"/>
      <c r="J35" s="55"/>
    </row>
    <row r="36" spans="1:10" x14ac:dyDescent="0.25">
      <c r="A36" s="278" t="s">
        <v>116</v>
      </c>
      <c r="B36" s="279" t="s">
        <v>153</v>
      </c>
      <c r="C36" s="279" t="s">
        <v>149</v>
      </c>
      <c r="D36" s="279" t="s">
        <v>150</v>
      </c>
      <c r="F36" s="59" t="s">
        <v>154</v>
      </c>
      <c r="G36" s="60"/>
      <c r="H36" s="54">
        <v>3750000</v>
      </c>
      <c r="I36" s="61"/>
      <c r="J36" s="55"/>
    </row>
    <row r="37" spans="1:10" x14ac:dyDescent="0.25">
      <c r="A37" s="278"/>
      <c r="B37" s="279"/>
      <c r="C37" s="279"/>
      <c r="D37" s="279"/>
      <c r="F37" s="56" t="s">
        <v>155</v>
      </c>
      <c r="G37" s="57"/>
      <c r="H37" s="54">
        <v>3356600</v>
      </c>
      <c r="I37" s="61"/>
      <c r="J37" s="55"/>
    </row>
    <row r="38" spans="1:10" x14ac:dyDescent="0.25">
      <c r="A38" s="62" t="s">
        <v>153</v>
      </c>
      <c r="B38" s="63" t="s">
        <v>156</v>
      </c>
      <c r="C38" s="63" t="s">
        <v>157</v>
      </c>
      <c r="D38" s="63" t="s">
        <v>157</v>
      </c>
      <c r="F38" s="59" t="s">
        <v>158</v>
      </c>
      <c r="G38" s="64">
        <f>I40-H38</f>
        <v>-62800</v>
      </c>
      <c r="H38" s="54">
        <v>3057300</v>
      </c>
      <c r="I38" s="61">
        <f>H38+G38</f>
        <v>2994500</v>
      </c>
      <c r="J38" s="55"/>
    </row>
    <row r="39" spans="1:10" x14ac:dyDescent="0.25">
      <c r="A39" s="65" t="s">
        <v>149</v>
      </c>
      <c r="B39" s="66" t="s">
        <v>159</v>
      </c>
      <c r="C39" s="66" t="s">
        <v>160</v>
      </c>
      <c r="D39" s="66" t="s">
        <v>157</v>
      </c>
      <c r="F39" s="56" t="s">
        <v>161</v>
      </c>
      <c r="G39" s="67">
        <f>I40-H39</f>
        <v>187500</v>
      </c>
      <c r="H39" s="54">
        <v>2807000</v>
      </c>
      <c r="I39" s="61">
        <f>H39+G39</f>
        <v>2994500</v>
      </c>
      <c r="J39" s="55"/>
    </row>
    <row r="40" spans="1:10" x14ac:dyDescent="0.25">
      <c r="A40" s="62" t="s">
        <v>150</v>
      </c>
      <c r="B40" s="63" t="s">
        <v>162</v>
      </c>
      <c r="C40" s="63" t="s">
        <v>163</v>
      </c>
      <c r="D40" s="63" t="s">
        <v>164</v>
      </c>
      <c r="F40" s="59" t="s">
        <v>165</v>
      </c>
      <c r="G40" s="68">
        <v>400000</v>
      </c>
      <c r="H40" s="54">
        <v>2594500</v>
      </c>
      <c r="I40" s="61">
        <f>H40+G40</f>
        <v>2994500</v>
      </c>
      <c r="J40" s="55"/>
    </row>
    <row r="41" spans="1:10" x14ac:dyDescent="0.25">
      <c r="A41" s="65" t="s">
        <v>152</v>
      </c>
      <c r="B41" s="66" t="s">
        <v>166</v>
      </c>
      <c r="C41" s="66" t="s">
        <v>167</v>
      </c>
      <c r="D41" s="66" t="s">
        <v>168</v>
      </c>
      <c r="F41" s="56" t="s">
        <v>169</v>
      </c>
      <c r="G41" s="68">
        <v>594500</v>
      </c>
      <c r="H41" s="54">
        <v>2400000</v>
      </c>
      <c r="I41" s="61">
        <f t="shared" ref="I41:I43" si="3">H41+G41</f>
        <v>2994500</v>
      </c>
      <c r="J41" s="55"/>
    </row>
    <row r="42" spans="1:10" x14ac:dyDescent="0.25">
      <c r="A42" s="62" t="s">
        <v>154</v>
      </c>
      <c r="B42" s="63" t="s">
        <v>170</v>
      </c>
      <c r="C42" s="63" t="s">
        <v>171</v>
      </c>
      <c r="D42" s="63" t="s">
        <v>172</v>
      </c>
      <c r="F42" s="59" t="s">
        <v>173</v>
      </c>
      <c r="G42" s="68">
        <v>752210</v>
      </c>
      <c r="H42" s="54">
        <v>2242290</v>
      </c>
      <c r="I42" s="61">
        <f t="shared" si="3"/>
        <v>2994500</v>
      </c>
      <c r="J42" s="55"/>
    </row>
    <row r="43" spans="1:10" x14ac:dyDescent="0.25">
      <c r="A43" s="65" t="s">
        <v>155</v>
      </c>
      <c r="B43" s="66" t="s">
        <v>174</v>
      </c>
      <c r="C43" s="66" t="s">
        <v>175</v>
      </c>
      <c r="D43" s="66" t="s">
        <v>176</v>
      </c>
      <c r="F43" s="56" t="s">
        <v>177</v>
      </c>
      <c r="G43" s="68">
        <v>889300</v>
      </c>
      <c r="H43" s="54">
        <v>2105200</v>
      </c>
      <c r="I43" s="61">
        <f t="shared" si="3"/>
        <v>2994500</v>
      </c>
      <c r="J43" s="55"/>
    </row>
    <row r="44" spans="1:10" x14ac:dyDescent="0.25">
      <c r="A44" s="62" t="s">
        <v>158</v>
      </c>
      <c r="B44" s="63" t="s">
        <v>178</v>
      </c>
      <c r="C44" s="63" t="s">
        <v>179</v>
      </c>
      <c r="D44" s="63" t="s">
        <v>180</v>
      </c>
    </row>
    <row r="45" spans="1:10" x14ac:dyDescent="0.25">
      <c r="A45" s="65" t="s">
        <v>161</v>
      </c>
      <c r="B45" s="66" t="s">
        <v>181</v>
      </c>
      <c r="C45" s="66" t="s">
        <v>182</v>
      </c>
      <c r="D45" s="66" t="s">
        <v>183</v>
      </c>
    </row>
    <row r="46" spans="1:10" x14ac:dyDescent="0.25">
      <c r="A46" s="62" t="s">
        <v>165</v>
      </c>
      <c r="B46" s="63" t="s">
        <v>184</v>
      </c>
      <c r="C46" s="63" t="s">
        <v>185</v>
      </c>
      <c r="D46" s="63" t="s">
        <v>186</v>
      </c>
    </row>
    <row r="47" spans="1:10" x14ac:dyDescent="0.25">
      <c r="A47" s="65" t="s">
        <v>169</v>
      </c>
      <c r="B47" s="66" t="s">
        <v>187</v>
      </c>
      <c r="C47" s="66" t="s">
        <v>188</v>
      </c>
      <c r="D47" s="66" t="s">
        <v>189</v>
      </c>
    </row>
    <row r="48" spans="1:10" x14ac:dyDescent="0.25">
      <c r="A48" s="62" t="s">
        <v>173</v>
      </c>
      <c r="B48" s="63" t="s">
        <v>190</v>
      </c>
      <c r="C48" s="63" t="s">
        <v>191</v>
      </c>
      <c r="D48" s="63" t="s">
        <v>192</v>
      </c>
    </row>
    <row r="49" spans="1:4" x14ac:dyDescent="0.25">
      <c r="A49" s="65" t="s">
        <v>177</v>
      </c>
      <c r="B49" s="66" t="s">
        <v>193</v>
      </c>
      <c r="C49" s="66" t="s">
        <v>194</v>
      </c>
      <c r="D49" s="66" t="s">
        <v>195</v>
      </c>
    </row>
    <row r="50" spans="1:4" x14ac:dyDescent="0.25">
      <c r="A50" s="62" t="s">
        <v>196</v>
      </c>
      <c r="B50" s="63" t="s">
        <v>197</v>
      </c>
      <c r="C50" s="63" t="s">
        <v>198</v>
      </c>
      <c r="D50" s="63" t="s">
        <v>199</v>
      </c>
    </row>
    <row r="51" spans="1:4" x14ac:dyDescent="0.25">
      <c r="A51" s="65" t="s">
        <v>200</v>
      </c>
      <c r="B51" s="66" t="s">
        <v>201</v>
      </c>
      <c r="C51" s="66" t="s">
        <v>202</v>
      </c>
      <c r="D51" s="66" t="s">
        <v>203</v>
      </c>
    </row>
    <row r="52" spans="1:4" x14ac:dyDescent="0.25">
      <c r="A52" s="62" t="s">
        <v>204</v>
      </c>
      <c r="B52" s="63" t="s">
        <v>205</v>
      </c>
      <c r="C52" s="63" t="s">
        <v>206</v>
      </c>
      <c r="D52" s="63" t="s">
        <v>207</v>
      </c>
    </row>
  </sheetData>
  <mergeCells count="5">
    <mergeCell ref="A35:D35"/>
    <mergeCell ref="A36:A37"/>
    <mergeCell ref="B36:B37"/>
    <mergeCell ref="C36:C37"/>
    <mergeCell ref="D36:D37"/>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6FAF9-E8CD-406B-8012-87809236FB29}">
  <sheetPr>
    <tabColor rgb="FFFFFF00"/>
  </sheetPr>
  <dimension ref="A1:R21"/>
  <sheetViews>
    <sheetView workbookViewId="0">
      <selection activeCell="H24" sqref="H24"/>
    </sheetView>
  </sheetViews>
  <sheetFormatPr baseColWidth="10" defaultRowHeight="15" x14ac:dyDescent="0.25"/>
  <sheetData>
    <row r="1" spans="1:18" ht="15.75" x14ac:dyDescent="0.25">
      <c r="A1" s="205" t="s">
        <v>1082</v>
      </c>
      <c r="K1" s="203" t="s">
        <v>1083</v>
      </c>
    </row>
    <row r="2" spans="1:18" x14ac:dyDescent="0.25">
      <c r="A2" s="218"/>
      <c r="K2" s="218"/>
    </row>
    <row r="3" spans="1:18" x14ac:dyDescent="0.25">
      <c r="A3" s="218"/>
      <c r="K3" s="218"/>
    </row>
    <row r="16" spans="1:18" x14ac:dyDescent="0.25">
      <c r="G16" s="38" t="s">
        <v>1084</v>
      </c>
      <c r="H16" s="38" t="s">
        <v>1085</v>
      </c>
      <c r="Q16" s="38" t="s">
        <v>1084</v>
      </c>
      <c r="R16" s="38" t="s">
        <v>1085</v>
      </c>
    </row>
    <row r="17" spans="1:18" x14ac:dyDescent="0.25">
      <c r="A17" t="s">
        <v>1086</v>
      </c>
      <c r="B17">
        <v>315.39999999999998</v>
      </c>
      <c r="C17">
        <v>319.89999999999998</v>
      </c>
      <c r="D17">
        <v>40755</v>
      </c>
      <c r="E17">
        <v>9315.7000000000007</v>
      </c>
      <c r="F17">
        <v>8668.9</v>
      </c>
      <c r="G17" s="219">
        <f>1/B17+1/C17</f>
        <v>6.2965539127933729E-3</v>
      </c>
      <c r="H17" s="219">
        <f>1/F17+1/D17+1/E17</f>
        <v>2.4723741973102541E-4</v>
      </c>
      <c r="I17" s="73"/>
      <c r="J17" s="73"/>
      <c r="K17" s="73" t="s">
        <v>1087</v>
      </c>
      <c r="L17">
        <v>92</v>
      </c>
      <c r="M17">
        <v>17</v>
      </c>
      <c r="N17">
        <v>3727</v>
      </c>
      <c r="O17">
        <v>227</v>
      </c>
      <c r="P17">
        <v>3899</v>
      </c>
      <c r="Q17" s="219">
        <f>1/L17+1/M17</f>
        <v>6.9693094629156016E-2</v>
      </c>
      <c r="R17" s="219">
        <f>1/P17+1/N17+1/O17</f>
        <v>4.9300746786397958E-3</v>
      </c>
    </row>
    <row r="18" spans="1:18" x14ac:dyDescent="0.25">
      <c r="A18" t="s">
        <v>1088</v>
      </c>
      <c r="B18">
        <v>60.4</v>
      </c>
      <c r="C18">
        <v>78.099999999999994</v>
      </c>
      <c r="D18">
        <v>3663.1</v>
      </c>
      <c r="E18">
        <v>2641.4</v>
      </c>
      <c r="F18">
        <v>1166.9000000000001</v>
      </c>
      <c r="G18" s="219">
        <f t="shared" ref="G18:G21" si="0">1/B18+1/C18</f>
        <v>2.9360388701868044E-2</v>
      </c>
      <c r="H18" s="219">
        <f t="shared" ref="H18:H21" si="1">1/F18+1/D18+1/E18</f>
        <v>1.5085513960337905E-3</v>
      </c>
      <c r="I18" s="73"/>
      <c r="J18" s="73"/>
      <c r="K18" s="73" t="s">
        <v>1089</v>
      </c>
      <c r="L18">
        <v>79</v>
      </c>
      <c r="M18">
        <v>333</v>
      </c>
      <c r="N18">
        <v>14360</v>
      </c>
      <c r="O18">
        <v>9526</v>
      </c>
      <c r="P18">
        <v>1543</v>
      </c>
      <c r="Q18" s="219">
        <f t="shared" ref="Q18:Q21" si="2">1/L18+1/M18</f>
        <v>1.5661230851104269E-2</v>
      </c>
      <c r="R18" s="219">
        <f t="shared" ref="R18:R21" si="3">1/P18+1/N18+1/O18</f>
        <v>8.2270187854861755E-4</v>
      </c>
    </row>
    <row r="19" spans="1:18" x14ac:dyDescent="0.25">
      <c r="A19" t="s">
        <v>1090</v>
      </c>
      <c r="B19">
        <v>24.4</v>
      </c>
      <c r="C19">
        <v>1988.3</v>
      </c>
      <c r="D19">
        <v>646.20000000000005</v>
      </c>
      <c r="E19">
        <v>1247.7</v>
      </c>
      <c r="F19">
        <v>464.6</v>
      </c>
      <c r="G19" s="219">
        <f t="shared" si="0"/>
        <v>4.14865487693169E-2</v>
      </c>
      <c r="H19" s="219">
        <f t="shared" si="1"/>
        <v>4.5013723767282753E-3</v>
      </c>
      <c r="I19" s="73"/>
      <c r="J19" s="73"/>
      <c r="K19" s="73" t="s">
        <v>1091</v>
      </c>
      <c r="L19">
        <v>77</v>
      </c>
      <c r="M19">
        <v>89</v>
      </c>
      <c r="N19">
        <v>24647</v>
      </c>
      <c r="O19">
        <v>2776</v>
      </c>
      <c r="P19">
        <v>1531</v>
      </c>
      <c r="Q19" s="219">
        <f t="shared" si="2"/>
        <v>2.4222968043192763E-2</v>
      </c>
      <c r="R19" s="219">
        <f t="shared" si="3"/>
        <v>1.0539713008869561E-3</v>
      </c>
    </row>
    <row r="20" spans="1:18" x14ac:dyDescent="0.25">
      <c r="A20" t="s">
        <v>1092</v>
      </c>
      <c r="B20">
        <v>13.2</v>
      </c>
      <c r="C20">
        <v>49.9</v>
      </c>
      <c r="D20">
        <v>213.2</v>
      </c>
      <c r="E20">
        <v>747.2</v>
      </c>
      <c r="F20">
        <v>249.1</v>
      </c>
      <c r="G20" s="219">
        <f t="shared" si="0"/>
        <v>9.5797655917896407E-2</v>
      </c>
      <c r="H20" s="219">
        <f t="shared" si="1"/>
        <v>1.0043213311452047E-2</v>
      </c>
      <c r="I20" s="73"/>
      <c r="J20" s="73"/>
      <c r="K20" s="73" t="s">
        <v>1093</v>
      </c>
      <c r="L20">
        <v>82</v>
      </c>
      <c r="M20">
        <v>57</v>
      </c>
      <c r="N20">
        <v>1265</v>
      </c>
      <c r="O20">
        <v>1380</v>
      </c>
      <c r="P20">
        <v>1452</v>
      </c>
      <c r="Q20" s="219">
        <f t="shared" si="2"/>
        <v>2.9738981600342319E-2</v>
      </c>
      <c r="R20" s="219">
        <f t="shared" si="3"/>
        <v>2.203856749311295E-3</v>
      </c>
    </row>
    <row r="21" spans="1:18" x14ac:dyDescent="0.25">
      <c r="A21" t="s">
        <v>1094</v>
      </c>
      <c r="B21">
        <v>8.6</v>
      </c>
      <c r="C21">
        <v>48.2</v>
      </c>
      <c r="D21">
        <v>105.1</v>
      </c>
      <c r="E21">
        <v>608.5</v>
      </c>
      <c r="F21">
        <v>161</v>
      </c>
      <c r="G21" s="219">
        <f t="shared" si="0"/>
        <v>0.13702595773424683</v>
      </c>
      <c r="H21" s="219">
        <f t="shared" si="1"/>
        <v>1.7369313357275505E-2</v>
      </c>
      <c r="I21" s="73"/>
      <c r="J21" s="73"/>
      <c r="K21" s="73" t="s">
        <v>1095</v>
      </c>
      <c r="L21">
        <v>92</v>
      </c>
      <c r="M21">
        <v>1989</v>
      </c>
      <c r="N21">
        <v>1383</v>
      </c>
      <c r="O21">
        <v>652</v>
      </c>
      <c r="P21">
        <v>2286</v>
      </c>
      <c r="Q21" s="219">
        <f t="shared" si="2"/>
        <v>1.1372330426038866E-2</v>
      </c>
      <c r="R21" s="219">
        <f t="shared" si="3"/>
        <v>2.6942534496111345E-3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067A0-0BA2-478F-BBAB-B928C05A8F5B}">
  <sheetPr>
    <tabColor theme="1"/>
  </sheetPr>
  <dimension ref="A1:A33"/>
  <sheetViews>
    <sheetView workbookViewId="0">
      <selection activeCell="G22" sqref="G22"/>
    </sheetView>
  </sheetViews>
  <sheetFormatPr baseColWidth="10" defaultRowHeight="15" x14ac:dyDescent="0.25"/>
  <sheetData>
    <row r="1" spans="1:1" x14ac:dyDescent="0.25">
      <c r="A1" s="1" t="s">
        <v>1096</v>
      </c>
    </row>
    <row r="2" spans="1:1" x14ac:dyDescent="0.25">
      <c r="A2" s="1" t="s">
        <v>1097</v>
      </c>
    </row>
    <row r="3" spans="1:1" x14ac:dyDescent="0.25">
      <c r="A3" s="1" t="s">
        <v>1098</v>
      </c>
    </row>
    <row r="4" spans="1:1" x14ac:dyDescent="0.25">
      <c r="A4" s="1" t="s">
        <v>1099</v>
      </c>
    </row>
    <row r="5" spans="1:1" x14ac:dyDescent="0.25">
      <c r="A5" s="1" t="s">
        <v>1100</v>
      </c>
    </row>
    <row r="6" spans="1:1" x14ac:dyDescent="0.25">
      <c r="A6" s="1" t="s">
        <v>1101</v>
      </c>
    </row>
    <row r="7" spans="1:1" x14ac:dyDescent="0.25">
      <c r="A7" s="1" t="s">
        <v>1102</v>
      </c>
    </row>
    <row r="8" spans="1:1" x14ac:dyDescent="0.25">
      <c r="A8" s="1" t="s">
        <v>1103</v>
      </c>
    </row>
    <row r="10" spans="1:1" x14ac:dyDescent="0.25">
      <c r="A10" s="1" t="s">
        <v>1104</v>
      </c>
    </row>
    <row r="11" spans="1:1" x14ac:dyDescent="0.25">
      <c r="A11" s="1" t="s">
        <v>1105</v>
      </c>
    </row>
    <row r="12" spans="1:1" x14ac:dyDescent="0.25">
      <c r="A12" s="1" t="s">
        <v>1106</v>
      </c>
    </row>
    <row r="13" spans="1:1" x14ac:dyDescent="0.25">
      <c r="A13" s="1" t="s">
        <v>1107</v>
      </c>
    </row>
    <row r="14" spans="1:1" x14ac:dyDescent="0.25">
      <c r="A14" s="1" t="s">
        <v>1108</v>
      </c>
    </row>
    <row r="15" spans="1:1" x14ac:dyDescent="0.25">
      <c r="A15" s="1" t="s">
        <v>1109</v>
      </c>
    </row>
    <row r="16" spans="1:1" x14ac:dyDescent="0.25">
      <c r="A16" s="1" t="s">
        <v>1110</v>
      </c>
    </row>
    <row r="17" spans="1:1" x14ac:dyDescent="0.25">
      <c r="A17" s="1" t="s">
        <v>1111</v>
      </c>
    </row>
    <row r="18" spans="1:1" x14ac:dyDescent="0.25">
      <c r="A18" s="1" t="s">
        <v>1112</v>
      </c>
    </row>
    <row r="19" spans="1:1" x14ac:dyDescent="0.25">
      <c r="A19" s="1" t="s">
        <v>1113</v>
      </c>
    </row>
    <row r="20" spans="1:1" x14ac:dyDescent="0.25">
      <c r="A20" s="1" t="s">
        <v>1114</v>
      </c>
    </row>
    <row r="21" spans="1:1" x14ac:dyDescent="0.25">
      <c r="A21" s="1" t="s">
        <v>1115</v>
      </c>
    </row>
    <row r="22" spans="1:1" x14ac:dyDescent="0.25">
      <c r="A22" s="1" t="s">
        <v>1116</v>
      </c>
    </row>
    <row r="23" spans="1:1" x14ac:dyDescent="0.25">
      <c r="A23" s="1" t="s">
        <v>1117</v>
      </c>
    </row>
    <row r="24" spans="1:1" x14ac:dyDescent="0.25">
      <c r="A24" s="1" t="s">
        <v>1118</v>
      </c>
    </row>
    <row r="25" spans="1:1" x14ac:dyDescent="0.25">
      <c r="A25" s="1" t="s">
        <v>1119</v>
      </c>
    </row>
    <row r="26" spans="1:1" x14ac:dyDescent="0.25">
      <c r="A26" s="1" t="s">
        <v>1120</v>
      </c>
    </row>
    <row r="27" spans="1:1" x14ac:dyDescent="0.25">
      <c r="A27" s="1" t="s">
        <v>1121</v>
      </c>
    </row>
    <row r="28" spans="1:1" x14ac:dyDescent="0.25">
      <c r="A28" s="1" t="s">
        <v>1122</v>
      </c>
    </row>
    <row r="29" spans="1:1" x14ac:dyDescent="0.25">
      <c r="A29" s="1" t="s">
        <v>1123</v>
      </c>
    </row>
    <row r="30" spans="1:1" x14ac:dyDescent="0.25">
      <c r="A30" s="1" t="s">
        <v>1124</v>
      </c>
    </row>
    <row r="31" spans="1:1" x14ac:dyDescent="0.25">
      <c r="A31" s="1" t="s">
        <v>1125</v>
      </c>
    </row>
    <row r="32" spans="1:1" x14ac:dyDescent="0.25">
      <c r="A32" s="1" t="s">
        <v>1126</v>
      </c>
    </row>
    <row r="33" spans="1:1" x14ac:dyDescent="0.25">
      <c r="A33" s="1" t="s">
        <v>1127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1E42D-20B3-461E-A0AB-0A41212747EC}">
  <dimension ref="A1:J30"/>
  <sheetViews>
    <sheetView workbookViewId="0">
      <selection activeCell="V8" sqref="V8"/>
    </sheetView>
  </sheetViews>
  <sheetFormatPr baseColWidth="10" defaultRowHeight="15" x14ac:dyDescent="0.25"/>
  <cols>
    <col min="1" max="1" width="52.140625" bestFit="1" customWidth="1"/>
    <col min="2" max="8" width="5.5703125" bestFit="1" customWidth="1"/>
    <col min="9" max="10" width="6.7109375" bestFit="1" customWidth="1"/>
  </cols>
  <sheetData>
    <row r="1" spans="1:10" x14ac:dyDescent="0.25">
      <c r="A1" t="s">
        <v>1128</v>
      </c>
    </row>
    <row r="2" spans="1:10" x14ac:dyDescent="0.25">
      <c r="A2" t="s">
        <v>1129</v>
      </c>
    </row>
    <row r="3" spans="1:10" ht="15.75" thickBot="1" x14ac:dyDescent="0.3"/>
    <row r="4" spans="1:10" x14ac:dyDescent="0.25">
      <c r="A4" s="284" t="s">
        <v>1130</v>
      </c>
      <c r="B4" s="284" t="s">
        <v>1131</v>
      </c>
      <c r="C4" s="284" t="s">
        <v>1132</v>
      </c>
      <c r="D4" s="284" t="s">
        <v>1133</v>
      </c>
      <c r="E4" s="286" t="s">
        <v>1134</v>
      </c>
      <c r="F4" s="284" t="s">
        <v>1135</v>
      </c>
      <c r="G4" s="284" t="s">
        <v>1136</v>
      </c>
      <c r="H4" s="284" t="s">
        <v>1137</v>
      </c>
      <c r="I4" s="284" t="s">
        <v>1138</v>
      </c>
      <c r="J4" s="286" t="s">
        <v>1139</v>
      </c>
    </row>
    <row r="5" spans="1:10" ht="15.75" thickBot="1" x14ac:dyDescent="0.3">
      <c r="A5" s="285"/>
      <c r="B5" s="285"/>
      <c r="C5" s="285"/>
      <c r="D5" s="285"/>
      <c r="E5" s="287"/>
      <c r="F5" s="285"/>
      <c r="G5" s="285"/>
      <c r="H5" s="285"/>
      <c r="I5" s="285"/>
      <c r="J5" s="287"/>
    </row>
    <row r="6" spans="1:10" x14ac:dyDescent="0.25">
      <c r="A6" s="284" t="s">
        <v>1140</v>
      </c>
      <c r="B6" s="282">
        <v>3563</v>
      </c>
      <c r="C6" s="282">
        <v>3583</v>
      </c>
      <c r="D6" s="282">
        <v>3689</v>
      </c>
      <c r="E6" s="280">
        <v>3712</v>
      </c>
      <c r="F6" s="282">
        <v>3656</v>
      </c>
      <c r="G6" s="282">
        <v>3751</v>
      </c>
      <c r="H6" s="282">
        <v>3693</v>
      </c>
      <c r="I6" s="282">
        <v>3676</v>
      </c>
      <c r="J6" s="280">
        <v>3638</v>
      </c>
    </row>
    <row r="7" spans="1:10" ht="15.75" thickBot="1" x14ac:dyDescent="0.3">
      <c r="A7" s="285"/>
      <c r="B7" s="283"/>
      <c r="C7" s="283"/>
      <c r="D7" s="283"/>
      <c r="E7" s="281"/>
      <c r="F7" s="283"/>
      <c r="G7" s="283"/>
      <c r="H7" s="283"/>
      <c r="I7" s="283"/>
      <c r="J7" s="281"/>
    </row>
    <row r="8" spans="1:10" x14ac:dyDescent="0.25">
      <c r="A8" s="284" t="s">
        <v>1141</v>
      </c>
      <c r="B8" s="282">
        <v>2957</v>
      </c>
      <c r="C8" s="282">
        <v>3253</v>
      </c>
      <c r="D8" s="282">
        <v>3342</v>
      </c>
      <c r="E8" s="280">
        <v>3325</v>
      </c>
      <c r="F8" s="282">
        <v>3461</v>
      </c>
      <c r="G8" s="282">
        <v>3392</v>
      </c>
      <c r="H8" s="282">
        <v>3455</v>
      </c>
      <c r="I8" s="282">
        <v>3369</v>
      </c>
      <c r="J8" s="280">
        <v>3372</v>
      </c>
    </row>
    <row r="9" spans="1:10" ht="15.75" thickBot="1" x14ac:dyDescent="0.3">
      <c r="A9" s="285"/>
      <c r="B9" s="283"/>
      <c r="C9" s="283"/>
      <c r="D9" s="283"/>
      <c r="E9" s="281"/>
      <c r="F9" s="283"/>
      <c r="G9" s="283"/>
      <c r="H9" s="283"/>
      <c r="I9" s="283"/>
      <c r="J9" s="281"/>
    </row>
    <row r="10" spans="1:10" x14ac:dyDescent="0.25">
      <c r="A10" s="284" t="s">
        <v>1142</v>
      </c>
      <c r="B10" s="282">
        <v>2354</v>
      </c>
      <c r="C10" s="282">
        <v>2997</v>
      </c>
      <c r="D10" s="282">
        <v>3041</v>
      </c>
      <c r="E10" s="280">
        <v>3085</v>
      </c>
      <c r="F10" s="282">
        <v>3118</v>
      </c>
      <c r="G10" s="282">
        <v>3100</v>
      </c>
      <c r="H10" s="282">
        <v>3130</v>
      </c>
      <c r="I10" s="282">
        <v>3102</v>
      </c>
      <c r="J10" s="280">
        <v>3098</v>
      </c>
    </row>
    <row r="11" spans="1:10" ht="15.75" thickBot="1" x14ac:dyDescent="0.3">
      <c r="A11" s="285"/>
      <c r="B11" s="283"/>
      <c r="C11" s="283"/>
      <c r="D11" s="283"/>
      <c r="E11" s="281"/>
      <c r="F11" s="283"/>
      <c r="G11" s="283"/>
      <c r="H11" s="283"/>
      <c r="I11" s="283"/>
      <c r="J11" s="281"/>
    </row>
    <row r="12" spans="1:10" x14ac:dyDescent="0.25">
      <c r="A12" s="284" t="s">
        <v>1143</v>
      </c>
      <c r="B12" s="282"/>
      <c r="C12" s="282">
        <v>2361</v>
      </c>
      <c r="D12" s="282">
        <v>2778</v>
      </c>
      <c r="E12" s="280">
        <v>2793</v>
      </c>
      <c r="F12" s="282">
        <v>2808</v>
      </c>
      <c r="G12" s="282">
        <v>2810</v>
      </c>
      <c r="H12" s="282">
        <v>2814</v>
      </c>
      <c r="I12" s="282">
        <v>2795</v>
      </c>
      <c r="J12" s="280">
        <v>2793</v>
      </c>
    </row>
    <row r="13" spans="1:10" ht="15.75" thickBot="1" x14ac:dyDescent="0.3">
      <c r="A13" s="285"/>
      <c r="B13" s="283"/>
      <c r="C13" s="283"/>
      <c r="D13" s="283"/>
      <c r="E13" s="281"/>
      <c r="F13" s="283"/>
      <c r="G13" s="283"/>
      <c r="H13" s="283"/>
      <c r="I13" s="283"/>
      <c r="J13" s="281"/>
    </row>
    <row r="14" spans="1:10" x14ac:dyDescent="0.25">
      <c r="A14" s="284" t="s">
        <v>1144</v>
      </c>
      <c r="B14" s="282"/>
      <c r="C14" s="282"/>
      <c r="D14" s="282">
        <v>2241</v>
      </c>
      <c r="E14" s="280">
        <v>2467</v>
      </c>
      <c r="F14" s="282">
        <v>2521</v>
      </c>
      <c r="G14" s="282">
        <v>2507</v>
      </c>
      <c r="H14" s="282">
        <v>2536</v>
      </c>
      <c r="I14" s="282">
        <v>2517</v>
      </c>
      <c r="J14" s="280">
        <v>2525</v>
      </c>
    </row>
    <row r="15" spans="1:10" ht="15.75" thickBot="1" x14ac:dyDescent="0.3">
      <c r="A15" s="285"/>
      <c r="B15" s="283"/>
      <c r="C15" s="283"/>
      <c r="D15" s="283"/>
      <c r="E15" s="281"/>
      <c r="F15" s="283"/>
      <c r="G15" s="283"/>
      <c r="H15" s="283"/>
      <c r="I15" s="283"/>
      <c r="J15" s="281"/>
    </row>
    <row r="16" spans="1:10" x14ac:dyDescent="0.25">
      <c r="A16" s="284" t="s">
        <v>1145</v>
      </c>
      <c r="B16" s="282"/>
      <c r="C16" s="282"/>
      <c r="D16" s="282"/>
      <c r="E16" s="280">
        <v>2113</v>
      </c>
      <c r="F16" s="282">
        <v>2226</v>
      </c>
      <c r="G16" s="282">
        <v>2202</v>
      </c>
      <c r="H16" s="282">
        <v>2232</v>
      </c>
      <c r="I16" s="282">
        <v>2235</v>
      </c>
      <c r="J16" s="280">
        <v>2227</v>
      </c>
    </row>
    <row r="17" spans="1:10" ht="15.75" thickBot="1" x14ac:dyDescent="0.3">
      <c r="A17" s="285"/>
      <c r="B17" s="283"/>
      <c r="C17" s="283"/>
      <c r="D17" s="283"/>
      <c r="E17" s="281"/>
      <c r="F17" s="283"/>
      <c r="G17" s="283"/>
      <c r="H17" s="283"/>
      <c r="I17" s="283"/>
      <c r="J17" s="281"/>
    </row>
    <row r="18" spans="1:10" x14ac:dyDescent="0.25">
      <c r="A18" s="284" t="s">
        <v>1146</v>
      </c>
      <c r="B18" s="282"/>
      <c r="C18" s="282"/>
      <c r="D18" s="282"/>
      <c r="E18" s="280"/>
      <c r="F18" s="282">
        <v>1537</v>
      </c>
      <c r="G18" s="282">
        <v>1762</v>
      </c>
      <c r="H18" s="282">
        <v>1905</v>
      </c>
      <c r="I18" s="282">
        <v>1879</v>
      </c>
      <c r="J18" s="280">
        <v>1893</v>
      </c>
    </row>
    <row r="19" spans="1:10" ht="15.75" thickBot="1" x14ac:dyDescent="0.3">
      <c r="A19" s="285"/>
      <c r="B19" s="283"/>
      <c r="C19" s="283"/>
      <c r="D19" s="283"/>
      <c r="E19" s="281"/>
      <c r="F19" s="283"/>
      <c r="G19" s="283"/>
      <c r="H19" s="283"/>
      <c r="I19" s="283"/>
      <c r="J19" s="281"/>
    </row>
    <row r="20" spans="1:10" x14ac:dyDescent="0.25">
      <c r="A20" s="284" t="s">
        <v>1147</v>
      </c>
      <c r="B20" s="282"/>
      <c r="C20" s="282"/>
      <c r="D20" s="282"/>
      <c r="E20" s="280"/>
      <c r="F20" s="282"/>
      <c r="G20" s="282">
        <v>1412</v>
      </c>
      <c r="H20" s="282">
        <v>1689</v>
      </c>
      <c r="I20" s="282">
        <v>1630</v>
      </c>
      <c r="J20" s="280">
        <v>1640</v>
      </c>
    </row>
    <row r="21" spans="1:10" ht="15.75" thickBot="1" x14ac:dyDescent="0.3">
      <c r="A21" s="285"/>
      <c r="B21" s="283"/>
      <c r="C21" s="283"/>
      <c r="D21" s="283"/>
      <c r="E21" s="281"/>
      <c r="F21" s="283"/>
      <c r="G21" s="283"/>
      <c r="H21" s="283"/>
      <c r="I21" s="283"/>
      <c r="J21" s="281"/>
    </row>
    <row r="22" spans="1:10" x14ac:dyDescent="0.25">
      <c r="A22" s="284" t="s">
        <v>1148</v>
      </c>
      <c r="B22" s="282"/>
      <c r="C22" s="282"/>
      <c r="D22" s="282"/>
      <c r="E22" s="280"/>
      <c r="F22" s="282"/>
      <c r="G22" s="282"/>
      <c r="H22" s="282">
        <v>1082</v>
      </c>
      <c r="I22" s="282">
        <v>1341</v>
      </c>
      <c r="J22" s="280">
        <v>1325</v>
      </c>
    </row>
    <row r="23" spans="1:10" ht="15.75" thickBot="1" x14ac:dyDescent="0.3">
      <c r="A23" s="285"/>
      <c r="B23" s="283"/>
      <c r="C23" s="283"/>
      <c r="D23" s="283"/>
      <c r="E23" s="281"/>
      <c r="F23" s="283"/>
      <c r="G23" s="283"/>
      <c r="H23" s="283"/>
      <c r="I23" s="283"/>
      <c r="J23" s="281"/>
    </row>
    <row r="24" spans="1:10" x14ac:dyDescent="0.25">
      <c r="A24" s="284" t="s">
        <v>1149</v>
      </c>
      <c r="B24" s="282"/>
      <c r="C24" s="282"/>
      <c r="D24" s="282"/>
      <c r="E24" s="280"/>
      <c r="F24" s="282"/>
      <c r="G24" s="282"/>
      <c r="H24" s="282"/>
      <c r="I24" s="282">
        <v>1003</v>
      </c>
      <c r="J24" s="280">
        <v>1016</v>
      </c>
    </row>
    <row r="25" spans="1:10" ht="15.75" thickBot="1" x14ac:dyDescent="0.3">
      <c r="A25" s="285"/>
      <c r="B25" s="283"/>
      <c r="C25" s="283"/>
      <c r="D25" s="283"/>
      <c r="E25" s="281"/>
      <c r="F25" s="283"/>
      <c r="G25" s="283"/>
      <c r="H25" s="283"/>
      <c r="I25" s="283"/>
      <c r="J25" s="281"/>
    </row>
    <row r="26" spans="1:10" x14ac:dyDescent="0.25">
      <c r="A26" s="284" t="s">
        <v>1150</v>
      </c>
      <c r="B26" s="282"/>
      <c r="C26" s="282"/>
      <c r="D26" s="282"/>
      <c r="E26" s="280"/>
      <c r="F26" s="282"/>
      <c r="G26" s="282"/>
      <c r="H26" s="282"/>
      <c r="I26" s="282"/>
      <c r="J26" s="280">
        <v>632</v>
      </c>
    </row>
    <row r="27" spans="1:10" ht="15.75" thickBot="1" x14ac:dyDescent="0.3">
      <c r="A27" s="285"/>
      <c r="B27" s="283"/>
      <c r="C27" s="283"/>
      <c r="D27" s="283"/>
      <c r="E27" s="281"/>
      <c r="F27" s="283"/>
      <c r="G27" s="283"/>
      <c r="H27" s="283"/>
      <c r="I27" s="283"/>
      <c r="J27" s="281"/>
    </row>
    <row r="30" spans="1:10" x14ac:dyDescent="0.25">
      <c r="A30" t="s">
        <v>1151</v>
      </c>
    </row>
  </sheetData>
  <mergeCells count="120">
    <mergeCell ref="G4:G5"/>
    <mergeCell ref="H4:H5"/>
    <mergeCell ref="I4:I5"/>
    <mergeCell ref="J4:J5"/>
    <mergeCell ref="A6:A7"/>
    <mergeCell ref="B6:B7"/>
    <mergeCell ref="C6:C7"/>
    <mergeCell ref="D6:D7"/>
    <mergeCell ref="E6:E7"/>
    <mergeCell ref="F6:F7"/>
    <mergeCell ref="A4:A5"/>
    <mergeCell ref="B4:B5"/>
    <mergeCell ref="C4:C5"/>
    <mergeCell ref="D4:D5"/>
    <mergeCell ref="E4:E5"/>
    <mergeCell ref="F4:F5"/>
    <mergeCell ref="G6:G7"/>
    <mergeCell ref="H6:H7"/>
    <mergeCell ref="I6:I7"/>
    <mergeCell ref="J6:J7"/>
    <mergeCell ref="J8:J9"/>
    <mergeCell ref="A10:A11"/>
    <mergeCell ref="B10:B11"/>
    <mergeCell ref="C10:C11"/>
    <mergeCell ref="D10:D11"/>
    <mergeCell ref="E10:E11"/>
    <mergeCell ref="F10:F11"/>
    <mergeCell ref="G10:G11"/>
    <mergeCell ref="H10:H11"/>
    <mergeCell ref="I10:I11"/>
    <mergeCell ref="J10:J11"/>
    <mergeCell ref="A8:A9"/>
    <mergeCell ref="B8:B9"/>
    <mergeCell ref="C8:C9"/>
    <mergeCell ref="D8:D9"/>
    <mergeCell ref="E8:E9"/>
    <mergeCell ref="F8:F9"/>
    <mergeCell ref="G8:G9"/>
    <mergeCell ref="H8:H9"/>
    <mergeCell ref="I8:I9"/>
    <mergeCell ref="J12:J13"/>
    <mergeCell ref="A14:A15"/>
    <mergeCell ref="B14:B15"/>
    <mergeCell ref="C14:C15"/>
    <mergeCell ref="D14:D15"/>
    <mergeCell ref="E14:E15"/>
    <mergeCell ref="F14:F15"/>
    <mergeCell ref="G14:G15"/>
    <mergeCell ref="H14:H15"/>
    <mergeCell ref="I14:I15"/>
    <mergeCell ref="J14:J15"/>
    <mergeCell ref="A12:A13"/>
    <mergeCell ref="B12:B13"/>
    <mergeCell ref="C12:C13"/>
    <mergeCell ref="D12:D13"/>
    <mergeCell ref="E12:E13"/>
    <mergeCell ref="F12:F13"/>
    <mergeCell ref="G12:G13"/>
    <mergeCell ref="H12:H13"/>
    <mergeCell ref="I12:I13"/>
    <mergeCell ref="J16:J17"/>
    <mergeCell ref="A18:A19"/>
    <mergeCell ref="B18:B19"/>
    <mergeCell ref="C18:C19"/>
    <mergeCell ref="D18:D19"/>
    <mergeCell ref="E18:E19"/>
    <mergeCell ref="F18:F19"/>
    <mergeCell ref="G18:G19"/>
    <mergeCell ref="H18:H19"/>
    <mergeCell ref="I18:I19"/>
    <mergeCell ref="J18:J19"/>
    <mergeCell ref="A16:A17"/>
    <mergeCell ref="B16:B17"/>
    <mergeCell ref="C16:C17"/>
    <mergeCell ref="D16:D17"/>
    <mergeCell ref="E16:E17"/>
    <mergeCell ref="F16:F17"/>
    <mergeCell ref="G16:G17"/>
    <mergeCell ref="H16:H17"/>
    <mergeCell ref="I16:I17"/>
    <mergeCell ref="J20:J21"/>
    <mergeCell ref="A22:A23"/>
    <mergeCell ref="B22:B23"/>
    <mergeCell ref="C22:C23"/>
    <mergeCell ref="D22:D23"/>
    <mergeCell ref="E22:E23"/>
    <mergeCell ref="F22:F23"/>
    <mergeCell ref="G22:G23"/>
    <mergeCell ref="H22:H23"/>
    <mergeCell ref="I22:I23"/>
    <mergeCell ref="J22:J23"/>
    <mergeCell ref="A20:A21"/>
    <mergeCell ref="B20:B21"/>
    <mergeCell ref="C20:C21"/>
    <mergeCell ref="D20:D21"/>
    <mergeCell ref="E20:E21"/>
    <mergeCell ref="F20:F21"/>
    <mergeCell ref="G20:G21"/>
    <mergeCell ref="H20:H21"/>
    <mergeCell ref="I20:I21"/>
    <mergeCell ref="J26:J27"/>
    <mergeCell ref="G24:G25"/>
    <mergeCell ref="H24:H25"/>
    <mergeCell ref="I24:I25"/>
    <mergeCell ref="J24:J25"/>
    <mergeCell ref="A26:A27"/>
    <mergeCell ref="B26:B27"/>
    <mergeCell ref="C26:C27"/>
    <mergeCell ref="D26:D27"/>
    <mergeCell ref="E26:E27"/>
    <mergeCell ref="F26:F27"/>
    <mergeCell ref="A24:A25"/>
    <mergeCell ref="B24:B25"/>
    <mergeCell ref="C24:C25"/>
    <mergeCell ref="D24:D25"/>
    <mergeCell ref="E24:E25"/>
    <mergeCell ref="F24:F25"/>
    <mergeCell ref="G26:G27"/>
    <mergeCell ref="H26:H27"/>
    <mergeCell ref="I26:I2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18</vt:i4>
      </vt:variant>
    </vt:vector>
  </HeadingPairs>
  <TitlesOfParts>
    <vt:vector size="18" baseType="lpstr">
      <vt:lpstr>Resistencia</vt:lpstr>
      <vt:lpstr>TablasEntreno</vt:lpstr>
      <vt:lpstr>EVENTOS_BigData</vt:lpstr>
      <vt:lpstr>Sueldos</vt:lpstr>
      <vt:lpstr>EntrenamientoManual</vt:lpstr>
      <vt:lpstr>Entrenador</vt:lpstr>
      <vt:lpstr>Tarjetas</vt:lpstr>
      <vt:lpstr>BajarEntrenamiento</vt:lpstr>
      <vt:lpstr>Aficionados</vt:lpstr>
      <vt:lpstr>Calificaciones_POS&lt;T60</vt:lpstr>
      <vt:lpstr>Calificaciones_POS&gt;T60</vt:lpstr>
      <vt:lpstr>Posesion</vt:lpstr>
      <vt:lpstr>Logros</vt:lpstr>
      <vt:lpstr>Estadio_Destruccion</vt:lpstr>
      <vt:lpstr>Bepero_penalty</vt:lpstr>
      <vt:lpstr>Forma</vt:lpstr>
      <vt:lpstr>Confianza_Esperitu</vt:lpstr>
      <vt:lpstr>Sustituciones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2021-04-22T11:25:25Z</dcterms:modified>
</cp:coreProperties>
</file>